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PLR\calibration\"/>
    </mc:Choice>
  </mc:AlternateContent>
  <xr:revisionPtr revIDLastSave="0" documentId="13_ncr:1_{A497BF23-1D76-45A4-B7B8-0576E96C82D8}" xr6:coauthVersionLast="44" xr6:coauthVersionMax="44" xr10:uidLastSave="{00000000-0000-0000-0000-000000000000}"/>
  <bookViews>
    <workbookView xWindow="-120" yWindow="-120" windowWidth="29040" windowHeight="15840" xr2:uid="{00000000-000D-0000-FFFF-FFFF00000000}"/>
  </bookViews>
  <sheets>
    <sheet name="PO_Strength" sheetId="3" r:id="rId1"/>
    <sheet name="PS_Strength" sheetId="15" r:id="rId2"/>
    <sheet name="Families" sheetId="1" r:id="rId3"/>
    <sheet name="Publications" sheetId="2" r:id="rId4"/>
    <sheet name="Patent availability1" sheetId="6" r:id="rId5"/>
    <sheet name="Patent availability" sheetId="4" r:id="rId6"/>
    <sheet name="Novelty" sheetId="5" r:id="rId7"/>
    <sheet name="Interdisciplinarity" sheetId="8" r:id="rId8"/>
    <sheet name="Lexis_Сoefficient" sheetId="9" r:id="rId9"/>
    <sheet name="Country_coverage" sheetId="10" r:id="rId10"/>
    <sheet name="Country_coverage1" sheetId="12" r:id="rId11"/>
    <sheet name="Lexis_Citation" sheetId="13" r:id="rId12"/>
    <sheet name="Lexis_Claims" sheetId="14" r:id="rId13"/>
  </sheets>
  <definedNames>
    <definedName name="_xlnm._FilterDatabase" localSheetId="9" hidden="1">Country_coverage!$A$1:$A$1177</definedName>
    <definedName name="_xlnm._FilterDatabase" localSheetId="10" hidden="1">Country_coverage1!$A$3:$BB$260</definedName>
    <definedName name="_xlnm._FilterDatabase" localSheetId="2" hidden="1">Families!$B$1:$J$256</definedName>
    <definedName name="_xlnm._FilterDatabase" localSheetId="7" hidden="1">Interdisciplinarity!$O$3:$O$10</definedName>
    <definedName name="_xlnm._FilterDatabase" localSheetId="11" hidden="1">Lexis_Citation!$D$1:$D$256</definedName>
    <definedName name="_xlnm._FilterDatabase" localSheetId="12" hidden="1">Lexis_Claims!$I$1:$J$1177</definedName>
    <definedName name="_xlnm._FilterDatabase" localSheetId="6" hidden="1">Novelty!$F$1:$F$256</definedName>
    <definedName name="_xlnm._FilterDatabase" localSheetId="5" hidden="1">'Patent availability'!$A$1:$D$1177</definedName>
    <definedName name="_xlnm._FilterDatabase" localSheetId="4" hidden="1">'Patent availability1'!$L$4:$U$261</definedName>
    <definedName name="_xlnm._FilterDatabase" localSheetId="0" hidden="1">PO_Strength!$K$1:$K$257</definedName>
  </definedNames>
  <calcPr calcId="181029"/>
  <pivotCaches>
    <pivotCache cacheId="0" r:id="rId14"/>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 i="8" l="1"/>
  <c r="L4" i="8" l="1"/>
  <c r="Q299" i="15" l="1"/>
  <c r="P299" i="15"/>
  <c r="O299" i="15"/>
  <c r="T298" i="15"/>
  <c r="S298" i="15"/>
  <c r="R298" i="15"/>
  <c r="Q298" i="15"/>
  <c r="P298" i="15"/>
  <c r="O298" i="15"/>
  <c r="R297" i="15"/>
  <c r="Q297" i="15"/>
  <c r="P297" i="15"/>
  <c r="O297" i="15"/>
  <c r="S296" i="15"/>
  <c r="R296" i="15"/>
  <c r="Q296" i="15"/>
  <c r="P296" i="15"/>
  <c r="O296" i="15"/>
  <c r="S295" i="15"/>
  <c r="R295" i="15"/>
  <c r="Q295" i="15"/>
  <c r="P295" i="15"/>
  <c r="O295" i="15"/>
  <c r="S294" i="15"/>
  <c r="R294" i="15"/>
  <c r="Q294" i="15"/>
  <c r="P294" i="15"/>
  <c r="O294" i="15"/>
  <c r="Q293" i="15"/>
  <c r="P293" i="15"/>
  <c r="O293" i="15"/>
  <c r="S292" i="15"/>
  <c r="R292" i="15"/>
  <c r="Q292" i="15"/>
  <c r="P292" i="15"/>
  <c r="O292" i="15"/>
  <c r="P291" i="15"/>
  <c r="O291" i="15"/>
  <c r="P290" i="15"/>
  <c r="O290" i="15"/>
  <c r="P289" i="15"/>
  <c r="O289" i="15"/>
  <c r="P288" i="15"/>
  <c r="O288" i="15"/>
  <c r="P287" i="15"/>
  <c r="O287" i="15"/>
  <c r="Q286" i="15"/>
  <c r="P286" i="15"/>
  <c r="O286" i="15"/>
  <c r="T285" i="15"/>
  <c r="S285" i="15"/>
  <c r="R285" i="15"/>
  <c r="Q285" i="15"/>
  <c r="P285" i="15"/>
  <c r="O285" i="15"/>
  <c r="T284" i="15"/>
  <c r="S284" i="15"/>
  <c r="R284" i="15"/>
  <c r="Q284" i="15"/>
  <c r="P284" i="15"/>
  <c r="O284" i="15"/>
  <c r="T283" i="15"/>
  <c r="S283" i="15"/>
  <c r="R283" i="15"/>
  <c r="Q283" i="15"/>
  <c r="P283" i="15"/>
  <c r="O283" i="15"/>
  <c r="P282" i="15"/>
  <c r="O282" i="15"/>
  <c r="T281" i="15"/>
  <c r="S281" i="15"/>
  <c r="R281" i="15"/>
  <c r="Q281" i="15"/>
  <c r="P281" i="15"/>
  <c r="O281" i="15"/>
  <c r="P280" i="15"/>
  <c r="O280" i="15"/>
  <c r="T279" i="15"/>
  <c r="S279" i="15"/>
  <c r="R279" i="15"/>
  <c r="Q279" i="15"/>
  <c r="P279" i="15"/>
  <c r="O279" i="15"/>
  <c r="R278" i="15"/>
  <c r="Q278" i="15"/>
  <c r="P278" i="15"/>
  <c r="O278" i="15"/>
  <c r="T277" i="15"/>
  <c r="S277" i="15"/>
  <c r="R277" i="15"/>
  <c r="Q277" i="15"/>
  <c r="P277" i="15"/>
  <c r="O277" i="15"/>
  <c r="P276" i="15"/>
  <c r="O276" i="15"/>
  <c r="P275" i="15"/>
  <c r="O275" i="15"/>
  <c r="P274" i="15"/>
  <c r="O274" i="15"/>
  <c r="P273" i="15"/>
  <c r="O273" i="15"/>
  <c r="P272" i="15"/>
  <c r="O272" i="15"/>
  <c r="P271" i="15"/>
  <c r="O271" i="15"/>
  <c r="P270" i="15"/>
  <c r="O270" i="15"/>
  <c r="T269" i="15"/>
  <c r="S269" i="15"/>
  <c r="R269" i="15"/>
  <c r="Q269" i="15"/>
  <c r="P269" i="15"/>
  <c r="O269" i="15"/>
  <c r="W268" i="15"/>
  <c r="V268" i="15"/>
  <c r="U268" i="15"/>
  <c r="T268" i="15"/>
  <c r="S268" i="15"/>
  <c r="R268" i="15"/>
  <c r="Q268" i="15"/>
  <c r="P268" i="15"/>
  <c r="O268" i="15"/>
  <c r="U267" i="15"/>
  <c r="P267" i="15"/>
  <c r="O267" i="15"/>
  <c r="T266" i="15"/>
  <c r="S266" i="15"/>
  <c r="R266" i="15"/>
  <c r="Q266" i="15"/>
  <c r="P266" i="15"/>
  <c r="O266" i="15"/>
  <c r="R265" i="15"/>
  <c r="Q265" i="15"/>
  <c r="P265" i="15"/>
  <c r="O265" i="15"/>
  <c r="R264" i="15"/>
  <c r="Q264" i="15"/>
  <c r="P264" i="15"/>
  <c r="O264" i="15"/>
  <c r="R263" i="15"/>
  <c r="Q263" i="15"/>
  <c r="P263" i="15"/>
  <c r="O263" i="15"/>
  <c r="T262" i="15"/>
  <c r="S262" i="15"/>
  <c r="R262" i="15"/>
  <c r="Q262" i="15"/>
  <c r="P262" i="15"/>
  <c r="O262" i="15"/>
  <c r="Q261" i="15"/>
  <c r="P261" i="15"/>
  <c r="O261" i="15"/>
  <c r="P260" i="15"/>
  <c r="O260" i="15"/>
  <c r="Q259" i="15"/>
  <c r="P259" i="15"/>
  <c r="O259" i="15"/>
  <c r="T258" i="15"/>
  <c r="S258" i="15"/>
  <c r="R258" i="15"/>
  <c r="Q258" i="15"/>
  <c r="P258" i="15"/>
  <c r="O258" i="15"/>
  <c r="T257" i="15"/>
  <c r="S257" i="15"/>
  <c r="R257" i="15"/>
  <c r="Q257" i="15"/>
  <c r="P257" i="15"/>
  <c r="O257" i="15"/>
  <c r="T256" i="15"/>
  <c r="S256" i="15"/>
  <c r="R256" i="15"/>
  <c r="Q256" i="15"/>
  <c r="P256" i="15"/>
  <c r="O256" i="15"/>
  <c r="R255" i="15"/>
  <c r="Q255" i="15"/>
  <c r="P255" i="15"/>
  <c r="O255" i="15"/>
  <c r="R254" i="15"/>
  <c r="Q254" i="15"/>
  <c r="P254" i="15"/>
  <c r="O254" i="15"/>
  <c r="R253" i="15"/>
  <c r="Q253" i="15"/>
  <c r="P253" i="15"/>
  <c r="O253" i="15"/>
  <c r="Q252" i="15"/>
  <c r="P252" i="15"/>
  <c r="O252" i="15"/>
  <c r="Q251" i="15"/>
  <c r="P251" i="15"/>
  <c r="O251" i="15"/>
  <c r="T250" i="15"/>
  <c r="S250" i="15"/>
  <c r="R250" i="15"/>
  <c r="Q250" i="15"/>
  <c r="P250" i="15"/>
  <c r="O250" i="15"/>
  <c r="T249" i="15"/>
  <c r="S249" i="15"/>
  <c r="R249" i="15"/>
  <c r="Q249" i="15"/>
  <c r="P249" i="15"/>
  <c r="O249" i="15"/>
  <c r="T248" i="15"/>
  <c r="S248" i="15"/>
  <c r="R248" i="15"/>
  <c r="Q248" i="15"/>
  <c r="P248" i="15"/>
  <c r="O248" i="15"/>
  <c r="T247" i="15"/>
  <c r="S247" i="15"/>
  <c r="R247" i="15"/>
  <c r="Q247" i="15"/>
  <c r="P247" i="15"/>
  <c r="O247" i="15"/>
  <c r="T246" i="15"/>
  <c r="S246" i="15"/>
  <c r="R246" i="15"/>
  <c r="Q246" i="15"/>
  <c r="P246" i="15"/>
  <c r="O246" i="15"/>
  <c r="S245" i="15"/>
  <c r="R245" i="15"/>
  <c r="Q245" i="15"/>
  <c r="P245" i="15"/>
  <c r="O245" i="15"/>
  <c r="T244" i="15"/>
  <c r="S244" i="15"/>
  <c r="R244" i="15"/>
  <c r="Q244" i="15"/>
  <c r="P244" i="15"/>
  <c r="O244" i="15"/>
  <c r="T243" i="15"/>
  <c r="S243" i="15"/>
  <c r="R243" i="15"/>
  <c r="Q243" i="15"/>
  <c r="P243" i="15"/>
  <c r="O243" i="15"/>
  <c r="T242" i="15"/>
  <c r="S242" i="15"/>
  <c r="R242" i="15"/>
  <c r="Q242" i="15"/>
  <c r="P242" i="15"/>
  <c r="O242" i="15"/>
  <c r="T241" i="15"/>
  <c r="S241" i="15"/>
  <c r="R241" i="15"/>
  <c r="Q241" i="15"/>
  <c r="P241" i="15"/>
  <c r="O241" i="15"/>
  <c r="AI240" i="15"/>
  <c r="AH240" i="15"/>
  <c r="AG240" i="15"/>
  <c r="AF240" i="15"/>
  <c r="AE240" i="15"/>
  <c r="AD240" i="15"/>
  <c r="AC240" i="15"/>
  <c r="AB240" i="15"/>
  <c r="AA240" i="15"/>
  <c r="Z240" i="15"/>
  <c r="Y240" i="15"/>
  <c r="X240" i="15"/>
  <c r="W240" i="15"/>
  <c r="V240" i="15"/>
  <c r="U240" i="15"/>
  <c r="T240" i="15"/>
  <c r="S240" i="15"/>
  <c r="R240" i="15"/>
  <c r="Q240" i="15"/>
  <c r="P240" i="15"/>
  <c r="O240" i="15"/>
  <c r="Q239" i="15"/>
  <c r="P239" i="15"/>
  <c r="O239" i="15"/>
  <c r="P238" i="15"/>
  <c r="O238" i="15"/>
  <c r="P237" i="15"/>
  <c r="O237" i="15"/>
  <c r="P236" i="15"/>
  <c r="O236" i="15"/>
  <c r="P235" i="15"/>
  <c r="O235" i="15"/>
  <c r="P234" i="15"/>
  <c r="O234" i="15"/>
  <c r="P233" i="15"/>
  <c r="O233" i="15"/>
  <c r="P232" i="15"/>
  <c r="O232" i="15"/>
  <c r="P231" i="15"/>
  <c r="O231" i="15"/>
  <c r="P230" i="15"/>
  <c r="O230" i="15"/>
  <c r="P229" i="15"/>
  <c r="O229" i="15"/>
  <c r="P228" i="15"/>
  <c r="O228" i="15"/>
  <c r="Y227" i="15"/>
  <c r="X227" i="15"/>
  <c r="W227" i="15"/>
  <c r="V227" i="15"/>
  <c r="U227" i="15"/>
  <c r="P227" i="15"/>
  <c r="O227" i="15"/>
  <c r="P226" i="15"/>
  <c r="O226" i="15"/>
  <c r="P225" i="15"/>
  <c r="O225" i="15"/>
  <c r="P224" i="15"/>
  <c r="O224" i="15"/>
  <c r="P223" i="15"/>
  <c r="O223" i="15"/>
  <c r="P222" i="15"/>
  <c r="O222" i="15"/>
  <c r="P221" i="15"/>
  <c r="O221" i="15"/>
  <c r="Q220" i="15"/>
  <c r="P220" i="15"/>
  <c r="O220" i="15"/>
  <c r="Q219" i="15"/>
  <c r="P219" i="15"/>
  <c r="O219" i="15"/>
  <c r="S218" i="15"/>
  <c r="R218" i="15"/>
  <c r="Q218" i="15"/>
  <c r="P218" i="15"/>
  <c r="O218" i="15"/>
  <c r="P217" i="15"/>
  <c r="O217" i="15"/>
  <c r="P216" i="15"/>
  <c r="O216" i="15"/>
  <c r="P215" i="15"/>
  <c r="O215" i="15"/>
  <c r="P214" i="15"/>
  <c r="O214" i="15"/>
  <c r="P213" i="15"/>
  <c r="O213" i="15"/>
  <c r="Q212" i="15"/>
  <c r="P212" i="15"/>
  <c r="O212" i="15"/>
  <c r="Q211" i="15"/>
  <c r="P211" i="15"/>
  <c r="O211" i="15"/>
  <c r="Q210" i="15"/>
  <c r="P210" i="15"/>
  <c r="O210" i="15"/>
  <c r="Q209" i="15"/>
  <c r="P209" i="15"/>
  <c r="O209" i="15"/>
  <c r="Q208" i="15"/>
  <c r="P208" i="15"/>
  <c r="O208" i="15"/>
  <c r="Q207" i="15"/>
  <c r="P207" i="15"/>
  <c r="O207" i="15"/>
  <c r="Q206" i="15"/>
  <c r="P206" i="15"/>
  <c r="O206" i="15"/>
  <c r="Q205" i="15"/>
  <c r="P205" i="15"/>
  <c r="O205" i="15"/>
  <c r="P204" i="15"/>
  <c r="O204" i="15"/>
  <c r="Q203" i="15"/>
  <c r="P203" i="15"/>
  <c r="O203" i="15"/>
  <c r="AX202" i="15"/>
  <c r="AW202" i="15"/>
  <c r="AV202" i="15"/>
  <c r="AU202" i="15"/>
  <c r="AT202" i="15"/>
  <c r="AS202" i="15"/>
  <c r="AR202" i="15"/>
  <c r="AQ202" i="15"/>
  <c r="AP202" i="15"/>
  <c r="AO202" i="15"/>
  <c r="AN202" i="15"/>
  <c r="AM202" i="15"/>
  <c r="AL202" i="15"/>
  <c r="AK202" i="15"/>
  <c r="AJ202" i="15"/>
  <c r="AI202" i="15"/>
  <c r="AH202" i="15"/>
  <c r="AG202" i="15"/>
  <c r="AF202" i="15"/>
  <c r="AE202" i="15"/>
  <c r="AD202" i="15"/>
  <c r="AC202" i="15"/>
  <c r="AB202" i="15"/>
  <c r="AA202" i="15"/>
  <c r="Z202" i="15"/>
  <c r="Y202" i="15"/>
  <c r="X202" i="15"/>
  <c r="W202" i="15"/>
  <c r="V202" i="15"/>
  <c r="U202" i="15"/>
  <c r="P202" i="15"/>
  <c r="O202" i="15"/>
  <c r="P201" i="15"/>
  <c r="O201" i="15"/>
  <c r="Z200" i="15"/>
  <c r="Y200" i="15"/>
  <c r="X200" i="15"/>
  <c r="W200" i="15"/>
  <c r="V200" i="15"/>
  <c r="U200" i="15"/>
  <c r="P200" i="15"/>
  <c r="O200" i="15"/>
  <c r="Q199" i="15"/>
  <c r="P199" i="15"/>
  <c r="O199" i="15"/>
  <c r="Q198" i="15"/>
  <c r="P198" i="15"/>
  <c r="O198" i="15"/>
  <c r="Q197" i="15"/>
  <c r="P197" i="15"/>
  <c r="O197" i="15"/>
  <c r="Q196" i="15"/>
  <c r="P196" i="15"/>
  <c r="O196" i="15"/>
  <c r="AK195" i="15"/>
  <c r="AJ195" i="15"/>
  <c r="AI195" i="15"/>
  <c r="AH195" i="15"/>
  <c r="AG195" i="15"/>
  <c r="AF195" i="15"/>
  <c r="AE195" i="15"/>
  <c r="AD195" i="15"/>
  <c r="AC195" i="15"/>
  <c r="AB195" i="15"/>
  <c r="AA195" i="15"/>
  <c r="Z195" i="15"/>
  <c r="Y195" i="15"/>
  <c r="X195" i="15"/>
  <c r="W195" i="15"/>
  <c r="V195" i="15"/>
  <c r="U195" i="15"/>
  <c r="Q195" i="15"/>
  <c r="P195" i="15"/>
  <c r="O195" i="15"/>
  <c r="T194" i="15"/>
  <c r="S194" i="15"/>
  <c r="R194" i="15"/>
  <c r="Q194" i="15"/>
  <c r="P194" i="15"/>
  <c r="O194" i="15"/>
  <c r="T193" i="15"/>
  <c r="S193" i="15"/>
  <c r="R193" i="15"/>
  <c r="Q193" i="15"/>
  <c r="P193" i="15"/>
  <c r="O193" i="15"/>
  <c r="AG192" i="15"/>
  <c r="AF192" i="15"/>
  <c r="AE192" i="15"/>
  <c r="AD192" i="15"/>
  <c r="AC192" i="15"/>
  <c r="AB192" i="15"/>
  <c r="AA192" i="15"/>
  <c r="Z192" i="15"/>
  <c r="Y192" i="15"/>
  <c r="X192" i="15"/>
  <c r="W192" i="15"/>
  <c r="V192" i="15"/>
  <c r="U192" i="15"/>
  <c r="T192" i="15"/>
  <c r="S192" i="15"/>
  <c r="R192" i="15"/>
  <c r="Q192" i="15"/>
  <c r="P192" i="15"/>
  <c r="O192" i="15"/>
  <c r="T191" i="15"/>
  <c r="S191" i="15"/>
  <c r="R191" i="15"/>
  <c r="Q191" i="15"/>
  <c r="P191" i="15"/>
  <c r="O191" i="15"/>
  <c r="T190" i="15"/>
  <c r="S190" i="15"/>
  <c r="R190" i="15"/>
  <c r="Q190" i="15"/>
  <c r="P190" i="15"/>
  <c r="O190" i="15"/>
  <c r="AG189" i="15"/>
  <c r="AF189" i="15"/>
  <c r="AE189" i="15"/>
  <c r="AD189" i="15"/>
  <c r="AC189" i="15"/>
  <c r="AB189" i="15"/>
  <c r="AA189" i="15"/>
  <c r="Z189" i="15"/>
  <c r="Y189" i="15"/>
  <c r="X189" i="15"/>
  <c r="W189" i="15"/>
  <c r="V189" i="15"/>
  <c r="U189" i="15"/>
  <c r="T189" i="15"/>
  <c r="S189" i="15"/>
  <c r="R189" i="15"/>
  <c r="Q189" i="15"/>
  <c r="P189" i="15"/>
  <c r="O189" i="15"/>
  <c r="T188" i="15"/>
  <c r="S188" i="15"/>
  <c r="R188" i="15"/>
  <c r="Q188" i="15"/>
  <c r="P188" i="15"/>
  <c r="O188" i="15"/>
  <c r="BF187" i="15"/>
  <c r="BE187" i="15"/>
  <c r="BD187" i="15"/>
  <c r="BC187" i="15"/>
  <c r="BB187" i="15"/>
  <c r="BA187" i="15"/>
  <c r="AZ187" i="15"/>
  <c r="AY187" i="15"/>
  <c r="AX187" i="15"/>
  <c r="AW187" i="15"/>
  <c r="AV187" i="15"/>
  <c r="AU187" i="15"/>
  <c r="AT187" i="15"/>
  <c r="AS187" i="15"/>
  <c r="AR187" i="15"/>
  <c r="AQ187" i="15"/>
  <c r="AP187" i="15"/>
  <c r="AO187" i="15"/>
  <c r="AN187" i="15"/>
  <c r="AM187" i="15"/>
  <c r="AL187" i="15"/>
  <c r="AK187" i="15"/>
  <c r="AJ187" i="15"/>
  <c r="AI187" i="15"/>
  <c r="AH187" i="15"/>
  <c r="AG187" i="15"/>
  <c r="AF187" i="15"/>
  <c r="AE187" i="15"/>
  <c r="AD187" i="15"/>
  <c r="AC187" i="15"/>
  <c r="AB187" i="15"/>
  <c r="AA187" i="15"/>
  <c r="Z187" i="15"/>
  <c r="Y187" i="15"/>
  <c r="X187" i="15"/>
  <c r="W187" i="15"/>
  <c r="V187" i="15"/>
  <c r="U187" i="15"/>
  <c r="T187" i="15"/>
  <c r="S187" i="15"/>
  <c r="R187" i="15"/>
  <c r="Q187" i="15"/>
  <c r="P187" i="15"/>
  <c r="O187" i="15"/>
  <c r="T186" i="15"/>
  <c r="S186" i="15"/>
  <c r="R186" i="15"/>
  <c r="Q186" i="15"/>
  <c r="P186" i="15"/>
  <c r="O186" i="15"/>
  <c r="W185" i="15"/>
  <c r="V185" i="15"/>
  <c r="U185" i="15"/>
  <c r="T185" i="15"/>
  <c r="S185" i="15"/>
  <c r="R185" i="15"/>
  <c r="Q185" i="15"/>
  <c r="P185" i="15"/>
  <c r="O185" i="15"/>
  <c r="T184" i="15"/>
  <c r="S184" i="15"/>
  <c r="R184" i="15"/>
  <c r="Q184" i="15"/>
  <c r="P184" i="15"/>
  <c r="O184" i="15"/>
  <c r="W183" i="15"/>
  <c r="V183" i="15"/>
  <c r="U183" i="15"/>
  <c r="T183" i="15"/>
  <c r="S183" i="15"/>
  <c r="R183" i="15"/>
  <c r="Q183" i="15"/>
  <c r="P183" i="15"/>
  <c r="O183" i="15"/>
  <c r="AK182" i="15"/>
  <c r="AJ182" i="15"/>
  <c r="AI182" i="15"/>
  <c r="AH182" i="15"/>
  <c r="AG182" i="15"/>
  <c r="AF182" i="15"/>
  <c r="AE182" i="15"/>
  <c r="AD182" i="15"/>
  <c r="AC182" i="15"/>
  <c r="AB182" i="15"/>
  <c r="AA182" i="15"/>
  <c r="Z182" i="15"/>
  <c r="Y182" i="15"/>
  <c r="X182" i="15"/>
  <c r="W182" i="15"/>
  <c r="V182" i="15"/>
  <c r="U182" i="15"/>
  <c r="T182" i="15"/>
  <c r="S182" i="15"/>
  <c r="R182" i="15"/>
  <c r="Q182" i="15"/>
  <c r="P182" i="15"/>
  <c r="O182" i="15"/>
  <c r="T181" i="15"/>
  <c r="S181" i="15"/>
  <c r="R181" i="15"/>
  <c r="Q181" i="15"/>
  <c r="P181" i="15"/>
  <c r="O181" i="15"/>
  <c r="T180" i="15"/>
  <c r="S180" i="15"/>
  <c r="R180" i="15"/>
  <c r="Q180" i="15"/>
  <c r="P180" i="15"/>
  <c r="O180" i="15"/>
  <c r="T179" i="15"/>
  <c r="S179" i="15"/>
  <c r="R179" i="15"/>
  <c r="Q179" i="15"/>
  <c r="P179" i="15"/>
  <c r="O179" i="15"/>
  <c r="T178" i="15"/>
  <c r="S178" i="15"/>
  <c r="R178" i="15"/>
  <c r="Q178" i="15"/>
  <c r="P178" i="15"/>
  <c r="O178" i="15"/>
  <c r="T177" i="15"/>
  <c r="S177" i="15"/>
  <c r="R177" i="15"/>
  <c r="Q177" i="15"/>
  <c r="P177" i="15"/>
  <c r="O177" i="15"/>
  <c r="T176" i="15"/>
  <c r="S176" i="15"/>
  <c r="R176" i="15"/>
  <c r="Q176" i="15"/>
  <c r="P176" i="15"/>
  <c r="O176" i="15"/>
  <c r="T175" i="15"/>
  <c r="S175" i="15"/>
  <c r="R175" i="15"/>
  <c r="Q175" i="15"/>
  <c r="P175" i="15"/>
  <c r="O175" i="15"/>
  <c r="T174" i="15"/>
  <c r="S174" i="15"/>
  <c r="R174" i="15"/>
  <c r="Q174" i="15"/>
  <c r="P174" i="15"/>
  <c r="O174" i="15"/>
  <c r="T173" i="15"/>
  <c r="S173" i="15"/>
  <c r="R173" i="15"/>
  <c r="Q173" i="15"/>
  <c r="P173" i="15"/>
  <c r="O173" i="15"/>
  <c r="T172" i="15"/>
  <c r="S172" i="15"/>
  <c r="R172" i="15"/>
  <c r="Q172" i="15"/>
  <c r="P172" i="15"/>
  <c r="O172" i="15"/>
  <c r="T171" i="15"/>
  <c r="S171" i="15"/>
  <c r="R171" i="15"/>
  <c r="Q171" i="15"/>
  <c r="P171" i="15"/>
  <c r="O171" i="15"/>
  <c r="T170" i="15"/>
  <c r="S170" i="15"/>
  <c r="R170" i="15"/>
  <c r="Q170" i="15"/>
  <c r="P170" i="15"/>
  <c r="O170" i="15"/>
  <c r="T169" i="15"/>
  <c r="S169" i="15"/>
  <c r="R169" i="15"/>
  <c r="Q169" i="15"/>
  <c r="P169" i="15"/>
  <c r="O169" i="15"/>
  <c r="X168" i="15"/>
  <c r="W168" i="15"/>
  <c r="V168" i="15"/>
  <c r="U168" i="15"/>
  <c r="T168" i="15"/>
  <c r="S168" i="15"/>
  <c r="R168" i="15"/>
  <c r="Q168" i="15"/>
  <c r="P168" i="15"/>
  <c r="O168" i="15"/>
  <c r="T167" i="15"/>
  <c r="S167" i="15"/>
  <c r="R167" i="15"/>
  <c r="Q167" i="15"/>
  <c r="P167" i="15"/>
  <c r="O167" i="15"/>
  <c r="T166" i="15"/>
  <c r="S166" i="15"/>
  <c r="R166" i="15"/>
  <c r="Q166" i="15"/>
  <c r="P166" i="15"/>
  <c r="O166" i="15"/>
  <c r="T165" i="15"/>
  <c r="S165" i="15"/>
  <c r="R165" i="15"/>
  <c r="Q165" i="15"/>
  <c r="P165" i="15"/>
  <c r="O165" i="15"/>
  <c r="T164" i="15"/>
  <c r="S164" i="15"/>
  <c r="R164" i="15"/>
  <c r="Q164" i="15"/>
  <c r="P164" i="15"/>
  <c r="O164" i="15"/>
  <c r="Y163" i="15"/>
  <c r="X163" i="15"/>
  <c r="W163" i="15"/>
  <c r="V163" i="15"/>
  <c r="U163" i="15"/>
  <c r="T163" i="15"/>
  <c r="S163" i="15"/>
  <c r="R163" i="15"/>
  <c r="Q163" i="15"/>
  <c r="P163" i="15"/>
  <c r="O163" i="15"/>
  <c r="AE162" i="15"/>
  <c r="AD162" i="15"/>
  <c r="AC162" i="15"/>
  <c r="AB162" i="15"/>
  <c r="AA162" i="15"/>
  <c r="Z162" i="15"/>
  <c r="Y162" i="15"/>
  <c r="X162" i="15"/>
  <c r="W162" i="15"/>
  <c r="V162" i="15"/>
  <c r="U162" i="15"/>
  <c r="T162" i="15"/>
  <c r="S162" i="15"/>
  <c r="R162" i="15"/>
  <c r="Q162" i="15"/>
  <c r="P162" i="15"/>
  <c r="O162" i="15"/>
  <c r="U161" i="15"/>
  <c r="T161" i="15"/>
  <c r="S161" i="15"/>
  <c r="R161" i="15"/>
  <c r="Q161" i="15"/>
  <c r="P161" i="15"/>
  <c r="O161" i="15"/>
  <c r="AB160" i="15"/>
  <c r="AA160" i="15"/>
  <c r="Z160" i="15"/>
  <c r="Y160" i="15"/>
  <c r="X160" i="15"/>
  <c r="W160" i="15"/>
  <c r="V160" i="15"/>
  <c r="U160" i="15"/>
  <c r="T160" i="15"/>
  <c r="S160" i="15"/>
  <c r="R160" i="15"/>
  <c r="Q160" i="15"/>
  <c r="P160" i="15"/>
  <c r="O160" i="15"/>
  <c r="CP159" i="15"/>
  <c r="CO159" i="15"/>
  <c r="CN159" i="15"/>
  <c r="CM159" i="15"/>
  <c r="CL159" i="15"/>
  <c r="CK159" i="15"/>
  <c r="CJ159" i="15"/>
  <c r="CI159" i="15"/>
  <c r="CH159" i="15"/>
  <c r="CG159" i="15"/>
  <c r="CF159" i="15"/>
  <c r="CE159" i="15"/>
  <c r="CD159" i="15"/>
  <c r="CC159" i="15"/>
  <c r="CB159" i="15"/>
  <c r="CA159" i="15"/>
  <c r="BZ159" i="15"/>
  <c r="BY159" i="15"/>
  <c r="BX159" i="15"/>
  <c r="BW159" i="15"/>
  <c r="BV159" i="15"/>
  <c r="BU159" i="15"/>
  <c r="BT159" i="15"/>
  <c r="BS159" i="15"/>
  <c r="BR159" i="15"/>
  <c r="BQ159" i="15"/>
  <c r="BP159" i="15"/>
  <c r="BO159" i="15"/>
  <c r="BN159" i="15"/>
  <c r="BM159" i="15"/>
  <c r="BL159" i="15"/>
  <c r="BK159" i="15"/>
  <c r="BJ159" i="15"/>
  <c r="BI159" i="15"/>
  <c r="BH159" i="15"/>
  <c r="BG159" i="15"/>
  <c r="BF159" i="15"/>
  <c r="BE159" i="15"/>
  <c r="BD159" i="15"/>
  <c r="BC159" i="15"/>
  <c r="BB159" i="15"/>
  <c r="BA159" i="15"/>
  <c r="AZ159" i="15"/>
  <c r="AY159" i="15"/>
  <c r="AX159" i="15"/>
  <c r="AW159" i="15"/>
  <c r="AV159" i="15"/>
  <c r="AU159" i="15"/>
  <c r="AT159" i="15"/>
  <c r="AS159" i="15"/>
  <c r="AR159" i="15"/>
  <c r="AQ159" i="15"/>
  <c r="AP159" i="15"/>
  <c r="AO159" i="15"/>
  <c r="AN159" i="15"/>
  <c r="AM159" i="15"/>
  <c r="AL159" i="15"/>
  <c r="AK159" i="15"/>
  <c r="AJ159" i="15"/>
  <c r="AI159" i="15"/>
  <c r="AH159" i="15"/>
  <c r="AG159" i="15"/>
  <c r="AF159" i="15"/>
  <c r="AE159" i="15"/>
  <c r="AD159" i="15"/>
  <c r="AC159" i="15"/>
  <c r="AB159" i="15"/>
  <c r="AA159" i="15"/>
  <c r="Z159" i="15"/>
  <c r="Y159" i="15"/>
  <c r="X159" i="15"/>
  <c r="W159" i="15"/>
  <c r="V159" i="15"/>
  <c r="U159" i="15"/>
  <c r="T159" i="15"/>
  <c r="S159" i="15"/>
  <c r="R159" i="15"/>
  <c r="Q159" i="15"/>
  <c r="P159" i="15"/>
  <c r="O159" i="15"/>
  <c r="T158" i="15"/>
  <c r="S158" i="15"/>
  <c r="R158" i="15"/>
  <c r="Q158" i="15"/>
  <c r="P158" i="15"/>
  <c r="O158" i="15"/>
  <c r="T157" i="15"/>
  <c r="S157" i="15"/>
  <c r="R157" i="15"/>
  <c r="Q157" i="15"/>
  <c r="P157" i="15"/>
  <c r="O157" i="15"/>
  <c r="V156" i="15"/>
  <c r="U156" i="15"/>
  <c r="T156" i="15"/>
  <c r="S156" i="15"/>
  <c r="R156" i="15"/>
  <c r="Q156" i="15"/>
  <c r="P156" i="15"/>
  <c r="O156" i="15"/>
  <c r="T155" i="15"/>
  <c r="S155" i="15"/>
  <c r="R155" i="15"/>
  <c r="Q155" i="15"/>
  <c r="P155" i="15"/>
  <c r="O155" i="15"/>
  <c r="W154" i="15"/>
  <c r="V154" i="15"/>
  <c r="U154" i="15"/>
  <c r="T154" i="15"/>
  <c r="S154" i="15"/>
  <c r="R154" i="15"/>
  <c r="Q154" i="15"/>
  <c r="P154" i="15"/>
  <c r="O154" i="15"/>
  <c r="T153" i="15"/>
  <c r="S153" i="15"/>
  <c r="R153" i="15"/>
  <c r="Q153" i="15"/>
  <c r="P153" i="15"/>
  <c r="O153" i="15"/>
  <c r="T152" i="15"/>
  <c r="S152" i="15"/>
  <c r="R152" i="15"/>
  <c r="Q152" i="15"/>
  <c r="P152" i="15"/>
  <c r="O152" i="15"/>
  <c r="T151" i="15"/>
  <c r="S151" i="15"/>
  <c r="R151" i="15"/>
  <c r="Q151" i="15"/>
  <c r="P151" i="15"/>
  <c r="O151" i="15"/>
  <c r="T150" i="15"/>
  <c r="S150" i="15"/>
  <c r="R150" i="15"/>
  <c r="Q150" i="15"/>
  <c r="P150" i="15"/>
  <c r="O150" i="15"/>
  <c r="AB149" i="15"/>
  <c r="AA149" i="15"/>
  <c r="Z149" i="15"/>
  <c r="Y149" i="15"/>
  <c r="X149" i="15"/>
  <c r="W149" i="15"/>
  <c r="V149" i="15"/>
  <c r="U149" i="15"/>
  <c r="T149" i="15"/>
  <c r="S149" i="15"/>
  <c r="R149" i="15"/>
  <c r="Q149" i="15"/>
  <c r="P149" i="15"/>
  <c r="O149" i="15"/>
  <c r="T148" i="15"/>
  <c r="S148" i="15"/>
  <c r="R148" i="15"/>
  <c r="Q148" i="15"/>
  <c r="P148" i="15"/>
  <c r="O148" i="15"/>
  <c r="AG147" i="15"/>
  <c r="AF147" i="15"/>
  <c r="AE147" i="15"/>
  <c r="AD147" i="15"/>
  <c r="AC147" i="15"/>
  <c r="AB147" i="15"/>
  <c r="AA147" i="15"/>
  <c r="Z147" i="15"/>
  <c r="Y147" i="15"/>
  <c r="X147" i="15"/>
  <c r="W147" i="15"/>
  <c r="V147" i="15"/>
  <c r="U147" i="15"/>
  <c r="T147" i="15"/>
  <c r="S147" i="15"/>
  <c r="R147" i="15"/>
  <c r="Q147" i="15"/>
  <c r="P147" i="15"/>
  <c r="O147" i="15"/>
  <c r="V146" i="15"/>
  <c r="U146" i="15"/>
  <c r="T146" i="15"/>
  <c r="S146" i="15"/>
  <c r="R146" i="15"/>
  <c r="Q146" i="15"/>
  <c r="P146" i="15"/>
  <c r="O146" i="15"/>
  <c r="T145" i="15"/>
  <c r="S145" i="15"/>
  <c r="R145" i="15"/>
  <c r="Q145" i="15"/>
  <c r="P145" i="15"/>
  <c r="O145" i="15"/>
  <c r="T144" i="15"/>
  <c r="S144" i="15"/>
  <c r="R144" i="15"/>
  <c r="Q144" i="15"/>
  <c r="P144" i="15"/>
  <c r="O144" i="15"/>
  <c r="X143" i="15"/>
  <c r="W143" i="15"/>
  <c r="V143" i="15"/>
  <c r="U143" i="15"/>
  <c r="T143" i="15"/>
  <c r="S143" i="15"/>
  <c r="R143" i="15"/>
  <c r="Q143" i="15"/>
  <c r="P143" i="15"/>
  <c r="O143" i="15"/>
  <c r="X142" i="15"/>
  <c r="W142" i="15"/>
  <c r="V142" i="15"/>
  <c r="U142" i="15"/>
  <c r="T142" i="15"/>
  <c r="S142" i="15"/>
  <c r="R142" i="15"/>
  <c r="Q142" i="15"/>
  <c r="P142" i="15"/>
  <c r="O142" i="15"/>
  <c r="Y141" i="15"/>
  <c r="X141" i="15"/>
  <c r="W141" i="15"/>
  <c r="V141" i="15"/>
  <c r="U141" i="15"/>
  <c r="T141" i="15"/>
  <c r="S141" i="15"/>
  <c r="R141" i="15"/>
  <c r="Q141" i="15"/>
  <c r="P141" i="15"/>
  <c r="O141" i="15"/>
  <c r="U140" i="15"/>
  <c r="T140" i="15"/>
  <c r="S140" i="15"/>
  <c r="R140" i="15"/>
  <c r="Q140" i="15"/>
  <c r="P140" i="15"/>
  <c r="O140" i="15"/>
  <c r="T139" i="15"/>
  <c r="S139" i="15"/>
  <c r="R139" i="15"/>
  <c r="Q139" i="15"/>
  <c r="P139" i="15"/>
  <c r="O139" i="15"/>
  <c r="AB138" i="15"/>
  <c r="AA138" i="15"/>
  <c r="Z138" i="15"/>
  <c r="Y138" i="15"/>
  <c r="X138" i="15"/>
  <c r="W138" i="15"/>
  <c r="V138" i="15"/>
  <c r="U138" i="15"/>
  <c r="R138" i="15"/>
  <c r="Q138" i="15"/>
  <c r="P138" i="15"/>
  <c r="O138" i="15"/>
  <c r="Z137" i="15"/>
  <c r="Y137" i="15"/>
  <c r="X137" i="15"/>
  <c r="W137" i="15"/>
  <c r="V137" i="15"/>
  <c r="U137" i="15"/>
  <c r="R137" i="15"/>
  <c r="Q137" i="15"/>
  <c r="P137" i="15"/>
  <c r="O137" i="15"/>
  <c r="U136" i="15"/>
  <c r="T136" i="15"/>
  <c r="S136" i="15"/>
  <c r="R136" i="15"/>
  <c r="Q136" i="15"/>
  <c r="P136" i="15"/>
  <c r="O136" i="15"/>
  <c r="Z135" i="15"/>
  <c r="Y135" i="15"/>
  <c r="X135" i="15"/>
  <c r="W135" i="15"/>
  <c r="V135" i="15"/>
  <c r="U135" i="15"/>
  <c r="R135" i="15"/>
  <c r="Q135" i="15"/>
  <c r="P135" i="15"/>
  <c r="O135" i="15"/>
  <c r="P134" i="15"/>
  <c r="O134" i="15"/>
  <c r="W133" i="15"/>
  <c r="V133" i="15"/>
  <c r="U133" i="15"/>
  <c r="P133" i="15"/>
  <c r="O133" i="15"/>
  <c r="W132" i="15"/>
  <c r="V132" i="15"/>
  <c r="U132" i="15"/>
  <c r="P132" i="15"/>
  <c r="O132" i="15"/>
  <c r="X131" i="15"/>
  <c r="W131" i="15"/>
  <c r="V131" i="15"/>
  <c r="U131" i="15"/>
  <c r="T131" i="15"/>
  <c r="S131" i="15"/>
  <c r="R131" i="15"/>
  <c r="Q131" i="15"/>
  <c r="P131" i="15"/>
  <c r="O131" i="15"/>
  <c r="V130" i="15"/>
  <c r="U130" i="15"/>
  <c r="Q130" i="15"/>
  <c r="P130" i="15"/>
  <c r="O130" i="15"/>
  <c r="Q129" i="15"/>
  <c r="P129" i="15"/>
  <c r="O129" i="15"/>
  <c r="Q128" i="15"/>
  <c r="P128" i="15"/>
  <c r="O128" i="15"/>
  <c r="AC127" i="15"/>
  <c r="AB127" i="15"/>
  <c r="AA127" i="15"/>
  <c r="Z127" i="15"/>
  <c r="Y127" i="15"/>
  <c r="X127" i="15"/>
  <c r="W127" i="15"/>
  <c r="V127" i="15"/>
  <c r="U127" i="15"/>
  <c r="Q127" i="15"/>
  <c r="P127" i="15"/>
  <c r="O127" i="15"/>
  <c r="P126" i="15"/>
  <c r="O126" i="15"/>
  <c r="P125" i="15"/>
  <c r="O125" i="15"/>
  <c r="V124" i="15"/>
  <c r="U124" i="15"/>
  <c r="P124" i="15"/>
  <c r="O124" i="15"/>
  <c r="AG123" i="15"/>
  <c r="AF123" i="15"/>
  <c r="AE123" i="15"/>
  <c r="AD123" i="15"/>
  <c r="AC123" i="15"/>
  <c r="AB123" i="15"/>
  <c r="AA123" i="15"/>
  <c r="Z123" i="15"/>
  <c r="Y123" i="15"/>
  <c r="X123" i="15"/>
  <c r="W123" i="15"/>
  <c r="V123" i="15"/>
  <c r="U123" i="15"/>
  <c r="P123" i="15"/>
  <c r="O123" i="15"/>
  <c r="P122" i="15"/>
  <c r="O122" i="15"/>
  <c r="P121" i="15"/>
  <c r="O121" i="15"/>
  <c r="P120" i="15"/>
  <c r="O120" i="15"/>
  <c r="V119" i="15"/>
  <c r="U119" i="15"/>
  <c r="P119" i="15"/>
  <c r="O119" i="15"/>
  <c r="P118" i="15"/>
  <c r="O118" i="15"/>
  <c r="P117" i="15"/>
  <c r="O117" i="15"/>
  <c r="P116" i="15"/>
  <c r="O116" i="15"/>
  <c r="P115" i="15"/>
  <c r="O115" i="15"/>
  <c r="P114" i="15"/>
  <c r="O114" i="15"/>
  <c r="P113" i="15"/>
  <c r="O113" i="15"/>
  <c r="P112" i="15"/>
  <c r="O112" i="15"/>
  <c r="P111" i="15"/>
  <c r="O111" i="15"/>
  <c r="U110" i="15"/>
  <c r="P110" i="15"/>
  <c r="O110" i="15"/>
  <c r="P109" i="15"/>
  <c r="O109" i="15"/>
  <c r="AB108" i="15"/>
  <c r="AA108" i="15"/>
  <c r="Z108" i="15"/>
  <c r="Y108" i="15"/>
  <c r="X108" i="15"/>
  <c r="W108" i="15"/>
  <c r="V108" i="15"/>
  <c r="U108" i="15"/>
  <c r="P108" i="15"/>
  <c r="O108" i="15"/>
  <c r="U107" i="15"/>
  <c r="P107" i="15"/>
  <c r="O107" i="15"/>
  <c r="P106" i="15"/>
  <c r="O106" i="15"/>
  <c r="AJ105" i="15"/>
  <c r="AI105" i="15"/>
  <c r="AH105" i="15"/>
  <c r="AG105" i="15"/>
  <c r="AF105" i="15"/>
  <c r="AE105" i="15"/>
  <c r="AD105" i="15"/>
  <c r="AC105" i="15"/>
  <c r="AB105" i="15"/>
  <c r="AA105" i="15"/>
  <c r="Z105" i="15"/>
  <c r="Y105" i="15"/>
  <c r="X105" i="15"/>
  <c r="W105" i="15"/>
  <c r="V105" i="15"/>
  <c r="U105" i="15"/>
  <c r="P105" i="15"/>
  <c r="O105" i="15"/>
  <c r="AP104" i="15"/>
  <c r="AO104" i="15"/>
  <c r="AN104" i="15"/>
  <c r="AM104" i="15"/>
  <c r="AL104" i="15"/>
  <c r="AK104" i="15"/>
  <c r="AJ104" i="15"/>
  <c r="AI104" i="15"/>
  <c r="AH104" i="15"/>
  <c r="AG104" i="15"/>
  <c r="AF104" i="15"/>
  <c r="AE104" i="15"/>
  <c r="AD104" i="15"/>
  <c r="AC104" i="15"/>
  <c r="AB104" i="15"/>
  <c r="AA104" i="15"/>
  <c r="Z104" i="15"/>
  <c r="Y104" i="15"/>
  <c r="X104" i="15"/>
  <c r="W104" i="15"/>
  <c r="V104" i="15"/>
  <c r="U104" i="15"/>
  <c r="P104" i="15"/>
  <c r="O104" i="15"/>
  <c r="Y103" i="15"/>
  <c r="X103" i="15"/>
  <c r="W103" i="15"/>
  <c r="V103" i="15"/>
  <c r="U103" i="15"/>
  <c r="P103" i="15"/>
  <c r="O103" i="15"/>
  <c r="Q102" i="15"/>
  <c r="P102" i="15"/>
  <c r="O102" i="15"/>
  <c r="AA101" i="15"/>
  <c r="Z101" i="15"/>
  <c r="Y101" i="15"/>
  <c r="X101" i="15"/>
  <c r="W101" i="15"/>
  <c r="V101" i="15"/>
  <c r="U101" i="15"/>
  <c r="P101" i="15"/>
  <c r="O101" i="15"/>
  <c r="AA100" i="15"/>
  <c r="Z100" i="15"/>
  <c r="Y100" i="15"/>
  <c r="X100" i="15"/>
  <c r="W100" i="15"/>
  <c r="V100" i="15"/>
  <c r="U100" i="15"/>
  <c r="Q100" i="15"/>
  <c r="P100" i="15"/>
  <c r="O100" i="15"/>
  <c r="Z99" i="15"/>
  <c r="Y99" i="15"/>
  <c r="X99" i="15"/>
  <c r="W99" i="15"/>
  <c r="V99" i="15"/>
  <c r="U99" i="15"/>
  <c r="Q99" i="15"/>
  <c r="P99" i="15"/>
  <c r="O99" i="15"/>
  <c r="P98" i="15"/>
  <c r="O98" i="15"/>
  <c r="Q97" i="15"/>
  <c r="P97" i="15"/>
  <c r="O97" i="15"/>
  <c r="P96" i="15"/>
  <c r="O96" i="15"/>
  <c r="Q95" i="15"/>
  <c r="P95" i="15"/>
  <c r="O95" i="15"/>
  <c r="P94" i="15"/>
  <c r="O94" i="15"/>
  <c r="X93" i="15"/>
  <c r="W93" i="15"/>
  <c r="V93" i="15"/>
  <c r="U93" i="15"/>
  <c r="Q93" i="15"/>
  <c r="P93" i="15"/>
  <c r="O93" i="15"/>
  <c r="U92" i="15"/>
  <c r="P92" i="15"/>
  <c r="O92" i="15"/>
  <c r="P91" i="15"/>
  <c r="O91" i="15"/>
  <c r="P90" i="15"/>
  <c r="O90" i="15"/>
  <c r="P89" i="15"/>
  <c r="O89" i="15"/>
  <c r="P88" i="15"/>
  <c r="O88" i="15"/>
  <c r="P87" i="15"/>
  <c r="O87" i="15"/>
  <c r="P86" i="15"/>
  <c r="O86" i="15"/>
  <c r="P85" i="15"/>
  <c r="O85" i="15"/>
  <c r="DS84" i="15"/>
  <c r="DR84" i="15"/>
  <c r="DQ84" i="15"/>
  <c r="DP84" i="15"/>
  <c r="DO84" i="15"/>
  <c r="DN84" i="15"/>
  <c r="DM84" i="15"/>
  <c r="DL84" i="15"/>
  <c r="DK84" i="15"/>
  <c r="DJ84" i="15"/>
  <c r="DI84" i="15"/>
  <c r="DH84" i="15"/>
  <c r="DG84" i="15"/>
  <c r="DF84" i="15"/>
  <c r="DE84" i="15"/>
  <c r="DD84" i="15"/>
  <c r="DC84" i="15"/>
  <c r="DB84" i="15"/>
  <c r="DA84" i="15"/>
  <c r="CZ84" i="15"/>
  <c r="CY84" i="15"/>
  <c r="CX84" i="15"/>
  <c r="CW84" i="15"/>
  <c r="CV84" i="15"/>
  <c r="CU84" i="15"/>
  <c r="CT84" i="15"/>
  <c r="CS84" i="15"/>
  <c r="CR84" i="15"/>
  <c r="CQ84" i="15"/>
  <c r="CP84" i="15"/>
  <c r="CO84" i="15"/>
  <c r="CN84" i="15"/>
  <c r="CM84" i="15"/>
  <c r="CL84" i="15"/>
  <c r="CK84" i="15"/>
  <c r="CJ84" i="15"/>
  <c r="CI84" i="15"/>
  <c r="CH84" i="15"/>
  <c r="CG84" i="15"/>
  <c r="CF84" i="15"/>
  <c r="CE84" i="15"/>
  <c r="CD84" i="15"/>
  <c r="CC84" i="15"/>
  <c r="CB84" i="15"/>
  <c r="CA84" i="15"/>
  <c r="BZ84" i="15"/>
  <c r="BY84" i="15"/>
  <c r="BX84" i="15"/>
  <c r="BW84" i="15"/>
  <c r="BV84" i="15"/>
  <c r="BU84"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P84" i="15"/>
  <c r="O84" i="15"/>
  <c r="Q83" i="15"/>
  <c r="P83" i="15"/>
  <c r="O83" i="15"/>
  <c r="X82" i="15"/>
  <c r="W82" i="15"/>
  <c r="V82" i="15"/>
  <c r="U82" i="15"/>
  <c r="P82" i="15"/>
  <c r="O82" i="15"/>
  <c r="Q81" i="15"/>
  <c r="P81" i="15"/>
  <c r="O81" i="15"/>
  <c r="AH80" i="15"/>
  <c r="AG80" i="15"/>
  <c r="AF80" i="15"/>
  <c r="AE80" i="15"/>
  <c r="AD80" i="15"/>
  <c r="AC80" i="15"/>
  <c r="AB80" i="15"/>
  <c r="AA80" i="15"/>
  <c r="Z80" i="15"/>
  <c r="Y80" i="15"/>
  <c r="X80" i="15"/>
  <c r="W80" i="15"/>
  <c r="V80" i="15"/>
  <c r="U80" i="15"/>
  <c r="P80" i="15"/>
  <c r="O80" i="15"/>
  <c r="P79" i="15"/>
  <c r="O79" i="15"/>
  <c r="Q78" i="15"/>
  <c r="P78" i="15"/>
  <c r="O78" i="15"/>
  <c r="AB77" i="15"/>
  <c r="AA77" i="15"/>
  <c r="Z77" i="15"/>
  <c r="Y77" i="15"/>
  <c r="X77" i="15"/>
  <c r="W77" i="15"/>
  <c r="V77" i="15"/>
  <c r="U77" i="15"/>
  <c r="Q77" i="15"/>
  <c r="P77" i="15"/>
  <c r="O77"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Q76" i="15"/>
  <c r="P76" i="15"/>
  <c r="O76" i="15"/>
  <c r="Q75" i="15"/>
  <c r="P75" i="15"/>
  <c r="O75" i="15"/>
  <c r="Q74" i="15"/>
  <c r="P74" i="15"/>
  <c r="O74" i="15"/>
  <c r="Q73" i="15"/>
  <c r="P73" i="15"/>
  <c r="O73" i="15"/>
  <c r="Q72" i="15"/>
  <c r="P72" i="15"/>
  <c r="O72" i="15"/>
  <c r="Q71" i="15"/>
  <c r="P71" i="15"/>
  <c r="O71" i="15"/>
  <c r="Q70" i="15"/>
  <c r="P70" i="15"/>
  <c r="O70" i="15"/>
  <c r="AA69" i="15"/>
  <c r="Z69" i="15"/>
  <c r="Y69" i="15"/>
  <c r="X69" i="15"/>
  <c r="W69" i="15"/>
  <c r="V69" i="15"/>
  <c r="U69" i="15"/>
  <c r="Q69" i="15"/>
  <c r="P69" i="15"/>
  <c r="O69" i="15"/>
  <c r="AC68" i="15"/>
  <c r="AB68" i="15"/>
  <c r="AA68" i="15"/>
  <c r="Z68" i="15"/>
  <c r="Y68" i="15"/>
  <c r="X68" i="15"/>
  <c r="W68" i="15"/>
  <c r="V68" i="15"/>
  <c r="U68" i="15"/>
  <c r="P68" i="15"/>
  <c r="O68" i="15"/>
  <c r="U67" i="15"/>
  <c r="Q67" i="15"/>
  <c r="P67" i="15"/>
  <c r="O67" i="15"/>
  <c r="X66" i="15"/>
  <c r="W66" i="15"/>
  <c r="V66" i="15"/>
  <c r="U66" i="15"/>
  <c r="Q66" i="15"/>
  <c r="P66" i="15"/>
  <c r="O66" i="15"/>
  <c r="Q65" i="15"/>
  <c r="P65" i="15"/>
  <c r="O65" i="15"/>
  <c r="Q64" i="15"/>
  <c r="P64" i="15"/>
  <c r="O64" i="15"/>
  <c r="AN63" i="15"/>
  <c r="AM63" i="15"/>
  <c r="AL63" i="15"/>
  <c r="AK63" i="15"/>
  <c r="AJ63" i="15"/>
  <c r="AI63" i="15"/>
  <c r="AH63" i="15"/>
  <c r="AG63" i="15"/>
  <c r="AF63" i="15"/>
  <c r="AE63" i="15"/>
  <c r="AD63" i="15"/>
  <c r="AC63" i="15"/>
  <c r="AB63" i="15"/>
  <c r="AA63" i="15"/>
  <c r="Z63" i="15"/>
  <c r="Y63" i="15"/>
  <c r="X63" i="15"/>
  <c r="W63" i="15"/>
  <c r="V63" i="15"/>
  <c r="U63" i="15"/>
  <c r="Q63" i="15"/>
  <c r="P63" i="15"/>
  <c r="O63" i="15"/>
  <c r="AO62" i="15"/>
  <c r="AN62" i="15"/>
  <c r="AM62" i="15"/>
  <c r="AL62" i="15"/>
  <c r="AK62" i="15"/>
  <c r="AJ62" i="15"/>
  <c r="AI62" i="15"/>
  <c r="AH62" i="15"/>
  <c r="AG62" i="15"/>
  <c r="AF62" i="15"/>
  <c r="AE62" i="15"/>
  <c r="AD62" i="15"/>
  <c r="AC62" i="15"/>
  <c r="AB62" i="15"/>
  <c r="AA62" i="15"/>
  <c r="Z62" i="15"/>
  <c r="Y62" i="15"/>
  <c r="X62" i="15"/>
  <c r="W62" i="15"/>
  <c r="V62" i="15"/>
  <c r="U62" i="15"/>
  <c r="Q62" i="15"/>
  <c r="P62" i="15"/>
  <c r="O62"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Q61" i="15"/>
  <c r="P61" i="15"/>
  <c r="O61" i="15"/>
  <c r="W60" i="15"/>
  <c r="V60" i="15"/>
  <c r="U60" i="15"/>
  <c r="P60" i="15"/>
  <c r="O60" i="15"/>
  <c r="AH59" i="15"/>
  <c r="AG59" i="15"/>
  <c r="AF59" i="15"/>
  <c r="AE59" i="15"/>
  <c r="AD59" i="15"/>
  <c r="AC59" i="15"/>
  <c r="AB59" i="15"/>
  <c r="AA59" i="15"/>
  <c r="Z59" i="15"/>
  <c r="Y59" i="15"/>
  <c r="X59" i="15"/>
  <c r="W59" i="15"/>
  <c r="V59" i="15"/>
  <c r="U59" i="15"/>
  <c r="Q59" i="15"/>
  <c r="P59" i="15"/>
  <c r="O59" i="15"/>
  <c r="P58" i="15"/>
  <c r="O58"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Q57" i="15"/>
  <c r="P57" i="15"/>
  <c r="O57" i="15"/>
  <c r="Q56" i="15"/>
  <c r="P56" i="15"/>
  <c r="O56" i="15"/>
  <c r="Q55" i="15"/>
  <c r="P55" i="15"/>
  <c r="O55" i="15"/>
  <c r="P54" i="15"/>
  <c r="O54" i="15"/>
  <c r="Q53" i="15"/>
  <c r="P53" i="15"/>
  <c r="O53" i="15"/>
  <c r="Q52" i="15"/>
  <c r="P52" i="15"/>
  <c r="O52" i="15"/>
  <c r="Z51" i="15"/>
  <c r="Y51" i="15"/>
  <c r="X51" i="15"/>
  <c r="W51" i="15"/>
  <c r="V51" i="15"/>
  <c r="U51" i="15"/>
  <c r="Q51" i="15"/>
  <c r="P51" i="15"/>
  <c r="O51" i="15"/>
  <c r="Q50" i="15"/>
  <c r="P50" i="15"/>
  <c r="O50" i="15"/>
  <c r="Q49" i="15"/>
  <c r="P49" i="15"/>
  <c r="O49" i="15"/>
  <c r="Q48" i="15"/>
  <c r="P48" i="15"/>
  <c r="O48" i="15"/>
  <c r="P47" i="15"/>
  <c r="O47" i="15"/>
  <c r="P46" i="15"/>
  <c r="O46" i="15"/>
  <c r="Q45" i="15"/>
  <c r="P45" i="15"/>
  <c r="O45" i="15"/>
  <c r="Q44" i="15"/>
  <c r="P44" i="15"/>
  <c r="O44" i="15"/>
  <c r="Q43" i="15"/>
  <c r="P43" i="15"/>
  <c r="O43" i="15"/>
  <c r="Q42" i="15"/>
  <c r="P42" i="15"/>
  <c r="O42" i="15"/>
  <c r="Q41" i="15"/>
  <c r="P41" i="15"/>
  <c r="O41" i="15"/>
  <c r="Q40" i="15"/>
  <c r="P40" i="15"/>
  <c r="O40" i="15"/>
  <c r="Q39" i="15"/>
  <c r="P39" i="15"/>
  <c r="O39" i="15"/>
  <c r="Q38" i="15"/>
  <c r="P38" i="15"/>
  <c r="O38" i="15"/>
  <c r="P37" i="15"/>
  <c r="O37" i="15"/>
  <c r="Q36" i="15"/>
  <c r="P36" i="15"/>
  <c r="O36" i="15"/>
  <c r="Q35" i="15"/>
  <c r="P35" i="15"/>
  <c r="O35" i="15"/>
  <c r="Q34" i="15"/>
  <c r="P34" i="15"/>
  <c r="O34" i="15"/>
  <c r="Q33" i="15"/>
  <c r="P33" i="15"/>
  <c r="O33" i="15"/>
  <c r="Q32" i="15"/>
  <c r="P32" i="15"/>
  <c r="O32" i="15"/>
  <c r="Q31" i="15"/>
  <c r="P31" i="15"/>
  <c r="O31" i="15"/>
  <c r="U30" i="15"/>
  <c r="P30" i="15"/>
  <c r="O30" i="15"/>
  <c r="Q29" i="15"/>
  <c r="P29" i="15"/>
  <c r="O29" i="15"/>
  <c r="AM28" i="15"/>
  <c r="AL28" i="15"/>
  <c r="AK28" i="15"/>
  <c r="AJ28" i="15"/>
  <c r="AI28" i="15"/>
  <c r="AH28" i="15"/>
  <c r="AG28" i="15"/>
  <c r="AF28" i="15"/>
  <c r="AE28" i="15"/>
  <c r="AD28" i="15"/>
  <c r="AC28" i="15"/>
  <c r="AB28" i="15"/>
  <c r="AA28" i="15"/>
  <c r="Z28" i="15"/>
  <c r="Y28" i="15"/>
  <c r="X28" i="15"/>
  <c r="W28" i="15"/>
  <c r="V28" i="15"/>
  <c r="U28" i="15"/>
  <c r="Q28" i="15"/>
  <c r="P28" i="15"/>
  <c r="O28" i="15"/>
  <c r="P27" i="15"/>
  <c r="O27" i="15"/>
  <c r="P26" i="15"/>
  <c r="O26" i="15"/>
  <c r="Q25" i="15"/>
  <c r="P25" i="15"/>
  <c r="O25" i="15"/>
  <c r="Q24" i="15"/>
  <c r="P24" i="15"/>
  <c r="O24" i="15"/>
  <c r="Z23" i="15"/>
  <c r="Y23" i="15"/>
  <c r="X23" i="15"/>
  <c r="W23" i="15"/>
  <c r="V23" i="15"/>
  <c r="U23" i="15"/>
  <c r="P23" i="15"/>
  <c r="O23" i="15"/>
  <c r="Q22" i="15"/>
  <c r="P22" i="15"/>
  <c r="O22" i="15"/>
  <c r="Q21" i="15"/>
  <c r="P21" i="15"/>
  <c r="O21" i="15"/>
  <c r="P20" i="15"/>
  <c r="O20" i="15"/>
  <c r="P19" i="15"/>
  <c r="O19" i="15"/>
  <c r="AE18" i="15"/>
  <c r="AD18" i="15"/>
  <c r="AC18" i="15"/>
  <c r="AB18" i="15"/>
  <c r="AA18" i="15"/>
  <c r="Z18" i="15"/>
  <c r="Y18" i="15"/>
  <c r="X18" i="15"/>
  <c r="W18" i="15"/>
  <c r="V18" i="15"/>
  <c r="U18" i="15"/>
  <c r="Q18" i="15"/>
  <c r="P18" i="15"/>
  <c r="O18" i="15"/>
  <c r="Q17" i="15"/>
  <c r="P17" i="15"/>
  <c r="O17" i="15"/>
  <c r="Q16" i="15"/>
  <c r="P16" i="15"/>
  <c r="O16" i="15"/>
  <c r="AB15" i="15"/>
  <c r="AA15" i="15"/>
  <c r="Z15" i="15"/>
  <c r="Y15" i="15"/>
  <c r="X15" i="15"/>
  <c r="W15" i="15"/>
  <c r="V15" i="15"/>
  <c r="U15" i="15"/>
  <c r="Q15" i="15"/>
  <c r="P15" i="15"/>
  <c r="O15" i="15"/>
  <c r="W14" i="15"/>
  <c r="V14" i="15"/>
  <c r="U14" i="15"/>
  <c r="Q14" i="15"/>
  <c r="P14" i="15"/>
  <c r="O14" i="15"/>
  <c r="Q13" i="15"/>
  <c r="P13" i="15"/>
  <c r="O13" i="15"/>
  <c r="P12" i="15"/>
  <c r="O12" i="15"/>
  <c r="Q11" i="15"/>
  <c r="P11" i="15"/>
  <c r="O11" i="15"/>
  <c r="Q10" i="15"/>
  <c r="P10" i="15"/>
  <c r="O10" i="15"/>
  <c r="Q9" i="15"/>
  <c r="P9" i="15"/>
  <c r="O9" i="15"/>
  <c r="U8" i="15"/>
  <c r="Q8" i="15"/>
  <c r="P8" i="15"/>
  <c r="O8" i="15"/>
  <c r="Q7" i="15"/>
  <c r="P7" i="15"/>
  <c r="O7" i="15"/>
  <c r="P6" i="15"/>
  <c r="O6" i="15"/>
  <c r="S5" i="15"/>
  <c r="R5" i="15"/>
  <c r="Q5" i="15"/>
  <c r="P5" i="15"/>
  <c r="O5" i="15"/>
  <c r="R4" i="15"/>
  <c r="Q4" i="15"/>
  <c r="P4" i="15"/>
  <c r="O4" i="15"/>
  <c r="R3" i="15"/>
  <c r="Q3" i="15"/>
  <c r="P3" i="15"/>
  <c r="O3" i="15"/>
  <c r="B8" i="9" l="1"/>
  <c r="B9" i="9"/>
  <c r="B13" i="9"/>
  <c r="B14" i="9"/>
  <c r="B16" i="9"/>
  <c r="B17" i="9"/>
  <c r="B19" i="9"/>
  <c r="B20" i="9"/>
  <c r="B24" i="9"/>
  <c r="B88" i="9"/>
  <c r="B107" i="9"/>
  <c r="B146" i="9"/>
  <c r="B177" i="9"/>
  <c r="B184" i="9"/>
  <c r="B192" i="9"/>
  <c r="B193" i="9"/>
  <c r="B194" i="9"/>
  <c r="B195" i="9"/>
  <c r="B197" i="9"/>
  <c r="B199" i="9"/>
  <c r="B202" i="9"/>
  <c r="B205" i="9"/>
  <c r="B206" i="9"/>
  <c r="B209" i="9"/>
  <c r="B212" i="9"/>
  <c r="B238" i="9"/>
  <c r="B244" i="9"/>
  <c r="B245" i="9"/>
  <c r="F2" i="14"/>
  <c r="G2" i="14" s="1"/>
  <c r="B190" i="9" s="1"/>
  <c r="F3" i="14"/>
  <c r="F4" i="14"/>
  <c r="G4" i="14" s="1"/>
  <c r="B189" i="9" s="1"/>
  <c r="F5" i="14"/>
  <c r="G5" i="14" s="1"/>
  <c r="B216" i="9" s="1"/>
  <c r="F6" i="14"/>
  <c r="G6" i="14" s="1"/>
  <c r="B15" i="9" s="1"/>
  <c r="F7" i="14"/>
  <c r="F8" i="14"/>
  <c r="G8" i="14" s="1"/>
  <c r="B132" i="9" s="1"/>
  <c r="F9" i="14"/>
  <c r="G9" i="14" s="1"/>
  <c r="B210" i="9" s="1"/>
  <c r="F10" i="14"/>
  <c r="G10" i="14" s="1"/>
  <c r="B113" i="9" s="1"/>
  <c r="F11" i="14"/>
  <c r="G11" i="14" s="1"/>
  <c r="B187" i="9" s="1"/>
  <c r="F12" i="14"/>
  <c r="G12" i="14" s="1"/>
  <c r="B188" i="9" s="1"/>
  <c r="F13" i="14"/>
  <c r="G13" i="14" s="1"/>
  <c r="B23" i="9" s="1"/>
  <c r="F14" i="14"/>
  <c r="G14" i="14" s="1"/>
  <c r="B92" i="9" s="1"/>
  <c r="F15" i="14"/>
  <c r="G15" i="14" s="1"/>
  <c r="B152" i="9" s="1"/>
  <c r="F16" i="14"/>
  <c r="G16" i="14" s="1"/>
  <c r="B176" i="9" s="1"/>
  <c r="F17" i="14"/>
  <c r="G17" i="14" s="1"/>
  <c r="B218" i="9" s="1"/>
  <c r="F18" i="14"/>
  <c r="G18" i="14" s="1"/>
  <c r="B21" i="9" s="1"/>
  <c r="F19" i="14"/>
  <c r="G19" i="14" s="1"/>
  <c r="B73" i="9" s="1"/>
  <c r="F20" i="14"/>
  <c r="G20" i="14" s="1"/>
  <c r="B89" i="9" s="1"/>
  <c r="F21" i="14"/>
  <c r="G21" i="14" s="1"/>
  <c r="B101" i="9" s="1"/>
  <c r="F22" i="14"/>
  <c r="G22" i="14" s="1"/>
  <c r="B109" i="9" s="1"/>
  <c r="F23" i="14"/>
  <c r="G23" i="14" s="1"/>
  <c r="B198" i="9" s="1"/>
  <c r="F24" i="14"/>
  <c r="G24" i="14" s="1"/>
  <c r="B207" i="9" s="1"/>
  <c r="F25" i="14"/>
  <c r="G25" i="14" s="1"/>
  <c r="B215" i="9" s="1"/>
  <c r="F26" i="14"/>
  <c r="G26" i="14" s="1"/>
  <c r="B221" i="9" s="1"/>
  <c r="F27" i="14"/>
  <c r="G27" i="14" s="1"/>
  <c r="B223" i="9" s="1"/>
  <c r="F28" i="14"/>
  <c r="G28" i="14" s="1"/>
  <c r="B235" i="9" s="1"/>
  <c r="F29" i="14"/>
  <c r="G29" i="14" s="1"/>
  <c r="B252" i="9" s="1"/>
  <c r="F30" i="14"/>
  <c r="G30" i="14" s="1"/>
  <c r="B6" i="9" s="1"/>
  <c r="F31" i="14"/>
  <c r="G31" i="14" s="1"/>
  <c r="B61" i="9" s="1"/>
  <c r="F32" i="14"/>
  <c r="G32" i="14" s="1"/>
  <c r="B64" i="9" s="1"/>
  <c r="F33" i="14"/>
  <c r="G33" i="14" s="1"/>
  <c r="B196" i="9" s="1"/>
  <c r="F34" i="14"/>
  <c r="G34" i="14" s="1"/>
  <c r="B217" i="9" s="1"/>
  <c r="F35" i="14"/>
  <c r="G35" i="14" s="1"/>
  <c r="B233" i="9" s="1"/>
  <c r="F36" i="14"/>
  <c r="G36" i="14" s="1"/>
  <c r="B237" i="9" s="1"/>
  <c r="F37" i="14"/>
  <c r="G37" i="14" s="1"/>
  <c r="B239" i="9" s="1"/>
  <c r="F38" i="14"/>
  <c r="G38" i="14" s="1"/>
  <c r="B247" i="9" s="1"/>
  <c r="F39" i="14"/>
  <c r="G39" i="14" s="1"/>
  <c r="B257" i="9" s="1"/>
  <c r="F40" i="14"/>
  <c r="G40" i="14" s="1"/>
  <c r="B4" i="9" s="1"/>
  <c r="F41" i="14"/>
  <c r="G41" i="14" s="1"/>
  <c r="B7" i="9" s="1"/>
  <c r="F42" i="14"/>
  <c r="G42" i="14" s="1"/>
  <c r="B45" i="9" s="1"/>
  <c r="F43" i="14"/>
  <c r="G43" i="14" s="1"/>
  <c r="B46" i="9" s="1"/>
  <c r="F44" i="14"/>
  <c r="G44" i="14" s="1"/>
  <c r="B47" i="9" s="1"/>
  <c r="F45" i="14"/>
  <c r="G45" i="14" s="1"/>
  <c r="B49" i="9" s="1"/>
  <c r="F46" i="14"/>
  <c r="G46" i="14" s="1"/>
  <c r="B56" i="9" s="1"/>
  <c r="F47" i="14"/>
  <c r="G47" i="14" s="1"/>
  <c r="B57" i="9" s="1"/>
  <c r="F48" i="14"/>
  <c r="G48" i="14" s="1"/>
  <c r="B58" i="9" s="1"/>
  <c r="F49" i="14"/>
  <c r="G49" i="14" s="1"/>
  <c r="B65" i="9" s="1"/>
  <c r="F50" i="14"/>
  <c r="G50" i="14" s="1"/>
  <c r="B74" i="9" s="1"/>
  <c r="F51" i="14"/>
  <c r="G51" i="14" s="1"/>
  <c r="B85" i="9" s="1"/>
  <c r="F52" i="14"/>
  <c r="G52" i="14" s="1"/>
  <c r="B100" i="9" s="1"/>
  <c r="F53" i="14"/>
  <c r="G53" i="14" s="1"/>
  <c r="B138" i="9" s="1"/>
  <c r="F54" i="14"/>
  <c r="G54" i="14" s="1"/>
  <c r="B143" i="9" s="1"/>
  <c r="F55" i="14"/>
  <c r="G55" i="14" s="1"/>
  <c r="B145" i="9" s="1"/>
  <c r="F56" i="14"/>
  <c r="G56" i="14" s="1"/>
  <c r="B178" i="9" s="1"/>
  <c r="F57" i="14"/>
  <c r="G57" i="14" s="1"/>
  <c r="B204" i="9" s="1"/>
  <c r="F58" i="14"/>
  <c r="G58" i="14" s="1"/>
  <c r="B213" i="9" s="1"/>
  <c r="F59" i="14"/>
  <c r="G59" i="14" s="1"/>
  <c r="B214" i="9" s="1"/>
  <c r="F60" i="14"/>
  <c r="G60" i="14" s="1"/>
  <c r="B219" i="9" s="1"/>
  <c r="F61" i="14"/>
  <c r="G61" i="14" s="1"/>
  <c r="B226" i="9" s="1"/>
  <c r="F62" i="14"/>
  <c r="G62" i="14" s="1"/>
  <c r="B227" i="9" s="1"/>
  <c r="F63" i="14"/>
  <c r="G63" i="14" s="1"/>
  <c r="B228" i="9" s="1"/>
  <c r="F64" i="14"/>
  <c r="G64" i="14" s="1"/>
  <c r="B232" i="9" s="1"/>
  <c r="F65" i="14"/>
  <c r="G65" i="14" s="1"/>
  <c r="B242" i="9" s="1"/>
  <c r="F66" i="14"/>
  <c r="G66" i="14" s="1"/>
  <c r="B253" i="9" s="1"/>
  <c r="F67" i="14"/>
  <c r="G67" i="14" s="1"/>
  <c r="B254" i="9" s="1"/>
  <c r="F68" i="14"/>
  <c r="G68" i="14" s="1"/>
  <c r="B5" i="9" s="1"/>
  <c r="F69" i="14"/>
  <c r="G69" i="14" s="1"/>
  <c r="B10" i="9" s="1"/>
  <c r="F70" i="14"/>
  <c r="G70" i="14" s="1"/>
  <c r="B11" i="9" s="1"/>
  <c r="F71" i="14"/>
  <c r="G71" i="14" s="1"/>
  <c r="B12" i="9" s="1"/>
  <c r="F72" i="14"/>
  <c r="G72" i="14" s="1"/>
  <c r="B18" i="9" s="1"/>
  <c r="F73" i="14"/>
  <c r="G73" i="14" s="1"/>
  <c r="B33" i="9" s="1"/>
  <c r="F74" i="14"/>
  <c r="G74" i="14" s="1"/>
  <c r="B48" i="9" s="1"/>
  <c r="F75" i="14"/>
  <c r="G75" i="14" s="1"/>
  <c r="B52" i="9" s="1"/>
  <c r="F76" i="14"/>
  <c r="G76" i="14" s="1"/>
  <c r="B55" i="9" s="1"/>
  <c r="F77" i="14"/>
  <c r="G77" i="14" s="1"/>
  <c r="B59" i="9" s="1"/>
  <c r="F78" i="14"/>
  <c r="G78" i="14" s="1"/>
  <c r="B60" i="9" s="1"/>
  <c r="F79" i="14"/>
  <c r="G79" i="14" s="1"/>
  <c r="B62" i="9" s="1"/>
  <c r="F80" i="14"/>
  <c r="G80" i="14" s="1"/>
  <c r="B67" i="9" s="1"/>
  <c r="F81" i="14"/>
  <c r="G81" i="14" s="1"/>
  <c r="B72" i="9" s="1"/>
  <c r="F82" i="14"/>
  <c r="G82" i="14" s="1"/>
  <c r="B75" i="9" s="1"/>
  <c r="F83" i="14"/>
  <c r="G83" i="14" s="1"/>
  <c r="B76" i="9" s="1"/>
  <c r="F84" i="14"/>
  <c r="G84" i="14" s="1"/>
  <c r="B77" i="9" s="1"/>
  <c r="F85" i="14"/>
  <c r="G85" i="14" s="1"/>
  <c r="B86" i="9" s="1"/>
  <c r="F86" i="14"/>
  <c r="G86" i="14" s="1"/>
  <c r="B87" i="9" s="1"/>
  <c r="F87" i="14"/>
  <c r="G87" i="14" s="1"/>
  <c r="B99" i="9" s="1"/>
  <c r="F88" i="14"/>
  <c r="G88" i="14" s="1"/>
  <c r="B110" i="9" s="1"/>
  <c r="F89" i="14"/>
  <c r="G89" i="14" s="1"/>
  <c r="B114" i="9" s="1"/>
  <c r="F90" i="14"/>
  <c r="G90" i="14" s="1"/>
  <c r="B136" i="9" s="1"/>
  <c r="F91" i="14"/>
  <c r="G91" i="14" s="1"/>
  <c r="B139" i="9" s="1"/>
  <c r="F92" i="14"/>
  <c r="G92" i="14" s="1"/>
  <c r="B151" i="9" s="1"/>
  <c r="F93" i="14"/>
  <c r="G93" i="14" s="1"/>
  <c r="B157" i="9" s="1"/>
  <c r="F94" i="14"/>
  <c r="G94" i="14" s="1"/>
  <c r="B165" i="9" s="1"/>
  <c r="F95" i="14"/>
  <c r="G95" i="14" s="1"/>
  <c r="B168" i="9" s="1"/>
  <c r="F96" i="14"/>
  <c r="G96" i="14" s="1"/>
  <c r="B181" i="9" s="1"/>
  <c r="F97" i="14"/>
  <c r="G97" i="14" s="1"/>
  <c r="B182" i="9" s="1"/>
  <c r="F98" i="14"/>
  <c r="G98" i="14" s="1"/>
  <c r="B185" i="9" s="1"/>
  <c r="F99" i="14"/>
  <c r="G99" i="14" s="1"/>
  <c r="B186" i="9" s="1"/>
  <c r="F100" i="14"/>
  <c r="G100" i="14" s="1"/>
  <c r="B200" i="9" s="1"/>
  <c r="F101" i="14"/>
  <c r="G101" i="14" s="1"/>
  <c r="B201" i="9" s="1"/>
  <c r="F102" i="14"/>
  <c r="G102" i="14" s="1"/>
  <c r="B203" i="9" s="1"/>
  <c r="F103" i="14"/>
  <c r="G103" i="14" s="1"/>
  <c r="B222" i="9" s="1"/>
  <c r="F104" i="14"/>
  <c r="G104" i="14" s="1"/>
  <c r="B224" i="9" s="1"/>
  <c r="F105" i="14"/>
  <c r="G105" i="14" s="1"/>
  <c r="B230" i="9" s="1"/>
  <c r="F106" i="14"/>
  <c r="G106" i="14" s="1"/>
  <c r="B231" i="9" s="1"/>
  <c r="F107" i="14"/>
  <c r="G107" i="14" s="1"/>
  <c r="B236" i="9" s="1"/>
  <c r="F108" i="14"/>
  <c r="G108" i="14" s="1"/>
  <c r="B240" i="9" s="1"/>
  <c r="F109" i="14"/>
  <c r="G109" i="14" s="1"/>
  <c r="B243" i="9" s="1"/>
  <c r="F110" i="14"/>
  <c r="G110" i="14" s="1"/>
  <c r="B248" i="9" s="1"/>
  <c r="F111" i="14"/>
  <c r="G111" i="14" s="1"/>
  <c r="B251" i="9" s="1"/>
  <c r="F112" i="14"/>
  <c r="G112" i="14" s="1"/>
  <c r="B256" i="9" s="1"/>
  <c r="F113" i="14"/>
  <c r="G113" i="14" s="1"/>
  <c r="B3" i="9" s="1"/>
  <c r="F114" i="14"/>
  <c r="G114" i="14" s="1"/>
  <c r="B22" i="9" s="1"/>
  <c r="F115" i="14"/>
  <c r="G115" i="14" s="1"/>
  <c r="B25" i="9" s="1"/>
  <c r="F116" i="14"/>
  <c r="G116" i="14" s="1"/>
  <c r="B26" i="9" s="1"/>
  <c r="F117" i="14"/>
  <c r="G117" i="14" s="1"/>
  <c r="B27" i="9" s="1"/>
  <c r="F118" i="14"/>
  <c r="G118" i="14" s="1"/>
  <c r="B28" i="9" s="1"/>
  <c r="F119" i="14"/>
  <c r="G119" i="14" s="1"/>
  <c r="B29" i="9" s="1"/>
  <c r="F120" i="14"/>
  <c r="G120" i="14" s="1"/>
  <c r="B30" i="9" s="1"/>
  <c r="F121" i="14"/>
  <c r="G121" i="14" s="1"/>
  <c r="B31" i="9" s="1"/>
  <c r="F122" i="14"/>
  <c r="G122" i="14" s="1"/>
  <c r="B32" i="9" s="1"/>
  <c r="F123" i="14"/>
  <c r="G123" i="14" s="1"/>
  <c r="B34" i="9" s="1"/>
  <c r="F124" i="14"/>
  <c r="G124" i="14" s="1"/>
  <c r="B35" i="9" s="1"/>
  <c r="F125" i="14"/>
  <c r="G125" i="14" s="1"/>
  <c r="B36" i="9" s="1"/>
  <c r="F126" i="14"/>
  <c r="G126" i="14" s="1"/>
  <c r="B37" i="9" s="1"/>
  <c r="F127" i="14"/>
  <c r="G127" i="14" s="1"/>
  <c r="B38" i="9" s="1"/>
  <c r="F128" i="14"/>
  <c r="G128" i="14" s="1"/>
  <c r="B39" i="9" s="1"/>
  <c r="F129" i="14"/>
  <c r="G129" i="14" s="1"/>
  <c r="B40" i="9" s="1"/>
  <c r="F130" i="14"/>
  <c r="G130" i="14" s="1"/>
  <c r="B41" i="9" s="1"/>
  <c r="F131" i="14"/>
  <c r="G131" i="14" s="1"/>
  <c r="B42" i="9" s="1"/>
  <c r="F132" i="14"/>
  <c r="G132" i="14" s="1"/>
  <c r="B43" i="9" s="1"/>
  <c r="F133" i="14"/>
  <c r="G133" i="14" s="1"/>
  <c r="B44" i="9" s="1"/>
  <c r="F134" i="14"/>
  <c r="G134" i="14" s="1"/>
  <c r="B50" i="9" s="1"/>
  <c r="F135" i="14"/>
  <c r="G135" i="14" s="1"/>
  <c r="B51" i="9" s="1"/>
  <c r="F136" i="14"/>
  <c r="G136" i="14" s="1"/>
  <c r="B53" i="9" s="1"/>
  <c r="F137" i="14"/>
  <c r="G137" i="14" s="1"/>
  <c r="B54" i="9" s="1"/>
  <c r="F138" i="14"/>
  <c r="G138" i="14" s="1"/>
  <c r="B63" i="9" s="1"/>
  <c r="F139" i="14"/>
  <c r="G139" i="14" s="1"/>
  <c r="B66" i="9" s="1"/>
  <c r="F140" i="14"/>
  <c r="G140" i="14" s="1"/>
  <c r="B68" i="9" s="1"/>
  <c r="F141" i="14"/>
  <c r="G141" i="14" s="1"/>
  <c r="B69" i="9" s="1"/>
  <c r="F142" i="14"/>
  <c r="G142" i="14" s="1"/>
  <c r="B70" i="9" s="1"/>
  <c r="F143" i="14"/>
  <c r="G143" i="14" s="1"/>
  <c r="B71" i="9" s="1"/>
  <c r="F144" i="14"/>
  <c r="G144" i="14" s="1"/>
  <c r="B78" i="9" s="1"/>
  <c r="F145" i="14"/>
  <c r="G145" i="14" s="1"/>
  <c r="B79" i="9" s="1"/>
  <c r="F146" i="14"/>
  <c r="G146" i="14" s="1"/>
  <c r="B80" i="9" s="1"/>
  <c r="F147" i="14"/>
  <c r="G147" i="14" s="1"/>
  <c r="B81" i="9" s="1"/>
  <c r="F148" i="14"/>
  <c r="G148" i="14" s="1"/>
  <c r="B82" i="9" s="1"/>
  <c r="F149" i="14"/>
  <c r="G149" i="14" s="1"/>
  <c r="B83" i="9" s="1"/>
  <c r="F150" i="14"/>
  <c r="G150" i="14" s="1"/>
  <c r="B84" i="9" s="1"/>
  <c r="F151" i="14"/>
  <c r="G151" i="14" s="1"/>
  <c r="B90" i="9" s="1"/>
  <c r="F152" i="14"/>
  <c r="G152" i="14" s="1"/>
  <c r="B91" i="9" s="1"/>
  <c r="F153" i="14"/>
  <c r="G153" i="14" s="1"/>
  <c r="B93" i="9" s="1"/>
  <c r="F154" i="14"/>
  <c r="G154" i="14" s="1"/>
  <c r="B94" i="9" s="1"/>
  <c r="F155" i="14"/>
  <c r="G155" i="14" s="1"/>
  <c r="B95" i="9" s="1"/>
  <c r="F156" i="14"/>
  <c r="G156" i="14" s="1"/>
  <c r="B96" i="9" s="1"/>
  <c r="F157" i="14"/>
  <c r="G157" i="14" s="1"/>
  <c r="B97" i="9" s="1"/>
  <c r="F158" i="14"/>
  <c r="G158" i="14" s="1"/>
  <c r="B98" i="9" s="1"/>
  <c r="F159" i="14"/>
  <c r="G159" i="14" s="1"/>
  <c r="B102" i="9" s="1"/>
  <c r="F160" i="14"/>
  <c r="G160" i="14" s="1"/>
  <c r="B103" i="9" s="1"/>
  <c r="F161" i="14"/>
  <c r="G161" i="14" s="1"/>
  <c r="B104" i="9" s="1"/>
  <c r="F162" i="14"/>
  <c r="G162" i="14" s="1"/>
  <c r="B105" i="9" s="1"/>
  <c r="F163" i="14"/>
  <c r="G163" i="14" s="1"/>
  <c r="B106" i="9" s="1"/>
  <c r="F164" i="14"/>
  <c r="G164" i="14" s="1"/>
  <c r="B108" i="9" s="1"/>
  <c r="F165" i="14"/>
  <c r="G165" i="14" s="1"/>
  <c r="B111" i="9" s="1"/>
  <c r="F166" i="14"/>
  <c r="G166" i="14" s="1"/>
  <c r="B112" i="9" s="1"/>
  <c r="F167" i="14"/>
  <c r="G167" i="14" s="1"/>
  <c r="B115" i="9" s="1"/>
  <c r="F168" i="14"/>
  <c r="G168" i="14" s="1"/>
  <c r="B116" i="9" s="1"/>
  <c r="F169" i="14"/>
  <c r="G169" i="14" s="1"/>
  <c r="B117" i="9" s="1"/>
  <c r="F170" i="14"/>
  <c r="G170" i="14" s="1"/>
  <c r="B118" i="9" s="1"/>
  <c r="F171" i="14"/>
  <c r="G171" i="14" s="1"/>
  <c r="B119" i="9" s="1"/>
  <c r="F172" i="14"/>
  <c r="G172" i="14" s="1"/>
  <c r="B120" i="9" s="1"/>
  <c r="F173" i="14"/>
  <c r="G173" i="14" s="1"/>
  <c r="B121" i="9" s="1"/>
  <c r="F174" i="14"/>
  <c r="G174" i="14" s="1"/>
  <c r="B122" i="9" s="1"/>
  <c r="F175" i="14"/>
  <c r="G175" i="14" s="1"/>
  <c r="B123" i="9" s="1"/>
  <c r="F176" i="14"/>
  <c r="G176" i="14" s="1"/>
  <c r="B124" i="9" s="1"/>
  <c r="F177" i="14"/>
  <c r="G177" i="14" s="1"/>
  <c r="B125" i="9" s="1"/>
  <c r="F178" i="14"/>
  <c r="G178" i="14" s="1"/>
  <c r="B126" i="9" s="1"/>
  <c r="F179" i="14"/>
  <c r="G179" i="14" s="1"/>
  <c r="B127" i="9" s="1"/>
  <c r="F180" i="14"/>
  <c r="G180" i="14" s="1"/>
  <c r="B128" i="9" s="1"/>
  <c r="F181" i="14"/>
  <c r="G181" i="14" s="1"/>
  <c r="B129" i="9" s="1"/>
  <c r="F182" i="14"/>
  <c r="G182" i="14" s="1"/>
  <c r="B130" i="9" s="1"/>
  <c r="F183" i="14"/>
  <c r="G183" i="14" s="1"/>
  <c r="B131" i="9" s="1"/>
  <c r="F184" i="14"/>
  <c r="G184" i="14" s="1"/>
  <c r="B133" i="9" s="1"/>
  <c r="F185" i="14"/>
  <c r="G185" i="14" s="1"/>
  <c r="B134" i="9" s="1"/>
  <c r="F186" i="14"/>
  <c r="G186" i="14" s="1"/>
  <c r="B135" i="9" s="1"/>
  <c r="F187" i="14"/>
  <c r="G187" i="14" s="1"/>
  <c r="B137" i="9" s="1"/>
  <c r="F188" i="14"/>
  <c r="G188" i="14" s="1"/>
  <c r="B140" i="9" s="1"/>
  <c r="F189" i="14"/>
  <c r="G189" i="14" s="1"/>
  <c r="B141" i="9" s="1"/>
  <c r="F190" i="14"/>
  <c r="G190" i="14" s="1"/>
  <c r="B142" i="9" s="1"/>
  <c r="F191" i="14"/>
  <c r="G191" i="14" s="1"/>
  <c r="B144" i="9" s="1"/>
  <c r="F192" i="14"/>
  <c r="G192" i="14" s="1"/>
  <c r="B147" i="9" s="1"/>
  <c r="F193" i="14"/>
  <c r="G193" i="14" s="1"/>
  <c r="B148" i="9" s="1"/>
  <c r="F194" i="14"/>
  <c r="G194" i="14" s="1"/>
  <c r="B149" i="9" s="1"/>
  <c r="F195" i="14"/>
  <c r="G195" i="14" s="1"/>
  <c r="B150" i="9" s="1"/>
  <c r="F196" i="14"/>
  <c r="G196" i="14" s="1"/>
  <c r="B153" i="9" s="1"/>
  <c r="F197" i="14"/>
  <c r="G197" i="14" s="1"/>
  <c r="B154" i="9" s="1"/>
  <c r="F198" i="14"/>
  <c r="G198" i="14" s="1"/>
  <c r="B155" i="9" s="1"/>
  <c r="F199" i="14"/>
  <c r="G199" i="14" s="1"/>
  <c r="B156" i="9" s="1"/>
  <c r="F200" i="14"/>
  <c r="G200" i="14" s="1"/>
  <c r="B158" i="9" s="1"/>
  <c r="F201" i="14"/>
  <c r="G201" i="14" s="1"/>
  <c r="B159" i="9" s="1"/>
  <c r="F202" i="14"/>
  <c r="G202" i="14" s="1"/>
  <c r="B160" i="9" s="1"/>
  <c r="F203" i="14"/>
  <c r="G203" i="14" s="1"/>
  <c r="B161" i="9" s="1"/>
  <c r="F204" i="14"/>
  <c r="G204" i="14" s="1"/>
  <c r="B162" i="9" s="1"/>
  <c r="F205" i="14"/>
  <c r="G205" i="14" s="1"/>
  <c r="B163" i="9" s="1"/>
  <c r="F206" i="14"/>
  <c r="G206" i="14" s="1"/>
  <c r="B164" i="9" s="1"/>
  <c r="F207" i="14"/>
  <c r="G207" i="14" s="1"/>
  <c r="B166" i="9" s="1"/>
  <c r="F208" i="14"/>
  <c r="G208" i="14" s="1"/>
  <c r="B167" i="9" s="1"/>
  <c r="F209" i="14"/>
  <c r="G209" i="14" s="1"/>
  <c r="B169" i="9" s="1"/>
  <c r="F210" i="14"/>
  <c r="G210" i="14" s="1"/>
  <c r="B170" i="9" s="1"/>
  <c r="F211" i="14"/>
  <c r="G211" i="14" s="1"/>
  <c r="B171" i="9" s="1"/>
  <c r="F212" i="14"/>
  <c r="G212" i="14" s="1"/>
  <c r="B172" i="9" s="1"/>
  <c r="F213" i="14"/>
  <c r="G213" i="14" s="1"/>
  <c r="B173" i="9" s="1"/>
  <c r="F214" i="14"/>
  <c r="G214" i="14" s="1"/>
  <c r="B174" i="9" s="1"/>
  <c r="F215" i="14"/>
  <c r="G215" i="14" s="1"/>
  <c r="B175" i="9" s="1"/>
  <c r="F216" i="14"/>
  <c r="G216" i="14" s="1"/>
  <c r="B179" i="9" s="1"/>
  <c r="F217" i="14"/>
  <c r="G217" i="14" s="1"/>
  <c r="B180" i="9" s="1"/>
  <c r="F218" i="14"/>
  <c r="G218" i="14" s="1"/>
  <c r="B183" i="9" s="1"/>
  <c r="F219" i="14"/>
  <c r="G219" i="14" s="1"/>
  <c r="B208" i="9" s="1"/>
  <c r="F220" i="14"/>
  <c r="G220" i="14" s="1"/>
  <c r="B220" i="9" s="1"/>
  <c r="F221" i="14"/>
  <c r="G221" i="14" s="1"/>
  <c r="B225" i="9" s="1"/>
  <c r="F222" i="14"/>
  <c r="G222" i="14" s="1"/>
  <c r="B229" i="9" s="1"/>
  <c r="F223" i="14"/>
  <c r="G223" i="14" s="1"/>
  <c r="B234" i="9" s="1"/>
  <c r="F224" i="14"/>
  <c r="G224" i="14" s="1"/>
  <c r="B241" i="9" s="1"/>
  <c r="F225" i="14"/>
  <c r="G225" i="14" s="1"/>
  <c r="B246" i="9" s="1"/>
  <c r="F226" i="14"/>
  <c r="G226" i="14" s="1"/>
  <c r="B249" i="9" s="1"/>
  <c r="F227" i="14"/>
  <c r="G227" i="14" s="1"/>
  <c r="B250" i="9" s="1"/>
  <c r="F228" i="14"/>
  <c r="G228" i="14" s="1"/>
  <c r="B255" i="9" s="1"/>
  <c r="C21" i="9"/>
  <c r="C3" i="13"/>
  <c r="C4" i="9" s="1"/>
  <c r="C4" i="13"/>
  <c r="C5" i="9" s="1"/>
  <c r="C5" i="13"/>
  <c r="C6" i="9" s="1"/>
  <c r="C6" i="13"/>
  <c r="C7" i="9" s="1"/>
  <c r="C7" i="13"/>
  <c r="C8" i="9" s="1"/>
  <c r="C8" i="13"/>
  <c r="C9" i="9" s="1"/>
  <c r="C9" i="13"/>
  <c r="C10" i="9" s="1"/>
  <c r="C10" i="13"/>
  <c r="C11" i="9" s="1"/>
  <c r="C11" i="13"/>
  <c r="C12" i="9" s="1"/>
  <c r="C12" i="13"/>
  <c r="C13" i="9" s="1"/>
  <c r="C13" i="13"/>
  <c r="C14" i="9" s="1"/>
  <c r="C14" i="13"/>
  <c r="C15" i="9" s="1"/>
  <c r="C15" i="13"/>
  <c r="C16" i="9" s="1"/>
  <c r="C16" i="13"/>
  <c r="C17" i="9" s="1"/>
  <c r="C17" i="13"/>
  <c r="C18" i="9" s="1"/>
  <c r="C18" i="13"/>
  <c r="C19" i="9" s="1"/>
  <c r="C19" i="13"/>
  <c r="C20" i="9" s="1"/>
  <c r="C20" i="13"/>
  <c r="C21" i="13"/>
  <c r="C22" i="9" s="1"/>
  <c r="C22" i="13"/>
  <c r="C23" i="9" s="1"/>
  <c r="C23" i="13"/>
  <c r="C24" i="9" s="1"/>
  <c r="C24" i="13"/>
  <c r="C25" i="9" s="1"/>
  <c r="C25" i="13"/>
  <c r="C26" i="9" s="1"/>
  <c r="C26" i="13"/>
  <c r="C27" i="9" s="1"/>
  <c r="C27" i="13"/>
  <c r="C28" i="9" s="1"/>
  <c r="C28" i="13"/>
  <c r="C29" i="9" s="1"/>
  <c r="C29" i="13"/>
  <c r="C30" i="9" s="1"/>
  <c r="C30" i="13"/>
  <c r="C31" i="9" s="1"/>
  <c r="C31" i="13"/>
  <c r="C32" i="9" s="1"/>
  <c r="C32" i="13"/>
  <c r="C33" i="9" s="1"/>
  <c r="C33" i="13"/>
  <c r="C34" i="9" s="1"/>
  <c r="C34" i="13"/>
  <c r="C35" i="9" s="1"/>
  <c r="C35" i="13"/>
  <c r="C36" i="9" s="1"/>
  <c r="C36" i="13"/>
  <c r="C37" i="9" s="1"/>
  <c r="C37" i="13"/>
  <c r="C38" i="9" s="1"/>
  <c r="C38" i="13"/>
  <c r="C39" i="9" s="1"/>
  <c r="C39" i="13"/>
  <c r="C40" i="9" s="1"/>
  <c r="C40" i="13"/>
  <c r="C41" i="9" s="1"/>
  <c r="C41" i="13"/>
  <c r="C42" i="9" s="1"/>
  <c r="C42" i="13"/>
  <c r="C43" i="9" s="1"/>
  <c r="C43" i="13"/>
  <c r="C44" i="9" s="1"/>
  <c r="C44" i="13"/>
  <c r="C45" i="9" s="1"/>
  <c r="C45" i="13"/>
  <c r="C46" i="9" s="1"/>
  <c r="C46" i="13"/>
  <c r="C47" i="9" s="1"/>
  <c r="C47" i="13"/>
  <c r="C48" i="9" s="1"/>
  <c r="C48" i="13"/>
  <c r="C49" i="9" s="1"/>
  <c r="C49" i="13"/>
  <c r="C50" i="9" s="1"/>
  <c r="C50" i="13"/>
  <c r="C51" i="9" s="1"/>
  <c r="C51" i="13"/>
  <c r="C52" i="9" s="1"/>
  <c r="C52" i="13"/>
  <c r="C53" i="9" s="1"/>
  <c r="C53" i="13"/>
  <c r="C54" i="9" s="1"/>
  <c r="C54" i="13"/>
  <c r="C55" i="9" s="1"/>
  <c r="C55" i="13"/>
  <c r="C56" i="9" s="1"/>
  <c r="C56" i="13"/>
  <c r="C57" i="9" s="1"/>
  <c r="C57" i="13"/>
  <c r="C58" i="9" s="1"/>
  <c r="C58" i="13"/>
  <c r="C59" i="9" s="1"/>
  <c r="C59" i="13"/>
  <c r="C60" i="9" s="1"/>
  <c r="C60" i="13"/>
  <c r="C61" i="9" s="1"/>
  <c r="C61" i="13"/>
  <c r="C62" i="9" s="1"/>
  <c r="C62" i="13"/>
  <c r="C63" i="9" s="1"/>
  <c r="C63" i="13"/>
  <c r="C64" i="9" s="1"/>
  <c r="C64" i="13"/>
  <c r="C65" i="9" s="1"/>
  <c r="C65" i="13"/>
  <c r="C66" i="9" s="1"/>
  <c r="C66" i="13"/>
  <c r="C67" i="9" s="1"/>
  <c r="C67" i="13"/>
  <c r="C68" i="9" s="1"/>
  <c r="C68" i="13"/>
  <c r="C69" i="9" s="1"/>
  <c r="C69" i="13"/>
  <c r="C70" i="9" s="1"/>
  <c r="C70" i="13"/>
  <c r="C71" i="9" s="1"/>
  <c r="C71" i="13"/>
  <c r="C72" i="9" s="1"/>
  <c r="C72" i="13"/>
  <c r="C73" i="9" s="1"/>
  <c r="C73" i="13"/>
  <c r="C74" i="9" s="1"/>
  <c r="C74" i="13"/>
  <c r="C75" i="9" s="1"/>
  <c r="C75" i="13"/>
  <c r="C76" i="9" s="1"/>
  <c r="C76" i="13"/>
  <c r="C77" i="9" s="1"/>
  <c r="C77" i="13"/>
  <c r="C78" i="9" s="1"/>
  <c r="C78" i="13"/>
  <c r="C79" i="9" s="1"/>
  <c r="C79" i="13"/>
  <c r="C80" i="9" s="1"/>
  <c r="C80" i="13"/>
  <c r="C81" i="9" s="1"/>
  <c r="C81" i="13"/>
  <c r="C82" i="9" s="1"/>
  <c r="C82" i="13"/>
  <c r="C83" i="9" s="1"/>
  <c r="C83" i="13"/>
  <c r="C84" i="9" s="1"/>
  <c r="C84" i="13"/>
  <c r="C85" i="9" s="1"/>
  <c r="C85" i="13"/>
  <c r="C86" i="9" s="1"/>
  <c r="C86" i="13"/>
  <c r="C87" i="9" s="1"/>
  <c r="C87" i="13"/>
  <c r="C88" i="9" s="1"/>
  <c r="C88" i="13"/>
  <c r="C89" i="9" s="1"/>
  <c r="C89" i="13"/>
  <c r="C90" i="9" s="1"/>
  <c r="C90" i="13"/>
  <c r="C91" i="9" s="1"/>
  <c r="C91" i="13"/>
  <c r="C92" i="9" s="1"/>
  <c r="C92" i="13"/>
  <c r="C93" i="9" s="1"/>
  <c r="C93" i="13"/>
  <c r="C94" i="9" s="1"/>
  <c r="C94" i="13"/>
  <c r="C95" i="9" s="1"/>
  <c r="C95" i="13"/>
  <c r="C96" i="9" s="1"/>
  <c r="C96" i="13"/>
  <c r="C97" i="9" s="1"/>
  <c r="C97" i="13"/>
  <c r="C98" i="9" s="1"/>
  <c r="C98" i="13"/>
  <c r="C99" i="9" s="1"/>
  <c r="C99" i="13"/>
  <c r="C100" i="9" s="1"/>
  <c r="C100" i="13"/>
  <c r="C101" i="9" s="1"/>
  <c r="C101" i="13"/>
  <c r="C102" i="9" s="1"/>
  <c r="C102" i="13"/>
  <c r="C103" i="9" s="1"/>
  <c r="C103" i="13"/>
  <c r="C104" i="9" s="1"/>
  <c r="C104" i="13"/>
  <c r="C105" i="9" s="1"/>
  <c r="C105" i="13"/>
  <c r="C106" i="9" s="1"/>
  <c r="C106" i="13"/>
  <c r="C107" i="9" s="1"/>
  <c r="C107" i="13"/>
  <c r="C108" i="9" s="1"/>
  <c r="C108" i="13"/>
  <c r="C109" i="9" s="1"/>
  <c r="C109" i="13"/>
  <c r="C110" i="9" s="1"/>
  <c r="C110" i="13"/>
  <c r="C111" i="9" s="1"/>
  <c r="C111" i="13"/>
  <c r="C112" i="9" s="1"/>
  <c r="C112" i="13"/>
  <c r="C113" i="9" s="1"/>
  <c r="C113" i="13"/>
  <c r="C114" i="9" s="1"/>
  <c r="C114" i="13"/>
  <c r="C115" i="9" s="1"/>
  <c r="C115" i="13"/>
  <c r="C116" i="9" s="1"/>
  <c r="C116" i="13"/>
  <c r="C117" i="9" s="1"/>
  <c r="C117" i="13"/>
  <c r="C118" i="9" s="1"/>
  <c r="C118" i="13"/>
  <c r="C119" i="9" s="1"/>
  <c r="C119" i="13"/>
  <c r="C120" i="9" s="1"/>
  <c r="C120" i="13"/>
  <c r="C121" i="9" s="1"/>
  <c r="C121" i="13"/>
  <c r="C122" i="9" s="1"/>
  <c r="C122" i="13"/>
  <c r="C123" i="9" s="1"/>
  <c r="C123" i="13"/>
  <c r="C124" i="9" s="1"/>
  <c r="C124" i="13"/>
  <c r="C125" i="9" s="1"/>
  <c r="C125" i="13"/>
  <c r="C126" i="9" s="1"/>
  <c r="C126" i="13"/>
  <c r="C127" i="9" s="1"/>
  <c r="C127" i="13"/>
  <c r="C128" i="9" s="1"/>
  <c r="C128" i="13"/>
  <c r="C129" i="9" s="1"/>
  <c r="C129" i="13"/>
  <c r="C130" i="9" s="1"/>
  <c r="C130" i="13"/>
  <c r="C131" i="9" s="1"/>
  <c r="C131" i="13"/>
  <c r="C132" i="9" s="1"/>
  <c r="C132" i="13"/>
  <c r="C133" i="9" s="1"/>
  <c r="C133" i="13"/>
  <c r="C134" i="9" s="1"/>
  <c r="C134" i="13"/>
  <c r="C135" i="9" s="1"/>
  <c r="C135" i="13"/>
  <c r="C136" i="9" s="1"/>
  <c r="C136" i="13"/>
  <c r="C137" i="9" s="1"/>
  <c r="C137" i="13"/>
  <c r="C138" i="9" s="1"/>
  <c r="C138" i="13"/>
  <c r="C139" i="9" s="1"/>
  <c r="C139" i="13"/>
  <c r="C140" i="9" s="1"/>
  <c r="C140" i="13"/>
  <c r="C141" i="9" s="1"/>
  <c r="C141" i="13"/>
  <c r="C142" i="9" s="1"/>
  <c r="C142" i="13"/>
  <c r="C143" i="9" s="1"/>
  <c r="C143" i="13"/>
  <c r="C144" i="9" s="1"/>
  <c r="C144" i="13"/>
  <c r="C145" i="9" s="1"/>
  <c r="C145" i="13"/>
  <c r="C146" i="9" s="1"/>
  <c r="C146" i="13"/>
  <c r="C147" i="9" s="1"/>
  <c r="C147" i="13"/>
  <c r="C148" i="9" s="1"/>
  <c r="C148" i="13"/>
  <c r="C149" i="9" s="1"/>
  <c r="C149" i="13"/>
  <c r="C150" i="9" s="1"/>
  <c r="C150" i="13"/>
  <c r="C151" i="9" s="1"/>
  <c r="C151" i="13"/>
  <c r="C152" i="9" s="1"/>
  <c r="C152" i="13"/>
  <c r="C153" i="9" s="1"/>
  <c r="C153" i="13"/>
  <c r="C154" i="9" s="1"/>
  <c r="C154" i="13"/>
  <c r="C155" i="9" s="1"/>
  <c r="C155" i="13"/>
  <c r="C156" i="9" s="1"/>
  <c r="C156" i="13"/>
  <c r="C157" i="9" s="1"/>
  <c r="C157" i="13"/>
  <c r="C158" i="9" s="1"/>
  <c r="C158" i="13"/>
  <c r="C159" i="9" s="1"/>
  <c r="C159" i="13"/>
  <c r="C160" i="9" s="1"/>
  <c r="C160" i="13"/>
  <c r="C161" i="9" s="1"/>
  <c r="C161" i="13"/>
  <c r="C162" i="9" s="1"/>
  <c r="C162" i="13"/>
  <c r="C163" i="9" s="1"/>
  <c r="C163" i="13"/>
  <c r="C164" i="9" s="1"/>
  <c r="C164" i="13"/>
  <c r="C165" i="9" s="1"/>
  <c r="C165" i="13"/>
  <c r="C166" i="9" s="1"/>
  <c r="C166" i="13"/>
  <c r="C167" i="9" s="1"/>
  <c r="C167" i="13"/>
  <c r="C168" i="9" s="1"/>
  <c r="C168" i="13"/>
  <c r="C169" i="9" s="1"/>
  <c r="C169" i="13"/>
  <c r="C170" i="9" s="1"/>
  <c r="C170" i="13"/>
  <c r="C171" i="9" s="1"/>
  <c r="C171" i="13"/>
  <c r="C172" i="9" s="1"/>
  <c r="C172" i="13"/>
  <c r="C173" i="9" s="1"/>
  <c r="C173" i="13"/>
  <c r="C174" i="9" s="1"/>
  <c r="C174" i="13"/>
  <c r="C175" i="9" s="1"/>
  <c r="C175" i="13"/>
  <c r="C176" i="9" s="1"/>
  <c r="C176" i="13"/>
  <c r="C177" i="9" s="1"/>
  <c r="C177" i="13"/>
  <c r="C178" i="9" s="1"/>
  <c r="C178" i="13"/>
  <c r="C179" i="9" s="1"/>
  <c r="C179" i="13"/>
  <c r="C180" i="9" s="1"/>
  <c r="C180" i="13"/>
  <c r="C181" i="9" s="1"/>
  <c r="C181" i="13"/>
  <c r="C182" i="9" s="1"/>
  <c r="C182" i="13"/>
  <c r="C183" i="9" s="1"/>
  <c r="C183" i="13"/>
  <c r="C184" i="9" s="1"/>
  <c r="C184" i="13"/>
  <c r="C185" i="9" s="1"/>
  <c r="C185" i="13"/>
  <c r="C186" i="9" s="1"/>
  <c r="C186" i="13"/>
  <c r="C187" i="9" s="1"/>
  <c r="C187" i="13"/>
  <c r="C188" i="9" s="1"/>
  <c r="C188" i="13"/>
  <c r="C189" i="9" s="1"/>
  <c r="C189" i="13"/>
  <c r="C190" i="9" s="1"/>
  <c r="C190" i="13"/>
  <c r="C191" i="9" s="1"/>
  <c r="C191" i="13"/>
  <c r="C192" i="9" s="1"/>
  <c r="C192" i="13"/>
  <c r="C193" i="9" s="1"/>
  <c r="C193" i="13"/>
  <c r="C194" i="9" s="1"/>
  <c r="C194" i="13"/>
  <c r="C195" i="9" s="1"/>
  <c r="C195" i="13"/>
  <c r="C196" i="9" s="1"/>
  <c r="C196" i="13"/>
  <c r="C197" i="9" s="1"/>
  <c r="C197" i="13"/>
  <c r="C198" i="9" s="1"/>
  <c r="C198" i="13"/>
  <c r="C199" i="9" s="1"/>
  <c r="C199" i="13"/>
  <c r="C200" i="9" s="1"/>
  <c r="C200" i="13"/>
  <c r="C201" i="9" s="1"/>
  <c r="C201" i="13"/>
  <c r="C202" i="9" s="1"/>
  <c r="C202" i="13"/>
  <c r="C203" i="9" s="1"/>
  <c r="C203" i="13"/>
  <c r="C204" i="9" s="1"/>
  <c r="C204" i="13"/>
  <c r="C205" i="9" s="1"/>
  <c r="C205" i="13"/>
  <c r="C206" i="9" s="1"/>
  <c r="C206" i="13"/>
  <c r="C207" i="9" s="1"/>
  <c r="C207" i="13"/>
  <c r="C208" i="9" s="1"/>
  <c r="C208" i="13"/>
  <c r="C209" i="9" s="1"/>
  <c r="C209" i="13"/>
  <c r="C210" i="9" s="1"/>
  <c r="C210" i="13"/>
  <c r="C211" i="9" s="1"/>
  <c r="C211" i="13"/>
  <c r="C212" i="9" s="1"/>
  <c r="C212" i="13"/>
  <c r="C213" i="9" s="1"/>
  <c r="C213" i="13"/>
  <c r="C214" i="9" s="1"/>
  <c r="C214" i="13"/>
  <c r="C215" i="9" s="1"/>
  <c r="C215" i="13"/>
  <c r="C216" i="9" s="1"/>
  <c r="C216" i="13"/>
  <c r="C217" i="9" s="1"/>
  <c r="C217" i="13"/>
  <c r="C218" i="9" s="1"/>
  <c r="C218" i="13"/>
  <c r="C219" i="9" s="1"/>
  <c r="C219" i="13"/>
  <c r="C220" i="9" s="1"/>
  <c r="C220" i="13"/>
  <c r="C221" i="9" s="1"/>
  <c r="C221" i="13"/>
  <c r="C222" i="9" s="1"/>
  <c r="C222" i="13"/>
  <c r="C223" i="9" s="1"/>
  <c r="C223" i="13"/>
  <c r="C224" i="9" s="1"/>
  <c r="C224" i="13"/>
  <c r="C225" i="9" s="1"/>
  <c r="C225" i="13"/>
  <c r="C226" i="9" s="1"/>
  <c r="C226" i="13"/>
  <c r="C227" i="9" s="1"/>
  <c r="C227" i="13"/>
  <c r="C228" i="9" s="1"/>
  <c r="C228" i="13"/>
  <c r="C229" i="9" s="1"/>
  <c r="C229" i="13"/>
  <c r="C230" i="9" s="1"/>
  <c r="C230" i="13"/>
  <c r="C231" i="9" s="1"/>
  <c r="C231" i="13"/>
  <c r="C232" i="9" s="1"/>
  <c r="C232" i="13"/>
  <c r="C233" i="9" s="1"/>
  <c r="C233" i="13"/>
  <c r="C234" i="9" s="1"/>
  <c r="C234" i="13"/>
  <c r="C235" i="9" s="1"/>
  <c r="C235" i="13"/>
  <c r="C236" i="9" s="1"/>
  <c r="C236" i="13"/>
  <c r="C237" i="9" s="1"/>
  <c r="C237" i="13"/>
  <c r="C238" i="9" s="1"/>
  <c r="C238" i="13"/>
  <c r="C239" i="9" s="1"/>
  <c r="C239" i="13"/>
  <c r="C240" i="9" s="1"/>
  <c r="C240" i="13"/>
  <c r="C241" i="9" s="1"/>
  <c r="C241" i="13"/>
  <c r="C242" i="9" s="1"/>
  <c r="C242" i="13"/>
  <c r="C243" i="9" s="1"/>
  <c r="C243" i="13"/>
  <c r="C244" i="9" s="1"/>
  <c r="C244" i="13"/>
  <c r="C245" i="9" s="1"/>
  <c r="C245" i="13"/>
  <c r="C246" i="9" s="1"/>
  <c r="C246" i="13"/>
  <c r="C247" i="9" s="1"/>
  <c r="C247" i="13"/>
  <c r="C248" i="9" s="1"/>
  <c r="C248" i="13"/>
  <c r="C249" i="9" s="1"/>
  <c r="C249" i="13"/>
  <c r="C250" i="9" s="1"/>
  <c r="C250" i="13"/>
  <c r="C251" i="9" s="1"/>
  <c r="C251" i="13"/>
  <c r="C252" i="9" s="1"/>
  <c r="C252" i="13"/>
  <c r="C253" i="9" s="1"/>
  <c r="C253" i="13"/>
  <c r="C254" i="9" s="1"/>
  <c r="C254" i="13"/>
  <c r="C255" i="9" s="1"/>
  <c r="C255" i="13"/>
  <c r="C256" i="9" s="1"/>
  <c r="C256" i="13"/>
  <c r="C257" i="9" s="1"/>
  <c r="C2" i="13"/>
  <c r="C3" i="9" s="1"/>
  <c r="E2"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D106" i="9"/>
  <c r="BB12" i="12"/>
  <c r="D218" i="9" s="1"/>
  <c r="BB21" i="12"/>
  <c r="D54" i="9" s="1"/>
  <c r="BB55" i="12"/>
  <c r="D138" i="9" s="1"/>
  <c r="BB108" i="12"/>
  <c r="D74" i="9" s="1"/>
  <c r="BB164" i="12"/>
  <c r="D244" i="9" s="1"/>
  <c r="BB181" i="12"/>
  <c r="D194" i="9" s="1"/>
  <c r="BA5" i="12"/>
  <c r="BB5" i="12" s="1"/>
  <c r="D233" i="9" s="1"/>
  <c r="BA6" i="12"/>
  <c r="BA7" i="12"/>
  <c r="BB7" i="12" s="1"/>
  <c r="D249" i="9" s="1"/>
  <c r="BA8" i="12"/>
  <c r="BB8" i="12" s="1"/>
  <c r="D243" i="9" s="1"/>
  <c r="BA9" i="12"/>
  <c r="BB9" i="12" s="1"/>
  <c r="D226" i="9" s="1"/>
  <c r="BA10" i="12"/>
  <c r="BB10" i="12" s="1"/>
  <c r="D220" i="9" s="1"/>
  <c r="BA11" i="12"/>
  <c r="BB11" i="12" s="1"/>
  <c r="D219" i="9" s="1"/>
  <c r="BA12" i="12"/>
  <c r="BA13" i="12"/>
  <c r="BB13" i="12" s="1"/>
  <c r="D221" i="9" s="1"/>
  <c r="BA14" i="12"/>
  <c r="BB14" i="12" s="1"/>
  <c r="D215" i="9" s="1"/>
  <c r="BA15" i="12"/>
  <c r="BB15" i="12" s="1"/>
  <c r="D7" i="9" s="1"/>
  <c r="BA16" i="12"/>
  <c r="BB16" i="12" s="1"/>
  <c r="D6" i="9" s="1"/>
  <c r="BA17" i="12"/>
  <c r="BB17" i="12" s="1"/>
  <c r="D12" i="9" s="1"/>
  <c r="BA18" i="12"/>
  <c r="BB18" i="12" s="1"/>
  <c r="D152" i="9" s="1"/>
  <c r="BA19" i="12"/>
  <c r="BB19" i="12" s="1"/>
  <c r="D89" i="9" s="1"/>
  <c r="BA20" i="12"/>
  <c r="BB20" i="12" s="1"/>
  <c r="D61" i="9" s="1"/>
  <c r="BA21" i="12"/>
  <c r="BA22" i="12"/>
  <c r="BB22" i="12" s="1"/>
  <c r="D186" i="9" s="1"/>
  <c r="BA23" i="12"/>
  <c r="BB23" i="12" s="1"/>
  <c r="D181" i="9" s="1"/>
  <c r="BA24" i="12"/>
  <c r="BB24" i="12" s="1"/>
  <c r="D178" i="9" s="1"/>
  <c r="BA25" i="12"/>
  <c r="BB25" i="12" s="1"/>
  <c r="D168" i="9" s="1"/>
  <c r="BA26" i="12"/>
  <c r="BB26" i="12" s="1"/>
  <c r="D166" i="9" s="1"/>
  <c r="BA27" i="12"/>
  <c r="BB27" i="12" s="1"/>
  <c r="D180" i="9" s="1"/>
  <c r="BA28" i="12"/>
  <c r="BB28" i="12" s="1"/>
  <c r="D179" i="9" s="1"/>
  <c r="BA29" i="12"/>
  <c r="BB29" i="12" s="1"/>
  <c r="D171" i="9" s="1"/>
  <c r="BA30" i="12"/>
  <c r="BB30" i="12" s="1"/>
  <c r="D169" i="9" s="1"/>
  <c r="BA31" i="12"/>
  <c r="BB31" i="12" s="1"/>
  <c r="D170" i="9" s="1"/>
  <c r="BA32" i="12"/>
  <c r="BB32" i="12" s="1"/>
  <c r="D174" i="9" s="1"/>
  <c r="BA33" i="12"/>
  <c r="BB33" i="12" s="1"/>
  <c r="D173" i="9" s="1"/>
  <c r="BA34" i="12"/>
  <c r="BB34" i="12" s="1"/>
  <c r="D175" i="9" s="1"/>
  <c r="BA35" i="12"/>
  <c r="BB35" i="12" s="1"/>
  <c r="D172" i="9" s="1"/>
  <c r="BA36" i="12"/>
  <c r="BB36" i="12" s="1"/>
  <c r="D167" i="9" s="1"/>
  <c r="BA37" i="12"/>
  <c r="BB37" i="12" s="1"/>
  <c r="D164" i="9" s="1"/>
  <c r="BA38" i="12"/>
  <c r="BB38" i="12" s="1"/>
  <c r="D163" i="9" s="1"/>
  <c r="BA39" i="12"/>
  <c r="BB39" i="12" s="1"/>
  <c r="D156" i="9" s="1"/>
  <c r="BA40" i="12"/>
  <c r="BB40" i="12" s="1"/>
  <c r="D162" i="9" s="1"/>
  <c r="BA41" i="12"/>
  <c r="BB41" i="12" s="1"/>
  <c r="D150" i="9" s="1"/>
  <c r="BA42" i="12"/>
  <c r="BB42" i="12" s="1"/>
  <c r="D161" i="9" s="1"/>
  <c r="BA43" i="12"/>
  <c r="BB43" i="12" s="1"/>
  <c r="D160" i="9" s="1"/>
  <c r="BA44" i="12"/>
  <c r="BB44" i="12" s="1"/>
  <c r="D159" i="9" s="1"/>
  <c r="BA45" i="12"/>
  <c r="BB45" i="12" s="1"/>
  <c r="D149" i="9" s="1"/>
  <c r="BA46" i="12"/>
  <c r="BB46" i="12" s="1"/>
  <c r="D148" i="9" s="1"/>
  <c r="BA47" i="12"/>
  <c r="BB47" i="12" s="1"/>
  <c r="D155" i="9" s="1"/>
  <c r="BA48" i="12"/>
  <c r="BB48" i="12" s="1"/>
  <c r="D145" i="9" s="1"/>
  <c r="BA49" i="12"/>
  <c r="BB49" i="12" s="1"/>
  <c r="D101" i="9" s="1"/>
  <c r="BA50" i="12"/>
  <c r="BB50" i="12" s="1"/>
  <c r="D147" i="9" s="1"/>
  <c r="BA51" i="12"/>
  <c r="BB51" i="12" s="1"/>
  <c r="D144" i="9" s="1"/>
  <c r="BA52" i="12"/>
  <c r="BB52" i="12" s="1"/>
  <c r="D142" i="9" s="1"/>
  <c r="BA53" i="12"/>
  <c r="BB53" i="12" s="1"/>
  <c r="D141" i="9" s="1"/>
  <c r="BA54" i="12"/>
  <c r="BB54" i="12" s="1"/>
  <c r="D140" i="9" s="1"/>
  <c r="BA55" i="12"/>
  <c r="BA56" i="12"/>
  <c r="BB56" i="12" s="1"/>
  <c r="D137" i="9" s="1"/>
  <c r="BA57" i="12"/>
  <c r="BB57" i="12" s="1"/>
  <c r="D135" i="9" s="1"/>
  <c r="BA58" i="12"/>
  <c r="BB58" i="12" s="1"/>
  <c r="D134" i="9" s="1"/>
  <c r="BA59" i="12"/>
  <c r="BB59" i="12" s="1"/>
  <c r="D133" i="9" s="1"/>
  <c r="BA60" i="12"/>
  <c r="BB60" i="12" s="1"/>
  <c r="D131" i="9" s="1"/>
  <c r="BA61" i="12"/>
  <c r="BB61" i="12" s="1"/>
  <c r="D125" i="9" s="1"/>
  <c r="BA62" i="12"/>
  <c r="BB62" i="12" s="1"/>
  <c r="D130" i="9" s="1"/>
  <c r="BA63" i="12"/>
  <c r="BB63" i="12" s="1"/>
  <c r="D129" i="9" s="1"/>
  <c r="BA64" i="12"/>
  <c r="BB64" i="12" s="1"/>
  <c r="D123" i="9" s="1"/>
  <c r="BA65" i="12"/>
  <c r="BB65" i="12" s="1"/>
  <c r="D121" i="9" s="1"/>
  <c r="BA66" i="12"/>
  <c r="BB66" i="12" s="1"/>
  <c r="D127" i="9" s="1"/>
  <c r="BA67" i="12"/>
  <c r="BB67" i="12" s="1"/>
  <c r="D126" i="9" s="1"/>
  <c r="BA68" i="12"/>
  <c r="BB68" i="12" s="1"/>
  <c r="D122" i="9" s="1"/>
  <c r="BA69" i="12"/>
  <c r="BB69" i="12" s="1"/>
  <c r="D119" i="9" s="1"/>
  <c r="BA70" i="12"/>
  <c r="BB70" i="12" s="1"/>
  <c r="D117" i="9" s="1"/>
  <c r="BA71" i="12"/>
  <c r="BB71" i="12" s="1"/>
  <c r="D128" i="9" s="1"/>
  <c r="BA72" i="12"/>
  <c r="BB72" i="12" s="1"/>
  <c r="D116" i="9" s="1"/>
  <c r="BA73" i="12"/>
  <c r="BB73" i="12" s="1"/>
  <c r="D120" i="9" s="1"/>
  <c r="BA74" i="12"/>
  <c r="BB74" i="12" s="1"/>
  <c r="D118" i="9" s="1"/>
  <c r="BA75" i="12"/>
  <c r="BB75" i="12" s="1"/>
  <c r="D124" i="9" s="1"/>
  <c r="BA76" i="12"/>
  <c r="BB76" i="12" s="1"/>
  <c r="D115" i="9" s="1"/>
  <c r="BA77" i="12"/>
  <c r="BB77" i="12" s="1"/>
  <c r="D112" i="9" s="1"/>
  <c r="BA78" i="12"/>
  <c r="BB78" i="12" s="1"/>
  <c r="D111" i="9" s="1"/>
  <c r="BA79" i="12"/>
  <c r="BB79" i="12" s="1"/>
  <c r="D110" i="9" s="1"/>
  <c r="BA80" i="12"/>
  <c r="BB80" i="12" s="1"/>
  <c r="D108" i="9" s="1"/>
  <c r="BA81" i="12"/>
  <c r="BB81" i="12" s="1"/>
  <c r="BA82" i="12"/>
  <c r="BB82" i="12" s="1"/>
  <c r="D104" i="9" s="1"/>
  <c r="BA83" i="12"/>
  <c r="BB83" i="12" s="1"/>
  <c r="D105" i="9" s="1"/>
  <c r="BA84" i="12"/>
  <c r="BB84" i="12" s="1"/>
  <c r="D103" i="9" s="1"/>
  <c r="BA85" i="12"/>
  <c r="BB85" i="12" s="1"/>
  <c r="D102" i="9" s="1"/>
  <c r="BA86" i="12"/>
  <c r="BB86" i="12" s="1"/>
  <c r="D100" i="9" s="1"/>
  <c r="BA87" i="12"/>
  <c r="BB87" i="12" s="1"/>
  <c r="D99" i="9" s="1"/>
  <c r="BA88" i="12"/>
  <c r="BB88" i="12" s="1"/>
  <c r="D97" i="9" s="1"/>
  <c r="BA89" i="12"/>
  <c r="BB89" i="12" s="1"/>
  <c r="D96" i="9" s="1"/>
  <c r="BA90" i="12"/>
  <c r="BB90" i="12" s="1"/>
  <c r="D94" i="9" s="1"/>
  <c r="BA91" i="12"/>
  <c r="BB91" i="12" s="1"/>
  <c r="D98" i="9" s="1"/>
  <c r="BA92" i="12"/>
  <c r="BB92" i="12" s="1"/>
  <c r="D95" i="9" s="1"/>
  <c r="BA93" i="12"/>
  <c r="BB93" i="12" s="1"/>
  <c r="D92" i="9" s="1"/>
  <c r="BA94" i="12"/>
  <c r="BB94" i="12" s="1"/>
  <c r="D91" i="9" s="1"/>
  <c r="BA95" i="12"/>
  <c r="BB95" i="12" s="1"/>
  <c r="D90" i="9" s="1"/>
  <c r="BA96" i="12"/>
  <c r="BB96" i="12" s="1"/>
  <c r="D87" i="9" s="1"/>
  <c r="BA97" i="12"/>
  <c r="BB97" i="12" s="1"/>
  <c r="D85" i="9" s="1"/>
  <c r="BA98" i="12"/>
  <c r="BB98" i="12" s="1"/>
  <c r="D84" i="9" s="1"/>
  <c r="BA99" i="12"/>
  <c r="BB99" i="12" s="1"/>
  <c r="D83" i="9" s="1"/>
  <c r="BA100" i="12"/>
  <c r="BB100" i="12" s="1"/>
  <c r="D82" i="9" s="1"/>
  <c r="BA101" i="12"/>
  <c r="BB101" i="12" s="1"/>
  <c r="D81" i="9" s="1"/>
  <c r="BA102" i="12"/>
  <c r="BB102" i="12" s="1"/>
  <c r="D79" i="9" s="1"/>
  <c r="BA103" i="12"/>
  <c r="BB103" i="12" s="1"/>
  <c r="D80" i="9" s="1"/>
  <c r="BA104" i="12"/>
  <c r="BB104" i="12" s="1"/>
  <c r="D78" i="9" s="1"/>
  <c r="BA105" i="12"/>
  <c r="BB105" i="12" s="1"/>
  <c r="D77" i="9" s="1"/>
  <c r="BA106" i="12"/>
  <c r="BB106" i="12" s="1"/>
  <c r="D76" i="9" s="1"/>
  <c r="BA107" i="12"/>
  <c r="BB107" i="12" s="1"/>
  <c r="D75" i="9" s="1"/>
  <c r="BA108" i="12"/>
  <c r="BA109" i="12"/>
  <c r="BB109" i="12" s="1"/>
  <c r="D72" i="9" s="1"/>
  <c r="BA110" i="12"/>
  <c r="BB110" i="12" s="1"/>
  <c r="D73" i="9" s="1"/>
  <c r="BA111" i="12"/>
  <c r="BB111" i="12" s="1"/>
  <c r="D69" i="9" s="1"/>
  <c r="BA112" i="12"/>
  <c r="BB112" i="12" s="1"/>
  <c r="D68" i="9" s="1"/>
  <c r="BA113" i="12"/>
  <c r="BB113" i="12" s="1"/>
  <c r="D71" i="9" s="1"/>
  <c r="BA114" i="12"/>
  <c r="BB114" i="12" s="1"/>
  <c r="D70" i="9" s="1"/>
  <c r="BA115" i="12"/>
  <c r="BB115" i="12" s="1"/>
  <c r="D67" i="9" s="1"/>
  <c r="BA116" i="12"/>
  <c r="BB116" i="12" s="1"/>
  <c r="D66" i="9" s="1"/>
  <c r="BA117" i="12"/>
  <c r="BB117" i="12" s="1"/>
  <c r="D65" i="9" s="1"/>
  <c r="BA118" i="12"/>
  <c r="BB118" i="12" s="1"/>
  <c r="D64" i="9" s="1"/>
  <c r="BA119" i="12"/>
  <c r="BB119" i="12" s="1"/>
  <c r="D63" i="9" s="1"/>
  <c r="BA120" i="12"/>
  <c r="BB120" i="12" s="1"/>
  <c r="D62" i="9" s="1"/>
  <c r="BA121" i="12"/>
  <c r="BB121" i="12" s="1"/>
  <c r="D59" i="9" s="1"/>
  <c r="BA122" i="12"/>
  <c r="BB122" i="12" s="1"/>
  <c r="D53" i="9" s="1"/>
  <c r="BA123" i="12"/>
  <c r="BB123" i="12" s="1"/>
  <c r="D52" i="9" s="1"/>
  <c r="BA124" i="12"/>
  <c r="BB124" i="12" s="1"/>
  <c r="D48" i="9" s="1"/>
  <c r="BA125" i="12"/>
  <c r="BB125" i="12" s="1"/>
  <c r="D44" i="9" s="1"/>
  <c r="BA126" i="12"/>
  <c r="BB126" i="12" s="1"/>
  <c r="D42" i="9" s="1"/>
  <c r="BA127" i="12"/>
  <c r="BB127" i="12" s="1"/>
  <c r="D41" i="9" s="1"/>
  <c r="BA128" i="12"/>
  <c r="BB128" i="12" s="1"/>
  <c r="D40" i="9" s="1"/>
  <c r="BA129" i="12"/>
  <c r="BB129" i="12" s="1"/>
  <c r="D39" i="9" s="1"/>
  <c r="BA130" i="12"/>
  <c r="BB130" i="12" s="1"/>
  <c r="D38" i="9" s="1"/>
  <c r="BA131" i="12"/>
  <c r="BB131" i="12" s="1"/>
  <c r="D37" i="9" s="1"/>
  <c r="BA132" i="12"/>
  <c r="BB132" i="12" s="1"/>
  <c r="D36" i="9" s="1"/>
  <c r="BA133" i="12"/>
  <c r="BB133" i="12" s="1"/>
  <c r="D35" i="9" s="1"/>
  <c r="BA134" i="12"/>
  <c r="BB134" i="12" s="1"/>
  <c r="D34" i="9" s="1"/>
  <c r="BA135" i="12"/>
  <c r="BB135" i="12" s="1"/>
  <c r="D33" i="9" s="1"/>
  <c r="BA136" i="12"/>
  <c r="BB136" i="12" s="1"/>
  <c r="D32" i="9" s="1"/>
  <c r="BA137" i="12"/>
  <c r="BB137" i="12" s="1"/>
  <c r="D29" i="9" s="1"/>
  <c r="BA138" i="12"/>
  <c r="BB138" i="12" s="1"/>
  <c r="D28" i="9" s="1"/>
  <c r="BA139" i="12"/>
  <c r="BB139" i="12" s="1"/>
  <c r="D31" i="9" s="1"/>
  <c r="BA140" i="12"/>
  <c r="BB140" i="12" s="1"/>
  <c r="D30" i="9" s="1"/>
  <c r="BA141" i="12"/>
  <c r="BB141" i="12" s="1"/>
  <c r="D25" i="9" s="1"/>
  <c r="BA142" i="12"/>
  <c r="BB142" i="12" s="1"/>
  <c r="D22" i="9" s="1"/>
  <c r="BA143" i="12"/>
  <c r="BB143" i="12" s="1"/>
  <c r="D51" i="9" s="1"/>
  <c r="BA144" i="12"/>
  <c r="BB144" i="12" s="1"/>
  <c r="D43" i="9" s="1"/>
  <c r="BA145" i="12"/>
  <c r="BB145" i="12" s="1"/>
  <c r="D238" i="9" s="1"/>
  <c r="BA146" i="12"/>
  <c r="BB146" i="12" s="1"/>
  <c r="D240" i="9" s="1"/>
  <c r="BA147" i="12"/>
  <c r="BB147" i="12" s="1"/>
  <c r="D235" i="9" s="1"/>
  <c r="BA148" i="12"/>
  <c r="BB148" i="12" s="1"/>
  <c r="D241" i="9" s="1"/>
  <c r="BA149" i="12"/>
  <c r="BB149" i="12" s="1"/>
  <c r="D13" i="9" s="1"/>
  <c r="BA150" i="12"/>
  <c r="BB150" i="12" s="1"/>
  <c r="D250" i="9" s="1"/>
  <c r="BA151" i="12"/>
  <c r="BB151" i="12" s="1"/>
  <c r="D251" i="9" s="1"/>
  <c r="BA152" i="12"/>
  <c r="BB152" i="12" s="1"/>
  <c r="D236" i="9" s="1"/>
  <c r="BA153" i="12"/>
  <c r="BB153" i="12" s="1"/>
  <c r="D232" i="9" s="1"/>
  <c r="BA154" i="12"/>
  <c r="BB154" i="12" s="1"/>
  <c r="D237" i="9" s="1"/>
  <c r="BA155" i="12"/>
  <c r="BB155" i="12" s="1"/>
  <c r="D225" i="9" s="1"/>
  <c r="BA156" i="12"/>
  <c r="BB156" i="12" s="1"/>
  <c r="D217" i="9" s="1"/>
  <c r="BA157" i="12"/>
  <c r="BB157" i="12" s="1"/>
  <c r="D216" i="9" s="1"/>
  <c r="BA158" i="12"/>
  <c r="BB158" i="12" s="1"/>
  <c r="D257" i="9" s="1"/>
  <c r="BA159" i="12"/>
  <c r="BB159" i="12" s="1"/>
  <c r="D256" i="9" s="1"/>
  <c r="BA160" i="12"/>
  <c r="BB160" i="12" s="1"/>
  <c r="D191" i="9" s="1"/>
  <c r="BA161" i="12"/>
  <c r="BB161" i="12" s="1"/>
  <c r="D190" i="9" s="1"/>
  <c r="BA162" i="12"/>
  <c r="BB162" i="12" s="1"/>
  <c r="D182" i="9" s="1"/>
  <c r="BA163" i="12"/>
  <c r="BB163" i="12" s="1"/>
  <c r="D245" i="9" s="1"/>
  <c r="BA164" i="12"/>
  <c r="BA165" i="12"/>
  <c r="BB165" i="12" s="1"/>
  <c r="D242" i="9" s="1"/>
  <c r="BA166" i="12"/>
  <c r="BB166" i="12" s="1"/>
  <c r="D234" i="9" s="1"/>
  <c r="BA167" i="12"/>
  <c r="BB167" i="12" s="1"/>
  <c r="D200" i="9" s="1"/>
  <c r="BA168" i="12"/>
  <c r="BB168" i="12" s="1"/>
  <c r="D253" i="9" s="1"/>
  <c r="BA169" i="12"/>
  <c r="BB169" i="12" s="1"/>
  <c r="D254" i="9" s="1"/>
  <c r="BA170" i="12"/>
  <c r="BB170" i="12" s="1"/>
  <c r="D146" i="9" s="1"/>
  <c r="BA171" i="12"/>
  <c r="BB171" i="12" s="1"/>
  <c r="D193" i="9" s="1"/>
  <c r="BA172" i="12"/>
  <c r="BB172" i="12" s="1"/>
  <c r="D184" i="9" s="1"/>
  <c r="BA173" i="12"/>
  <c r="BB173" i="12" s="1"/>
  <c r="D9" i="9" s="1"/>
  <c r="BA174" i="12"/>
  <c r="BB174" i="12" s="1"/>
  <c r="D212" i="9" s="1"/>
  <c r="BA175" i="12"/>
  <c r="BB175" i="12" s="1"/>
  <c r="D205" i="9" s="1"/>
  <c r="BA176" i="12"/>
  <c r="BB176" i="12" s="1"/>
  <c r="D206" i="9" s="1"/>
  <c r="BA177" i="12"/>
  <c r="BB177" i="12" s="1"/>
  <c r="D202" i="9" s="1"/>
  <c r="BA178" i="12"/>
  <c r="BB178" i="12" s="1"/>
  <c r="D199" i="9" s="1"/>
  <c r="BA179" i="12"/>
  <c r="BB179" i="12" s="1"/>
  <c r="D197" i="9" s="1"/>
  <c r="BA180" i="12"/>
  <c r="BB180" i="12" s="1"/>
  <c r="D195" i="9" s="1"/>
  <c r="BA181" i="12"/>
  <c r="BA182" i="12"/>
  <c r="BB182" i="12" s="1"/>
  <c r="D192" i="9" s="1"/>
  <c r="BA183" i="12"/>
  <c r="BB183" i="12" s="1"/>
  <c r="D8" i="9" s="1"/>
  <c r="BA184" i="12"/>
  <c r="BB184" i="12" s="1"/>
  <c r="D177" i="9" s="1"/>
  <c r="BA185" i="12"/>
  <c r="BB185" i="12" s="1"/>
  <c r="D17" i="9" s="1"/>
  <c r="BA186" i="12"/>
  <c r="BB186" i="12" s="1"/>
  <c r="D136" i="9" s="1"/>
  <c r="BA187" i="12"/>
  <c r="BB187" i="12" s="1"/>
  <c r="D132" i="9" s="1"/>
  <c r="BA188" i="12"/>
  <c r="BB188" i="12" s="1"/>
  <c r="D16" i="9" s="1"/>
  <c r="BA189" i="12"/>
  <c r="BB189" i="12" s="1"/>
  <c r="D113" i="9" s="1"/>
  <c r="BA190" i="12"/>
  <c r="BB190" i="12" s="1"/>
  <c r="D15" i="9" s="1"/>
  <c r="BA191" i="12"/>
  <c r="BB191" i="12" s="1"/>
  <c r="D107" i="9" s="1"/>
  <c r="BA192" i="12"/>
  <c r="BB192" i="12" s="1"/>
  <c r="D88" i="9" s="1"/>
  <c r="BA193" i="12"/>
  <c r="BB193" i="12" s="1"/>
  <c r="D14" i="9" s="1"/>
  <c r="BA194" i="12"/>
  <c r="BB194" i="12" s="1"/>
  <c r="D24" i="9" s="1"/>
  <c r="BA195" i="12"/>
  <c r="BB195" i="12" s="1"/>
  <c r="D20" i="9" s="1"/>
  <c r="BA196" i="12"/>
  <c r="BB196" i="12" s="1"/>
  <c r="D209" i="9" s="1"/>
  <c r="BA197" i="12"/>
  <c r="BB197" i="12" s="1"/>
  <c r="D3" i="9" s="1"/>
  <c r="BA198" i="12"/>
  <c r="BB198" i="12" s="1"/>
  <c r="D255" i="9" s="1"/>
  <c r="BA199" i="12"/>
  <c r="BB199" i="12" s="1"/>
  <c r="D252" i="9" s="1"/>
  <c r="BA200" i="12"/>
  <c r="BB200" i="12" s="1"/>
  <c r="D246" i="9" s="1"/>
  <c r="BA201" i="12"/>
  <c r="BB201" i="12" s="1"/>
  <c r="D247" i="9" s="1"/>
  <c r="BA202" i="12"/>
  <c r="BB202" i="12" s="1"/>
  <c r="D4" i="9" s="1"/>
  <c r="BA203" i="12"/>
  <c r="BB203" i="12" s="1"/>
  <c r="D239" i="9" s="1"/>
  <c r="BA204" i="12"/>
  <c r="BB204" i="12" s="1"/>
  <c r="D231" i="9" s="1"/>
  <c r="BA205" i="12"/>
  <c r="BB205" i="12" s="1"/>
  <c r="D230" i="9" s="1"/>
  <c r="BA206" i="12"/>
  <c r="BB206" i="12" s="1"/>
  <c r="D5" i="9" s="1"/>
  <c r="BA207" i="12"/>
  <c r="BB207" i="12" s="1"/>
  <c r="D227" i="9" s="1"/>
  <c r="BA208" i="12"/>
  <c r="BB208" i="12" s="1"/>
  <c r="D228" i="9" s="1"/>
  <c r="BA209" i="12"/>
  <c r="BB209" i="12" s="1"/>
  <c r="D229" i="9" s="1"/>
  <c r="BA210" i="12"/>
  <c r="BB210" i="12" s="1"/>
  <c r="D222" i="9" s="1"/>
  <c r="BA211" i="12"/>
  <c r="BB211" i="12" s="1"/>
  <c r="D223" i="9" s="1"/>
  <c r="BA212" i="12"/>
  <c r="BB212" i="12" s="1"/>
  <c r="D224" i="9" s="1"/>
  <c r="BA213" i="12"/>
  <c r="BB213" i="12" s="1"/>
  <c r="D214" i="9" s="1"/>
  <c r="BA214" i="12"/>
  <c r="BB214" i="12" s="1"/>
  <c r="D213" i="9" s="1"/>
  <c r="BA215" i="12"/>
  <c r="BB215" i="12" s="1"/>
  <c r="D208" i="9" s="1"/>
  <c r="BA216" i="12"/>
  <c r="BB216" i="12" s="1"/>
  <c r="D207" i="9" s="1"/>
  <c r="BA217" i="12"/>
  <c r="BB217" i="12" s="1"/>
  <c r="D204" i="9" s="1"/>
  <c r="BA218" i="12"/>
  <c r="BB218" i="12" s="1"/>
  <c r="D203" i="9" s="1"/>
  <c r="BA219" i="12"/>
  <c r="BB219" i="12" s="1"/>
  <c r="D201" i="9" s="1"/>
  <c r="BA220" i="12"/>
  <c r="BB220" i="12" s="1"/>
  <c r="D154" i="9" s="1"/>
  <c r="BA221" i="12"/>
  <c r="BB221" i="12" s="1"/>
  <c r="D153" i="9" s="1"/>
  <c r="BA222" i="12"/>
  <c r="BB222" i="12" s="1"/>
  <c r="D189" i="9" s="1"/>
  <c r="BA223" i="12"/>
  <c r="BB223" i="12" s="1"/>
  <c r="D187" i="9" s="1"/>
  <c r="BA224" i="12"/>
  <c r="BB224" i="12" s="1"/>
  <c r="D188" i="9" s="1"/>
  <c r="BA225" i="12"/>
  <c r="BB225" i="12" s="1"/>
  <c r="D183" i="9" s="1"/>
  <c r="BA226" i="12"/>
  <c r="BB226" i="12" s="1"/>
  <c r="D176" i="9" s="1"/>
  <c r="BA227" i="12"/>
  <c r="BB227" i="12" s="1"/>
  <c r="D151" i="9" s="1"/>
  <c r="BA228" i="12"/>
  <c r="BB228" i="12" s="1"/>
  <c r="D157" i="9" s="1"/>
  <c r="BA229" i="12"/>
  <c r="BB229" i="12" s="1"/>
  <c r="D143" i="9" s="1"/>
  <c r="BA230" i="12"/>
  <c r="BB230" i="12" s="1"/>
  <c r="D109" i="9" s="1"/>
  <c r="BA231" i="12"/>
  <c r="BB231" i="12" s="1"/>
  <c r="D93" i="9" s="1"/>
  <c r="BA232" i="12"/>
  <c r="BB232" i="12" s="1"/>
  <c r="D60" i="9" s="1"/>
  <c r="BA233" i="12"/>
  <c r="BB233" i="12" s="1"/>
  <c r="D58" i="9" s="1"/>
  <c r="BA234" i="12"/>
  <c r="BB234" i="12" s="1"/>
  <c r="D57" i="9" s="1"/>
  <c r="BA235" i="12"/>
  <c r="BB235" i="12" s="1"/>
  <c r="D56" i="9" s="1"/>
  <c r="BA236" i="12"/>
  <c r="BB236" i="12" s="1"/>
  <c r="D49" i="9" s="1"/>
  <c r="BA237" i="12"/>
  <c r="BB237" i="12" s="1"/>
  <c r="D21" i="9" s="1"/>
  <c r="BA238" i="12"/>
  <c r="BB238" i="12" s="1"/>
  <c r="D18" i="9" s="1"/>
  <c r="BA239" i="12"/>
  <c r="BB239" i="12" s="1"/>
  <c r="D198" i="9" s="1"/>
  <c r="BA240" i="12"/>
  <c r="BB240" i="12" s="1"/>
  <c r="D196" i="9" s="1"/>
  <c r="BA241" i="12"/>
  <c r="BB241" i="12" s="1"/>
  <c r="D185" i="9" s="1"/>
  <c r="BA242" i="12"/>
  <c r="BB242" i="12" s="1"/>
  <c r="D165" i="9" s="1"/>
  <c r="BA243" i="12"/>
  <c r="BB243" i="12" s="1"/>
  <c r="D158" i="9" s="1"/>
  <c r="BA244" i="12"/>
  <c r="BB244" i="12" s="1"/>
  <c r="D139" i="9" s="1"/>
  <c r="BA245" i="12"/>
  <c r="BB245" i="12" s="1"/>
  <c r="D114" i="9" s="1"/>
  <c r="BA246" i="12"/>
  <c r="BB246" i="12" s="1"/>
  <c r="D86" i="9" s="1"/>
  <c r="BA247" i="12"/>
  <c r="BB247" i="12" s="1"/>
  <c r="D55" i="9" s="1"/>
  <c r="BA248" i="12"/>
  <c r="BB248" i="12" s="1"/>
  <c r="D50" i="9" s="1"/>
  <c r="BA249" i="12"/>
  <c r="BB249" i="12" s="1"/>
  <c r="D47" i="9" s="1"/>
  <c r="BA250" i="12"/>
  <c r="BB250" i="12" s="1"/>
  <c r="D46" i="9" s="1"/>
  <c r="BA251" i="12"/>
  <c r="BB251" i="12" s="1"/>
  <c r="D45" i="9" s="1"/>
  <c r="BA252" i="12"/>
  <c r="BB252" i="12" s="1"/>
  <c r="D26" i="9" s="1"/>
  <c r="BA253" i="12"/>
  <c r="BB253" i="12" s="1"/>
  <c r="D27" i="9" s="1"/>
  <c r="BA254" i="12"/>
  <c r="BB254" i="12" s="1"/>
  <c r="D10" i="9" s="1"/>
  <c r="BA255" i="12"/>
  <c r="BB255" i="12" s="1"/>
  <c r="D211" i="9" s="1"/>
  <c r="BA256" i="12"/>
  <c r="BB256" i="12" s="1"/>
  <c r="D210" i="9" s="1"/>
  <c r="BA257" i="12"/>
  <c r="BB257" i="12" s="1"/>
  <c r="D19" i="9" s="1"/>
  <c r="BA258" i="12"/>
  <c r="BB258" i="12" s="1"/>
  <c r="D23" i="9" s="1"/>
  <c r="BA259" i="12"/>
  <c r="BB259" i="12" s="1"/>
  <c r="BA260" i="12"/>
  <c r="BB260" i="12" s="1"/>
  <c r="BA4" i="12"/>
  <c r="BB4" i="12" s="1"/>
  <c r="D11" i="9" s="1"/>
  <c r="C2" i="10"/>
  <c r="C20" i="10"/>
  <c r="C776" i="10"/>
  <c r="C775" i="10"/>
  <c r="C697" i="10"/>
  <c r="C695" i="10"/>
  <c r="C669" i="10"/>
  <c r="C582" i="10"/>
  <c r="C107" i="10"/>
  <c r="C106" i="10"/>
  <c r="C24" i="10"/>
  <c r="C23" i="10"/>
  <c r="C22" i="10"/>
  <c r="C21" i="10"/>
  <c r="C3" i="10"/>
  <c r="C4" i="10"/>
  <c r="C5" i="10"/>
  <c r="C6" i="10"/>
  <c r="C7" i="10"/>
  <c r="C8" i="10"/>
  <c r="C9" i="10"/>
  <c r="C10" i="10"/>
  <c r="C11" i="10"/>
  <c r="C12" i="10"/>
  <c r="C13" i="10"/>
  <c r="C14" i="10"/>
  <c r="C15" i="10"/>
  <c r="C16" i="10"/>
  <c r="C17" i="10"/>
  <c r="C18" i="10"/>
  <c r="C19"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6"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1004" i="10"/>
  <c r="C1005" i="10"/>
  <c r="C1006" i="10"/>
  <c r="C1007" i="10"/>
  <c r="C1008" i="10"/>
  <c r="C1009" i="10"/>
  <c r="C1010" i="10"/>
  <c r="C1011" i="10"/>
  <c r="C1012" i="10"/>
  <c r="C1013" i="10"/>
  <c r="C1014" i="10"/>
  <c r="C1015" i="10"/>
  <c r="C1016" i="10"/>
  <c r="C1017" i="10"/>
  <c r="C1018" i="10"/>
  <c r="C1019" i="10"/>
  <c r="C1020" i="10"/>
  <c r="C1021" i="10"/>
  <c r="C1022" i="10"/>
  <c r="C1023" i="10"/>
  <c r="C1024" i="10"/>
  <c r="C1025" i="10"/>
  <c r="C1026" i="10"/>
  <c r="C1027" i="10"/>
  <c r="C1028" i="10"/>
  <c r="C1029" i="10"/>
  <c r="C1030" i="10"/>
  <c r="C1031" i="10"/>
  <c r="C1032" i="10"/>
  <c r="C1033" i="10"/>
  <c r="C1034" i="10"/>
  <c r="C1035" i="10"/>
  <c r="C1036" i="10"/>
  <c r="C1037" i="10"/>
  <c r="C1038" i="10"/>
  <c r="C1039" i="10"/>
  <c r="C1040" i="10"/>
  <c r="C1041" i="10"/>
  <c r="C1042" i="10"/>
  <c r="C1043" i="10"/>
  <c r="C1044" i="10"/>
  <c r="C1045" i="10"/>
  <c r="C1046" i="10"/>
  <c r="C1047" i="10"/>
  <c r="C1048" i="10"/>
  <c r="C1049" i="10"/>
  <c r="C1050" i="10"/>
  <c r="C1051" i="10"/>
  <c r="C1052" i="10"/>
  <c r="C1053" i="10"/>
  <c r="C1054" i="10"/>
  <c r="C1055" i="10"/>
  <c r="C1056" i="10"/>
  <c r="C1057" i="10"/>
  <c r="C1058" i="10"/>
  <c r="C1059" i="10"/>
  <c r="C1060" i="10"/>
  <c r="C1061" i="10"/>
  <c r="C1062" i="10"/>
  <c r="C1063" i="10"/>
  <c r="C1064" i="10"/>
  <c r="C1065"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108" i="10"/>
  <c r="C1109" i="10"/>
  <c r="C1110" i="10"/>
  <c r="C1111" i="10"/>
  <c r="C1112" i="10"/>
  <c r="C1113" i="10"/>
  <c r="C1114" i="10"/>
  <c r="C1115" i="10"/>
  <c r="C1116" i="10"/>
  <c r="C1117" i="10"/>
  <c r="C1118" i="10"/>
  <c r="C1119" i="10"/>
  <c r="C1120" i="10"/>
  <c r="C1121" i="10"/>
  <c r="C1122" i="10"/>
  <c r="C1123" i="10"/>
  <c r="C1124" i="10"/>
  <c r="C1125" i="10"/>
  <c r="C1126" i="10"/>
  <c r="C1127" i="10"/>
  <c r="C1128" i="10"/>
  <c r="C1129" i="10"/>
  <c r="C1130" i="10"/>
  <c r="C1131" i="10"/>
  <c r="C1132" i="10"/>
  <c r="C1133" i="10"/>
  <c r="C1134" i="10"/>
  <c r="C1135" i="10"/>
  <c r="C1136" i="10"/>
  <c r="C1137" i="10"/>
  <c r="C1138" i="10"/>
  <c r="C1139" i="10"/>
  <c r="C1140" i="10"/>
  <c r="C1141" i="10"/>
  <c r="C1142" i="10"/>
  <c r="C1143" i="10"/>
  <c r="C1144" i="10"/>
  <c r="C1145" i="10"/>
  <c r="C1146" i="10"/>
  <c r="C1147" i="10"/>
  <c r="C1148" i="10"/>
  <c r="C1149" i="10"/>
  <c r="C1150" i="10"/>
  <c r="C1151" i="10"/>
  <c r="C1152" i="10"/>
  <c r="C1153" i="10"/>
  <c r="C1154" i="10"/>
  <c r="C1155" i="10"/>
  <c r="C1156" i="10"/>
  <c r="C1157" i="10"/>
  <c r="C1158" i="10"/>
  <c r="C1159" i="10"/>
  <c r="C1160" i="10"/>
  <c r="C1161" i="10"/>
  <c r="C1162" i="10"/>
  <c r="C1163" i="10"/>
  <c r="C1164" i="10"/>
  <c r="C1165" i="10"/>
  <c r="C1166" i="10"/>
  <c r="C1167" i="10"/>
  <c r="C1168" i="10"/>
  <c r="C1169" i="10"/>
  <c r="C1170" i="10"/>
  <c r="C1171" i="10"/>
  <c r="C1172" i="10"/>
  <c r="C1173" i="10"/>
  <c r="C1174" i="10"/>
  <c r="C1175" i="10"/>
  <c r="C1176" i="10"/>
  <c r="C1177" i="10"/>
  <c r="M6" i="8"/>
  <c r="E205" i="3" s="1"/>
  <c r="L6" i="8"/>
  <c r="L7" i="8"/>
  <c r="M7" i="8" s="1"/>
  <c r="E15" i="3" s="1"/>
  <c r="L8" i="8"/>
  <c r="M8" i="8" s="1"/>
  <c r="E14" i="3" s="1"/>
  <c r="L9" i="8"/>
  <c r="M9" i="8" s="1"/>
  <c r="E182" i="3" s="1"/>
  <c r="L10" i="8"/>
  <c r="M10" i="8" s="1"/>
  <c r="E172" i="3" s="1"/>
  <c r="L11" i="8"/>
  <c r="M11" i="8" s="1"/>
  <c r="E253" i="3" s="1"/>
  <c r="L12" i="8"/>
  <c r="M12" i="8" s="1"/>
  <c r="E3" i="3" s="1"/>
  <c r="L13" i="8"/>
  <c r="M13" i="8" s="1"/>
  <c r="E16" i="3" s="1"/>
  <c r="L14" i="8"/>
  <c r="M14" i="8" s="1"/>
  <c r="E148" i="3" s="1"/>
  <c r="L15" i="8"/>
  <c r="M15" i="8" s="1"/>
  <c r="E192" i="3" s="1"/>
  <c r="L16" i="8"/>
  <c r="M16" i="8" s="1"/>
  <c r="E189" i="3" s="1"/>
  <c r="L17" i="8"/>
  <c r="M17" i="8" s="1"/>
  <c r="E187" i="3" s="1"/>
  <c r="L18" i="8"/>
  <c r="M18" i="8" s="1"/>
  <c r="E184" i="3" s="1"/>
  <c r="L19" i="8"/>
  <c r="M19" i="8" s="1"/>
  <c r="E237" i="3" s="1"/>
  <c r="L20" i="8"/>
  <c r="M20" i="8" s="1"/>
  <c r="E256" i="3" s="1"/>
  <c r="L21" i="8"/>
  <c r="M21" i="8" s="1"/>
  <c r="E194" i="3" s="1"/>
  <c r="L22" i="8"/>
  <c r="M22" i="8" s="1"/>
  <c r="E236" i="3" s="1"/>
  <c r="L23" i="8"/>
  <c r="M23" i="8" s="1"/>
  <c r="E141" i="3" s="1"/>
  <c r="L24" i="8"/>
  <c r="M24" i="8" s="1"/>
  <c r="E257" i="3" s="1"/>
  <c r="L25" i="8"/>
  <c r="M25" i="8" s="1"/>
  <c r="E193" i="3" s="1"/>
  <c r="L26" i="8"/>
  <c r="M26" i="8" s="1"/>
  <c r="E140" i="3" s="1"/>
  <c r="L27" i="8"/>
  <c r="M27" i="8" s="1"/>
  <c r="E251" i="3" s="1"/>
  <c r="L28" i="8"/>
  <c r="M28" i="8" s="1"/>
  <c r="E252" i="3" s="1"/>
  <c r="L29" i="8"/>
  <c r="M29" i="8" s="1"/>
  <c r="E137" i="3" s="1"/>
  <c r="L30" i="8"/>
  <c r="M30" i="8" s="1"/>
  <c r="E136" i="3" s="1"/>
  <c r="L31" i="8"/>
  <c r="M31" i="8" s="1"/>
  <c r="E139" i="3" s="1"/>
  <c r="L32" i="8"/>
  <c r="M32" i="8" s="1"/>
  <c r="E138" i="3" s="1"/>
  <c r="L33" i="8"/>
  <c r="M33" i="8" s="1"/>
  <c r="E135" i="3" s="1"/>
  <c r="L34" i="8"/>
  <c r="M34" i="8" s="1"/>
  <c r="E134" i="3" s="1"/>
  <c r="L35" i="8"/>
  <c r="M35" i="8" s="1"/>
  <c r="E133" i="3" s="1"/>
  <c r="L36" i="8"/>
  <c r="M36" i="8" s="1"/>
  <c r="E132" i="3" s="1"/>
  <c r="L37" i="8"/>
  <c r="M37" i="8" s="1"/>
  <c r="E131" i="3" s="1"/>
  <c r="L38" i="8"/>
  <c r="M38" i="8" s="1"/>
  <c r="E130" i="3" s="1"/>
  <c r="L39" i="8"/>
  <c r="M39" i="8" s="1"/>
  <c r="E129" i="3" s="1"/>
  <c r="L40" i="8"/>
  <c r="M40" i="8" s="1"/>
  <c r="E128" i="3" s="1"/>
  <c r="L41" i="8"/>
  <c r="M41" i="8" s="1"/>
  <c r="E127" i="3" s="1"/>
  <c r="L42" i="8"/>
  <c r="M42" i="8" s="1"/>
  <c r="E126" i="3" s="1"/>
  <c r="L43" i="8"/>
  <c r="M43" i="8" s="1"/>
  <c r="E125" i="3" s="1"/>
  <c r="L44" i="8"/>
  <c r="M44" i="8" s="1"/>
  <c r="E143" i="3" s="1"/>
  <c r="L45" i="8"/>
  <c r="M45" i="8" s="1"/>
  <c r="E124" i="3" s="1"/>
  <c r="L46" i="8"/>
  <c r="M46" i="8" s="1"/>
  <c r="E250" i="3" s="1"/>
  <c r="L47" i="8"/>
  <c r="M47" i="8" s="1"/>
  <c r="E249" i="3" s="1"/>
  <c r="L48" i="8"/>
  <c r="M48" i="8" s="1"/>
  <c r="E248" i="3" s="1"/>
  <c r="L49" i="8"/>
  <c r="M49" i="8" s="1"/>
  <c r="E123" i="3" s="1"/>
  <c r="L50" i="8"/>
  <c r="M50" i="8" s="1"/>
  <c r="E235" i="3" s="1"/>
  <c r="L51" i="8"/>
  <c r="M51" i="8" s="1"/>
  <c r="E247" i="3" s="1"/>
  <c r="L52" i="8"/>
  <c r="M52" i="8" s="1"/>
  <c r="E142" i="3" s="1"/>
  <c r="L53" i="8"/>
  <c r="M53" i="8" s="1"/>
  <c r="E122" i="3" s="1"/>
  <c r="L54" i="8"/>
  <c r="M54" i="8" s="1"/>
  <c r="E121" i="3" s="1"/>
  <c r="L55" i="8"/>
  <c r="M55" i="8" s="1"/>
  <c r="E20" i="3" s="1"/>
  <c r="L56" i="8"/>
  <c r="M56" i="8" s="1"/>
  <c r="E246" i="3" s="1"/>
  <c r="L57" i="8"/>
  <c r="M57" i="8" s="1"/>
  <c r="E234" i="3" s="1"/>
  <c r="L58" i="8"/>
  <c r="M58" i="8" s="1"/>
  <c r="E233" i="3" s="1"/>
  <c r="L59" i="8"/>
  <c r="M59" i="8" s="1"/>
  <c r="E232" i="3" s="1"/>
  <c r="L60" i="8"/>
  <c r="M60" i="8" s="1"/>
  <c r="E120" i="3" s="1"/>
  <c r="L61" i="8"/>
  <c r="M61" i="8" s="1"/>
  <c r="E231" i="3" s="1"/>
  <c r="L62" i="8"/>
  <c r="M62" i="8" s="1"/>
  <c r="E19" i="3" s="1"/>
  <c r="L63" i="8"/>
  <c r="M63" i="8" s="1"/>
  <c r="E119" i="3" s="1"/>
  <c r="L64" i="8"/>
  <c r="M64" i="8" s="1"/>
  <c r="E118" i="3" s="1"/>
  <c r="L65" i="8"/>
  <c r="M65" i="8" s="1"/>
  <c r="E117" i="3" s="1"/>
  <c r="L66" i="8"/>
  <c r="M66" i="8" s="1"/>
  <c r="E116" i="3" s="1"/>
  <c r="L67" i="8"/>
  <c r="M67" i="8" s="1"/>
  <c r="E115" i="3" s="1"/>
  <c r="L68" i="8"/>
  <c r="M68" i="8" s="1"/>
  <c r="E114" i="3" s="1"/>
  <c r="L69" i="8"/>
  <c r="M69" i="8" s="1"/>
  <c r="E111" i="3" s="1"/>
  <c r="L70" i="8"/>
  <c r="M70" i="8" s="1"/>
  <c r="E110" i="3" s="1"/>
  <c r="L71" i="8"/>
  <c r="M71" i="8" s="1"/>
  <c r="E113" i="3" s="1"/>
  <c r="L72" i="8"/>
  <c r="M72" i="8" s="1"/>
  <c r="E112" i="3" s="1"/>
  <c r="L73" i="8"/>
  <c r="M73" i="8" s="1"/>
  <c r="E108" i="3" s="1"/>
  <c r="L74" i="8"/>
  <c r="M74" i="8" s="1"/>
  <c r="E109" i="3" s="1"/>
  <c r="L75" i="8"/>
  <c r="M75" i="8" s="1"/>
  <c r="E107" i="3" s="1"/>
  <c r="L76" i="8"/>
  <c r="M76" i="8" s="1"/>
  <c r="E106" i="3" s="1"/>
  <c r="L77" i="8"/>
  <c r="M77" i="8" s="1"/>
  <c r="E105" i="3" s="1"/>
  <c r="L78" i="8"/>
  <c r="M78" i="8" s="1"/>
  <c r="E104" i="3" s="1"/>
  <c r="L79" i="8"/>
  <c r="M79" i="8" s="1"/>
  <c r="E103" i="3" s="1"/>
  <c r="L80" i="8"/>
  <c r="M80" i="8" s="1"/>
  <c r="E101" i="3" s="1"/>
  <c r="L81" i="8"/>
  <c r="M81" i="8" s="1"/>
  <c r="E102" i="3" s="1"/>
  <c r="L82" i="8"/>
  <c r="M82" i="8" s="1"/>
  <c r="E100" i="3" s="1"/>
  <c r="L83" i="8"/>
  <c r="M83" i="8" s="1"/>
  <c r="E99" i="3" s="1"/>
  <c r="L84" i="8"/>
  <c r="M84" i="8" s="1"/>
  <c r="E98" i="3" s="1"/>
  <c r="L85" i="8"/>
  <c r="M85" i="8" s="1"/>
  <c r="E97" i="3" s="1"/>
  <c r="L86" i="8"/>
  <c r="M86" i="8" s="1"/>
  <c r="E96" i="3" s="1"/>
  <c r="L87" i="8"/>
  <c r="M87" i="8" s="1"/>
  <c r="E245" i="3" s="1"/>
  <c r="L88" i="8"/>
  <c r="M88" i="8" s="1"/>
  <c r="E95" i="3" s="1"/>
  <c r="L89" i="8"/>
  <c r="M89" i="8" s="1"/>
  <c r="E191" i="3" s="1"/>
  <c r="L90" i="8"/>
  <c r="M90" i="8" s="1"/>
  <c r="E18" i="3" s="1"/>
  <c r="L91" i="8"/>
  <c r="M91" i="8" s="1"/>
  <c r="E94" i="3" s="1"/>
  <c r="L92" i="8"/>
  <c r="M92" i="8" s="1"/>
  <c r="E93" i="3" s="1"/>
  <c r="L93" i="8"/>
  <c r="M93" i="8" s="1"/>
  <c r="E92" i="3" s="1"/>
  <c r="L94" i="8"/>
  <c r="M94" i="8" s="1"/>
  <c r="E230" i="3" s="1"/>
  <c r="L95" i="8"/>
  <c r="M95" i="8" s="1"/>
  <c r="E89" i="3" s="1"/>
  <c r="L96" i="8"/>
  <c r="M96" i="8" s="1"/>
  <c r="E91" i="3" s="1"/>
  <c r="L97" i="8"/>
  <c r="M97" i="8" s="1"/>
  <c r="E88" i="3" s="1"/>
  <c r="L98" i="8"/>
  <c r="M98" i="8" s="1"/>
  <c r="E87" i="3" s="1"/>
  <c r="L99" i="8"/>
  <c r="M99" i="8" s="1"/>
  <c r="E90" i="3" s="1"/>
  <c r="L100" i="8"/>
  <c r="M100" i="8" s="1"/>
  <c r="E86" i="3" s="1"/>
  <c r="L101" i="8"/>
  <c r="M101" i="8" s="1"/>
  <c r="E85" i="3" s="1"/>
  <c r="L102" i="8"/>
  <c r="M102" i="8" s="1"/>
  <c r="E48" i="3" s="1"/>
  <c r="L103" i="8"/>
  <c r="M103" i="8" s="1"/>
  <c r="E84" i="3" s="1"/>
  <c r="L104" i="8"/>
  <c r="M104" i="8" s="1"/>
  <c r="E83" i="3" s="1"/>
  <c r="L105" i="8"/>
  <c r="M105" i="8" s="1"/>
  <c r="E81" i="3" s="1"/>
  <c r="L106" i="8"/>
  <c r="M106" i="8" s="1"/>
  <c r="E82" i="3" s="1"/>
  <c r="L107" i="8"/>
  <c r="M107" i="8" s="1"/>
  <c r="E80" i="3" s="1"/>
  <c r="L108" i="8"/>
  <c r="M108" i="8" s="1"/>
  <c r="E190" i="3" s="1"/>
  <c r="L109" i="8"/>
  <c r="M109" i="8" s="1"/>
  <c r="E79" i="3" s="1"/>
  <c r="L110" i="8"/>
  <c r="M110" i="8" s="1"/>
  <c r="E229" i="3" s="1"/>
  <c r="L111" i="8"/>
  <c r="M111" i="8" s="1"/>
  <c r="E78" i="3" s="1"/>
  <c r="L112" i="8"/>
  <c r="M112" i="8" s="1"/>
  <c r="E77" i="3" s="1"/>
  <c r="L113" i="8"/>
  <c r="M113" i="8" s="1"/>
  <c r="E76" i="3" s="1"/>
  <c r="L114" i="8"/>
  <c r="M114" i="8" s="1"/>
  <c r="E188" i="3" s="1"/>
  <c r="L115" i="8"/>
  <c r="M115" i="8" s="1"/>
  <c r="E244" i="3" s="1"/>
  <c r="L116" i="8"/>
  <c r="M116" i="8" s="1"/>
  <c r="E75" i="3" s="1"/>
  <c r="L117" i="8"/>
  <c r="M117" i="8" s="1"/>
  <c r="E71" i="3" s="1"/>
  <c r="L118" i="8"/>
  <c r="M118" i="8" s="1"/>
  <c r="E69" i="3" s="1"/>
  <c r="L119" i="8"/>
  <c r="M119" i="8" s="1"/>
  <c r="E73" i="3" s="1"/>
  <c r="L120" i="8"/>
  <c r="M120" i="8" s="1"/>
  <c r="E68" i="3" s="1"/>
  <c r="L121" i="8"/>
  <c r="M121" i="8" s="1"/>
  <c r="E72" i="3" s="1"/>
  <c r="L122" i="8"/>
  <c r="M122" i="8" s="1"/>
  <c r="E64" i="3" s="1"/>
  <c r="L123" i="8"/>
  <c r="M123" i="8" s="1"/>
  <c r="E67" i="3" s="1"/>
  <c r="L124" i="8"/>
  <c r="M124" i="8" s="1"/>
  <c r="E63" i="3" s="1"/>
  <c r="L125" i="8"/>
  <c r="M125" i="8" s="1"/>
  <c r="E74" i="3" s="1"/>
  <c r="L126" i="8"/>
  <c r="M126" i="8" s="1"/>
  <c r="E60" i="3" s="1"/>
  <c r="L127" i="8"/>
  <c r="M127" i="8" s="1"/>
  <c r="E66" i="3" s="1"/>
  <c r="L128" i="8"/>
  <c r="M128" i="8" s="1"/>
  <c r="E65" i="3" s="1"/>
  <c r="L129" i="8"/>
  <c r="M129" i="8" s="1"/>
  <c r="E70" i="3" s="1"/>
  <c r="L130" i="8"/>
  <c r="M130" i="8" s="1"/>
  <c r="E62" i="3" s="1"/>
  <c r="L131" i="8"/>
  <c r="M131" i="8" s="1"/>
  <c r="E61" i="3" s="1"/>
  <c r="L132" i="8"/>
  <c r="M132" i="8" s="1"/>
  <c r="E59" i="3" s="1"/>
  <c r="L133" i="8"/>
  <c r="M133" i="8" s="1"/>
  <c r="E186" i="3" s="1"/>
  <c r="L134" i="8"/>
  <c r="M134" i="8" s="1"/>
  <c r="E58" i="3" s="1"/>
  <c r="L135" i="8"/>
  <c r="M135" i="8" s="1"/>
  <c r="E57" i="3" s="1"/>
  <c r="L136" i="8"/>
  <c r="M136" i="8" s="1"/>
  <c r="E56" i="3" s="1"/>
  <c r="L137" i="8"/>
  <c r="M137" i="8" s="1"/>
  <c r="E185" i="3" s="1"/>
  <c r="L138" i="8"/>
  <c r="M138" i="8" s="1"/>
  <c r="E55" i="3" s="1"/>
  <c r="L139" i="8"/>
  <c r="M139" i="8" s="1"/>
  <c r="E54" i="3" s="1"/>
  <c r="L140" i="8"/>
  <c r="M140" i="8" s="1"/>
  <c r="E243" i="3" s="1"/>
  <c r="L141" i="8"/>
  <c r="M141" i="8" s="1"/>
  <c r="E53" i="3" s="1"/>
  <c r="L142" i="8"/>
  <c r="M142" i="8" s="1"/>
  <c r="E52" i="3" s="1"/>
  <c r="L143" i="8"/>
  <c r="M143" i="8" s="1"/>
  <c r="E51" i="3" s="1"/>
  <c r="L144" i="8"/>
  <c r="M144" i="8" s="1"/>
  <c r="E228" i="3" s="1"/>
  <c r="L145" i="8"/>
  <c r="M145" i="8" s="1"/>
  <c r="E50" i="3" s="1"/>
  <c r="L146" i="8"/>
  <c r="M146" i="8" s="1"/>
  <c r="E47" i="3" s="1"/>
  <c r="L147" i="8"/>
  <c r="M147" i="8" s="1"/>
  <c r="E169" i="3" s="1"/>
  <c r="L148" i="8"/>
  <c r="M148" i="8" s="1"/>
  <c r="E49" i="3" s="1"/>
  <c r="L149" i="8"/>
  <c r="M149" i="8" s="1"/>
  <c r="E45" i="3" s="1"/>
  <c r="L150" i="8"/>
  <c r="M150" i="8" s="1"/>
  <c r="E44" i="3" s="1"/>
  <c r="L151" i="8"/>
  <c r="M151" i="8" s="1"/>
  <c r="E40" i="3" s="1"/>
  <c r="L152" i="8"/>
  <c r="M152" i="8" s="1"/>
  <c r="E226" i="3" s="1"/>
  <c r="L153" i="8"/>
  <c r="M153" i="8" s="1"/>
  <c r="E17" i="3" s="1"/>
  <c r="L154" i="8"/>
  <c r="M154" i="8" s="1"/>
  <c r="E220" i="3" s="1"/>
  <c r="L155" i="8"/>
  <c r="M155" i="8" s="1"/>
  <c r="E219" i="3" s="1"/>
  <c r="L156" i="8"/>
  <c r="M156" i="8" s="1"/>
  <c r="E46" i="3" s="1"/>
  <c r="L157" i="8"/>
  <c r="M157" i="8" s="1"/>
  <c r="E38" i="3" s="1"/>
  <c r="L158" i="8"/>
  <c r="M158" i="8" s="1"/>
  <c r="E227" i="3" s="1"/>
  <c r="L159" i="8"/>
  <c r="M159" i="8" s="1"/>
  <c r="E242" i="3" s="1"/>
  <c r="L160" i="8"/>
  <c r="M160" i="8" s="1"/>
  <c r="E43" i="3" s="1"/>
  <c r="L161" i="8"/>
  <c r="M161" i="8" s="1"/>
  <c r="E42" i="3" s="1"/>
  <c r="L162" i="8"/>
  <c r="M162" i="8" s="1"/>
  <c r="E41" i="3" s="1"/>
  <c r="L163" i="8"/>
  <c r="M163" i="8" s="1"/>
  <c r="E39" i="3" s="1"/>
  <c r="L164" i="8"/>
  <c r="M164" i="8" s="1"/>
  <c r="E37" i="3" s="1"/>
  <c r="L165" i="8"/>
  <c r="M165" i="8" s="1"/>
  <c r="E36" i="3" s="1"/>
  <c r="L166" i="8"/>
  <c r="M166" i="8" s="1"/>
  <c r="E241" i="3" s="1"/>
  <c r="L167" i="8"/>
  <c r="M167" i="8" s="1"/>
  <c r="E25" i="3" s="1"/>
  <c r="L168" i="8"/>
  <c r="M168" i="8" s="1"/>
  <c r="E35" i="3" s="1"/>
  <c r="L169" i="8"/>
  <c r="M169" i="8" s="1"/>
  <c r="E24" i="3" s="1"/>
  <c r="L170" i="8"/>
  <c r="M170" i="8" s="1"/>
  <c r="E29" i="3" s="1"/>
  <c r="L171" i="8"/>
  <c r="M171" i="8" s="1"/>
  <c r="E30" i="3" s="1"/>
  <c r="L172" i="8"/>
  <c r="M172" i="8" s="1"/>
  <c r="E28" i="3" s="1"/>
  <c r="L173" i="8"/>
  <c r="M173" i="8" s="1"/>
  <c r="E34" i="3" s="1"/>
  <c r="L174" i="8"/>
  <c r="M174" i="8" s="1"/>
  <c r="E32" i="3" s="1"/>
  <c r="L175" i="8"/>
  <c r="M175" i="8" s="1"/>
  <c r="E31" i="3" s="1"/>
  <c r="L176" i="8"/>
  <c r="M176" i="8" s="1"/>
  <c r="E33" i="3" s="1"/>
  <c r="L177" i="8"/>
  <c r="M177" i="8" s="1"/>
  <c r="E225" i="3" s="1"/>
  <c r="L178" i="8"/>
  <c r="M178" i="8" s="1"/>
  <c r="E183" i="3" s="1"/>
  <c r="L179" i="8"/>
  <c r="M179" i="8" s="1"/>
  <c r="E23" i="3" s="1"/>
  <c r="L180" i="8"/>
  <c r="M180" i="8" s="1"/>
  <c r="E27" i="3" s="1"/>
  <c r="L181" i="8"/>
  <c r="M181" i="8" s="1"/>
  <c r="E26" i="3" s="1"/>
  <c r="L182" i="8"/>
  <c r="M182" i="8" s="1"/>
  <c r="E22" i="3" s="1"/>
  <c r="L183" i="8"/>
  <c r="M183" i="8" s="1"/>
  <c r="E161" i="3" s="1"/>
  <c r="L184" i="8"/>
  <c r="M184" i="8" s="1"/>
  <c r="E224" i="3" s="1"/>
  <c r="L185" i="8"/>
  <c r="M185" i="8" s="1"/>
  <c r="E171" i="3" s="1"/>
  <c r="L186" i="8"/>
  <c r="M186" i="8" s="1"/>
  <c r="E240" i="3" s="1"/>
  <c r="L187" i="8"/>
  <c r="M187" i="8" s="1"/>
  <c r="E21" i="3" s="1"/>
  <c r="L188" i="8"/>
  <c r="M188" i="8" s="1"/>
  <c r="E222" i="3" s="1"/>
  <c r="L189" i="8"/>
  <c r="M189" i="8" s="1"/>
  <c r="E223" i="3" s="1"/>
  <c r="L190" i="8"/>
  <c r="M190" i="8" s="1"/>
  <c r="E221" i="3" s="1"/>
  <c r="L191" i="8"/>
  <c r="M191" i="8" s="1"/>
  <c r="E160" i="3" s="1"/>
  <c r="L192" i="8"/>
  <c r="M192" i="8" s="1"/>
  <c r="E159" i="3" s="1"/>
  <c r="L193" i="8"/>
  <c r="M193" i="8" s="1"/>
  <c r="E181" i="3" s="1"/>
  <c r="L194" i="8"/>
  <c r="M194" i="8" s="1"/>
  <c r="E170" i="3" s="1"/>
  <c r="L195" i="8"/>
  <c r="M195" i="8" s="1"/>
  <c r="E180" i="3" s="1"/>
  <c r="L196" i="8"/>
  <c r="M196" i="8" s="1"/>
  <c r="E179" i="3" s="1"/>
  <c r="L197" i="8"/>
  <c r="M197" i="8" s="1"/>
  <c r="E239" i="3" s="1"/>
  <c r="L198" i="8"/>
  <c r="M198" i="8" s="1"/>
  <c r="E178" i="3" s="1"/>
  <c r="L199" i="8"/>
  <c r="M199" i="8" s="1"/>
  <c r="E238" i="3" s="1"/>
  <c r="L200" i="8"/>
  <c r="M200" i="8" s="1"/>
  <c r="E177" i="3" s="1"/>
  <c r="L201" i="8"/>
  <c r="M201" i="8" s="1"/>
  <c r="E166" i="3" s="1"/>
  <c r="L202" i="8"/>
  <c r="M202" i="8" s="1"/>
  <c r="E218" i="3" s="1"/>
  <c r="L203" i="8"/>
  <c r="M203" i="8" s="1"/>
  <c r="E176" i="3" s="1"/>
  <c r="L204" i="8"/>
  <c r="M204" i="8" s="1"/>
  <c r="E217" i="3" s="1"/>
  <c r="L205" i="8"/>
  <c r="M205" i="8" s="1"/>
  <c r="E216" i="3" s="1"/>
  <c r="L206" i="8"/>
  <c r="M206" i="8" s="1"/>
  <c r="E174" i="3" s="1"/>
  <c r="L207" i="8"/>
  <c r="M207" i="8" s="1"/>
  <c r="E175" i="3" s="1"/>
  <c r="L208" i="8"/>
  <c r="M208" i="8" s="1"/>
  <c r="E215" i="3" s="1"/>
  <c r="L209" i="8"/>
  <c r="M209" i="8" s="1"/>
  <c r="E214" i="3" s="1"/>
  <c r="L210" i="8"/>
  <c r="M210" i="8" s="1"/>
  <c r="E195" i="3" s="1"/>
  <c r="L211" i="8"/>
  <c r="M211" i="8" s="1"/>
  <c r="E255" i="3" s="1"/>
  <c r="L212" i="8"/>
  <c r="M212" i="8" s="1"/>
  <c r="E254" i="3" s="1"/>
  <c r="L213" i="8"/>
  <c r="M213" i="8" s="1"/>
  <c r="E173" i="3" s="1"/>
  <c r="L214" i="8"/>
  <c r="M214" i="8" s="1"/>
  <c r="E213" i="3" s="1"/>
  <c r="L215" i="8"/>
  <c r="M215" i="8" s="1"/>
  <c r="E212" i="3" s="1"/>
  <c r="L216" i="8"/>
  <c r="M216" i="8" s="1"/>
  <c r="E13" i="3" s="1"/>
  <c r="L217" i="8"/>
  <c r="M217" i="8" s="1"/>
  <c r="E156" i="3" s="1"/>
  <c r="L218" i="8"/>
  <c r="M218" i="8" s="1"/>
  <c r="E155" i="3" s="1"/>
  <c r="L219" i="8"/>
  <c r="M219" i="8" s="1"/>
  <c r="E11" i="3" s="1"/>
  <c r="L220" i="8"/>
  <c r="M220" i="8" s="1"/>
  <c r="E10" i="3" s="1"/>
  <c r="L221" i="8"/>
  <c r="M221" i="8" s="1"/>
  <c r="E9" i="3" s="1"/>
  <c r="L222" i="8"/>
  <c r="M222" i="8" s="1"/>
  <c r="E12" i="3" s="1"/>
  <c r="L223" i="8"/>
  <c r="M223" i="8" s="1"/>
  <c r="E209" i="3" s="1"/>
  <c r="L224" i="8"/>
  <c r="M224" i="8" s="1"/>
  <c r="E210" i="3" s="1"/>
  <c r="L225" i="8"/>
  <c r="M225" i="8" s="1"/>
  <c r="E211" i="3" s="1"/>
  <c r="L226" i="8"/>
  <c r="M226" i="8" s="1"/>
  <c r="E154" i="3" s="1"/>
  <c r="L227" i="8"/>
  <c r="M227" i="8" s="1"/>
  <c r="E8" i="3" s="1"/>
  <c r="L228" i="8"/>
  <c r="M228" i="8" s="1"/>
  <c r="E206" i="3" s="1"/>
  <c r="L229" i="8"/>
  <c r="M229" i="8" s="1"/>
  <c r="E207" i="3" s="1"/>
  <c r="L230" i="8"/>
  <c r="M230" i="8" s="1"/>
  <c r="E208" i="3" s="1"/>
  <c r="L231" i="8"/>
  <c r="M231" i="8" s="1"/>
  <c r="E204" i="3" s="1"/>
  <c r="L232" i="8"/>
  <c r="M232" i="8" s="1"/>
  <c r="E203" i="3" s="1"/>
  <c r="L233" i="8"/>
  <c r="M233" i="8" s="1"/>
  <c r="E152" i="3" s="1"/>
  <c r="L234" i="8"/>
  <c r="M234" i="8" s="1"/>
  <c r="E4" i="3" s="1"/>
  <c r="L235" i="8"/>
  <c r="M235" i="8" s="1"/>
  <c r="E165" i="3" s="1"/>
  <c r="L236" i="8"/>
  <c r="M236" i="8" s="1"/>
  <c r="E146" i="3" s="1"/>
  <c r="L237" i="8"/>
  <c r="M237" i="8" s="1"/>
  <c r="E151" i="3" s="1"/>
  <c r="L238" i="8"/>
  <c r="M238" i="8" s="1"/>
  <c r="E153" i="3" s="1"/>
  <c r="L239" i="8"/>
  <c r="M239" i="8" s="1"/>
  <c r="E144" i="3" s="1"/>
  <c r="L240" i="8"/>
  <c r="M240" i="8" s="1"/>
  <c r="E202" i="3" s="1"/>
  <c r="L241" i="8"/>
  <c r="M241" i="8" s="1"/>
  <c r="E145" i="3" s="1"/>
  <c r="L242" i="8"/>
  <c r="M242" i="8" s="1"/>
  <c r="E147" i="3" s="1"/>
  <c r="L243" i="8"/>
  <c r="M243" i="8" s="1"/>
  <c r="E164" i="3" s="1"/>
  <c r="L244" i="8"/>
  <c r="M244" i="8" s="1"/>
  <c r="E7" i="3" s="1"/>
  <c r="L245" i="8"/>
  <c r="M245" i="8" s="1"/>
  <c r="E163" i="3" s="1"/>
  <c r="L246" i="8"/>
  <c r="M246" i="8" s="1"/>
  <c r="E162" i="3" s="1"/>
  <c r="L247" i="8"/>
  <c r="M247" i="8" s="1"/>
  <c r="E199" i="3" s="1"/>
  <c r="L248" i="8"/>
  <c r="M248" i="8" s="1"/>
  <c r="E200" i="3" s="1"/>
  <c r="L249" i="8"/>
  <c r="M249" i="8" s="1"/>
  <c r="E5" i="3" s="1"/>
  <c r="L250" i="8"/>
  <c r="M250" i="8" s="1"/>
  <c r="E6" i="3" s="1"/>
  <c r="L251" i="8"/>
  <c r="M251" i="8" s="1"/>
  <c r="E149" i="3" s="1"/>
  <c r="L252" i="8"/>
  <c r="M252" i="8" s="1"/>
  <c r="E150" i="3" s="1"/>
  <c r="L253" i="8"/>
  <c r="M253" i="8" s="1"/>
  <c r="E198" i="3" s="1"/>
  <c r="L254" i="8"/>
  <c r="M254" i="8" s="1"/>
  <c r="E167" i="3" s="1"/>
  <c r="L255" i="8"/>
  <c r="M255" i="8" s="1"/>
  <c r="E168" i="3" s="1"/>
  <c r="L256" i="8"/>
  <c r="M256" i="8" s="1"/>
  <c r="E197" i="3" s="1"/>
  <c r="L257" i="8"/>
  <c r="M257" i="8" s="1"/>
  <c r="E158" i="3" s="1"/>
  <c r="L258" i="8"/>
  <c r="M258" i="8" s="1"/>
  <c r="E157" i="3" s="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1002" i="8"/>
  <c r="E1003" i="8"/>
  <c r="E1004" i="8"/>
  <c r="E1005" i="8"/>
  <c r="E1006" i="8"/>
  <c r="E1007" i="8"/>
  <c r="E1008" i="8"/>
  <c r="E1009" i="8"/>
  <c r="E1010" i="8"/>
  <c r="E1011" i="8"/>
  <c r="E1012" i="8"/>
  <c r="E1013" i="8"/>
  <c r="E1014" i="8"/>
  <c r="E1015" i="8"/>
  <c r="E1016" i="8"/>
  <c r="E1017" i="8"/>
  <c r="E1018" i="8"/>
  <c r="E1019" i="8"/>
  <c r="E1020" i="8"/>
  <c r="E1021" i="8"/>
  <c r="E1022" i="8"/>
  <c r="E1023" i="8"/>
  <c r="E1024" i="8"/>
  <c r="E1025" i="8"/>
  <c r="E1026" i="8"/>
  <c r="E1027" i="8"/>
  <c r="E1028" i="8"/>
  <c r="E1029" i="8"/>
  <c r="E1030" i="8"/>
  <c r="E1031" i="8"/>
  <c r="E1032" i="8"/>
  <c r="E1033" i="8"/>
  <c r="E1034" i="8"/>
  <c r="E1035" i="8"/>
  <c r="E1036" i="8"/>
  <c r="E1037" i="8"/>
  <c r="E1038" i="8"/>
  <c r="E1039" i="8"/>
  <c r="E1040" i="8"/>
  <c r="E1041" i="8"/>
  <c r="E1042" i="8"/>
  <c r="E1043" i="8"/>
  <c r="E1044" i="8"/>
  <c r="E1045" i="8"/>
  <c r="E1046" i="8"/>
  <c r="E1047" i="8"/>
  <c r="E1048" i="8"/>
  <c r="E1049" i="8"/>
  <c r="E1050" i="8"/>
  <c r="E1051" i="8"/>
  <c r="E1052" i="8"/>
  <c r="E1053" i="8"/>
  <c r="E1054" i="8"/>
  <c r="E1055" i="8"/>
  <c r="E1056" i="8"/>
  <c r="E1057" i="8"/>
  <c r="E1058" i="8"/>
  <c r="E1059" i="8"/>
  <c r="E1060" i="8"/>
  <c r="E1061" i="8"/>
  <c r="E1062" i="8"/>
  <c r="E1063" i="8"/>
  <c r="E1064" i="8"/>
  <c r="E1065" i="8"/>
  <c r="E1066" i="8"/>
  <c r="E1067" i="8"/>
  <c r="E1068" i="8"/>
  <c r="E1069" i="8"/>
  <c r="E1070" i="8"/>
  <c r="E1071" i="8"/>
  <c r="E1072" i="8"/>
  <c r="E1073" i="8"/>
  <c r="E1074" i="8"/>
  <c r="E1075" i="8"/>
  <c r="E1076" i="8"/>
  <c r="E1077" i="8"/>
  <c r="E1078" i="8"/>
  <c r="E1079" i="8"/>
  <c r="E1080" i="8"/>
  <c r="E1081" i="8"/>
  <c r="E1082" i="8"/>
  <c r="E1083" i="8"/>
  <c r="E1084" i="8"/>
  <c r="E1085" i="8"/>
  <c r="E1086" i="8"/>
  <c r="E1087" i="8"/>
  <c r="E1088" i="8"/>
  <c r="E1089" i="8"/>
  <c r="E1090" i="8"/>
  <c r="E1091" i="8"/>
  <c r="E1092" i="8"/>
  <c r="E1093" i="8"/>
  <c r="E1094" i="8"/>
  <c r="E1095" i="8"/>
  <c r="E1096" i="8"/>
  <c r="E1097" i="8"/>
  <c r="E1098" i="8"/>
  <c r="E1099" i="8"/>
  <c r="E1100" i="8"/>
  <c r="E1101" i="8"/>
  <c r="E1102" i="8"/>
  <c r="E1103" i="8"/>
  <c r="E1104" i="8"/>
  <c r="E1105" i="8"/>
  <c r="E1106" i="8"/>
  <c r="E1107" i="8"/>
  <c r="E1108" i="8"/>
  <c r="E1109" i="8"/>
  <c r="E1110" i="8"/>
  <c r="E1111" i="8"/>
  <c r="E1112" i="8"/>
  <c r="E1113" i="8"/>
  <c r="E1114" i="8"/>
  <c r="E1115" i="8"/>
  <c r="E1116" i="8"/>
  <c r="E1117" i="8"/>
  <c r="E1118" i="8"/>
  <c r="E1119" i="8"/>
  <c r="E1120" i="8"/>
  <c r="E1121" i="8"/>
  <c r="E1122" i="8"/>
  <c r="E1123" i="8"/>
  <c r="E1124" i="8"/>
  <c r="E1125" i="8"/>
  <c r="E1126" i="8"/>
  <c r="E1127" i="8"/>
  <c r="E1128" i="8"/>
  <c r="E1129" i="8"/>
  <c r="E1130" i="8"/>
  <c r="E1131" i="8"/>
  <c r="E1132" i="8"/>
  <c r="E1133" i="8"/>
  <c r="E1134" i="8"/>
  <c r="E1135" i="8"/>
  <c r="E1136" i="8"/>
  <c r="E1137" i="8"/>
  <c r="E1138" i="8"/>
  <c r="E1139" i="8"/>
  <c r="E1140" i="8"/>
  <c r="E1141" i="8"/>
  <c r="E1142" i="8"/>
  <c r="E1143" i="8"/>
  <c r="E1144" i="8"/>
  <c r="E1145" i="8"/>
  <c r="E1146" i="8"/>
  <c r="E1147" i="8"/>
  <c r="E1148" i="8"/>
  <c r="E1149" i="8"/>
  <c r="E1150" i="8"/>
  <c r="E1151" i="8"/>
  <c r="E1152" i="8"/>
  <c r="E1153" i="8"/>
  <c r="E1154" i="8"/>
  <c r="E1155" i="8"/>
  <c r="E1156" i="8"/>
  <c r="E1157" i="8"/>
  <c r="E1158" i="8"/>
  <c r="E1159" i="8"/>
  <c r="E1160" i="8"/>
  <c r="E1161" i="8"/>
  <c r="E1162" i="8"/>
  <c r="E1163" i="8"/>
  <c r="E1164" i="8"/>
  <c r="E1165" i="8"/>
  <c r="E1166" i="8"/>
  <c r="E1167" i="8"/>
  <c r="E1168" i="8"/>
  <c r="E1169" i="8"/>
  <c r="E1170" i="8"/>
  <c r="E1171" i="8"/>
  <c r="E1172" i="8"/>
  <c r="E1173" i="8"/>
  <c r="E1174" i="8"/>
  <c r="E1175" i="8"/>
  <c r="E1176" i="8"/>
  <c r="E1177" i="8"/>
  <c r="E1178" i="8"/>
  <c r="E1179" i="8"/>
  <c r="E1180" i="8"/>
  <c r="E1181" i="8"/>
  <c r="E1182" i="8"/>
  <c r="E1183" i="8"/>
  <c r="E1184" i="8"/>
  <c r="E1185" i="8"/>
  <c r="E1186" i="8"/>
  <c r="E1187" i="8"/>
  <c r="E1188" i="8"/>
  <c r="E1189" i="8"/>
  <c r="E1190" i="8"/>
  <c r="E1191" i="8"/>
  <c r="E1192" i="8"/>
  <c r="E1193" i="8"/>
  <c r="E1194" i="8"/>
  <c r="E1195" i="8"/>
  <c r="E1196" i="8"/>
  <c r="E1197" i="8"/>
  <c r="E1198" i="8"/>
  <c r="E1199" i="8"/>
  <c r="E1200" i="8"/>
  <c r="E1201" i="8"/>
  <c r="E1202" i="8"/>
  <c r="E1203" i="8"/>
  <c r="E1204" i="8"/>
  <c r="E1205" i="8"/>
  <c r="E1206" i="8"/>
  <c r="E1207" i="8"/>
  <c r="E1208" i="8"/>
  <c r="E1209" i="8"/>
  <c r="E1210" i="8"/>
  <c r="E1211" i="8"/>
  <c r="E1212" i="8"/>
  <c r="E1213" i="8"/>
  <c r="E1214" i="8"/>
  <c r="E1215" i="8"/>
  <c r="E1216" i="8"/>
  <c r="E1217" i="8"/>
  <c r="E1218" i="8"/>
  <c r="E1219" i="8"/>
  <c r="E1220" i="8"/>
  <c r="E1221" i="8"/>
  <c r="E1222" i="8"/>
  <c r="E1223" i="8"/>
  <c r="E1224" i="8"/>
  <c r="E1225" i="8"/>
  <c r="E1226" i="8"/>
  <c r="E1227" i="8"/>
  <c r="E1228" i="8"/>
  <c r="E1229" i="8"/>
  <c r="E1230" i="8"/>
  <c r="E1231" i="8"/>
  <c r="E1232" i="8"/>
  <c r="E1233" i="8"/>
  <c r="E1234" i="8"/>
  <c r="E1235" i="8"/>
  <c r="E1236" i="8"/>
  <c r="E1237" i="8"/>
  <c r="E1238" i="8"/>
  <c r="E1239" i="8"/>
  <c r="E1240" i="8"/>
  <c r="E1241" i="8"/>
  <c r="E1242" i="8"/>
  <c r="E1243" i="8"/>
  <c r="E1244" i="8"/>
  <c r="E1245" i="8"/>
  <c r="E1246" i="8"/>
  <c r="E1247" i="8"/>
  <c r="E1248" i="8"/>
  <c r="E1249" i="8"/>
  <c r="E1250" i="8"/>
  <c r="E1251" i="8"/>
  <c r="E1252" i="8"/>
  <c r="E1253" i="8"/>
  <c r="E1254" i="8"/>
  <c r="E1255" i="8"/>
  <c r="E1256" i="8"/>
  <c r="E1257" i="8"/>
  <c r="E1258" i="8"/>
  <c r="E1259" i="8"/>
  <c r="E1260" i="8"/>
  <c r="E1261" i="8"/>
  <c r="E1262" i="8"/>
  <c r="E1263" i="8"/>
  <c r="E1264" i="8"/>
  <c r="E1265" i="8"/>
  <c r="E1266" i="8"/>
  <c r="E1267" i="8"/>
  <c r="E1268" i="8"/>
  <c r="E1269" i="8"/>
  <c r="E1270" i="8"/>
  <c r="E1271" i="8"/>
  <c r="E1272" i="8"/>
  <c r="E1273" i="8"/>
  <c r="E1274" i="8"/>
  <c r="E1275" i="8"/>
  <c r="E1276" i="8"/>
  <c r="E1277" i="8"/>
  <c r="E1278" i="8"/>
  <c r="E1279" i="8"/>
  <c r="E1280" i="8"/>
  <c r="E1281" i="8"/>
  <c r="E1282" i="8"/>
  <c r="E1283" i="8"/>
  <c r="E1284" i="8"/>
  <c r="E1285" i="8"/>
  <c r="E1286" i="8"/>
  <c r="E1287" i="8"/>
  <c r="E1288" i="8"/>
  <c r="E1289" i="8"/>
  <c r="E1290" i="8"/>
  <c r="E1291" i="8"/>
  <c r="E1292" i="8"/>
  <c r="E1293" i="8"/>
  <c r="E1294" i="8"/>
  <c r="E1295" i="8"/>
  <c r="E1296" i="8"/>
  <c r="E1297" i="8"/>
  <c r="E1298" i="8"/>
  <c r="E1299" i="8"/>
  <c r="E1300" i="8"/>
  <c r="E1301" i="8"/>
  <c r="E1302" i="8"/>
  <c r="E1303" i="8"/>
  <c r="E1304" i="8"/>
  <c r="E1305" i="8"/>
  <c r="E1306" i="8"/>
  <c r="E1307" i="8"/>
  <c r="E1308" i="8"/>
  <c r="E1309" i="8"/>
  <c r="E1310" i="8"/>
  <c r="E1311" i="8"/>
  <c r="E1312" i="8"/>
  <c r="E1313" i="8"/>
  <c r="E1314" i="8"/>
  <c r="E1315" i="8"/>
  <c r="E1316" i="8"/>
  <c r="E1317" i="8"/>
  <c r="E1318" i="8"/>
  <c r="E1319" i="8"/>
  <c r="E1320" i="8"/>
  <c r="E1321" i="8"/>
  <c r="E1322" i="8"/>
  <c r="E1323" i="8"/>
  <c r="E1324" i="8"/>
  <c r="E1325" i="8"/>
  <c r="E1326" i="8"/>
  <c r="E1327" i="8"/>
  <c r="E1328" i="8"/>
  <c r="E1329" i="8"/>
  <c r="E1330" i="8"/>
  <c r="E1331" i="8"/>
  <c r="E1332" i="8"/>
  <c r="E1333" i="8"/>
  <c r="E1334" i="8"/>
  <c r="E1335" i="8"/>
  <c r="E1336" i="8"/>
  <c r="E1337" i="8"/>
  <c r="E1338" i="8"/>
  <c r="E1339" i="8"/>
  <c r="E1340" i="8"/>
  <c r="E1341" i="8"/>
  <c r="E1342" i="8"/>
  <c r="E1343" i="8"/>
  <c r="E1344" i="8"/>
  <c r="E1345" i="8"/>
  <c r="E1346" i="8"/>
  <c r="E1347" i="8"/>
  <c r="E1348" i="8"/>
  <c r="E1349" i="8"/>
  <c r="E1350" i="8"/>
  <c r="E1351" i="8"/>
  <c r="E1352" i="8"/>
  <c r="E1353" i="8"/>
  <c r="E1354" i="8"/>
  <c r="E1355" i="8"/>
  <c r="E1356" i="8"/>
  <c r="E1357" i="8"/>
  <c r="E1358" i="8"/>
  <c r="E1359" i="8"/>
  <c r="E1360" i="8"/>
  <c r="E1361" i="8"/>
  <c r="E1362" i="8"/>
  <c r="E1363" i="8"/>
  <c r="E1364" i="8"/>
  <c r="E1365" i="8"/>
  <c r="E1366" i="8"/>
  <c r="E1367" i="8"/>
  <c r="E1368" i="8"/>
  <c r="E1369" i="8"/>
  <c r="E1370" i="8"/>
  <c r="E1371" i="8"/>
  <c r="E1372" i="8"/>
  <c r="E1373" i="8"/>
  <c r="E1374" i="8"/>
  <c r="E1375" i="8"/>
  <c r="E1376" i="8"/>
  <c r="E1377" i="8"/>
  <c r="E1378" i="8"/>
  <c r="E1379" i="8"/>
  <c r="E1380" i="8"/>
  <c r="E1381" i="8"/>
  <c r="E1382" i="8"/>
  <c r="E1383" i="8"/>
  <c r="E1384" i="8"/>
  <c r="E1385" i="8"/>
  <c r="E1386" i="8"/>
  <c r="E1387" i="8"/>
  <c r="E1388" i="8"/>
  <c r="E1389" i="8"/>
  <c r="E1390" i="8"/>
  <c r="E1391" i="8"/>
  <c r="E1392" i="8"/>
  <c r="E1393" i="8"/>
  <c r="E1394" i="8"/>
  <c r="E1395" i="8"/>
  <c r="E1396" i="8"/>
  <c r="E1397" i="8"/>
  <c r="E1398" i="8"/>
  <c r="E1399" i="8"/>
  <c r="E1400" i="8"/>
  <c r="E1401" i="8"/>
  <c r="E1402" i="8"/>
  <c r="E1403" i="8"/>
  <c r="E1404" i="8"/>
  <c r="E1405" i="8"/>
  <c r="E1406" i="8"/>
  <c r="E1407" i="8"/>
  <c r="E1408" i="8"/>
  <c r="E1409" i="8"/>
  <c r="E1410" i="8"/>
  <c r="E1411" i="8"/>
  <c r="E1412" i="8"/>
  <c r="E1413" i="8"/>
  <c r="E1414" i="8"/>
  <c r="E1415" i="8"/>
  <c r="E1416" i="8"/>
  <c r="E1417" i="8"/>
  <c r="E1418" i="8"/>
  <c r="E1419" i="8"/>
  <c r="E1420" i="8"/>
  <c r="E1421" i="8"/>
  <c r="E1422" i="8"/>
  <c r="E1423" i="8"/>
  <c r="E1424" i="8"/>
  <c r="E1425" i="8"/>
  <c r="E1426" i="8"/>
  <c r="E1427" i="8"/>
  <c r="E1428" i="8"/>
  <c r="E1429" i="8"/>
  <c r="E1430" i="8"/>
  <c r="E1431" i="8"/>
  <c r="E1432" i="8"/>
  <c r="E1433" i="8"/>
  <c r="E1434" i="8"/>
  <c r="E1435" i="8"/>
  <c r="E1436" i="8"/>
  <c r="E1437" i="8"/>
  <c r="E1438" i="8"/>
  <c r="E1439" i="8"/>
  <c r="E1440" i="8"/>
  <c r="E1441" i="8"/>
  <c r="E1442" i="8"/>
  <c r="E1443" i="8"/>
  <c r="E1444" i="8"/>
  <c r="E1445" i="8"/>
  <c r="E1446" i="8"/>
  <c r="E1447" i="8"/>
  <c r="E1448" i="8"/>
  <c r="E1449" i="8"/>
  <c r="E1450" i="8"/>
  <c r="E1451" i="8"/>
  <c r="E1452" i="8"/>
  <c r="E1453" i="8"/>
  <c r="E1454" i="8"/>
  <c r="E1455" i="8"/>
  <c r="E1456" i="8"/>
  <c r="E1457" i="8"/>
  <c r="E1458" i="8"/>
  <c r="E1459" i="8"/>
  <c r="E1460" i="8"/>
  <c r="E1461" i="8"/>
  <c r="E1462" i="8"/>
  <c r="E1463" i="8"/>
  <c r="E1464" i="8"/>
  <c r="E1465" i="8"/>
  <c r="E1466" i="8"/>
  <c r="E1467" i="8"/>
  <c r="E1468" i="8"/>
  <c r="E1469" i="8"/>
  <c r="E1470" i="8"/>
  <c r="E1471" i="8"/>
  <c r="E1472" i="8"/>
  <c r="E1473" i="8"/>
  <c r="E1474" i="8"/>
  <c r="E1475" i="8"/>
  <c r="E1476" i="8"/>
  <c r="E1477" i="8"/>
  <c r="E1478" i="8"/>
  <c r="E1479" i="8"/>
  <c r="E1480" i="8"/>
  <c r="E1481" i="8"/>
  <c r="E1482" i="8"/>
  <c r="E1483" i="8"/>
  <c r="E1484" i="8"/>
  <c r="E1485" i="8"/>
  <c r="E1486" i="8"/>
  <c r="E1487" i="8"/>
  <c r="E1488" i="8"/>
  <c r="E1489" i="8"/>
  <c r="E1490" i="8"/>
  <c r="E1491" i="8"/>
  <c r="E1492" i="8"/>
  <c r="E1493" i="8"/>
  <c r="E1494" i="8"/>
  <c r="E1495" i="8"/>
  <c r="E1496" i="8"/>
  <c r="E1497" i="8"/>
  <c r="E1498" i="8"/>
  <c r="E1499" i="8"/>
  <c r="E1500" i="8"/>
  <c r="E1501" i="8"/>
  <c r="E1502" i="8"/>
  <c r="E1503" i="8"/>
  <c r="E1504" i="8"/>
  <c r="E1505" i="8"/>
  <c r="E1506" i="8"/>
  <c r="E1507" i="8"/>
  <c r="E1508" i="8"/>
  <c r="E1509" i="8"/>
  <c r="E1510" i="8"/>
  <c r="E1511" i="8"/>
  <c r="E1512" i="8"/>
  <c r="E1513" i="8"/>
  <c r="E1514" i="8"/>
  <c r="E1515" i="8"/>
  <c r="E1516" i="8"/>
  <c r="E1517" i="8"/>
  <c r="E1518" i="8"/>
  <c r="E1519" i="8"/>
  <c r="E1520" i="8"/>
  <c r="E1521" i="8"/>
  <c r="E1522" i="8"/>
  <c r="E1523" i="8"/>
  <c r="E1524" i="8"/>
  <c r="E1525" i="8"/>
  <c r="E1526" i="8"/>
  <c r="E1527" i="8"/>
  <c r="E1528" i="8"/>
  <c r="E1529" i="8"/>
  <c r="E1530" i="8"/>
  <c r="E1531" i="8"/>
  <c r="E1532" i="8"/>
  <c r="E1533" i="8"/>
  <c r="E1534" i="8"/>
  <c r="E1535" i="8"/>
  <c r="E1536" i="8"/>
  <c r="E1537" i="8"/>
  <c r="E1538" i="8"/>
  <c r="E1539" i="8"/>
  <c r="E1540" i="8"/>
  <c r="E1541" i="8"/>
  <c r="E1542" i="8"/>
  <c r="E1543" i="8"/>
  <c r="E1544" i="8"/>
  <c r="E1545" i="8"/>
  <c r="E1546" i="8"/>
  <c r="E1547" i="8"/>
  <c r="E1548" i="8"/>
  <c r="E1549" i="8"/>
  <c r="E1550" i="8"/>
  <c r="E1551" i="8"/>
  <c r="E1552" i="8"/>
  <c r="E1553" i="8"/>
  <c r="E1554" i="8"/>
  <c r="E1555" i="8"/>
  <c r="E1556" i="8"/>
  <c r="E1557" i="8"/>
  <c r="E1558" i="8"/>
  <c r="E1559" i="8"/>
  <c r="E1560" i="8"/>
  <c r="E1561" i="8"/>
  <c r="E1562" i="8"/>
  <c r="E1563" i="8"/>
  <c r="E1564" i="8"/>
  <c r="E1565" i="8"/>
  <c r="E1566" i="8"/>
  <c r="E1567" i="8"/>
  <c r="E1568" i="8"/>
  <c r="E1569" i="8"/>
  <c r="E1570" i="8"/>
  <c r="E1571" i="8"/>
  <c r="E1572" i="8"/>
  <c r="E1573" i="8"/>
  <c r="E1574" i="8"/>
  <c r="E1575" i="8"/>
  <c r="E1576" i="8"/>
  <c r="E1577" i="8"/>
  <c r="E1578" i="8"/>
  <c r="E1579" i="8"/>
  <c r="E1580" i="8"/>
  <c r="E1581" i="8"/>
  <c r="E1582" i="8"/>
  <c r="E1583" i="8"/>
  <c r="E1584" i="8"/>
  <c r="E1585" i="8"/>
  <c r="E1586" i="8"/>
  <c r="E1587" i="8"/>
  <c r="E1588" i="8"/>
  <c r="E1589" i="8"/>
  <c r="E1590" i="8"/>
  <c r="E1591" i="8"/>
  <c r="E1592" i="8"/>
  <c r="E1593" i="8"/>
  <c r="E1594" i="8"/>
  <c r="E1595" i="8"/>
  <c r="E1596" i="8"/>
  <c r="E1597" i="8"/>
  <c r="E1598" i="8"/>
  <c r="E1599" i="8"/>
  <c r="E1600" i="8"/>
  <c r="E1601" i="8"/>
  <c r="E1602" i="8"/>
  <c r="E1603" i="8"/>
  <c r="E1604" i="8"/>
  <c r="E1605" i="8"/>
  <c r="E1606" i="8"/>
  <c r="E1607" i="8"/>
  <c r="E1608" i="8"/>
  <c r="E1609" i="8"/>
  <c r="E1610" i="8"/>
  <c r="E1611" i="8"/>
  <c r="E1612" i="8"/>
  <c r="E1613" i="8"/>
  <c r="E1614" i="8"/>
  <c r="E1615" i="8"/>
  <c r="E1616" i="8"/>
  <c r="E1617" i="8"/>
  <c r="E1618" i="8"/>
  <c r="E1619" i="8"/>
  <c r="E1620" i="8"/>
  <c r="E1621" i="8"/>
  <c r="E1622" i="8"/>
  <c r="E1623" i="8"/>
  <c r="E1624" i="8"/>
  <c r="E1625" i="8"/>
  <c r="E1626" i="8"/>
  <c r="E1627" i="8"/>
  <c r="E1628" i="8"/>
  <c r="E1629" i="8"/>
  <c r="E1630" i="8"/>
  <c r="E1631" i="8"/>
  <c r="E1632" i="8"/>
  <c r="E1633" i="8"/>
  <c r="E1634" i="8"/>
  <c r="E1635" i="8"/>
  <c r="E1636" i="8"/>
  <c r="E1637" i="8"/>
  <c r="E1638" i="8"/>
  <c r="E1639" i="8"/>
  <c r="E1640" i="8"/>
  <c r="E1641" i="8"/>
  <c r="E1642" i="8"/>
  <c r="E1643" i="8"/>
  <c r="E1644" i="8"/>
  <c r="E1645" i="8"/>
  <c r="E1646" i="8"/>
  <c r="E1647" i="8"/>
  <c r="E1648" i="8"/>
  <c r="E1649" i="8"/>
  <c r="E1650" i="8"/>
  <c r="E1651" i="8"/>
  <c r="E1652" i="8"/>
  <c r="E1653" i="8"/>
  <c r="E1654" i="8"/>
  <c r="E1655" i="8"/>
  <c r="E1656" i="8"/>
  <c r="E1657" i="8"/>
  <c r="E1658" i="8"/>
  <c r="E1659" i="8"/>
  <c r="E1660" i="8"/>
  <c r="E1661" i="8"/>
  <c r="E1662" i="8"/>
  <c r="E1663" i="8"/>
  <c r="E1664" i="8"/>
  <c r="E1665" i="8"/>
  <c r="E1666" i="8"/>
  <c r="E1667" i="8"/>
  <c r="E1668" i="8"/>
  <c r="E1669" i="8"/>
  <c r="E1670" i="8"/>
  <c r="E1671" i="8"/>
  <c r="E1672" i="8"/>
  <c r="E1673" i="8"/>
  <c r="E1674" i="8"/>
  <c r="E1675" i="8"/>
  <c r="E1676" i="8"/>
  <c r="E1677" i="8"/>
  <c r="E1678" i="8"/>
  <c r="E1679" i="8"/>
  <c r="E1680" i="8"/>
  <c r="E1681" i="8"/>
  <c r="E1682" i="8"/>
  <c r="E1683" i="8"/>
  <c r="E1684" i="8"/>
  <c r="E1685" i="8"/>
  <c r="E1686" i="8"/>
  <c r="E1687" i="8"/>
  <c r="E1688" i="8"/>
  <c r="E1689" i="8"/>
  <c r="E1690" i="8"/>
  <c r="E1691" i="8"/>
  <c r="E1692" i="8"/>
  <c r="E1693" i="8"/>
  <c r="E1694" i="8"/>
  <c r="E1695" i="8"/>
  <c r="E1696" i="8"/>
  <c r="E1697" i="8"/>
  <c r="E1698" i="8"/>
  <c r="E1699" i="8"/>
  <c r="E1700" i="8"/>
  <c r="E1701" i="8"/>
  <c r="E1702" i="8"/>
  <c r="E1703" i="8"/>
  <c r="E1704" i="8"/>
  <c r="E1705" i="8"/>
  <c r="E1706" i="8"/>
  <c r="E1707" i="8"/>
  <c r="E1708" i="8"/>
  <c r="E1709" i="8"/>
  <c r="E1710" i="8"/>
  <c r="E1711" i="8"/>
  <c r="E1712" i="8"/>
  <c r="E1713" i="8"/>
  <c r="E1714" i="8"/>
  <c r="E1715" i="8"/>
  <c r="E1716" i="8"/>
  <c r="E1717" i="8"/>
  <c r="E1718" i="8"/>
  <c r="E1719" i="8"/>
  <c r="E1720" i="8"/>
  <c r="E1721" i="8"/>
  <c r="E1722" i="8"/>
  <c r="E1723" i="8"/>
  <c r="E1724" i="8"/>
  <c r="E1725" i="8"/>
  <c r="E1726" i="8"/>
  <c r="E1727" i="8"/>
  <c r="E1728" i="8"/>
  <c r="E1729" i="8"/>
  <c r="E1730" i="8"/>
  <c r="E1731" i="8"/>
  <c r="E1732" i="8"/>
  <c r="E1733" i="8"/>
  <c r="E1734" i="8"/>
  <c r="E1735" i="8"/>
  <c r="E1736" i="8"/>
  <c r="E1737" i="8"/>
  <c r="E1738" i="8"/>
  <c r="E1739" i="8"/>
  <c r="E1740" i="8"/>
  <c r="E1741" i="8"/>
  <c r="E1742" i="8"/>
  <c r="E1743" i="8"/>
  <c r="E1744" i="8"/>
  <c r="E1745" i="8"/>
  <c r="E1746" i="8"/>
  <c r="E1747" i="8"/>
  <c r="E1748" i="8"/>
  <c r="E1749" i="8"/>
  <c r="E1750" i="8"/>
  <c r="E1751" i="8"/>
  <c r="E1752" i="8"/>
  <c r="E1753" i="8"/>
  <c r="E1754" i="8"/>
  <c r="E1755" i="8"/>
  <c r="E1756" i="8"/>
  <c r="E1757" i="8"/>
  <c r="E1758" i="8"/>
  <c r="E1759" i="8"/>
  <c r="E1760" i="8"/>
  <c r="E1761" i="8"/>
  <c r="E1762" i="8"/>
  <c r="E1763" i="8"/>
  <c r="E1764" i="8"/>
  <c r="E1765" i="8"/>
  <c r="E1766" i="8"/>
  <c r="E1767" i="8"/>
  <c r="E1768" i="8"/>
  <c r="E1769" i="8"/>
  <c r="E1770" i="8"/>
  <c r="E1771" i="8"/>
  <c r="E1772" i="8"/>
  <c r="E1773" i="8"/>
  <c r="E1774" i="8"/>
  <c r="E1775" i="8"/>
  <c r="E1776" i="8"/>
  <c r="E1777" i="8"/>
  <c r="E1778" i="8"/>
  <c r="E1779" i="8"/>
  <c r="E1780" i="8"/>
  <c r="E1781" i="8"/>
  <c r="E1782" i="8"/>
  <c r="E1783" i="8"/>
  <c r="E1784" i="8"/>
  <c r="E1785" i="8"/>
  <c r="E1786" i="8"/>
  <c r="E1787" i="8"/>
  <c r="E1788" i="8"/>
  <c r="E1789" i="8"/>
  <c r="E1790" i="8"/>
  <c r="E1791" i="8"/>
  <c r="E1792" i="8"/>
  <c r="E1793" i="8"/>
  <c r="E1794" i="8"/>
  <c r="E1795" i="8"/>
  <c r="E1796" i="8"/>
  <c r="E1797" i="8"/>
  <c r="E1798" i="8"/>
  <c r="E1799" i="8"/>
  <c r="E1800" i="8"/>
  <c r="E1801" i="8"/>
  <c r="E1802" i="8"/>
  <c r="E1803" i="8"/>
  <c r="E1804" i="8"/>
  <c r="E1805" i="8"/>
  <c r="E1806" i="8"/>
  <c r="E1807" i="8"/>
  <c r="E1808" i="8"/>
  <c r="E1809" i="8"/>
  <c r="E1810" i="8"/>
  <c r="E1811" i="8"/>
  <c r="E1812" i="8"/>
  <c r="E1813" i="8"/>
  <c r="E1814" i="8"/>
  <c r="E1815" i="8"/>
  <c r="E1816" i="8"/>
  <c r="E1817" i="8"/>
  <c r="E1818" i="8"/>
  <c r="E1819" i="8"/>
  <c r="E1820" i="8"/>
  <c r="E1821" i="8"/>
  <c r="E1822" i="8"/>
  <c r="E1823" i="8"/>
  <c r="E1824" i="8"/>
  <c r="E1825" i="8"/>
  <c r="E1826" i="8"/>
  <c r="E1827" i="8"/>
  <c r="E1828" i="8"/>
  <c r="E1829" i="8"/>
  <c r="E1830" i="8"/>
  <c r="E1831" i="8"/>
  <c r="E1832" i="8"/>
  <c r="E1833" i="8"/>
  <c r="E1834" i="8"/>
  <c r="E1835" i="8"/>
  <c r="E1836" i="8"/>
  <c r="E1837" i="8"/>
  <c r="E1838" i="8"/>
  <c r="E1839" i="8"/>
  <c r="E1840" i="8"/>
  <c r="E1841" i="8"/>
  <c r="E1842" i="8"/>
  <c r="E1843" i="8"/>
  <c r="E1844" i="8"/>
  <c r="E1845" i="8"/>
  <c r="E1846" i="8"/>
  <c r="E1847" i="8"/>
  <c r="E1848" i="8"/>
  <c r="E1849" i="8"/>
  <c r="E1850" i="8"/>
  <c r="E1851" i="8"/>
  <c r="E1852" i="8"/>
  <c r="E1853" i="8"/>
  <c r="E1854" i="8"/>
  <c r="E1855" i="8"/>
  <c r="E1856" i="8"/>
  <c r="E1857" i="8"/>
  <c r="E1858" i="8"/>
  <c r="E1859" i="8"/>
  <c r="E1860" i="8"/>
  <c r="E1861" i="8"/>
  <c r="E1862" i="8"/>
  <c r="E1863" i="8"/>
  <c r="E1864" i="8"/>
  <c r="E1865" i="8"/>
  <c r="E1866" i="8"/>
  <c r="E1867" i="8"/>
  <c r="E1868" i="8"/>
  <c r="E1869" i="8"/>
  <c r="E1870" i="8"/>
  <c r="E1871" i="8"/>
  <c r="E1872" i="8"/>
  <c r="E1873" i="8"/>
  <c r="E1874" i="8"/>
  <c r="E1875" i="8"/>
  <c r="E1876" i="8"/>
  <c r="E1877" i="8"/>
  <c r="E1878" i="8"/>
  <c r="E1879" i="8"/>
  <c r="E1880" i="8"/>
  <c r="E1881" i="8"/>
  <c r="E1882" i="8"/>
  <c r="E1883" i="8"/>
  <c r="E1884" i="8"/>
  <c r="E1885" i="8"/>
  <c r="E1886" i="8"/>
  <c r="E1887" i="8"/>
  <c r="E1888" i="8"/>
  <c r="E1889" i="8"/>
  <c r="E1890" i="8"/>
  <c r="E1891" i="8"/>
  <c r="E1892" i="8"/>
  <c r="E1893" i="8"/>
  <c r="E1894" i="8"/>
  <c r="E1895" i="8"/>
  <c r="E1896" i="8"/>
  <c r="E1897" i="8"/>
  <c r="E1898" i="8"/>
  <c r="E1899" i="8"/>
  <c r="E1900" i="8"/>
  <c r="E1901" i="8"/>
  <c r="E1902" i="8"/>
  <c r="E1903" i="8"/>
  <c r="E1904" i="8"/>
  <c r="E1905" i="8"/>
  <c r="E1906" i="8"/>
  <c r="E1907" i="8"/>
  <c r="E1908" i="8"/>
  <c r="E1909" i="8"/>
  <c r="E1910" i="8"/>
  <c r="E1911" i="8"/>
  <c r="E1912" i="8"/>
  <c r="E1913" i="8"/>
  <c r="E1914" i="8"/>
  <c r="E1915" i="8"/>
  <c r="E1916" i="8"/>
  <c r="E1917" i="8"/>
  <c r="E1918" i="8"/>
  <c r="E1919" i="8"/>
  <c r="E1920" i="8"/>
  <c r="E1921" i="8"/>
  <c r="E1922" i="8"/>
  <c r="E1923" i="8"/>
  <c r="E1924" i="8"/>
  <c r="E1925" i="8"/>
  <c r="E1926" i="8"/>
  <c r="E1927" i="8"/>
  <c r="E1928" i="8"/>
  <c r="E1929" i="8"/>
  <c r="E1930" i="8"/>
  <c r="E1931" i="8"/>
  <c r="E1932" i="8"/>
  <c r="E1933" i="8"/>
  <c r="E1934" i="8"/>
  <c r="E1935" i="8"/>
  <c r="E1936" i="8"/>
  <c r="C1932" i="8"/>
  <c r="C1933" i="8" s="1"/>
  <c r="C1934" i="8" s="1"/>
  <c r="C1935" i="8" s="1"/>
  <c r="C1936" i="8" s="1"/>
  <c r="C1924" i="8"/>
  <c r="C1925" i="8" s="1"/>
  <c r="C1926" i="8" s="1"/>
  <c r="C1927" i="8" s="1"/>
  <c r="C1928" i="8" s="1"/>
  <c r="C1929" i="8" s="1"/>
  <c r="C1930" i="8" s="1"/>
  <c r="C1911" i="8"/>
  <c r="C1912" i="8" s="1"/>
  <c r="C1913" i="8" s="1"/>
  <c r="C1914" i="8" s="1"/>
  <c r="C1915" i="8" s="1"/>
  <c r="C1916" i="8" s="1"/>
  <c r="C1917" i="8" s="1"/>
  <c r="C1918" i="8" s="1"/>
  <c r="C1919" i="8" s="1"/>
  <c r="C1920" i="8" s="1"/>
  <c r="C1921" i="8" s="1"/>
  <c r="C1922" i="8" s="1"/>
  <c r="C1886" i="8"/>
  <c r="C1887" i="8" s="1"/>
  <c r="C1888" i="8" s="1"/>
  <c r="C1889" i="8" s="1"/>
  <c r="C1890" i="8" s="1"/>
  <c r="C1891" i="8" s="1"/>
  <c r="C1892" i="8" s="1"/>
  <c r="C1893" i="8" s="1"/>
  <c r="C1894" i="8" s="1"/>
  <c r="C1895" i="8" s="1"/>
  <c r="C1896" i="8" s="1"/>
  <c r="C1897" i="8" s="1"/>
  <c r="C1898" i="8" s="1"/>
  <c r="C1899" i="8" s="1"/>
  <c r="C1900" i="8" s="1"/>
  <c r="C1901" i="8" s="1"/>
  <c r="C1902" i="8" s="1"/>
  <c r="C1903" i="8" s="1"/>
  <c r="C1904" i="8" s="1"/>
  <c r="C1905" i="8" s="1"/>
  <c r="C1906" i="8" s="1"/>
  <c r="C1907" i="8" s="1"/>
  <c r="C1908" i="8" s="1"/>
  <c r="C1909" i="8" s="1"/>
  <c r="C1870" i="8"/>
  <c r="C1871" i="8" s="1"/>
  <c r="C1872" i="8" s="1"/>
  <c r="C1873" i="8" s="1"/>
  <c r="C1874" i="8" s="1"/>
  <c r="C1875" i="8" s="1"/>
  <c r="C1876" i="8" s="1"/>
  <c r="C1877" i="8" s="1"/>
  <c r="C1878" i="8" s="1"/>
  <c r="C1879" i="8" s="1"/>
  <c r="C1880" i="8" s="1"/>
  <c r="C1881" i="8" s="1"/>
  <c r="C1882" i="8" s="1"/>
  <c r="C1883" i="8" s="1"/>
  <c r="C1884" i="8" s="1"/>
  <c r="C1865" i="8"/>
  <c r="C1866" i="8" s="1"/>
  <c r="C1867" i="8" s="1"/>
  <c r="C1868" i="8" s="1"/>
  <c r="C1844" i="8"/>
  <c r="C1845" i="8" s="1"/>
  <c r="C1846" i="8" s="1"/>
  <c r="C1847" i="8" s="1"/>
  <c r="C1848" i="8" s="1"/>
  <c r="C1849" i="8" s="1"/>
  <c r="C1850" i="8" s="1"/>
  <c r="C1851" i="8" s="1"/>
  <c r="C1852" i="8" s="1"/>
  <c r="C1853" i="8" s="1"/>
  <c r="C1854" i="8" s="1"/>
  <c r="C1855" i="8" s="1"/>
  <c r="C1856" i="8" s="1"/>
  <c r="C1857" i="8" s="1"/>
  <c r="C1858" i="8" s="1"/>
  <c r="C1859" i="8" s="1"/>
  <c r="C1860" i="8" s="1"/>
  <c r="C1861" i="8" s="1"/>
  <c r="C1862" i="8" s="1"/>
  <c r="C1863" i="8" s="1"/>
  <c r="C1828" i="8"/>
  <c r="C1829" i="8" s="1"/>
  <c r="C1830" i="8" s="1"/>
  <c r="C1831" i="8" s="1"/>
  <c r="C1832" i="8" s="1"/>
  <c r="C1833" i="8" s="1"/>
  <c r="C1834" i="8" s="1"/>
  <c r="C1835" i="8" s="1"/>
  <c r="C1836" i="8" s="1"/>
  <c r="C1837" i="8" s="1"/>
  <c r="C1838" i="8" s="1"/>
  <c r="C1839" i="8" s="1"/>
  <c r="C1840" i="8" s="1"/>
  <c r="C1841" i="8" s="1"/>
  <c r="C1842" i="8" s="1"/>
  <c r="C1818" i="8"/>
  <c r="C1819" i="8" s="1"/>
  <c r="C1820" i="8" s="1"/>
  <c r="C1821" i="8" s="1"/>
  <c r="C1822" i="8" s="1"/>
  <c r="C1823" i="8" s="1"/>
  <c r="C1824" i="8" s="1"/>
  <c r="C1825" i="8" s="1"/>
  <c r="C1826" i="8" s="1"/>
  <c r="C1806" i="8"/>
  <c r="C1807" i="8" s="1"/>
  <c r="C1808" i="8" s="1"/>
  <c r="C1809" i="8" s="1"/>
  <c r="C1810" i="8" s="1"/>
  <c r="C1811" i="8" s="1"/>
  <c r="C1812" i="8" s="1"/>
  <c r="C1813" i="8" s="1"/>
  <c r="C1814" i="8" s="1"/>
  <c r="C1815" i="8" s="1"/>
  <c r="C1816" i="8" s="1"/>
  <c r="C1804" i="8"/>
  <c r="C1796" i="8"/>
  <c r="C1797" i="8" s="1"/>
  <c r="C1798" i="8" s="1"/>
  <c r="C1799" i="8" s="1"/>
  <c r="C1800" i="8" s="1"/>
  <c r="C1801" i="8" s="1"/>
  <c r="C1802" i="8" s="1"/>
  <c r="C1779" i="8"/>
  <c r="C1780" i="8" s="1"/>
  <c r="C1781" i="8" s="1"/>
  <c r="C1782" i="8" s="1"/>
  <c r="C1783" i="8" s="1"/>
  <c r="C1784" i="8" s="1"/>
  <c r="C1785" i="8" s="1"/>
  <c r="C1786" i="8" s="1"/>
  <c r="C1787" i="8" s="1"/>
  <c r="C1788" i="8" s="1"/>
  <c r="C1789" i="8" s="1"/>
  <c r="C1790" i="8" s="1"/>
  <c r="C1791" i="8" s="1"/>
  <c r="C1792" i="8" s="1"/>
  <c r="C1793" i="8" s="1"/>
  <c r="C1794" i="8" s="1"/>
  <c r="C1763" i="8"/>
  <c r="C1764" i="8" s="1"/>
  <c r="C1765" i="8" s="1"/>
  <c r="C1766" i="8" s="1"/>
  <c r="C1767" i="8" s="1"/>
  <c r="C1768" i="8" s="1"/>
  <c r="C1769" i="8" s="1"/>
  <c r="C1770" i="8" s="1"/>
  <c r="C1771" i="8" s="1"/>
  <c r="C1772" i="8" s="1"/>
  <c r="C1773" i="8" s="1"/>
  <c r="C1774" i="8" s="1"/>
  <c r="C1775" i="8" s="1"/>
  <c r="C1776" i="8" s="1"/>
  <c r="C1777" i="8" s="1"/>
  <c r="C1751" i="8"/>
  <c r="C1752" i="8" s="1"/>
  <c r="C1753" i="8" s="1"/>
  <c r="C1754" i="8" s="1"/>
  <c r="C1755" i="8" s="1"/>
  <c r="C1756" i="8" s="1"/>
  <c r="C1757" i="8" s="1"/>
  <c r="C1758" i="8" s="1"/>
  <c r="C1759" i="8" s="1"/>
  <c r="C1760" i="8" s="1"/>
  <c r="C1761" i="8" s="1"/>
  <c r="C1744" i="8"/>
  <c r="C1745" i="8" s="1"/>
  <c r="C1746" i="8" s="1"/>
  <c r="C1747" i="8" s="1"/>
  <c r="C1748" i="8" s="1"/>
  <c r="C1749" i="8" s="1"/>
  <c r="C1737" i="8"/>
  <c r="C1738" i="8" s="1"/>
  <c r="C1739" i="8" s="1"/>
  <c r="C1740" i="8" s="1"/>
  <c r="C1741" i="8" s="1"/>
  <c r="C1725" i="8"/>
  <c r="C1726" i="8" s="1"/>
  <c r="C1727" i="8" s="1"/>
  <c r="C1728" i="8" s="1"/>
  <c r="C1729" i="8" s="1"/>
  <c r="C1730" i="8" s="1"/>
  <c r="C1731" i="8" s="1"/>
  <c r="C1732" i="8" s="1"/>
  <c r="C1733" i="8" s="1"/>
  <c r="C1734" i="8" s="1"/>
  <c r="C1735" i="8" s="1"/>
  <c r="C1722" i="8"/>
  <c r="C1723" i="8" s="1"/>
  <c r="C1694" i="8"/>
  <c r="C1695" i="8" s="1"/>
  <c r="C1696" i="8" s="1"/>
  <c r="C1697" i="8" s="1"/>
  <c r="C1698" i="8" s="1"/>
  <c r="C1699" i="8" s="1"/>
  <c r="C1700" i="8" s="1"/>
  <c r="C1701" i="8" s="1"/>
  <c r="C1702" i="8" s="1"/>
  <c r="C1703" i="8" s="1"/>
  <c r="C1704" i="8" s="1"/>
  <c r="C1705" i="8" s="1"/>
  <c r="C1706" i="8" s="1"/>
  <c r="C1707" i="8" s="1"/>
  <c r="C1708" i="8" s="1"/>
  <c r="C1709" i="8" s="1"/>
  <c r="C1710" i="8" s="1"/>
  <c r="C1711" i="8" s="1"/>
  <c r="C1712" i="8" s="1"/>
  <c r="C1713" i="8" s="1"/>
  <c r="C1714" i="8" s="1"/>
  <c r="C1715" i="8" s="1"/>
  <c r="C1716" i="8" s="1"/>
  <c r="C1717" i="8" s="1"/>
  <c r="C1718" i="8" s="1"/>
  <c r="C1719" i="8" s="1"/>
  <c r="C1720" i="8" s="1"/>
  <c r="C1674" i="8"/>
  <c r="C1675" i="8" s="1"/>
  <c r="C1676" i="8" s="1"/>
  <c r="C1677" i="8" s="1"/>
  <c r="C1678" i="8" s="1"/>
  <c r="C1679" i="8" s="1"/>
  <c r="C1680" i="8" s="1"/>
  <c r="C1681" i="8" s="1"/>
  <c r="C1682" i="8" s="1"/>
  <c r="C1683" i="8" s="1"/>
  <c r="C1684" i="8" s="1"/>
  <c r="C1685" i="8" s="1"/>
  <c r="C1686" i="8" s="1"/>
  <c r="C1687" i="8" s="1"/>
  <c r="C1688" i="8" s="1"/>
  <c r="C1689" i="8" s="1"/>
  <c r="C1690" i="8" s="1"/>
  <c r="C1691" i="8" s="1"/>
  <c r="C1692" i="8" s="1"/>
  <c r="C1672" i="8"/>
  <c r="C1669" i="8"/>
  <c r="C1670" i="8" s="1"/>
  <c r="C1655" i="8"/>
  <c r="C1656" i="8" s="1"/>
  <c r="C1657" i="8" s="1"/>
  <c r="C1658" i="8" s="1"/>
  <c r="C1659" i="8" s="1"/>
  <c r="C1660" i="8" s="1"/>
  <c r="C1661" i="8" s="1"/>
  <c r="C1662" i="8" s="1"/>
  <c r="C1663" i="8" s="1"/>
  <c r="C1664" i="8" s="1"/>
  <c r="C1665" i="8" s="1"/>
  <c r="C1666" i="8" s="1"/>
  <c r="C1667" i="8" s="1"/>
  <c r="C1650" i="8"/>
  <c r="C1651" i="8" s="1"/>
  <c r="C1652" i="8" s="1"/>
  <c r="C1653" i="8" s="1"/>
  <c r="C1645" i="8"/>
  <c r="C1646" i="8" s="1"/>
  <c r="C1647" i="8" s="1"/>
  <c r="C1648" i="8" s="1"/>
  <c r="C1637" i="8"/>
  <c r="C1638" i="8" s="1"/>
  <c r="C1639" i="8" s="1"/>
  <c r="C1640" i="8" s="1"/>
  <c r="C1641" i="8" s="1"/>
  <c r="C1642" i="8" s="1"/>
  <c r="C1643" i="8" s="1"/>
  <c r="C1634" i="8"/>
  <c r="C1635" i="8" s="1"/>
  <c r="C1632" i="8"/>
  <c r="C1630" i="8"/>
  <c r="C1624" i="8"/>
  <c r="C1625" i="8" s="1"/>
  <c r="C1626" i="8" s="1"/>
  <c r="C1627" i="8" s="1"/>
  <c r="C1628" i="8" s="1"/>
  <c r="C1587" i="8"/>
  <c r="C1588" i="8" s="1"/>
  <c r="C1589" i="8" s="1"/>
  <c r="C1590" i="8" s="1"/>
  <c r="C1591" i="8" s="1"/>
  <c r="C1592" i="8" s="1"/>
  <c r="C1593" i="8" s="1"/>
  <c r="C1594" i="8" s="1"/>
  <c r="C1595" i="8" s="1"/>
  <c r="C1596" i="8" s="1"/>
  <c r="C1597" i="8" s="1"/>
  <c r="C1598" i="8" s="1"/>
  <c r="C1599" i="8" s="1"/>
  <c r="C1600" i="8" s="1"/>
  <c r="C1601" i="8" s="1"/>
  <c r="C1602" i="8" s="1"/>
  <c r="C1603" i="8" s="1"/>
  <c r="C1604" i="8" s="1"/>
  <c r="C1605" i="8" s="1"/>
  <c r="C1606" i="8" s="1"/>
  <c r="C1607" i="8" s="1"/>
  <c r="C1608" i="8" s="1"/>
  <c r="C1609" i="8" s="1"/>
  <c r="C1610" i="8" s="1"/>
  <c r="C1611" i="8" s="1"/>
  <c r="C1612" i="8" s="1"/>
  <c r="C1613" i="8" s="1"/>
  <c r="C1614" i="8" s="1"/>
  <c r="C1615" i="8" s="1"/>
  <c r="C1616" i="8" s="1"/>
  <c r="C1617" i="8" s="1"/>
  <c r="C1618" i="8" s="1"/>
  <c r="C1619" i="8" s="1"/>
  <c r="C1620" i="8" s="1"/>
  <c r="C1621" i="8" s="1"/>
  <c r="C1622" i="8" s="1"/>
  <c r="C1580" i="8"/>
  <c r="C1581" i="8" s="1"/>
  <c r="C1582" i="8" s="1"/>
  <c r="C1583" i="8" s="1"/>
  <c r="C1584" i="8" s="1"/>
  <c r="C1585" i="8" s="1"/>
  <c r="C1574" i="8"/>
  <c r="C1575" i="8" s="1"/>
  <c r="C1576" i="8" s="1"/>
  <c r="C1577" i="8" s="1"/>
  <c r="C1578" i="8" s="1"/>
  <c r="C1571" i="8"/>
  <c r="C1572" i="8" s="1"/>
  <c r="C1567" i="8"/>
  <c r="C1568" i="8" s="1"/>
  <c r="C1569" i="8" s="1"/>
  <c r="C1543" i="8"/>
  <c r="C1544" i="8" s="1"/>
  <c r="C1545" i="8" s="1"/>
  <c r="C1546" i="8" s="1"/>
  <c r="C1547" i="8" s="1"/>
  <c r="C1548" i="8" s="1"/>
  <c r="C1549" i="8" s="1"/>
  <c r="C1550" i="8" s="1"/>
  <c r="C1551" i="8" s="1"/>
  <c r="C1552" i="8" s="1"/>
  <c r="C1553" i="8" s="1"/>
  <c r="C1554" i="8" s="1"/>
  <c r="C1555" i="8" s="1"/>
  <c r="C1556" i="8" s="1"/>
  <c r="C1557" i="8" s="1"/>
  <c r="C1558" i="8" s="1"/>
  <c r="C1559" i="8" s="1"/>
  <c r="C1560" i="8" s="1"/>
  <c r="C1561" i="8" s="1"/>
  <c r="C1562" i="8" s="1"/>
  <c r="C1563" i="8" s="1"/>
  <c r="C1564" i="8" s="1"/>
  <c r="C1565" i="8" s="1"/>
  <c r="C1535" i="8"/>
  <c r="C1536" i="8" s="1"/>
  <c r="C1537" i="8" s="1"/>
  <c r="C1538" i="8" s="1"/>
  <c r="C1539" i="8" s="1"/>
  <c r="C1540" i="8" s="1"/>
  <c r="C1541" i="8" s="1"/>
  <c r="C1528" i="8"/>
  <c r="C1529" i="8" s="1"/>
  <c r="C1530" i="8" s="1"/>
  <c r="C1531" i="8" s="1"/>
  <c r="C1532" i="8" s="1"/>
  <c r="C1533" i="8" s="1"/>
  <c r="C1503" i="8"/>
  <c r="C1504" i="8" s="1"/>
  <c r="C1505" i="8" s="1"/>
  <c r="C1506" i="8" s="1"/>
  <c r="C1507" i="8" s="1"/>
  <c r="C1508" i="8" s="1"/>
  <c r="C1509" i="8" s="1"/>
  <c r="C1510" i="8" s="1"/>
  <c r="C1511" i="8" s="1"/>
  <c r="C1512" i="8" s="1"/>
  <c r="C1513" i="8" s="1"/>
  <c r="C1514" i="8" s="1"/>
  <c r="C1515" i="8" s="1"/>
  <c r="C1516" i="8" s="1"/>
  <c r="C1517" i="8" s="1"/>
  <c r="C1518" i="8" s="1"/>
  <c r="C1519" i="8" s="1"/>
  <c r="C1520" i="8" s="1"/>
  <c r="C1521" i="8" s="1"/>
  <c r="C1522" i="8" s="1"/>
  <c r="C1523" i="8" s="1"/>
  <c r="C1524" i="8" s="1"/>
  <c r="C1525" i="8" s="1"/>
  <c r="C1526" i="8" s="1"/>
  <c r="C1479" i="8"/>
  <c r="C1480" i="8" s="1"/>
  <c r="C1481" i="8" s="1"/>
  <c r="C1482" i="8" s="1"/>
  <c r="C1483" i="8" s="1"/>
  <c r="C1484" i="8" s="1"/>
  <c r="C1485" i="8" s="1"/>
  <c r="C1486" i="8" s="1"/>
  <c r="C1487" i="8" s="1"/>
  <c r="C1488" i="8" s="1"/>
  <c r="C1489" i="8" s="1"/>
  <c r="C1490" i="8" s="1"/>
  <c r="C1491" i="8" s="1"/>
  <c r="C1492" i="8" s="1"/>
  <c r="C1493" i="8" s="1"/>
  <c r="C1494" i="8" s="1"/>
  <c r="C1495" i="8" s="1"/>
  <c r="C1496" i="8" s="1"/>
  <c r="C1497" i="8" s="1"/>
  <c r="C1498" i="8" s="1"/>
  <c r="C1499" i="8" s="1"/>
  <c r="C1500" i="8" s="1"/>
  <c r="C1501" i="8" s="1"/>
  <c r="C1462" i="8"/>
  <c r="C1463" i="8" s="1"/>
  <c r="C1464" i="8" s="1"/>
  <c r="C1465" i="8" s="1"/>
  <c r="C1466" i="8" s="1"/>
  <c r="C1467" i="8" s="1"/>
  <c r="C1468" i="8" s="1"/>
  <c r="C1469" i="8" s="1"/>
  <c r="C1470" i="8" s="1"/>
  <c r="C1471" i="8" s="1"/>
  <c r="C1472" i="8" s="1"/>
  <c r="C1473" i="8" s="1"/>
  <c r="C1474" i="8" s="1"/>
  <c r="C1475" i="8" s="1"/>
  <c r="C1476" i="8" s="1"/>
  <c r="C1477" i="8" s="1"/>
  <c r="C1458" i="8"/>
  <c r="C1459" i="8" s="1"/>
  <c r="C1460" i="8" s="1"/>
  <c r="C1446" i="8"/>
  <c r="C1447" i="8" s="1"/>
  <c r="C1448" i="8" s="1"/>
  <c r="C1449" i="8" s="1"/>
  <c r="C1450" i="8" s="1"/>
  <c r="C1451" i="8" s="1"/>
  <c r="C1452" i="8" s="1"/>
  <c r="C1453" i="8" s="1"/>
  <c r="C1454" i="8" s="1"/>
  <c r="C1455" i="8" s="1"/>
  <c r="C1456" i="8" s="1"/>
  <c r="C1443" i="8"/>
  <c r="C1444" i="8" s="1"/>
  <c r="C1418" i="8"/>
  <c r="C1419" i="8" s="1"/>
  <c r="C1420" i="8" s="1"/>
  <c r="C1421" i="8" s="1"/>
  <c r="C1422" i="8" s="1"/>
  <c r="C1423" i="8" s="1"/>
  <c r="C1424" i="8" s="1"/>
  <c r="C1425" i="8" s="1"/>
  <c r="C1426" i="8" s="1"/>
  <c r="C1427" i="8" s="1"/>
  <c r="C1428" i="8" s="1"/>
  <c r="C1429" i="8" s="1"/>
  <c r="C1430" i="8" s="1"/>
  <c r="C1431" i="8" s="1"/>
  <c r="C1432" i="8" s="1"/>
  <c r="C1433" i="8" s="1"/>
  <c r="C1434" i="8" s="1"/>
  <c r="C1435" i="8" s="1"/>
  <c r="C1436" i="8" s="1"/>
  <c r="C1437" i="8" s="1"/>
  <c r="C1438" i="8" s="1"/>
  <c r="C1439" i="8" s="1"/>
  <c r="C1440" i="8" s="1"/>
  <c r="C1441" i="8" s="1"/>
  <c r="C1401" i="8"/>
  <c r="C1402" i="8" s="1"/>
  <c r="C1403" i="8" s="1"/>
  <c r="C1404" i="8" s="1"/>
  <c r="C1405" i="8" s="1"/>
  <c r="C1406" i="8" s="1"/>
  <c r="C1407" i="8" s="1"/>
  <c r="C1408" i="8" s="1"/>
  <c r="C1409" i="8" s="1"/>
  <c r="C1410" i="8" s="1"/>
  <c r="C1411" i="8" s="1"/>
  <c r="C1412" i="8" s="1"/>
  <c r="C1413" i="8" s="1"/>
  <c r="C1414" i="8" s="1"/>
  <c r="C1415" i="8" s="1"/>
  <c r="C1416" i="8" s="1"/>
  <c r="C1387" i="8"/>
  <c r="C1388" i="8" s="1"/>
  <c r="C1389" i="8" s="1"/>
  <c r="C1390" i="8" s="1"/>
  <c r="C1391" i="8" s="1"/>
  <c r="C1392" i="8" s="1"/>
  <c r="C1393" i="8" s="1"/>
  <c r="C1394" i="8" s="1"/>
  <c r="C1395" i="8" s="1"/>
  <c r="C1396" i="8" s="1"/>
  <c r="C1397" i="8" s="1"/>
  <c r="C1398" i="8" s="1"/>
  <c r="C1372" i="8"/>
  <c r="C1373" i="8" s="1"/>
  <c r="C1374" i="8" s="1"/>
  <c r="C1375" i="8" s="1"/>
  <c r="C1376" i="8" s="1"/>
  <c r="C1377" i="8" s="1"/>
  <c r="C1378" i="8" s="1"/>
  <c r="C1379" i="8" s="1"/>
  <c r="C1380" i="8" s="1"/>
  <c r="C1381" i="8" s="1"/>
  <c r="C1382" i="8" s="1"/>
  <c r="C1383" i="8" s="1"/>
  <c r="C1384" i="8" s="1"/>
  <c r="C1385" i="8" s="1"/>
  <c r="C1367" i="8"/>
  <c r="C1368" i="8" s="1"/>
  <c r="C1369" i="8" s="1"/>
  <c r="C1362" i="8"/>
  <c r="C1363" i="8" s="1"/>
  <c r="C1364" i="8" s="1"/>
  <c r="C1365" i="8" s="1"/>
  <c r="C1355" i="8"/>
  <c r="C1356" i="8" s="1"/>
  <c r="C1357" i="8" s="1"/>
  <c r="C1358" i="8" s="1"/>
  <c r="C1359" i="8" s="1"/>
  <c r="C1360" i="8" s="1"/>
  <c r="C1350" i="8"/>
  <c r="C1351" i="8" s="1"/>
  <c r="C1345" i="8"/>
  <c r="C1346" i="8" s="1"/>
  <c r="C1347" i="8" s="1"/>
  <c r="C1343" i="8"/>
  <c r="C1339" i="8"/>
  <c r="C1340" i="8" s="1"/>
  <c r="C1341" i="8" s="1"/>
  <c r="C1337" i="8"/>
  <c r="C1333" i="8"/>
  <c r="C1334" i="8" s="1"/>
  <c r="C1335" i="8" s="1"/>
  <c r="C1321" i="8"/>
  <c r="C1322" i="8" s="1"/>
  <c r="C1323" i="8" s="1"/>
  <c r="C1324" i="8" s="1"/>
  <c r="C1325" i="8" s="1"/>
  <c r="C1326" i="8" s="1"/>
  <c r="C1327" i="8" s="1"/>
  <c r="C1328" i="8" s="1"/>
  <c r="C1329" i="8" s="1"/>
  <c r="C1330" i="8" s="1"/>
  <c r="C1331" i="8" s="1"/>
  <c r="C1319" i="8"/>
  <c r="C1305" i="8"/>
  <c r="C1306" i="8" s="1"/>
  <c r="C1307" i="8" s="1"/>
  <c r="C1308" i="8" s="1"/>
  <c r="C1309" i="8" s="1"/>
  <c r="C1310" i="8" s="1"/>
  <c r="C1311" i="8" s="1"/>
  <c r="C1312" i="8" s="1"/>
  <c r="C1313" i="8" s="1"/>
  <c r="C1314" i="8" s="1"/>
  <c r="C1315" i="8" s="1"/>
  <c r="C1316" i="8" s="1"/>
  <c r="C1317" i="8" s="1"/>
  <c r="C1299" i="8"/>
  <c r="C1300" i="8" s="1"/>
  <c r="C1301" i="8" s="1"/>
  <c r="C1302" i="8" s="1"/>
  <c r="C1303" i="8" s="1"/>
  <c r="C1264" i="8"/>
  <c r="C1265" i="8" s="1"/>
  <c r="C1266" i="8" s="1"/>
  <c r="C1267" i="8" s="1"/>
  <c r="C1268" i="8" s="1"/>
  <c r="C1269" i="8" s="1"/>
  <c r="C1270" i="8" s="1"/>
  <c r="C1271" i="8" s="1"/>
  <c r="C1272" i="8" s="1"/>
  <c r="C1273" i="8" s="1"/>
  <c r="C1274" i="8" s="1"/>
  <c r="C1275" i="8" s="1"/>
  <c r="C1276" i="8" s="1"/>
  <c r="C1277" i="8" s="1"/>
  <c r="C1278" i="8" s="1"/>
  <c r="C1279" i="8" s="1"/>
  <c r="C1280" i="8" s="1"/>
  <c r="C1281" i="8" s="1"/>
  <c r="C1282" i="8" s="1"/>
  <c r="C1283" i="8" s="1"/>
  <c r="C1284" i="8" s="1"/>
  <c r="C1285" i="8" s="1"/>
  <c r="C1286" i="8" s="1"/>
  <c r="C1287" i="8" s="1"/>
  <c r="C1288" i="8" s="1"/>
  <c r="C1289" i="8" s="1"/>
  <c r="C1290" i="8" s="1"/>
  <c r="C1291" i="8" s="1"/>
  <c r="C1292" i="8" s="1"/>
  <c r="C1293" i="8" s="1"/>
  <c r="C1294" i="8" s="1"/>
  <c r="C1295" i="8" s="1"/>
  <c r="C1296" i="8" s="1"/>
  <c r="C1297" i="8" s="1"/>
  <c r="C1244" i="8"/>
  <c r="C1245" i="8" s="1"/>
  <c r="C1246" i="8" s="1"/>
  <c r="C1247" i="8" s="1"/>
  <c r="C1248" i="8" s="1"/>
  <c r="C1249" i="8" s="1"/>
  <c r="C1250" i="8" s="1"/>
  <c r="C1251" i="8" s="1"/>
  <c r="C1252" i="8" s="1"/>
  <c r="C1253" i="8" s="1"/>
  <c r="C1254" i="8" s="1"/>
  <c r="C1255" i="8" s="1"/>
  <c r="C1256" i="8" s="1"/>
  <c r="C1257" i="8" s="1"/>
  <c r="C1258" i="8" s="1"/>
  <c r="C1259" i="8" s="1"/>
  <c r="C1260" i="8" s="1"/>
  <c r="C1261" i="8" s="1"/>
  <c r="C1262" i="8" s="1"/>
  <c r="C1229" i="8"/>
  <c r="C1230" i="8" s="1"/>
  <c r="C1231" i="8" s="1"/>
  <c r="C1232" i="8" s="1"/>
  <c r="C1233" i="8" s="1"/>
  <c r="C1234" i="8" s="1"/>
  <c r="C1235" i="8" s="1"/>
  <c r="C1236" i="8" s="1"/>
  <c r="C1237" i="8" s="1"/>
  <c r="C1238" i="8" s="1"/>
  <c r="C1239" i="8" s="1"/>
  <c r="C1240" i="8" s="1"/>
  <c r="C1241" i="8" s="1"/>
  <c r="C1242" i="8" s="1"/>
  <c r="C1224" i="8"/>
  <c r="C1225" i="8" s="1"/>
  <c r="C1226" i="8" s="1"/>
  <c r="C1227" i="8" s="1"/>
  <c r="C1191" i="8"/>
  <c r="C1192" i="8" s="1"/>
  <c r="C1193" i="8" s="1"/>
  <c r="C1194" i="8" s="1"/>
  <c r="C1195" i="8" s="1"/>
  <c r="C1196" i="8" s="1"/>
  <c r="C1197" i="8" s="1"/>
  <c r="C1198" i="8" s="1"/>
  <c r="C1199" i="8" s="1"/>
  <c r="C1200" i="8" s="1"/>
  <c r="C1201" i="8" s="1"/>
  <c r="C1202" i="8" s="1"/>
  <c r="C1203" i="8" s="1"/>
  <c r="C1204" i="8" s="1"/>
  <c r="C1205" i="8" s="1"/>
  <c r="C1206" i="8" s="1"/>
  <c r="C1207" i="8" s="1"/>
  <c r="C1208" i="8" s="1"/>
  <c r="C1209" i="8" s="1"/>
  <c r="C1210" i="8" s="1"/>
  <c r="C1211" i="8" s="1"/>
  <c r="C1212" i="8" s="1"/>
  <c r="C1213" i="8" s="1"/>
  <c r="C1214" i="8" s="1"/>
  <c r="C1215" i="8" s="1"/>
  <c r="C1216" i="8" s="1"/>
  <c r="C1217" i="8" s="1"/>
  <c r="C1218" i="8" s="1"/>
  <c r="C1219" i="8" s="1"/>
  <c r="C1220" i="8" s="1"/>
  <c r="C1221" i="8" s="1"/>
  <c r="C1222" i="8" s="1"/>
  <c r="C1184" i="8"/>
  <c r="C1185" i="8" s="1"/>
  <c r="C1186" i="8" s="1"/>
  <c r="C1187" i="8" s="1"/>
  <c r="C1188" i="8" s="1"/>
  <c r="C1189" i="8" s="1"/>
  <c r="C1181" i="8"/>
  <c r="C1182" i="8" s="1"/>
  <c r="C1177" i="8"/>
  <c r="C1178" i="8" s="1"/>
  <c r="C1179" i="8" s="1"/>
  <c r="C1167" i="8"/>
  <c r="C1168" i="8" s="1"/>
  <c r="C1169" i="8" s="1"/>
  <c r="C1170" i="8" s="1"/>
  <c r="C1171" i="8" s="1"/>
  <c r="C1172" i="8" s="1"/>
  <c r="C1173" i="8" s="1"/>
  <c r="C1174" i="8" s="1"/>
  <c r="C1175" i="8" s="1"/>
  <c r="C1163" i="8"/>
  <c r="C1164" i="8" s="1"/>
  <c r="C1165" i="8" s="1"/>
  <c r="C1160" i="8"/>
  <c r="C1161" i="8" s="1"/>
  <c r="C1149" i="8"/>
  <c r="C1150" i="8" s="1"/>
  <c r="C1151" i="8" s="1"/>
  <c r="C1152" i="8" s="1"/>
  <c r="C1153" i="8" s="1"/>
  <c r="C1154" i="8" s="1"/>
  <c r="C1155" i="8" s="1"/>
  <c r="C1156" i="8" s="1"/>
  <c r="C1157" i="8" s="1"/>
  <c r="C1158" i="8" s="1"/>
  <c r="C1143" i="8"/>
  <c r="C1144" i="8" s="1"/>
  <c r="C1145" i="8" s="1"/>
  <c r="C1146" i="8" s="1"/>
  <c r="C1147" i="8" s="1"/>
  <c r="C1130" i="8"/>
  <c r="C1131" i="8" s="1"/>
  <c r="C1132" i="8" s="1"/>
  <c r="C1133" i="8" s="1"/>
  <c r="C1134" i="8" s="1"/>
  <c r="C1135" i="8" s="1"/>
  <c r="C1136" i="8" s="1"/>
  <c r="C1137" i="8" s="1"/>
  <c r="C1138" i="8" s="1"/>
  <c r="C1139" i="8" s="1"/>
  <c r="C1140" i="8" s="1"/>
  <c r="C1141" i="8" s="1"/>
  <c r="C1123" i="8"/>
  <c r="C1124" i="8" s="1"/>
  <c r="C1125" i="8" s="1"/>
  <c r="C1126" i="8" s="1"/>
  <c r="C1127" i="8" s="1"/>
  <c r="C1128" i="8" s="1"/>
  <c r="C1117" i="8"/>
  <c r="C1118" i="8" s="1"/>
  <c r="C1119" i="8" s="1"/>
  <c r="C1120" i="8" s="1"/>
  <c r="C1121" i="8" s="1"/>
  <c r="C1109" i="8"/>
  <c r="C1110" i="8" s="1"/>
  <c r="C1111" i="8" s="1"/>
  <c r="C1112" i="8" s="1"/>
  <c r="C1113" i="8" s="1"/>
  <c r="C1114" i="8" s="1"/>
  <c r="C1115" i="8" s="1"/>
  <c r="C1106" i="8"/>
  <c r="C1107" i="8" s="1"/>
  <c r="C1103" i="8"/>
  <c r="C1104" i="8" s="1"/>
  <c r="C1095" i="8"/>
  <c r="C1096" i="8" s="1"/>
  <c r="C1097" i="8" s="1"/>
  <c r="C1098" i="8" s="1"/>
  <c r="C1099" i="8" s="1"/>
  <c r="C1100" i="8" s="1"/>
  <c r="C1101" i="8" s="1"/>
  <c r="C1089" i="8"/>
  <c r="C1090" i="8" s="1"/>
  <c r="C1091" i="8" s="1"/>
  <c r="C1092" i="8" s="1"/>
  <c r="C1093" i="8" s="1"/>
  <c r="C1086" i="8"/>
  <c r="C1087" i="8" s="1"/>
  <c r="C1067" i="8"/>
  <c r="C1068" i="8" s="1"/>
  <c r="C1069" i="8" s="1"/>
  <c r="C1070" i="8" s="1"/>
  <c r="C1071" i="8" s="1"/>
  <c r="C1072" i="8" s="1"/>
  <c r="C1073" i="8" s="1"/>
  <c r="C1074" i="8" s="1"/>
  <c r="C1075" i="8" s="1"/>
  <c r="C1076" i="8" s="1"/>
  <c r="C1077" i="8" s="1"/>
  <c r="C1078" i="8" s="1"/>
  <c r="C1079" i="8" s="1"/>
  <c r="C1080" i="8" s="1"/>
  <c r="C1081" i="8" s="1"/>
  <c r="C1082" i="8" s="1"/>
  <c r="C1083" i="8" s="1"/>
  <c r="C1084" i="8" s="1"/>
  <c r="C1063" i="8"/>
  <c r="C1064" i="8" s="1"/>
  <c r="C1065" i="8" s="1"/>
  <c r="C1057" i="8"/>
  <c r="C1058" i="8" s="1"/>
  <c r="C1059" i="8" s="1"/>
  <c r="C1060" i="8" s="1"/>
  <c r="C1061" i="8" s="1"/>
  <c r="C1054" i="8"/>
  <c r="C1055" i="8" s="1"/>
  <c r="C1049" i="8"/>
  <c r="C1050" i="8" s="1"/>
  <c r="C1051" i="8" s="1"/>
  <c r="C1052" i="8" s="1"/>
  <c r="C1042" i="8"/>
  <c r="C1043" i="8" s="1"/>
  <c r="C1044" i="8" s="1"/>
  <c r="C1045" i="8" s="1"/>
  <c r="C1046" i="8" s="1"/>
  <c r="C1047" i="8" s="1"/>
  <c r="C1036" i="8"/>
  <c r="C1037" i="8" s="1"/>
  <c r="C1038" i="8" s="1"/>
  <c r="C1039" i="8" s="1"/>
  <c r="C1040" i="8" s="1"/>
  <c r="C1031" i="8"/>
  <c r="C1032" i="8" s="1"/>
  <c r="C1033" i="8" s="1"/>
  <c r="C1034" i="8" s="1"/>
  <c r="C1028" i="8"/>
  <c r="C1029" i="8" s="1"/>
  <c r="C1017" i="8"/>
  <c r="C1018" i="8" s="1"/>
  <c r="C1019" i="8" s="1"/>
  <c r="C1020" i="8" s="1"/>
  <c r="C1021" i="8" s="1"/>
  <c r="C1022" i="8" s="1"/>
  <c r="C1023" i="8" s="1"/>
  <c r="C1024" i="8" s="1"/>
  <c r="C1025" i="8" s="1"/>
  <c r="C1026" i="8" s="1"/>
  <c r="C998" i="8"/>
  <c r="C999" i="8" s="1"/>
  <c r="C1000" i="8" s="1"/>
  <c r="C1001" i="8" s="1"/>
  <c r="C1002" i="8" s="1"/>
  <c r="C1003" i="8" s="1"/>
  <c r="C1004" i="8" s="1"/>
  <c r="C1005" i="8" s="1"/>
  <c r="C1006" i="8" s="1"/>
  <c r="C1007" i="8" s="1"/>
  <c r="C1008" i="8" s="1"/>
  <c r="C1009" i="8" s="1"/>
  <c r="C1010" i="8" s="1"/>
  <c r="C1011" i="8" s="1"/>
  <c r="C1012" i="8" s="1"/>
  <c r="C1013" i="8" s="1"/>
  <c r="C1014" i="8" s="1"/>
  <c r="C1015" i="8" s="1"/>
  <c r="C993" i="8"/>
  <c r="C994" i="8" s="1"/>
  <c r="C995" i="8" s="1"/>
  <c r="C996" i="8" s="1"/>
  <c r="C985" i="8"/>
  <c r="C986" i="8" s="1"/>
  <c r="C987" i="8" s="1"/>
  <c r="C988" i="8" s="1"/>
  <c r="C989" i="8" s="1"/>
  <c r="C990" i="8" s="1"/>
  <c r="C991" i="8" s="1"/>
  <c r="C966" i="8"/>
  <c r="C967" i="8" s="1"/>
  <c r="C968" i="8" s="1"/>
  <c r="C969" i="8" s="1"/>
  <c r="C970" i="8" s="1"/>
  <c r="C971" i="8" s="1"/>
  <c r="C972" i="8" s="1"/>
  <c r="C973" i="8" s="1"/>
  <c r="C974" i="8" s="1"/>
  <c r="C975" i="8" s="1"/>
  <c r="C976" i="8" s="1"/>
  <c r="C977" i="8" s="1"/>
  <c r="C978" i="8" s="1"/>
  <c r="C979" i="8" s="1"/>
  <c r="C980" i="8" s="1"/>
  <c r="C981" i="8" s="1"/>
  <c r="C982" i="8" s="1"/>
  <c r="C983" i="8" s="1"/>
  <c r="C948" i="8"/>
  <c r="C949" i="8" s="1"/>
  <c r="C950" i="8" s="1"/>
  <c r="C951" i="8" s="1"/>
  <c r="C952" i="8" s="1"/>
  <c r="C953" i="8" s="1"/>
  <c r="C954" i="8" s="1"/>
  <c r="C955" i="8" s="1"/>
  <c r="C956" i="8" s="1"/>
  <c r="C957" i="8" s="1"/>
  <c r="C958" i="8" s="1"/>
  <c r="C959" i="8" s="1"/>
  <c r="C960" i="8" s="1"/>
  <c r="C961" i="8" s="1"/>
  <c r="C962" i="8" s="1"/>
  <c r="C963" i="8" s="1"/>
  <c r="C964" i="8" s="1"/>
  <c r="C910" i="8"/>
  <c r="C911" i="8" s="1"/>
  <c r="C912" i="8" s="1"/>
  <c r="C913" i="8" s="1"/>
  <c r="C914" i="8" s="1"/>
  <c r="C915" i="8" s="1"/>
  <c r="C916" i="8" s="1"/>
  <c r="C917" i="8" s="1"/>
  <c r="C918" i="8" s="1"/>
  <c r="C919" i="8" s="1"/>
  <c r="C920" i="8" s="1"/>
  <c r="C921" i="8" s="1"/>
  <c r="C922" i="8" s="1"/>
  <c r="C923" i="8" s="1"/>
  <c r="C924" i="8" s="1"/>
  <c r="C925" i="8" s="1"/>
  <c r="C926" i="8" s="1"/>
  <c r="C927" i="8" s="1"/>
  <c r="C928" i="8" s="1"/>
  <c r="C929" i="8" s="1"/>
  <c r="C930" i="8" s="1"/>
  <c r="C931" i="8" s="1"/>
  <c r="C932" i="8" s="1"/>
  <c r="C933" i="8" s="1"/>
  <c r="C934" i="8" s="1"/>
  <c r="C935" i="8" s="1"/>
  <c r="C936" i="8" s="1"/>
  <c r="C937" i="8" s="1"/>
  <c r="C938" i="8" s="1"/>
  <c r="C939" i="8" s="1"/>
  <c r="C940" i="8" s="1"/>
  <c r="C941" i="8" s="1"/>
  <c r="C942" i="8" s="1"/>
  <c r="C943" i="8" s="1"/>
  <c r="C944" i="8" s="1"/>
  <c r="C945" i="8" s="1"/>
  <c r="C946" i="8" s="1"/>
  <c r="C905" i="8"/>
  <c r="C906" i="8" s="1"/>
  <c r="C907" i="8" s="1"/>
  <c r="C908" i="8" s="1"/>
  <c r="C900" i="8"/>
  <c r="C901" i="8" s="1"/>
  <c r="C902" i="8" s="1"/>
  <c r="C903" i="8" s="1"/>
  <c r="C893" i="8"/>
  <c r="C894" i="8" s="1"/>
  <c r="C895" i="8" s="1"/>
  <c r="C896" i="8" s="1"/>
  <c r="C897" i="8" s="1"/>
  <c r="C898" i="8" s="1"/>
  <c r="C888" i="8"/>
  <c r="C889" i="8" s="1"/>
  <c r="C890" i="8" s="1"/>
  <c r="C891" i="8" s="1"/>
  <c r="C883" i="8"/>
  <c r="C884" i="8" s="1"/>
  <c r="C885" i="8" s="1"/>
  <c r="C886" i="8" s="1"/>
  <c r="C877" i="8"/>
  <c r="C878" i="8" s="1"/>
  <c r="C879" i="8" s="1"/>
  <c r="C880" i="8" s="1"/>
  <c r="C873" i="8"/>
  <c r="C874" i="8" s="1"/>
  <c r="C875" i="8" s="1"/>
  <c r="C849" i="8"/>
  <c r="C850" i="8" s="1"/>
  <c r="C851" i="8" s="1"/>
  <c r="C852" i="8" s="1"/>
  <c r="C853" i="8" s="1"/>
  <c r="C854" i="8" s="1"/>
  <c r="C855" i="8" s="1"/>
  <c r="C856" i="8" s="1"/>
  <c r="C857" i="8" s="1"/>
  <c r="C858" i="8" s="1"/>
  <c r="C859" i="8" s="1"/>
  <c r="C860" i="8" s="1"/>
  <c r="C861" i="8" s="1"/>
  <c r="C862" i="8" s="1"/>
  <c r="C863" i="8" s="1"/>
  <c r="C864" i="8" s="1"/>
  <c r="C865" i="8" s="1"/>
  <c r="C866" i="8" s="1"/>
  <c r="C867" i="8" s="1"/>
  <c r="C868" i="8" s="1"/>
  <c r="C869" i="8" s="1"/>
  <c r="C870" i="8" s="1"/>
  <c r="C871" i="8" s="1"/>
  <c r="C844" i="8"/>
  <c r="C845" i="8" s="1"/>
  <c r="C846" i="8" s="1"/>
  <c r="C847" i="8" s="1"/>
  <c r="C841" i="8"/>
  <c r="C818" i="8"/>
  <c r="C819" i="8" s="1"/>
  <c r="C820" i="8" s="1"/>
  <c r="C821" i="8" s="1"/>
  <c r="C822" i="8" s="1"/>
  <c r="C823" i="8" s="1"/>
  <c r="C824" i="8" s="1"/>
  <c r="C825" i="8" s="1"/>
  <c r="C826" i="8" s="1"/>
  <c r="C827" i="8" s="1"/>
  <c r="C828" i="8" s="1"/>
  <c r="C829" i="8" s="1"/>
  <c r="C830" i="8" s="1"/>
  <c r="C831" i="8" s="1"/>
  <c r="C832" i="8" s="1"/>
  <c r="C833" i="8" s="1"/>
  <c r="C834" i="8" s="1"/>
  <c r="C835" i="8" s="1"/>
  <c r="C836" i="8" s="1"/>
  <c r="C837" i="8" s="1"/>
  <c r="C838" i="8" s="1"/>
  <c r="C839" i="8" s="1"/>
  <c r="C812" i="8"/>
  <c r="C813" i="8" s="1"/>
  <c r="C814" i="8" s="1"/>
  <c r="C815" i="8" s="1"/>
  <c r="C816" i="8" s="1"/>
  <c r="C805" i="8"/>
  <c r="C806" i="8" s="1"/>
  <c r="C807" i="8" s="1"/>
  <c r="C808" i="8" s="1"/>
  <c r="C809" i="8" s="1"/>
  <c r="C810" i="8" s="1"/>
  <c r="C789" i="8"/>
  <c r="C790" i="8" s="1"/>
  <c r="C791" i="8" s="1"/>
  <c r="C792" i="8" s="1"/>
  <c r="C793" i="8" s="1"/>
  <c r="C794" i="8" s="1"/>
  <c r="C795" i="8" s="1"/>
  <c r="C796" i="8" s="1"/>
  <c r="C797" i="8" s="1"/>
  <c r="C798" i="8" s="1"/>
  <c r="C799" i="8" s="1"/>
  <c r="C800" i="8" s="1"/>
  <c r="C801" i="8" s="1"/>
  <c r="C802" i="8" s="1"/>
  <c r="C803" i="8" s="1"/>
  <c r="C783" i="8"/>
  <c r="C784" i="8" s="1"/>
  <c r="C785" i="8" s="1"/>
  <c r="C786" i="8" s="1"/>
  <c r="C787" i="8" s="1"/>
  <c r="C777" i="8"/>
  <c r="C778" i="8" s="1"/>
  <c r="C779" i="8" s="1"/>
  <c r="C780" i="8" s="1"/>
  <c r="C781" i="8" s="1"/>
  <c r="C773" i="8"/>
  <c r="C774" i="8" s="1"/>
  <c r="C775" i="8" s="1"/>
  <c r="C765" i="8"/>
  <c r="C766" i="8" s="1"/>
  <c r="C767" i="8" s="1"/>
  <c r="C768" i="8" s="1"/>
  <c r="C769" i="8" s="1"/>
  <c r="C770" i="8" s="1"/>
  <c r="C771" i="8" s="1"/>
  <c r="C758" i="8"/>
  <c r="C759" i="8" s="1"/>
  <c r="C760" i="8" s="1"/>
  <c r="C761" i="8" s="1"/>
  <c r="C762" i="8" s="1"/>
  <c r="C763" i="8" s="1"/>
  <c r="C751" i="8"/>
  <c r="C752" i="8" s="1"/>
  <c r="C753" i="8" s="1"/>
  <c r="C754" i="8" s="1"/>
  <c r="C755" i="8" s="1"/>
  <c r="C756" i="8" s="1"/>
  <c r="C745" i="8"/>
  <c r="C746" i="8" s="1"/>
  <c r="C747" i="8" s="1"/>
  <c r="C748" i="8" s="1"/>
  <c r="C749" i="8" s="1"/>
  <c r="C739" i="8"/>
  <c r="C740" i="8" s="1"/>
  <c r="C741" i="8" s="1"/>
  <c r="C742" i="8" s="1"/>
  <c r="C743" i="8" s="1"/>
  <c r="C733" i="8"/>
  <c r="C734" i="8" s="1"/>
  <c r="C735" i="8" s="1"/>
  <c r="C736" i="8" s="1"/>
  <c r="C737" i="8" s="1"/>
  <c r="C730" i="8"/>
  <c r="C731" i="8" s="1"/>
  <c r="C727" i="8"/>
  <c r="C728" i="8" s="1"/>
  <c r="C724" i="8"/>
  <c r="C725" i="8" s="1"/>
  <c r="C717" i="8"/>
  <c r="C718" i="8" s="1"/>
  <c r="C719" i="8" s="1"/>
  <c r="C720" i="8" s="1"/>
  <c r="C721" i="8" s="1"/>
  <c r="C722" i="8" s="1"/>
  <c r="C712" i="8"/>
  <c r="C713" i="8" s="1"/>
  <c r="C714" i="8" s="1"/>
  <c r="C715" i="8" s="1"/>
  <c r="C707" i="8"/>
  <c r="C708" i="8" s="1"/>
  <c r="C709" i="8" s="1"/>
  <c r="C710" i="8" s="1"/>
  <c r="C702" i="8"/>
  <c r="C703" i="8" s="1"/>
  <c r="C704" i="8" s="1"/>
  <c r="C705" i="8" s="1"/>
  <c r="C696" i="8"/>
  <c r="C697" i="8" s="1"/>
  <c r="C698" i="8" s="1"/>
  <c r="C699" i="8" s="1"/>
  <c r="C700" i="8" s="1"/>
  <c r="C689" i="8"/>
  <c r="C690" i="8" s="1"/>
  <c r="C691" i="8" s="1"/>
  <c r="C692" i="8" s="1"/>
  <c r="C693" i="8" s="1"/>
  <c r="C694" i="8" s="1"/>
  <c r="C686" i="8"/>
  <c r="C687" i="8" s="1"/>
  <c r="C681" i="8"/>
  <c r="C682" i="8" s="1"/>
  <c r="C683" i="8" s="1"/>
  <c r="C684" i="8" s="1"/>
  <c r="C676" i="8"/>
  <c r="C677" i="8" s="1"/>
  <c r="C678" i="8" s="1"/>
  <c r="C679" i="8" s="1"/>
  <c r="C672" i="8"/>
  <c r="C673" i="8" s="1"/>
  <c r="C674" i="8" s="1"/>
  <c r="C663" i="8"/>
  <c r="C664" i="8" s="1"/>
  <c r="C665" i="8" s="1"/>
  <c r="C666" i="8" s="1"/>
  <c r="C667" i="8" s="1"/>
  <c r="C668" i="8" s="1"/>
  <c r="C669" i="8" s="1"/>
  <c r="C670" i="8" s="1"/>
  <c r="C658" i="8"/>
  <c r="C659" i="8" s="1"/>
  <c r="C660" i="8" s="1"/>
  <c r="C661" i="8" s="1"/>
  <c r="C652" i="8"/>
  <c r="C653" i="8" s="1"/>
  <c r="C654" i="8" s="1"/>
  <c r="C655" i="8" s="1"/>
  <c r="C656" i="8" s="1"/>
  <c r="C636" i="8"/>
  <c r="C637" i="8" s="1"/>
  <c r="C638" i="8" s="1"/>
  <c r="C639" i="8" s="1"/>
  <c r="C640" i="8" s="1"/>
  <c r="C641" i="8" s="1"/>
  <c r="C642" i="8" s="1"/>
  <c r="C643" i="8" s="1"/>
  <c r="C644" i="8" s="1"/>
  <c r="C645" i="8" s="1"/>
  <c r="C646" i="8" s="1"/>
  <c r="C647" i="8" s="1"/>
  <c r="C648" i="8" s="1"/>
  <c r="C649" i="8" s="1"/>
  <c r="C631" i="8"/>
  <c r="C632" i="8" s="1"/>
  <c r="C633" i="8" s="1"/>
  <c r="C634" i="8" s="1"/>
  <c r="C624" i="8"/>
  <c r="C625" i="8" s="1"/>
  <c r="C626" i="8" s="1"/>
  <c r="C627" i="8" s="1"/>
  <c r="C628" i="8" s="1"/>
  <c r="C614" i="8"/>
  <c r="C615" i="8" s="1"/>
  <c r="C616" i="8" s="1"/>
  <c r="C617" i="8" s="1"/>
  <c r="C618" i="8" s="1"/>
  <c r="C619" i="8" s="1"/>
  <c r="C620" i="8" s="1"/>
  <c r="C621" i="8" s="1"/>
  <c r="C622" i="8" s="1"/>
  <c r="C610" i="8"/>
  <c r="C611" i="8" s="1"/>
  <c r="C612" i="8" s="1"/>
  <c r="C606" i="8"/>
  <c r="C607" i="8" s="1"/>
  <c r="C608" i="8" s="1"/>
  <c r="C599" i="8"/>
  <c r="C600" i="8" s="1"/>
  <c r="C601" i="8" s="1"/>
  <c r="C602" i="8" s="1"/>
  <c r="C603" i="8" s="1"/>
  <c r="C604" i="8" s="1"/>
  <c r="C597" i="8"/>
  <c r="C589" i="8"/>
  <c r="C590" i="8" s="1"/>
  <c r="C591" i="8" s="1"/>
  <c r="C592" i="8" s="1"/>
  <c r="C593" i="8" s="1"/>
  <c r="C594" i="8" s="1"/>
  <c r="C595" i="8" s="1"/>
  <c r="C584" i="8"/>
  <c r="C585" i="8" s="1"/>
  <c r="C586" i="8" s="1"/>
  <c r="C587" i="8" s="1"/>
  <c r="C578" i="8"/>
  <c r="C579" i="8" s="1"/>
  <c r="C580" i="8" s="1"/>
  <c r="C581" i="8" s="1"/>
  <c r="C582" i="8" s="1"/>
  <c r="C567" i="8"/>
  <c r="C568" i="8" s="1"/>
  <c r="C569" i="8" s="1"/>
  <c r="C570" i="8" s="1"/>
  <c r="C571" i="8" s="1"/>
  <c r="C572" i="8" s="1"/>
  <c r="C573" i="8" s="1"/>
  <c r="C574" i="8" s="1"/>
  <c r="C575" i="8" s="1"/>
  <c r="C576" i="8" s="1"/>
  <c r="C556" i="8"/>
  <c r="C557" i="8" s="1"/>
  <c r="C558" i="8" s="1"/>
  <c r="C559" i="8" s="1"/>
  <c r="C560" i="8" s="1"/>
  <c r="C561" i="8" s="1"/>
  <c r="C562" i="8" s="1"/>
  <c r="C563" i="8" s="1"/>
  <c r="C564" i="8" s="1"/>
  <c r="C565" i="8" s="1"/>
  <c r="C550" i="8"/>
  <c r="C551" i="8" s="1"/>
  <c r="C552" i="8" s="1"/>
  <c r="C553" i="8" s="1"/>
  <c r="C554" i="8" s="1"/>
  <c r="C539" i="8"/>
  <c r="C540" i="8" s="1"/>
  <c r="C541" i="8" s="1"/>
  <c r="C542" i="8" s="1"/>
  <c r="C543" i="8" s="1"/>
  <c r="C544" i="8" s="1"/>
  <c r="C545" i="8" s="1"/>
  <c r="C546" i="8" s="1"/>
  <c r="C547" i="8" s="1"/>
  <c r="C548" i="8" s="1"/>
  <c r="C531" i="8"/>
  <c r="C532" i="8" s="1"/>
  <c r="C533" i="8" s="1"/>
  <c r="C534" i="8" s="1"/>
  <c r="C535" i="8" s="1"/>
  <c r="C536" i="8" s="1"/>
  <c r="C537" i="8" s="1"/>
  <c r="C527" i="8"/>
  <c r="C528" i="8" s="1"/>
  <c r="C529" i="8" s="1"/>
  <c r="C521" i="8"/>
  <c r="C522" i="8" s="1"/>
  <c r="C523" i="8" s="1"/>
  <c r="C524" i="8" s="1"/>
  <c r="C525" i="8" s="1"/>
  <c r="C514" i="8"/>
  <c r="C515" i="8" s="1"/>
  <c r="C516" i="8" s="1"/>
  <c r="C517" i="8" s="1"/>
  <c r="C518" i="8" s="1"/>
  <c r="C519" i="8" s="1"/>
  <c r="C507" i="8"/>
  <c r="C508" i="8" s="1"/>
  <c r="C509" i="8" s="1"/>
  <c r="C510" i="8" s="1"/>
  <c r="C511" i="8" s="1"/>
  <c r="C512" i="8" s="1"/>
  <c r="C502" i="8"/>
  <c r="C503" i="8" s="1"/>
  <c r="C504" i="8" s="1"/>
  <c r="C505" i="8" s="1"/>
  <c r="C497" i="8"/>
  <c r="C498" i="8" s="1"/>
  <c r="C499" i="8" s="1"/>
  <c r="C500" i="8" s="1"/>
  <c r="C487" i="8"/>
  <c r="C488" i="8" s="1"/>
  <c r="C489" i="8" s="1"/>
  <c r="C490" i="8" s="1"/>
  <c r="C491" i="8" s="1"/>
  <c r="C492" i="8" s="1"/>
  <c r="C493" i="8" s="1"/>
  <c r="C494" i="8" s="1"/>
  <c r="C495" i="8" s="1"/>
  <c r="C483" i="8"/>
  <c r="C484" i="8" s="1"/>
  <c r="C485" i="8" s="1"/>
  <c r="C475" i="8"/>
  <c r="C476" i="8" s="1"/>
  <c r="C477" i="8" s="1"/>
  <c r="C478" i="8" s="1"/>
  <c r="C479" i="8" s="1"/>
  <c r="C480" i="8" s="1"/>
  <c r="C481" i="8" s="1"/>
  <c r="C470" i="8"/>
  <c r="C471" i="8" s="1"/>
  <c r="C472" i="8" s="1"/>
  <c r="C473" i="8" s="1"/>
  <c r="C468" i="8"/>
  <c r="C465" i="8"/>
  <c r="C466" i="8" s="1"/>
  <c r="C462" i="8"/>
  <c r="C463" i="8" s="1"/>
  <c r="C457" i="8"/>
  <c r="C458" i="8" s="1"/>
  <c r="C459" i="8" s="1"/>
  <c r="C460" i="8" s="1"/>
  <c r="C454" i="8"/>
  <c r="C455" i="8" s="1"/>
  <c r="C448" i="8"/>
  <c r="C449" i="8" s="1"/>
  <c r="C450" i="8" s="1"/>
  <c r="C451" i="8" s="1"/>
  <c r="C452" i="8" s="1"/>
  <c r="C445" i="8"/>
  <c r="C446" i="8" s="1"/>
  <c r="C442" i="8"/>
  <c r="C443" i="8" s="1"/>
  <c r="C438" i="8"/>
  <c r="C439" i="8" s="1"/>
  <c r="C440" i="8" s="1"/>
  <c r="C433" i="8"/>
  <c r="C434" i="8" s="1"/>
  <c r="C435" i="8" s="1"/>
  <c r="C436" i="8" s="1"/>
  <c r="C430" i="8"/>
  <c r="C431" i="8" s="1"/>
  <c r="C423" i="8"/>
  <c r="C424" i="8" s="1"/>
  <c r="C425" i="8" s="1"/>
  <c r="C426" i="8" s="1"/>
  <c r="C427" i="8" s="1"/>
  <c r="C428" i="8" s="1"/>
  <c r="C419" i="8"/>
  <c r="C420" i="8" s="1"/>
  <c r="C421" i="8" s="1"/>
  <c r="C414" i="8"/>
  <c r="C415" i="8" s="1"/>
  <c r="C416" i="8" s="1"/>
  <c r="C417" i="8" s="1"/>
  <c r="C407" i="8"/>
  <c r="C408" i="8" s="1"/>
  <c r="C409" i="8" s="1"/>
  <c r="C410" i="8" s="1"/>
  <c r="C411" i="8" s="1"/>
  <c r="C412" i="8" s="1"/>
  <c r="C402" i="8"/>
  <c r="C403" i="8" s="1"/>
  <c r="C404" i="8" s="1"/>
  <c r="C405" i="8" s="1"/>
  <c r="C396" i="8"/>
  <c r="C397" i="8" s="1"/>
  <c r="C398" i="8" s="1"/>
  <c r="C399" i="8" s="1"/>
  <c r="C400" i="8" s="1"/>
  <c r="C390" i="8"/>
  <c r="C391" i="8" s="1"/>
  <c r="C392" i="8" s="1"/>
  <c r="C393" i="8" s="1"/>
  <c r="C394" i="8" s="1"/>
  <c r="C386" i="8"/>
  <c r="C387" i="8" s="1"/>
  <c r="C388" i="8" s="1"/>
  <c r="C383" i="8"/>
  <c r="C384" i="8" s="1"/>
  <c r="C375" i="8"/>
  <c r="C376" i="8" s="1"/>
  <c r="C377" i="8" s="1"/>
  <c r="C378" i="8" s="1"/>
  <c r="C379" i="8" s="1"/>
  <c r="C380" i="8" s="1"/>
  <c r="C381" i="8" s="1"/>
  <c r="C365" i="8"/>
  <c r="C366" i="8" s="1"/>
  <c r="C367" i="8" s="1"/>
  <c r="C368" i="8" s="1"/>
  <c r="C369" i="8" s="1"/>
  <c r="C370" i="8" s="1"/>
  <c r="C371" i="8" s="1"/>
  <c r="C372" i="8" s="1"/>
  <c r="C373" i="8" s="1"/>
  <c r="C353" i="8"/>
  <c r="C354" i="8" s="1"/>
  <c r="C355" i="8" s="1"/>
  <c r="C356" i="8" s="1"/>
  <c r="C357" i="8" s="1"/>
  <c r="C358" i="8" s="1"/>
  <c r="C359" i="8" s="1"/>
  <c r="C360" i="8" s="1"/>
  <c r="C361" i="8" s="1"/>
  <c r="C362" i="8" s="1"/>
  <c r="C363" i="8" s="1"/>
  <c r="C349" i="8"/>
  <c r="C350" i="8" s="1"/>
  <c r="C351" i="8" s="1"/>
  <c r="C338" i="8"/>
  <c r="C339" i="8" s="1"/>
  <c r="C340" i="8" s="1"/>
  <c r="C341" i="8" s="1"/>
  <c r="C342" i="8" s="1"/>
  <c r="C343" i="8" s="1"/>
  <c r="C344" i="8" s="1"/>
  <c r="C345" i="8" s="1"/>
  <c r="C346" i="8" s="1"/>
  <c r="C347" i="8" s="1"/>
  <c r="C326" i="8"/>
  <c r="C327" i="8" s="1"/>
  <c r="C328" i="8" s="1"/>
  <c r="C329" i="8" s="1"/>
  <c r="C330" i="8" s="1"/>
  <c r="C331" i="8" s="1"/>
  <c r="C332" i="8" s="1"/>
  <c r="C333" i="8" s="1"/>
  <c r="C334" i="8" s="1"/>
  <c r="C335" i="8" s="1"/>
  <c r="C336" i="8" s="1"/>
  <c r="C319" i="8"/>
  <c r="C320" i="8" s="1"/>
  <c r="C321" i="8" s="1"/>
  <c r="C322" i="8" s="1"/>
  <c r="C323" i="8" s="1"/>
  <c r="C324" i="8" s="1"/>
  <c r="C315" i="8"/>
  <c r="C316" i="8" s="1"/>
  <c r="C308" i="8"/>
  <c r="C309" i="8" s="1"/>
  <c r="C310" i="8" s="1"/>
  <c r="C311" i="8" s="1"/>
  <c r="C312" i="8" s="1"/>
  <c r="C313" i="8" s="1"/>
  <c r="C300" i="8"/>
  <c r="C301" i="8" s="1"/>
  <c r="C302" i="8" s="1"/>
  <c r="C303" i="8" s="1"/>
  <c r="C304" i="8" s="1"/>
  <c r="C305" i="8" s="1"/>
  <c r="C306" i="8" s="1"/>
  <c r="C298" i="8"/>
  <c r="C287" i="8"/>
  <c r="C288" i="8" s="1"/>
  <c r="C289" i="8" s="1"/>
  <c r="C290" i="8" s="1"/>
  <c r="C291" i="8" s="1"/>
  <c r="C292" i="8" s="1"/>
  <c r="C293" i="8" s="1"/>
  <c r="C294" i="8" s="1"/>
  <c r="C295" i="8" s="1"/>
  <c r="C296" i="8" s="1"/>
  <c r="C273" i="8"/>
  <c r="C274" i="8" s="1"/>
  <c r="C275" i="8" s="1"/>
  <c r="C276" i="8" s="1"/>
  <c r="C277" i="8" s="1"/>
  <c r="C278" i="8" s="1"/>
  <c r="C279" i="8" s="1"/>
  <c r="C280" i="8" s="1"/>
  <c r="C281" i="8" s="1"/>
  <c r="C282" i="8" s="1"/>
  <c r="C283" i="8" s="1"/>
  <c r="C284" i="8" s="1"/>
  <c r="C285" i="8" s="1"/>
  <c r="C268" i="8"/>
  <c r="C269" i="8" s="1"/>
  <c r="C270" i="8" s="1"/>
  <c r="C271" i="8" s="1"/>
  <c r="C262" i="8"/>
  <c r="C263" i="8" s="1"/>
  <c r="C264" i="8" s="1"/>
  <c r="C265" i="8" s="1"/>
  <c r="C266" i="8" s="1"/>
  <c r="C256" i="8"/>
  <c r="C257" i="8" s="1"/>
  <c r="C258" i="8" s="1"/>
  <c r="C259" i="8" s="1"/>
  <c r="C260" i="8" s="1"/>
  <c r="C250" i="8"/>
  <c r="C251" i="8" s="1"/>
  <c r="C252" i="8" s="1"/>
  <c r="C253" i="8" s="1"/>
  <c r="C254" i="8" s="1"/>
  <c r="C243" i="8"/>
  <c r="C244" i="8" s="1"/>
  <c r="C245" i="8" s="1"/>
  <c r="C246" i="8" s="1"/>
  <c r="C247" i="8" s="1"/>
  <c r="C248" i="8" s="1"/>
  <c r="C236" i="8"/>
  <c r="C237" i="8" s="1"/>
  <c r="C238" i="8" s="1"/>
  <c r="C239" i="8" s="1"/>
  <c r="C240" i="8" s="1"/>
  <c r="C230" i="8"/>
  <c r="C231" i="8" s="1"/>
  <c r="C232" i="8" s="1"/>
  <c r="C233" i="8" s="1"/>
  <c r="C234" i="8" s="1"/>
  <c r="C222" i="8"/>
  <c r="C223" i="8" s="1"/>
  <c r="C224" i="8" s="1"/>
  <c r="C225" i="8" s="1"/>
  <c r="C226" i="8" s="1"/>
  <c r="C227" i="8" s="1"/>
  <c r="C228" i="8" s="1"/>
  <c r="C216" i="8"/>
  <c r="C217" i="8" s="1"/>
  <c r="C218" i="8" s="1"/>
  <c r="C219" i="8" s="1"/>
  <c r="C220" i="8" s="1"/>
  <c r="C210" i="8"/>
  <c r="C211" i="8" s="1"/>
  <c r="C212" i="8" s="1"/>
  <c r="C213" i="8" s="1"/>
  <c r="C214" i="8" s="1"/>
  <c r="C204" i="8"/>
  <c r="C205" i="8" s="1"/>
  <c r="C206" i="8" s="1"/>
  <c r="C207" i="8" s="1"/>
  <c r="C208" i="8" s="1"/>
  <c r="C196" i="8"/>
  <c r="C197" i="8" s="1"/>
  <c r="C198" i="8" s="1"/>
  <c r="C199" i="8" s="1"/>
  <c r="C200" i="8" s="1"/>
  <c r="C201" i="8" s="1"/>
  <c r="C202" i="8" s="1"/>
  <c r="C193" i="8"/>
  <c r="C185" i="8"/>
  <c r="C186" i="8" s="1"/>
  <c r="C187" i="8" s="1"/>
  <c r="C188" i="8" s="1"/>
  <c r="C189" i="8" s="1"/>
  <c r="C190" i="8" s="1"/>
  <c r="C191" i="8" s="1"/>
  <c r="C181" i="8"/>
  <c r="C182" i="8" s="1"/>
  <c r="C183" i="8" s="1"/>
  <c r="C175" i="8"/>
  <c r="C176" i="8" s="1"/>
  <c r="C177" i="8" s="1"/>
  <c r="C178" i="8" s="1"/>
  <c r="C179" i="8" s="1"/>
  <c r="C169" i="8"/>
  <c r="C170" i="8" s="1"/>
  <c r="C171" i="8" s="1"/>
  <c r="C172" i="8" s="1"/>
  <c r="C173" i="8" s="1"/>
  <c r="C161" i="8"/>
  <c r="C162" i="8" s="1"/>
  <c r="C163" i="8" s="1"/>
  <c r="C164" i="8" s="1"/>
  <c r="C165" i="8" s="1"/>
  <c r="C166" i="8" s="1"/>
  <c r="C167" i="8" s="1"/>
  <c r="C156" i="8"/>
  <c r="C157" i="8" s="1"/>
  <c r="C158" i="8" s="1"/>
  <c r="C159" i="8" s="1"/>
  <c r="C147" i="8"/>
  <c r="C148" i="8" s="1"/>
  <c r="C149" i="8" s="1"/>
  <c r="C150" i="8" s="1"/>
  <c r="C151" i="8" s="1"/>
  <c r="C152" i="8" s="1"/>
  <c r="C153" i="8" s="1"/>
  <c r="C154" i="8" s="1"/>
  <c r="C133" i="8"/>
  <c r="C134" i="8" s="1"/>
  <c r="C135" i="8" s="1"/>
  <c r="C136" i="8" s="1"/>
  <c r="C137" i="8" s="1"/>
  <c r="C138" i="8" s="1"/>
  <c r="C139" i="8" s="1"/>
  <c r="C140" i="8" s="1"/>
  <c r="C141" i="8" s="1"/>
  <c r="C142" i="8" s="1"/>
  <c r="C143" i="8" s="1"/>
  <c r="C144" i="8" s="1"/>
  <c r="C145" i="8" s="1"/>
  <c r="C128" i="8"/>
  <c r="C129" i="8" s="1"/>
  <c r="C130" i="8" s="1"/>
  <c r="C131" i="8" s="1"/>
  <c r="C126" i="8"/>
  <c r="C114" i="8"/>
  <c r="C115" i="8" s="1"/>
  <c r="C116" i="8" s="1"/>
  <c r="C117" i="8" s="1"/>
  <c r="C118" i="8" s="1"/>
  <c r="C119" i="8" s="1"/>
  <c r="C120" i="8" s="1"/>
  <c r="C121" i="8" s="1"/>
  <c r="C122" i="8" s="1"/>
  <c r="C123" i="8" s="1"/>
  <c r="C124" i="8" s="1"/>
  <c r="C97" i="8"/>
  <c r="C98" i="8" s="1"/>
  <c r="C99" i="8" s="1"/>
  <c r="C100" i="8" s="1"/>
  <c r="C101" i="8" s="1"/>
  <c r="C102" i="8" s="1"/>
  <c r="C103" i="8" s="1"/>
  <c r="C104" i="8" s="1"/>
  <c r="C105" i="8" s="1"/>
  <c r="C106" i="8" s="1"/>
  <c r="C107" i="8" s="1"/>
  <c r="C108" i="8" s="1"/>
  <c r="C109" i="8" s="1"/>
  <c r="C110" i="8" s="1"/>
  <c r="C111" i="8" s="1"/>
  <c r="C112" i="8" s="1"/>
  <c r="C91" i="8"/>
  <c r="C92" i="8" s="1"/>
  <c r="C93" i="8" s="1"/>
  <c r="C94" i="8" s="1"/>
  <c r="C95" i="8" s="1"/>
  <c r="C87" i="8"/>
  <c r="C88" i="8" s="1"/>
  <c r="C89" i="8" s="1"/>
  <c r="C85" i="8"/>
  <c r="C83" i="8"/>
  <c r="C80" i="8"/>
  <c r="C81" i="8" s="1"/>
  <c r="C77" i="8"/>
  <c r="C78" i="8" s="1"/>
  <c r="C70" i="8"/>
  <c r="C71" i="8" s="1"/>
  <c r="C72" i="8" s="1"/>
  <c r="C73" i="8" s="1"/>
  <c r="C74" i="8" s="1"/>
  <c r="C75" i="8" s="1"/>
  <c r="C66" i="8"/>
  <c r="C67" i="8" s="1"/>
  <c r="C68" i="8" s="1"/>
  <c r="C61" i="8"/>
  <c r="C62" i="8" s="1"/>
  <c r="C63" i="8" s="1"/>
  <c r="C64" i="8" s="1"/>
  <c r="C54" i="8"/>
  <c r="C55" i="8" s="1"/>
  <c r="C56" i="8" s="1"/>
  <c r="C57" i="8" s="1"/>
  <c r="C58" i="8" s="1"/>
  <c r="C59" i="8" s="1"/>
  <c r="C49" i="8"/>
  <c r="C50" i="8" s="1"/>
  <c r="C51" i="8" s="1"/>
  <c r="C52" i="8" s="1"/>
  <c r="C43" i="8"/>
  <c r="C44" i="8" s="1"/>
  <c r="C45" i="8" s="1"/>
  <c r="C46" i="8" s="1"/>
  <c r="C47" i="8" s="1"/>
  <c r="C27" i="8"/>
  <c r="C28" i="8" s="1"/>
  <c r="C29" i="8" s="1"/>
  <c r="C30" i="8" s="1"/>
  <c r="C31" i="8" s="1"/>
  <c r="C32" i="8" s="1"/>
  <c r="C33" i="8" s="1"/>
  <c r="C34" i="8" s="1"/>
  <c r="C35" i="8" s="1"/>
  <c r="C36" i="8" s="1"/>
  <c r="C37" i="8" s="1"/>
  <c r="C38" i="8" s="1"/>
  <c r="C39" i="8" s="1"/>
  <c r="C12" i="8"/>
  <c r="C13" i="8" s="1"/>
  <c r="C14" i="8" s="1"/>
  <c r="C15" i="8" s="1"/>
  <c r="C16" i="8" s="1"/>
  <c r="C17" i="8" s="1"/>
  <c r="C18" i="8" s="1"/>
  <c r="C19" i="8" s="1"/>
  <c r="C20" i="8" s="1"/>
  <c r="C21" i="8" s="1"/>
  <c r="C22" i="8" s="1"/>
  <c r="C23" i="8" s="1"/>
  <c r="C24" i="8" s="1"/>
  <c r="C25" i="8" s="1"/>
  <c r="C9" i="8"/>
  <c r="C10" i="8" s="1"/>
  <c r="C7" i="8"/>
  <c r="C5" i="8"/>
  <c r="D13" i="5"/>
  <c r="D192" i="3" s="1"/>
  <c r="C2" i="5"/>
  <c r="C3" i="5"/>
  <c r="D3" i="5" s="1"/>
  <c r="D201" i="3" s="1"/>
  <c r="C4" i="5"/>
  <c r="D4" i="5" s="1"/>
  <c r="D205" i="3" s="1"/>
  <c r="C5" i="5"/>
  <c r="D5" i="5" s="1"/>
  <c r="D15" i="3" s="1"/>
  <c r="C6" i="5"/>
  <c r="D6" i="5" s="1"/>
  <c r="D14" i="3" s="1"/>
  <c r="C7" i="5"/>
  <c r="D7" i="5" s="1"/>
  <c r="D182" i="3" s="1"/>
  <c r="C8" i="5"/>
  <c r="D8" i="5" s="1"/>
  <c r="D172" i="3" s="1"/>
  <c r="C9" i="5"/>
  <c r="D9" i="5" s="1"/>
  <c r="D253" i="3" s="1"/>
  <c r="C10" i="5"/>
  <c r="D10" i="5" s="1"/>
  <c r="D3" i="3" s="1"/>
  <c r="C11" i="5"/>
  <c r="D11" i="5" s="1"/>
  <c r="D16" i="3" s="1"/>
  <c r="C12" i="5"/>
  <c r="D12" i="5" s="1"/>
  <c r="D148" i="3" s="1"/>
  <c r="C13" i="5"/>
  <c r="C14" i="5"/>
  <c r="D14" i="5" s="1"/>
  <c r="D189" i="3" s="1"/>
  <c r="C15" i="5"/>
  <c r="D15" i="5" s="1"/>
  <c r="D187" i="3" s="1"/>
  <c r="C16" i="5"/>
  <c r="D16" i="5" s="1"/>
  <c r="D184" i="3" s="1"/>
  <c r="C17" i="5"/>
  <c r="D17" i="5" s="1"/>
  <c r="D237" i="3" s="1"/>
  <c r="C18" i="5"/>
  <c r="D18" i="5" s="1"/>
  <c r="D256" i="3" s="1"/>
  <c r="C19" i="5"/>
  <c r="D19" i="5" s="1"/>
  <c r="D194" i="3" s="1"/>
  <c r="C20" i="5"/>
  <c r="D20" i="5" s="1"/>
  <c r="D236" i="3" s="1"/>
  <c r="C21" i="5"/>
  <c r="D21" i="5" s="1"/>
  <c r="D141" i="3" s="1"/>
  <c r="C22" i="5"/>
  <c r="D22" i="5" s="1"/>
  <c r="D257" i="3" s="1"/>
  <c r="C23" i="5"/>
  <c r="D23" i="5" s="1"/>
  <c r="D193" i="3" s="1"/>
  <c r="C24" i="5"/>
  <c r="D24" i="5" s="1"/>
  <c r="D140" i="3" s="1"/>
  <c r="C25" i="5"/>
  <c r="D25" i="5" s="1"/>
  <c r="D251" i="3" s="1"/>
  <c r="C26" i="5"/>
  <c r="D26" i="5" s="1"/>
  <c r="D252" i="3" s="1"/>
  <c r="C27" i="5"/>
  <c r="D27" i="5" s="1"/>
  <c r="D137" i="3" s="1"/>
  <c r="C28" i="5"/>
  <c r="D28" i="5" s="1"/>
  <c r="D136" i="3" s="1"/>
  <c r="C29" i="5"/>
  <c r="D29" i="5" s="1"/>
  <c r="D139" i="3" s="1"/>
  <c r="C30" i="5"/>
  <c r="D30" i="5" s="1"/>
  <c r="D138" i="3" s="1"/>
  <c r="C31" i="5"/>
  <c r="D31" i="5" s="1"/>
  <c r="D135" i="3" s="1"/>
  <c r="C32" i="5"/>
  <c r="D32" i="5" s="1"/>
  <c r="D134" i="3" s="1"/>
  <c r="C33" i="5"/>
  <c r="D33" i="5" s="1"/>
  <c r="D133" i="3" s="1"/>
  <c r="C34" i="5"/>
  <c r="D34" i="5" s="1"/>
  <c r="D132" i="3" s="1"/>
  <c r="C35" i="5"/>
  <c r="D35" i="5" s="1"/>
  <c r="D131" i="3" s="1"/>
  <c r="C36" i="5"/>
  <c r="D36" i="5" s="1"/>
  <c r="D130" i="3" s="1"/>
  <c r="C37" i="5"/>
  <c r="D37" i="5" s="1"/>
  <c r="D129" i="3" s="1"/>
  <c r="C38" i="5"/>
  <c r="D38" i="5" s="1"/>
  <c r="D128" i="3" s="1"/>
  <c r="C39" i="5"/>
  <c r="D39" i="5" s="1"/>
  <c r="D127" i="3" s="1"/>
  <c r="C40" i="5"/>
  <c r="D40" i="5" s="1"/>
  <c r="D126" i="3" s="1"/>
  <c r="C41" i="5"/>
  <c r="D41" i="5" s="1"/>
  <c r="D125" i="3" s="1"/>
  <c r="C42" i="5"/>
  <c r="D42" i="5" s="1"/>
  <c r="D143" i="3" s="1"/>
  <c r="C43" i="5"/>
  <c r="D43" i="5" s="1"/>
  <c r="D124" i="3" s="1"/>
  <c r="C44" i="5"/>
  <c r="D44" i="5" s="1"/>
  <c r="D250" i="3" s="1"/>
  <c r="C45" i="5"/>
  <c r="D45" i="5" s="1"/>
  <c r="D249" i="3" s="1"/>
  <c r="C46" i="5"/>
  <c r="D46" i="5" s="1"/>
  <c r="D248" i="3" s="1"/>
  <c r="C47" i="5"/>
  <c r="D47" i="5" s="1"/>
  <c r="D123" i="3" s="1"/>
  <c r="C48" i="5"/>
  <c r="D48" i="5" s="1"/>
  <c r="D235" i="3" s="1"/>
  <c r="C49" i="5"/>
  <c r="D49" i="5" s="1"/>
  <c r="D247" i="3" s="1"/>
  <c r="C50" i="5"/>
  <c r="D50" i="5" s="1"/>
  <c r="D142" i="3" s="1"/>
  <c r="C51" i="5"/>
  <c r="D51" i="5" s="1"/>
  <c r="D122" i="3" s="1"/>
  <c r="C52" i="5"/>
  <c r="D52" i="5" s="1"/>
  <c r="D121" i="3" s="1"/>
  <c r="C53" i="5"/>
  <c r="D53" i="5" s="1"/>
  <c r="D20" i="3" s="1"/>
  <c r="C54" i="5"/>
  <c r="D54" i="5" s="1"/>
  <c r="D246" i="3" s="1"/>
  <c r="C55" i="5"/>
  <c r="D55" i="5" s="1"/>
  <c r="D234" i="3" s="1"/>
  <c r="C56" i="5"/>
  <c r="D56" i="5" s="1"/>
  <c r="D233" i="3" s="1"/>
  <c r="C57" i="5"/>
  <c r="D57" i="5" s="1"/>
  <c r="D232" i="3" s="1"/>
  <c r="C58" i="5"/>
  <c r="D58" i="5" s="1"/>
  <c r="D120" i="3" s="1"/>
  <c r="C59" i="5"/>
  <c r="D59" i="5" s="1"/>
  <c r="D231" i="3" s="1"/>
  <c r="C60" i="5"/>
  <c r="D60" i="5" s="1"/>
  <c r="D19" i="3" s="1"/>
  <c r="C61" i="5"/>
  <c r="D61" i="5" s="1"/>
  <c r="D119" i="3" s="1"/>
  <c r="C62" i="5"/>
  <c r="D62" i="5" s="1"/>
  <c r="D118" i="3" s="1"/>
  <c r="C63" i="5"/>
  <c r="D63" i="5" s="1"/>
  <c r="D117" i="3" s="1"/>
  <c r="C64" i="5"/>
  <c r="D64" i="5" s="1"/>
  <c r="D116" i="3" s="1"/>
  <c r="C65" i="5"/>
  <c r="D65" i="5" s="1"/>
  <c r="D115" i="3" s="1"/>
  <c r="C66" i="5"/>
  <c r="D66" i="5" s="1"/>
  <c r="D114" i="3" s="1"/>
  <c r="C67" i="5"/>
  <c r="D67" i="5" s="1"/>
  <c r="D111" i="3" s="1"/>
  <c r="C68" i="5"/>
  <c r="D68" i="5" s="1"/>
  <c r="D110" i="3" s="1"/>
  <c r="C69" i="5"/>
  <c r="D69" i="5" s="1"/>
  <c r="D113" i="3" s="1"/>
  <c r="C70" i="5"/>
  <c r="D70" i="5" s="1"/>
  <c r="D112" i="3" s="1"/>
  <c r="C71" i="5"/>
  <c r="D71" i="5" s="1"/>
  <c r="D108" i="3" s="1"/>
  <c r="C72" i="5"/>
  <c r="D72" i="5" s="1"/>
  <c r="D109" i="3" s="1"/>
  <c r="C73" i="5"/>
  <c r="D73" i="5" s="1"/>
  <c r="D107" i="3" s="1"/>
  <c r="C74" i="5"/>
  <c r="D74" i="5" s="1"/>
  <c r="D106" i="3" s="1"/>
  <c r="C75" i="5"/>
  <c r="D75" i="5" s="1"/>
  <c r="D105" i="3" s="1"/>
  <c r="C76" i="5"/>
  <c r="D76" i="5" s="1"/>
  <c r="D104" i="3" s="1"/>
  <c r="C77" i="5"/>
  <c r="D77" i="5" s="1"/>
  <c r="D103" i="3" s="1"/>
  <c r="C78" i="5"/>
  <c r="D78" i="5" s="1"/>
  <c r="D101" i="3" s="1"/>
  <c r="C79" i="5"/>
  <c r="D79" i="5" s="1"/>
  <c r="D102" i="3" s="1"/>
  <c r="C80" i="5"/>
  <c r="D80" i="5" s="1"/>
  <c r="D100" i="3" s="1"/>
  <c r="C81" i="5"/>
  <c r="D81" i="5" s="1"/>
  <c r="D99" i="3" s="1"/>
  <c r="C82" i="5"/>
  <c r="D82" i="5" s="1"/>
  <c r="D98" i="3" s="1"/>
  <c r="C83" i="5"/>
  <c r="D83" i="5" s="1"/>
  <c r="D97" i="3" s="1"/>
  <c r="C84" i="5"/>
  <c r="D84" i="5" s="1"/>
  <c r="D96" i="3" s="1"/>
  <c r="C85" i="5"/>
  <c r="D85" i="5" s="1"/>
  <c r="D245" i="3" s="1"/>
  <c r="C86" i="5"/>
  <c r="D86" i="5" s="1"/>
  <c r="D95" i="3" s="1"/>
  <c r="C87" i="5"/>
  <c r="D87" i="5" s="1"/>
  <c r="D191" i="3" s="1"/>
  <c r="C88" i="5"/>
  <c r="D88" i="5" s="1"/>
  <c r="D18" i="3" s="1"/>
  <c r="C89" i="5"/>
  <c r="D89" i="5" s="1"/>
  <c r="D94" i="3" s="1"/>
  <c r="C90" i="5"/>
  <c r="D90" i="5" s="1"/>
  <c r="D93" i="3" s="1"/>
  <c r="C91" i="5"/>
  <c r="D91" i="5" s="1"/>
  <c r="D92" i="3" s="1"/>
  <c r="C92" i="5"/>
  <c r="D92" i="5" s="1"/>
  <c r="D230" i="3" s="1"/>
  <c r="C93" i="5"/>
  <c r="D93" i="5" s="1"/>
  <c r="D89" i="3" s="1"/>
  <c r="C94" i="5"/>
  <c r="D94" i="5" s="1"/>
  <c r="D91" i="3" s="1"/>
  <c r="C95" i="5"/>
  <c r="D95" i="5" s="1"/>
  <c r="D88" i="3" s="1"/>
  <c r="C96" i="5"/>
  <c r="D96" i="5" s="1"/>
  <c r="D87" i="3" s="1"/>
  <c r="C97" i="5"/>
  <c r="D97" i="5" s="1"/>
  <c r="D90" i="3" s="1"/>
  <c r="C98" i="5"/>
  <c r="D98" i="5" s="1"/>
  <c r="D86" i="3" s="1"/>
  <c r="C99" i="5"/>
  <c r="D99" i="5" s="1"/>
  <c r="D85" i="3" s="1"/>
  <c r="C100" i="5"/>
  <c r="D100" i="5" s="1"/>
  <c r="D48" i="3" s="1"/>
  <c r="C101" i="5"/>
  <c r="D101" i="5" s="1"/>
  <c r="D84" i="3" s="1"/>
  <c r="C102" i="5"/>
  <c r="D102" i="5" s="1"/>
  <c r="D83" i="3" s="1"/>
  <c r="C103" i="5"/>
  <c r="D103" i="5" s="1"/>
  <c r="D81" i="3" s="1"/>
  <c r="C104" i="5"/>
  <c r="D104" i="5" s="1"/>
  <c r="D82" i="3" s="1"/>
  <c r="C105" i="5"/>
  <c r="D105" i="5" s="1"/>
  <c r="D80" i="3" s="1"/>
  <c r="C106" i="5"/>
  <c r="D106" i="5" s="1"/>
  <c r="D190" i="3" s="1"/>
  <c r="C107" i="5"/>
  <c r="D107" i="5" s="1"/>
  <c r="D79" i="3" s="1"/>
  <c r="C108" i="5"/>
  <c r="D108" i="5" s="1"/>
  <c r="D229" i="3" s="1"/>
  <c r="C109" i="5"/>
  <c r="D109" i="5" s="1"/>
  <c r="D78" i="3" s="1"/>
  <c r="C110" i="5"/>
  <c r="D110" i="5" s="1"/>
  <c r="D77" i="3" s="1"/>
  <c r="C111" i="5"/>
  <c r="D111" i="5" s="1"/>
  <c r="D76" i="3" s="1"/>
  <c r="C112" i="5"/>
  <c r="D112" i="5" s="1"/>
  <c r="D188" i="3" s="1"/>
  <c r="C113" i="5"/>
  <c r="D113" i="5" s="1"/>
  <c r="D244" i="3" s="1"/>
  <c r="C114" i="5"/>
  <c r="D114" i="5" s="1"/>
  <c r="D75" i="3" s="1"/>
  <c r="C115" i="5"/>
  <c r="D115" i="5" s="1"/>
  <c r="D71" i="3" s="1"/>
  <c r="C116" i="5"/>
  <c r="D116" i="5" s="1"/>
  <c r="D69" i="3" s="1"/>
  <c r="C117" i="5"/>
  <c r="D117" i="5" s="1"/>
  <c r="D73" i="3" s="1"/>
  <c r="C118" i="5"/>
  <c r="D118" i="5" s="1"/>
  <c r="D68" i="3" s="1"/>
  <c r="C119" i="5"/>
  <c r="D119" i="5" s="1"/>
  <c r="D72" i="3" s="1"/>
  <c r="C120" i="5"/>
  <c r="D120" i="5" s="1"/>
  <c r="D64" i="3" s="1"/>
  <c r="C121" i="5"/>
  <c r="D121" i="5" s="1"/>
  <c r="D67" i="3" s="1"/>
  <c r="C122" i="5"/>
  <c r="D122" i="5" s="1"/>
  <c r="D63" i="3" s="1"/>
  <c r="C123" i="5"/>
  <c r="D123" i="5" s="1"/>
  <c r="D74" i="3" s="1"/>
  <c r="C124" i="5"/>
  <c r="D124" i="5" s="1"/>
  <c r="D60" i="3" s="1"/>
  <c r="C125" i="5"/>
  <c r="D125" i="5" s="1"/>
  <c r="D66" i="3" s="1"/>
  <c r="C126" i="5"/>
  <c r="D126" i="5" s="1"/>
  <c r="D65" i="3" s="1"/>
  <c r="C127" i="5"/>
  <c r="D127" i="5" s="1"/>
  <c r="D70" i="3" s="1"/>
  <c r="C128" i="5"/>
  <c r="D128" i="5" s="1"/>
  <c r="D62" i="3" s="1"/>
  <c r="C129" i="5"/>
  <c r="D129" i="5" s="1"/>
  <c r="D61" i="3" s="1"/>
  <c r="C130" i="5"/>
  <c r="D130" i="5" s="1"/>
  <c r="D59" i="3" s="1"/>
  <c r="C131" i="5"/>
  <c r="D131" i="5" s="1"/>
  <c r="D186" i="3" s="1"/>
  <c r="C132" i="5"/>
  <c r="D132" i="5" s="1"/>
  <c r="D58" i="3" s="1"/>
  <c r="C133" i="5"/>
  <c r="D133" i="5" s="1"/>
  <c r="D57" i="3" s="1"/>
  <c r="C134" i="5"/>
  <c r="D134" i="5" s="1"/>
  <c r="D56" i="3" s="1"/>
  <c r="C135" i="5"/>
  <c r="D135" i="5" s="1"/>
  <c r="D185" i="3" s="1"/>
  <c r="C136" i="5"/>
  <c r="D136" i="5" s="1"/>
  <c r="D55" i="3" s="1"/>
  <c r="C137" i="5"/>
  <c r="D137" i="5" s="1"/>
  <c r="D54" i="3" s="1"/>
  <c r="C138" i="5"/>
  <c r="D138" i="5" s="1"/>
  <c r="D243" i="3" s="1"/>
  <c r="C139" i="5"/>
  <c r="D139" i="5" s="1"/>
  <c r="D53" i="3" s="1"/>
  <c r="C140" i="5"/>
  <c r="D140" i="5" s="1"/>
  <c r="D52" i="3" s="1"/>
  <c r="C141" i="5"/>
  <c r="D141" i="5" s="1"/>
  <c r="D51" i="3" s="1"/>
  <c r="C142" i="5"/>
  <c r="D142" i="5" s="1"/>
  <c r="D228" i="3" s="1"/>
  <c r="C143" i="5"/>
  <c r="D143" i="5" s="1"/>
  <c r="D50" i="3" s="1"/>
  <c r="C144" i="5"/>
  <c r="D144" i="5" s="1"/>
  <c r="D47" i="3" s="1"/>
  <c r="C145" i="5"/>
  <c r="D145" i="5" s="1"/>
  <c r="D169" i="3" s="1"/>
  <c r="C146" i="5"/>
  <c r="D146" i="5" s="1"/>
  <c r="D49" i="3" s="1"/>
  <c r="C147" i="5"/>
  <c r="D147" i="5" s="1"/>
  <c r="D45" i="3" s="1"/>
  <c r="C148" i="5"/>
  <c r="D148" i="5" s="1"/>
  <c r="D44" i="3" s="1"/>
  <c r="C149" i="5"/>
  <c r="D149" i="5" s="1"/>
  <c r="D40" i="3" s="1"/>
  <c r="C150" i="5"/>
  <c r="D150" i="5" s="1"/>
  <c r="D226" i="3" s="1"/>
  <c r="C151" i="5"/>
  <c r="D151" i="5" s="1"/>
  <c r="D17" i="3" s="1"/>
  <c r="C152" i="5"/>
  <c r="D152" i="5" s="1"/>
  <c r="D220" i="3" s="1"/>
  <c r="C153" i="5"/>
  <c r="D153" i="5" s="1"/>
  <c r="D219" i="3" s="1"/>
  <c r="C154" i="5"/>
  <c r="D154" i="5" s="1"/>
  <c r="D46" i="3" s="1"/>
  <c r="C155" i="5"/>
  <c r="D155" i="5" s="1"/>
  <c r="D38" i="3" s="1"/>
  <c r="C156" i="5"/>
  <c r="D156" i="5" s="1"/>
  <c r="D227" i="3" s="1"/>
  <c r="C157" i="5"/>
  <c r="D157" i="5" s="1"/>
  <c r="D242" i="3" s="1"/>
  <c r="C158" i="5"/>
  <c r="D158" i="5" s="1"/>
  <c r="D43" i="3" s="1"/>
  <c r="C159" i="5"/>
  <c r="D159" i="5" s="1"/>
  <c r="D42" i="3" s="1"/>
  <c r="C160" i="5"/>
  <c r="D160" i="5" s="1"/>
  <c r="D41" i="3" s="1"/>
  <c r="C161" i="5"/>
  <c r="D161" i="5" s="1"/>
  <c r="D39" i="3" s="1"/>
  <c r="C162" i="5"/>
  <c r="D162" i="5" s="1"/>
  <c r="D37" i="3" s="1"/>
  <c r="C163" i="5"/>
  <c r="D163" i="5" s="1"/>
  <c r="D36" i="3" s="1"/>
  <c r="C164" i="5"/>
  <c r="D164" i="5" s="1"/>
  <c r="D241" i="3" s="1"/>
  <c r="C165" i="5"/>
  <c r="D165" i="5" s="1"/>
  <c r="D25" i="3" s="1"/>
  <c r="C166" i="5"/>
  <c r="D166" i="5" s="1"/>
  <c r="D35" i="3" s="1"/>
  <c r="C167" i="5"/>
  <c r="D167" i="5" s="1"/>
  <c r="D24" i="3" s="1"/>
  <c r="C168" i="5"/>
  <c r="D168" i="5" s="1"/>
  <c r="D29" i="3" s="1"/>
  <c r="C169" i="5"/>
  <c r="D169" i="5" s="1"/>
  <c r="D30" i="3" s="1"/>
  <c r="C170" i="5"/>
  <c r="D170" i="5" s="1"/>
  <c r="D28" i="3" s="1"/>
  <c r="C171" i="5"/>
  <c r="D171" i="5" s="1"/>
  <c r="D34" i="3" s="1"/>
  <c r="C172" i="5"/>
  <c r="D172" i="5" s="1"/>
  <c r="D32" i="3" s="1"/>
  <c r="C173" i="5"/>
  <c r="D173" i="5" s="1"/>
  <c r="D31" i="3" s="1"/>
  <c r="C174" i="5"/>
  <c r="D174" i="5" s="1"/>
  <c r="D33" i="3" s="1"/>
  <c r="C175" i="5"/>
  <c r="D175" i="5" s="1"/>
  <c r="D225" i="3" s="1"/>
  <c r="C176" i="5"/>
  <c r="D176" i="5" s="1"/>
  <c r="D183" i="3" s="1"/>
  <c r="C177" i="5"/>
  <c r="D177" i="5" s="1"/>
  <c r="D23" i="3" s="1"/>
  <c r="C178" i="5"/>
  <c r="D178" i="5" s="1"/>
  <c r="D27" i="3" s="1"/>
  <c r="C179" i="5"/>
  <c r="D179" i="5" s="1"/>
  <c r="D26" i="3" s="1"/>
  <c r="C180" i="5"/>
  <c r="D180" i="5" s="1"/>
  <c r="D22" i="3" s="1"/>
  <c r="C181" i="5"/>
  <c r="D181" i="5" s="1"/>
  <c r="D161" i="3" s="1"/>
  <c r="C182" i="5"/>
  <c r="D182" i="5" s="1"/>
  <c r="D224" i="3" s="1"/>
  <c r="C183" i="5"/>
  <c r="D183" i="5" s="1"/>
  <c r="D171" i="3" s="1"/>
  <c r="C184" i="5"/>
  <c r="D184" i="5" s="1"/>
  <c r="D240" i="3" s="1"/>
  <c r="C185" i="5"/>
  <c r="D185" i="5" s="1"/>
  <c r="D21" i="3" s="1"/>
  <c r="C186" i="5"/>
  <c r="D186" i="5" s="1"/>
  <c r="D222" i="3" s="1"/>
  <c r="C187" i="5"/>
  <c r="D187" i="5" s="1"/>
  <c r="D223" i="3" s="1"/>
  <c r="C188" i="5"/>
  <c r="D188" i="5" s="1"/>
  <c r="D221" i="3" s="1"/>
  <c r="C189" i="5"/>
  <c r="D189" i="5" s="1"/>
  <c r="D160" i="3" s="1"/>
  <c r="C190" i="5"/>
  <c r="D190" i="5" s="1"/>
  <c r="D159" i="3" s="1"/>
  <c r="C191" i="5"/>
  <c r="D191" i="5" s="1"/>
  <c r="D181" i="3" s="1"/>
  <c r="C192" i="5"/>
  <c r="D192" i="5" s="1"/>
  <c r="D170" i="3" s="1"/>
  <c r="C193" i="5"/>
  <c r="D193" i="5" s="1"/>
  <c r="D180" i="3" s="1"/>
  <c r="C194" i="5"/>
  <c r="D194" i="5" s="1"/>
  <c r="D179" i="3" s="1"/>
  <c r="C195" i="5"/>
  <c r="D195" i="5" s="1"/>
  <c r="D239" i="3" s="1"/>
  <c r="C196" i="5"/>
  <c r="D196" i="5" s="1"/>
  <c r="D178" i="3" s="1"/>
  <c r="C197" i="5"/>
  <c r="D197" i="5" s="1"/>
  <c r="D238" i="3" s="1"/>
  <c r="C198" i="5"/>
  <c r="D198" i="5" s="1"/>
  <c r="D177" i="3" s="1"/>
  <c r="C199" i="5"/>
  <c r="D199" i="5" s="1"/>
  <c r="D166" i="3" s="1"/>
  <c r="C200" i="5"/>
  <c r="D200" i="5" s="1"/>
  <c r="D218" i="3" s="1"/>
  <c r="C201" i="5"/>
  <c r="D201" i="5" s="1"/>
  <c r="D176" i="3" s="1"/>
  <c r="C202" i="5"/>
  <c r="D202" i="5" s="1"/>
  <c r="D217" i="3" s="1"/>
  <c r="C203" i="5"/>
  <c r="D203" i="5" s="1"/>
  <c r="D216" i="3" s="1"/>
  <c r="C204" i="5"/>
  <c r="D204" i="5" s="1"/>
  <c r="D174" i="3" s="1"/>
  <c r="C205" i="5"/>
  <c r="D205" i="5" s="1"/>
  <c r="D175" i="3" s="1"/>
  <c r="C206" i="5"/>
  <c r="D206" i="5" s="1"/>
  <c r="D215" i="3" s="1"/>
  <c r="C207" i="5"/>
  <c r="D207" i="5" s="1"/>
  <c r="D214" i="3" s="1"/>
  <c r="C208" i="5"/>
  <c r="D208" i="5" s="1"/>
  <c r="D195" i="3" s="1"/>
  <c r="C209" i="5"/>
  <c r="D209" i="5" s="1"/>
  <c r="D255" i="3" s="1"/>
  <c r="C210" i="5"/>
  <c r="D210" i="5" s="1"/>
  <c r="D254" i="3" s="1"/>
  <c r="C211" i="5"/>
  <c r="D211" i="5" s="1"/>
  <c r="D173" i="3" s="1"/>
  <c r="C212" i="5"/>
  <c r="D212" i="5" s="1"/>
  <c r="D213" i="3" s="1"/>
  <c r="C213" i="5"/>
  <c r="D213" i="5" s="1"/>
  <c r="D212" i="3" s="1"/>
  <c r="C214" i="5"/>
  <c r="D214" i="5" s="1"/>
  <c r="D13" i="3" s="1"/>
  <c r="C215" i="5"/>
  <c r="D215" i="5" s="1"/>
  <c r="D156" i="3" s="1"/>
  <c r="C216" i="5"/>
  <c r="D216" i="5" s="1"/>
  <c r="D155" i="3" s="1"/>
  <c r="C217" i="5"/>
  <c r="D217" i="5" s="1"/>
  <c r="D11" i="3" s="1"/>
  <c r="C218" i="5"/>
  <c r="D218" i="5" s="1"/>
  <c r="D10" i="3" s="1"/>
  <c r="C219" i="5"/>
  <c r="D219" i="5" s="1"/>
  <c r="D9" i="3" s="1"/>
  <c r="C220" i="5"/>
  <c r="D220" i="5" s="1"/>
  <c r="D12" i="3" s="1"/>
  <c r="C221" i="5"/>
  <c r="D221" i="5" s="1"/>
  <c r="D209" i="3" s="1"/>
  <c r="C222" i="5"/>
  <c r="D222" i="5" s="1"/>
  <c r="D210" i="3" s="1"/>
  <c r="C223" i="5"/>
  <c r="D223" i="5" s="1"/>
  <c r="D211" i="3" s="1"/>
  <c r="C224" i="5"/>
  <c r="D224" i="5" s="1"/>
  <c r="D154" i="3" s="1"/>
  <c r="C225" i="5"/>
  <c r="D225" i="5" s="1"/>
  <c r="D8" i="3" s="1"/>
  <c r="C226" i="5"/>
  <c r="D226" i="5" s="1"/>
  <c r="D206" i="3" s="1"/>
  <c r="C227" i="5"/>
  <c r="D227" i="5" s="1"/>
  <c r="D207" i="3" s="1"/>
  <c r="C228" i="5"/>
  <c r="D228" i="5" s="1"/>
  <c r="D208" i="3" s="1"/>
  <c r="C229" i="5"/>
  <c r="D229" i="5" s="1"/>
  <c r="D204" i="3" s="1"/>
  <c r="C230" i="5"/>
  <c r="D230" i="5" s="1"/>
  <c r="D203" i="3" s="1"/>
  <c r="C231" i="5"/>
  <c r="D231" i="5" s="1"/>
  <c r="D152" i="3" s="1"/>
  <c r="C232" i="5"/>
  <c r="D232" i="5" s="1"/>
  <c r="D4" i="3" s="1"/>
  <c r="C233" i="5"/>
  <c r="D233" i="5" s="1"/>
  <c r="D165" i="3" s="1"/>
  <c r="C234" i="5"/>
  <c r="D234" i="5" s="1"/>
  <c r="D146" i="3" s="1"/>
  <c r="C235" i="5"/>
  <c r="D235" i="5" s="1"/>
  <c r="D151" i="3" s="1"/>
  <c r="C236" i="5"/>
  <c r="D236" i="5" s="1"/>
  <c r="D153" i="3" s="1"/>
  <c r="C237" i="5"/>
  <c r="D237" i="5" s="1"/>
  <c r="D144" i="3" s="1"/>
  <c r="C238" i="5"/>
  <c r="D238" i="5" s="1"/>
  <c r="D202" i="3" s="1"/>
  <c r="C239" i="5"/>
  <c r="D239" i="5" s="1"/>
  <c r="D145" i="3" s="1"/>
  <c r="C240" i="5"/>
  <c r="D240" i="5" s="1"/>
  <c r="D147" i="3" s="1"/>
  <c r="C241" i="5"/>
  <c r="D241" i="5" s="1"/>
  <c r="D164" i="3" s="1"/>
  <c r="C242" i="5"/>
  <c r="D242" i="5" s="1"/>
  <c r="D7" i="3" s="1"/>
  <c r="C243" i="5"/>
  <c r="D243" i="5" s="1"/>
  <c r="D163" i="3" s="1"/>
  <c r="C244" i="5"/>
  <c r="D244" i="5" s="1"/>
  <c r="D162" i="3" s="1"/>
  <c r="C245" i="5"/>
  <c r="D245" i="5" s="1"/>
  <c r="D199" i="3" s="1"/>
  <c r="C246" i="5"/>
  <c r="D246" i="5" s="1"/>
  <c r="D200" i="3" s="1"/>
  <c r="C247" i="5"/>
  <c r="D247" i="5" s="1"/>
  <c r="D5" i="3" s="1"/>
  <c r="C248" i="5"/>
  <c r="D248" i="5" s="1"/>
  <c r="D6" i="3" s="1"/>
  <c r="C249" i="5"/>
  <c r="D249" i="5" s="1"/>
  <c r="D149" i="3" s="1"/>
  <c r="C250" i="5"/>
  <c r="D250" i="5" s="1"/>
  <c r="D150" i="3" s="1"/>
  <c r="C251" i="5"/>
  <c r="D251" i="5" s="1"/>
  <c r="D198" i="3" s="1"/>
  <c r="C252" i="5"/>
  <c r="D252" i="5" s="1"/>
  <c r="D167" i="3" s="1"/>
  <c r="C253" i="5"/>
  <c r="D253" i="5" s="1"/>
  <c r="D168" i="3" s="1"/>
  <c r="C254" i="5"/>
  <c r="D254" i="5" s="1"/>
  <c r="D197" i="3" s="1"/>
  <c r="C255" i="5"/>
  <c r="D255" i="5" s="1"/>
  <c r="D158" i="3" s="1"/>
  <c r="C256" i="5"/>
  <c r="D256" i="5" s="1"/>
  <c r="D157" i="3" s="1"/>
  <c r="J54" i="3"/>
  <c r="J30" i="3"/>
  <c r="V5" i="6"/>
  <c r="J3" i="3" s="1"/>
  <c r="V6" i="6"/>
  <c r="J4" i="3" s="1"/>
  <c r="V7" i="6"/>
  <c r="J5" i="3" s="1"/>
  <c r="V8" i="6"/>
  <c r="J6" i="3" s="1"/>
  <c r="V9" i="6"/>
  <c r="J7" i="3" s="1"/>
  <c r="V10" i="6"/>
  <c r="J8" i="3" s="1"/>
  <c r="V11" i="6"/>
  <c r="J9" i="3" s="1"/>
  <c r="V12" i="6"/>
  <c r="J10" i="3" s="1"/>
  <c r="V13" i="6"/>
  <c r="J11" i="3" s="1"/>
  <c r="V14" i="6"/>
  <c r="J12" i="3" s="1"/>
  <c r="V15" i="6"/>
  <c r="J13" i="3" s="1"/>
  <c r="V16" i="6"/>
  <c r="J14" i="3" s="1"/>
  <c r="V17" i="6"/>
  <c r="J15" i="3" s="1"/>
  <c r="V18" i="6"/>
  <c r="J16" i="3" s="1"/>
  <c r="V19" i="6"/>
  <c r="J17" i="3" s="1"/>
  <c r="V20" i="6"/>
  <c r="J18" i="3" s="1"/>
  <c r="V21" i="6"/>
  <c r="J19" i="3" s="1"/>
  <c r="V22" i="6"/>
  <c r="J20" i="3" s="1"/>
  <c r="V23" i="6"/>
  <c r="J21" i="3" s="1"/>
  <c r="V24" i="6"/>
  <c r="J22" i="3" s="1"/>
  <c r="V25" i="6"/>
  <c r="J23" i="3" s="1"/>
  <c r="V26" i="6"/>
  <c r="J24" i="3" s="1"/>
  <c r="V27" i="6"/>
  <c r="J25" i="3" s="1"/>
  <c r="V28" i="6"/>
  <c r="J26" i="3" s="1"/>
  <c r="V29" i="6"/>
  <c r="J27" i="3" s="1"/>
  <c r="V30" i="6"/>
  <c r="J28" i="3" s="1"/>
  <c r="V31" i="6"/>
  <c r="J29" i="3" s="1"/>
  <c r="V32" i="6"/>
  <c r="V33" i="6"/>
  <c r="J31" i="3" s="1"/>
  <c r="V34" i="6"/>
  <c r="J32" i="3" s="1"/>
  <c r="V35" i="6"/>
  <c r="J33" i="3" s="1"/>
  <c r="V36" i="6"/>
  <c r="J34" i="3" s="1"/>
  <c r="V37" i="6"/>
  <c r="J35" i="3" s="1"/>
  <c r="V38" i="6"/>
  <c r="J36" i="3" s="1"/>
  <c r="V39" i="6"/>
  <c r="J37" i="3" s="1"/>
  <c r="V40" i="6"/>
  <c r="J38" i="3" s="1"/>
  <c r="V41" i="6"/>
  <c r="J39" i="3" s="1"/>
  <c r="V42" i="6"/>
  <c r="J40" i="3" s="1"/>
  <c r="V43" i="6"/>
  <c r="J41" i="3" s="1"/>
  <c r="V44" i="6"/>
  <c r="J42" i="3" s="1"/>
  <c r="V45" i="6"/>
  <c r="J43" i="3" s="1"/>
  <c r="V46" i="6"/>
  <c r="J44" i="3" s="1"/>
  <c r="V47" i="6"/>
  <c r="J45" i="3" s="1"/>
  <c r="V48" i="6"/>
  <c r="J46" i="3" s="1"/>
  <c r="V49" i="6"/>
  <c r="J47" i="3" s="1"/>
  <c r="V50" i="6"/>
  <c r="J48" i="3" s="1"/>
  <c r="V51" i="6"/>
  <c r="J49" i="3" s="1"/>
  <c r="V52" i="6"/>
  <c r="J50" i="3" s="1"/>
  <c r="V53" i="6"/>
  <c r="J51" i="3" s="1"/>
  <c r="V54" i="6"/>
  <c r="J52" i="3" s="1"/>
  <c r="V55" i="6"/>
  <c r="J53" i="3" s="1"/>
  <c r="V56" i="6"/>
  <c r="V57" i="6"/>
  <c r="J55" i="3" s="1"/>
  <c r="V58" i="6"/>
  <c r="J56" i="3" s="1"/>
  <c r="V59" i="6"/>
  <c r="J57" i="3" s="1"/>
  <c r="V60" i="6"/>
  <c r="J58" i="3" s="1"/>
  <c r="V61" i="6"/>
  <c r="J59" i="3" s="1"/>
  <c r="V62" i="6"/>
  <c r="J60" i="3" s="1"/>
  <c r="V63" i="6"/>
  <c r="J61" i="3" s="1"/>
  <c r="V64" i="6"/>
  <c r="J62" i="3" s="1"/>
  <c r="V65" i="6"/>
  <c r="J63" i="3" s="1"/>
  <c r="V66" i="6"/>
  <c r="J64" i="3" s="1"/>
  <c r="V67" i="6"/>
  <c r="J65" i="3" s="1"/>
  <c r="V68" i="6"/>
  <c r="J66" i="3" s="1"/>
  <c r="V69" i="6"/>
  <c r="J67" i="3" s="1"/>
  <c r="V70" i="6"/>
  <c r="J68" i="3" s="1"/>
  <c r="V71" i="6"/>
  <c r="J69" i="3" s="1"/>
  <c r="V72" i="6"/>
  <c r="J70" i="3" s="1"/>
  <c r="V73" i="6"/>
  <c r="J71" i="3" s="1"/>
  <c r="V74" i="6"/>
  <c r="J72" i="3" s="1"/>
  <c r="V75" i="6"/>
  <c r="J73" i="3" s="1"/>
  <c r="V76" i="6"/>
  <c r="J74" i="3" s="1"/>
  <c r="V77" i="6"/>
  <c r="J75" i="3" s="1"/>
  <c r="V78" i="6"/>
  <c r="J76" i="3" s="1"/>
  <c r="V79" i="6"/>
  <c r="J77" i="3" s="1"/>
  <c r="V80" i="6"/>
  <c r="J78" i="3" s="1"/>
  <c r="V81" i="6"/>
  <c r="J79" i="3" s="1"/>
  <c r="V82" i="6"/>
  <c r="J80" i="3" s="1"/>
  <c r="V83" i="6"/>
  <c r="J81" i="3" s="1"/>
  <c r="V84" i="6"/>
  <c r="J82" i="3" s="1"/>
  <c r="V85" i="6"/>
  <c r="J83" i="3" s="1"/>
  <c r="V86" i="6"/>
  <c r="J84" i="3" s="1"/>
  <c r="V87" i="6"/>
  <c r="J85" i="3" s="1"/>
  <c r="V88" i="6"/>
  <c r="J86" i="3" s="1"/>
  <c r="V89" i="6"/>
  <c r="J87" i="3" s="1"/>
  <c r="V90" i="6"/>
  <c r="J88" i="3" s="1"/>
  <c r="V91" i="6"/>
  <c r="J89" i="3" s="1"/>
  <c r="V92" i="6"/>
  <c r="J90" i="3" s="1"/>
  <c r="V93" i="6"/>
  <c r="J91" i="3" s="1"/>
  <c r="V94" i="6"/>
  <c r="J92" i="3" s="1"/>
  <c r="V95" i="6"/>
  <c r="J93" i="3" s="1"/>
  <c r="V96" i="6"/>
  <c r="J94" i="3" s="1"/>
  <c r="V97" i="6"/>
  <c r="J95" i="3" s="1"/>
  <c r="V98" i="6"/>
  <c r="J96" i="3" s="1"/>
  <c r="V99" i="6"/>
  <c r="J97" i="3" s="1"/>
  <c r="V100" i="6"/>
  <c r="J98" i="3" s="1"/>
  <c r="V101" i="6"/>
  <c r="J99" i="3" s="1"/>
  <c r="V102" i="6"/>
  <c r="J100" i="3" s="1"/>
  <c r="V103" i="6"/>
  <c r="J101" i="3" s="1"/>
  <c r="V104" i="6"/>
  <c r="J102" i="3" s="1"/>
  <c r="V105" i="6"/>
  <c r="J103" i="3" s="1"/>
  <c r="V106" i="6"/>
  <c r="J104" i="3" s="1"/>
  <c r="V107" i="6"/>
  <c r="J105" i="3" s="1"/>
  <c r="V108" i="6"/>
  <c r="J106" i="3" s="1"/>
  <c r="V109" i="6"/>
  <c r="J107" i="3" s="1"/>
  <c r="V110" i="6"/>
  <c r="J108" i="3" s="1"/>
  <c r="V111" i="6"/>
  <c r="J109" i="3" s="1"/>
  <c r="V112" i="6"/>
  <c r="J110" i="3" s="1"/>
  <c r="V113" i="6"/>
  <c r="J111" i="3" s="1"/>
  <c r="V114" i="6"/>
  <c r="J112" i="3" s="1"/>
  <c r="V115" i="6"/>
  <c r="J113" i="3" s="1"/>
  <c r="V116" i="6"/>
  <c r="J114" i="3" s="1"/>
  <c r="V117" i="6"/>
  <c r="J115" i="3" s="1"/>
  <c r="V118" i="6"/>
  <c r="J116" i="3" s="1"/>
  <c r="V119" i="6"/>
  <c r="J117" i="3" s="1"/>
  <c r="V120" i="6"/>
  <c r="J118" i="3" s="1"/>
  <c r="V121" i="6"/>
  <c r="J119" i="3" s="1"/>
  <c r="V122" i="6"/>
  <c r="J120" i="3" s="1"/>
  <c r="V123" i="6"/>
  <c r="J121" i="3" s="1"/>
  <c r="V124" i="6"/>
  <c r="J122" i="3" s="1"/>
  <c r="V125" i="6"/>
  <c r="J123" i="3" s="1"/>
  <c r="V126" i="6"/>
  <c r="J124" i="3" s="1"/>
  <c r="V127" i="6"/>
  <c r="J125" i="3" s="1"/>
  <c r="V128" i="6"/>
  <c r="J126" i="3" s="1"/>
  <c r="V129" i="6"/>
  <c r="J127" i="3" s="1"/>
  <c r="V130" i="6"/>
  <c r="J128" i="3" s="1"/>
  <c r="V131" i="6"/>
  <c r="J129" i="3" s="1"/>
  <c r="V132" i="6"/>
  <c r="J130" i="3" s="1"/>
  <c r="V133" i="6"/>
  <c r="J131" i="3" s="1"/>
  <c r="V134" i="6"/>
  <c r="J132" i="3" s="1"/>
  <c r="V135" i="6"/>
  <c r="J133" i="3" s="1"/>
  <c r="V136" i="6"/>
  <c r="J134" i="3" s="1"/>
  <c r="V137" i="6"/>
  <c r="J135" i="3" s="1"/>
  <c r="V138" i="6"/>
  <c r="J136" i="3" s="1"/>
  <c r="V139" i="6"/>
  <c r="J137" i="3" s="1"/>
  <c r="V140" i="6"/>
  <c r="J138" i="3" s="1"/>
  <c r="V141" i="6"/>
  <c r="J139" i="3" s="1"/>
  <c r="V142" i="6"/>
  <c r="J140" i="3" s="1"/>
  <c r="V143" i="6"/>
  <c r="J141" i="3" s="1"/>
  <c r="V144" i="6"/>
  <c r="J142" i="3" s="1"/>
  <c r="V145" i="6"/>
  <c r="J143" i="3" s="1"/>
  <c r="V146" i="6"/>
  <c r="J144" i="3" s="1"/>
  <c r="V147" i="6"/>
  <c r="J145" i="3" s="1"/>
  <c r="V148" i="6"/>
  <c r="J146" i="3" s="1"/>
  <c r="V149" i="6"/>
  <c r="J147" i="3" s="1"/>
  <c r="V150" i="6"/>
  <c r="J148" i="3" s="1"/>
  <c r="V151" i="6"/>
  <c r="J149" i="3" s="1"/>
  <c r="V152" i="6"/>
  <c r="J150" i="3" s="1"/>
  <c r="V153" i="6"/>
  <c r="J151" i="3" s="1"/>
  <c r="V154" i="6"/>
  <c r="J152" i="3" s="1"/>
  <c r="V155" i="6"/>
  <c r="J153" i="3" s="1"/>
  <c r="V156" i="6"/>
  <c r="J154" i="3" s="1"/>
  <c r="V157" i="6"/>
  <c r="J155" i="3" s="1"/>
  <c r="V158" i="6"/>
  <c r="J156" i="3" s="1"/>
  <c r="V159" i="6"/>
  <c r="J157" i="3" s="1"/>
  <c r="V160" i="6"/>
  <c r="J158" i="3" s="1"/>
  <c r="V161" i="6"/>
  <c r="J159" i="3" s="1"/>
  <c r="V162" i="6"/>
  <c r="J160" i="3" s="1"/>
  <c r="V163" i="6"/>
  <c r="J161" i="3" s="1"/>
  <c r="V164" i="6"/>
  <c r="J162" i="3" s="1"/>
  <c r="V165" i="6"/>
  <c r="J163" i="3" s="1"/>
  <c r="V166" i="6"/>
  <c r="J164" i="3" s="1"/>
  <c r="V167" i="6"/>
  <c r="J165" i="3" s="1"/>
  <c r="V168" i="6"/>
  <c r="J166" i="3" s="1"/>
  <c r="V169" i="6"/>
  <c r="J167" i="3" s="1"/>
  <c r="V170" i="6"/>
  <c r="J168" i="3" s="1"/>
  <c r="V171" i="6"/>
  <c r="J169" i="3" s="1"/>
  <c r="V172" i="6"/>
  <c r="J170" i="3" s="1"/>
  <c r="V173" i="6"/>
  <c r="J171" i="3" s="1"/>
  <c r="V174" i="6"/>
  <c r="J172" i="3" s="1"/>
  <c r="V175" i="6"/>
  <c r="J173" i="3" s="1"/>
  <c r="V176" i="6"/>
  <c r="J174" i="3" s="1"/>
  <c r="V177" i="6"/>
  <c r="J175" i="3" s="1"/>
  <c r="V178" i="6"/>
  <c r="J176" i="3" s="1"/>
  <c r="V179" i="6"/>
  <c r="J177" i="3" s="1"/>
  <c r="V180" i="6"/>
  <c r="J178" i="3" s="1"/>
  <c r="V181" i="6"/>
  <c r="J179" i="3" s="1"/>
  <c r="V182" i="6"/>
  <c r="J180" i="3" s="1"/>
  <c r="V183" i="6"/>
  <c r="J181" i="3" s="1"/>
  <c r="V184" i="6"/>
  <c r="J182" i="3" s="1"/>
  <c r="V185" i="6"/>
  <c r="J183" i="3" s="1"/>
  <c r="V186" i="6"/>
  <c r="J184" i="3" s="1"/>
  <c r="V187" i="6"/>
  <c r="J185" i="3" s="1"/>
  <c r="V188" i="6"/>
  <c r="J186" i="3" s="1"/>
  <c r="V189" i="6"/>
  <c r="J187" i="3" s="1"/>
  <c r="V190" i="6"/>
  <c r="J188" i="3" s="1"/>
  <c r="V191" i="6"/>
  <c r="J189" i="3" s="1"/>
  <c r="V192" i="6"/>
  <c r="J190" i="3" s="1"/>
  <c r="V193" i="6"/>
  <c r="J191" i="3" s="1"/>
  <c r="V194" i="6"/>
  <c r="J192" i="3" s="1"/>
  <c r="V195" i="6"/>
  <c r="J193" i="3" s="1"/>
  <c r="V196" i="6"/>
  <c r="J194" i="3" s="1"/>
  <c r="V197" i="6"/>
  <c r="J195" i="3" s="1"/>
  <c r="V198" i="6"/>
  <c r="J196" i="3" s="1"/>
  <c r="V199" i="6"/>
  <c r="J197" i="3" s="1"/>
  <c r="V200" i="6"/>
  <c r="J198" i="3" s="1"/>
  <c r="V201" i="6"/>
  <c r="J199" i="3" s="1"/>
  <c r="V202" i="6"/>
  <c r="J200" i="3" s="1"/>
  <c r="V203" i="6"/>
  <c r="J201" i="3" s="1"/>
  <c r="V204" i="6"/>
  <c r="J202" i="3" s="1"/>
  <c r="V205" i="6"/>
  <c r="J203" i="3" s="1"/>
  <c r="V206" i="6"/>
  <c r="J204" i="3" s="1"/>
  <c r="V207" i="6"/>
  <c r="J205" i="3" s="1"/>
  <c r="V208" i="6"/>
  <c r="J206" i="3" s="1"/>
  <c r="V209" i="6"/>
  <c r="J207" i="3" s="1"/>
  <c r="V210" i="6"/>
  <c r="J208" i="3" s="1"/>
  <c r="V211" i="6"/>
  <c r="J209" i="3" s="1"/>
  <c r="V212" i="6"/>
  <c r="J210" i="3" s="1"/>
  <c r="V213" i="6"/>
  <c r="J211" i="3" s="1"/>
  <c r="V214" i="6"/>
  <c r="J212" i="3" s="1"/>
  <c r="V215" i="6"/>
  <c r="J213" i="3" s="1"/>
  <c r="V216" i="6"/>
  <c r="J214" i="3" s="1"/>
  <c r="V217" i="6"/>
  <c r="J215" i="3" s="1"/>
  <c r="V218" i="6"/>
  <c r="J216" i="3" s="1"/>
  <c r="V219" i="6"/>
  <c r="J217" i="3" s="1"/>
  <c r="V220" i="6"/>
  <c r="J218" i="3" s="1"/>
  <c r="V221" i="6"/>
  <c r="J219" i="3" s="1"/>
  <c r="V222" i="6"/>
  <c r="J220" i="3" s="1"/>
  <c r="V223" i="6"/>
  <c r="J221" i="3" s="1"/>
  <c r="V224" i="6"/>
  <c r="J222" i="3" s="1"/>
  <c r="V225" i="6"/>
  <c r="J223" i="3" s="1"/>
  <c r="V226" i="6"/>
  <c r="J224" i="3" s="1"/>
  <c r="V227" i="6"/>
  <c r="J225" i="3" s="1"/>
  <c r="V228" i="6"/>
  <c r="J226" i="3" s="1"/>
  <c r="V229" i="6"/>
  <c r="J227" i="3" s="1"/>
  <c r="V230" i="6"/>
  <c r="J228" i="3" s="1"/>
  <c r="V231" i="6"/>
  <c r="J229" i="3" s="1"/>
  <c r="V232" i="6"/>
  <c r="J230" i="3" s="1"/>
  <c r="V233" i="6"/>
  <c r="J231" i="3" s="1"/>
  <c r="V234" i="6"/>
  <c r="J232" i="3" s="1"/>
  <c r="V235" i="6"/>
  <c r="J233" i="3" s="1"/>
  <c r="V236" i="6"/>
  <c r="J234" i="3" s="1"/>
  <c r="V237" i="6"/>
  <c r="J235" i="3" s="1"/>
  <c r="V238" i="6"/>
  <c r="J236" i="3" s="1"/>
  <c r="V239" i="6"/>
  <c r="J237" i="3" s="1"/>
  <c r="V240" i="6"/>
  <c r="J238" i="3" s="1"/>
  <c r="V241" i="6"/>
  <c r="J239" i="3" s="1"/>
  <c r="V242" i="6"/>
  <c r="J240" i="3" s="1"/>
  <c r="V243" i="6"/>
  <c r="J241" i="3" s="1"/>
  <c r="V244" i="6"/>
  <c r="J242" i="3" s="1"/>
  <c r="V245" i="6"/>
  <c r="J243" i="3" s="1"/>
  <c r="V246" i="6"/>
  <c r="J244" i="3" s="1"/>
  <c r="V247" i="6"/>
  <c r="J245" i="3" s="1"/>
  <c r="V248" i="6"/>
  <c r="J246" i="3" s="1"/>
  <c r="V249" i="6"/>
  <c r="J247" i="3" s="1"/>
  <c r="V250" i="6"/>
  <c r="J248" i="3" s="1"/>
  <c r="V251" i="6"/>
  <c r="J249" i="3" s="1"/>
  <c r="V252" i="6"/>
  <c r="J250" i="3" s="1"/>
  <c r="V253" i="6"/>
  <c r="J251" i="3" s="1"/>
  <c r="V254" i="6"/>
  <c r="J252" i="3" s="1"/>
  <c r="V255" i="6"/>
  <c r="J253" i="3" s="1"/>
  <c r="V256" i="6"/>
  <c r="J254" i="3" s="1"/>
  <c r="V257" i="6"/>
  <c r="J255" i="3" s="1"/>
  <c r="V258" i="6"/>
  <c r="J256" i="3" s="1"/>
  <c r="V259" i="6"/>
  <c r="J257" i="3" s="1"/>
  <c r="V260" i="6"/>
  <c r="V261" i="6"/>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F201" i="3"/>
  <c r="F205" i="3"/>
  <c r="F15" i="3"/>
  <c r="F14" i="3"/>
  <c r="F182" i="3"/>
  <c r="F172" i="3"/>
  <c r="F253" i="3"/>
  <c r="F3" i="3"/>
  <c r="F16" i="3"/>
  <c r="F148" i="3"/>
  <c r="F192" i="3"/>
  <c r="F189" i="3"/>
  <c r="F187" i="3"/>
  <c r="F184" i="3"/>
  <c r="F237" i="3"/>
  <c r="F256" i="3"/>
  <c r="F194" i="3"/>
  <c r="F236" i="3"/>
  <c r="F141" i="3"/>
  <c r="F257" i="3"/>
  <c r="F193" i="3"/>
  <c r="F140" i="3"/>
  <c r="F251" i="3"/>
  <c r="F252" i="3"/>
  <c r="F137" i="3"/>
  <c r="F136" i="3"/>
  <c r="F139" i="3"/>
  <c r="F138" i="3"/>
  <c r="F135" i="3"/>
  <c r="F134" i="3"/>
  <c r="F133" i="3"/>
  <c r="F132" i="3"/>
  <c r="F131" i="3"/>
  <c r="F130" i="3"/>
  <c r="F129" i="3"/>
  <c r="F128" i="3"/>
  <c r="F127" i="3"/>
  <c r="F126" i="3"/>
  <c r="F125" i="3"/>
  <c r="F143" i="3"/>
  <c r="F124" i="3"/>
  <c r="F250" i="3"/>
  <c r="F249" i="3"/>
  <c r="F248" i="3"/>
  <c r="F123" i="3"/>
  <c r="F235" i="3"/>
  <c r="F247" i="3"/>
  <c r="F142" i="3"/>
  <c r="F122" i="3"/>
  <c r="F121" i="3"/>
  <c r="F20" i="3"/>
  <c r="F246" i="3"/>
  <c r="F234" i="3"/>
  <c r="F233" i="3"/>
  <c r="F232" i="3"/>
  <c r="F120" i="3"/>
  <c r="F231" i="3"/>
  <c r="F19" i="3"/>
  <c r="F119" i="3"/>
  <c r="F118" i="3"/>
  <c r="F117" i="3"/>
  <c r="F116" i="3"/>
  <c r="F115" i="3"/>
  <c r="F114" i="3"/>
  <c r="F111" i="3"/>
  <c r="F110" i="3"/>
  <c r="F113" i="3"/>
  <c r="F112" i="3"/>
  <c r="F108" i="3"/>
  <c r="F109" i="3"/>
  <c r="F107" i="3"/>
  <c r="F106" i="3"/>
  <c r="F105" i="3"/>
  <c r="F104" i="3"/>
  <c r="F103" i="3"/>
  <c r="F101" i="3"/>
  <c r="F102" i="3"/>
  <c r="F100" i="3"/>
  <c r="F99" i="3"/>
  <c r="F98" i="3"/>
  <c r="F97" i="3"/>
  <c r="F96" i="3"/>
  <c r="F245" i="3"/>
  <c r="F95" i="3"/>
  <c r="F191" i="3"/>
  <c r="F18" i="3"/>
  <c r="F94" i="3"/>
  <c r="F93" i="3"/>
  <c r="F92" i="3"/>
  <c r="F230" i="3"/>
  <c r="F89" i="3"/>
  <c r="F91" i="3"/>
  <c r="F88" i="3"/>
  <c r="F87" i="3"/>
  <c r="F90" i="3"/>
  <c r="F86" i="3"/>
  <c r="F85" i="3"/>
  <c r="F48" i="3"/>
  <c r="F84" i="3"/>
  <c r="F83" i="3"/>
  <c r="F81" i="3"/>
  <c r="F82" i="3"/>
  <c r="F80" i="3"/>
  <c r="F190" i="3"/>
  <c r="F79" i="3"/>
  <c r="F229" i="3"/>
  <c r="F78" i="3"/>
  <c r="F77" i="3"/>
  <c r="F76" i="3"/>
  <c r="F188" i="3"/>
  <c r="F244" i="3"/>
  <c r="F75" i="3"/>
  <c r="F71" i="3"/>
  <c r="F69" i="3"/>
  <c r="F73" i="3"/>
  <c r="F68" i="3"/>
  <c r="F72" i="3"/>
  <c r="F64" i="3"/>
  <c r="F67" i="3"/>
  <c r="F63" i="3"/>
  <c r="F74" i="3"/>
  <c r="F60" i="3"/>
  <c r="F66" i="3"/>
  <c r="F65" i="3"/>
  <c r="F70" i="3"/>
  <c r="F62" i="3"/>
  <c r="F61" i="3"/>
  <c r="F59" i="3"/>
  <c r="F186" i="3"/>
  <c r="F58" i="3"/>
  <c r="F57" i="3"/>
  <c r="F56" i="3"/>
  <c r="F185" i="3"/>
  <c r="F55" i="3"/>
  <c r="F54" i="3"/>
  <c r="F243" i="3"/>
  <c r="F53" i="3"/>
  <c r="F52" i="3"/>
  <c r="F51" i="3"/>
  <c r="F228" i="3"/>
  <c r="F50" i="3"/>
  <c r="F47" i="3"/>
  <c r="F169" i="3"/>
  <c r="F49" i="3"/>
  <c r="F45" i="3"/>
  <c r="F44" i="3"/>
  <c r="F40" i="3"/>
  <c r="F226" i="3"/>
  <c r="F17" i="3"/>
  <c r="F220" i="3"/>
  <c r="F219" i="3"/>
  <c r="F46" i="3"/>
  <c r="F38" i="3"/>
  <c r="F227" i="3"/>
  <c r="F242" i="3"/>
  <c r="F43" i="3"/>
  <c r="F42" i="3"/>
  <c r="F41" i="3"/>
  <c r="F39" i="3"/>
  <c r="F37" i="3"/>
  <c r="F36" i="3"/>
  <c r="F241" i="3"/>
  <c r="F25" i="3"/>
  <c r="F35" i="3"/>
  <c r="F24" i="3"/>
  <c r="F29" i="3"/>
  <c r="F30" i="3"/>
  <c r="F28" i="3"/>
  <c r="F34" i="3"/>
  <c r="F32" i="3"/>
  <c r="F31" i="3"/>
  <c r="F33" i="3"/>
  <c r="F225" i="3"/>
  <c r="F183" i="3"/>
  <c r="F23" i="3"/>
  <c r="F27" i="3"/>
  <c r="F26" i="3"/>
  <c r="F22" i="3"/>
  <c r="F161" i="3"/>
  <c r="F224" i="3"/>
  <c r="F171" i="3"/>
  <c r="F240" i="3"/>
  <c r="F21" i="3"/>
  <c r="F222" i="3"/>
  <c r="F223" i="3"/>
  <c r="F221" i="3"/>
  <c r="F160" i="3"/>
  <c r="F159" i="3"/>
  <c r="F181" i="3"/>
  <c r="F170" i="3"/>
  <c r="F180" i="3"/>
  <c r="F179" i="3"/>
  <c r="F239" i="3"/>
  <c r="F178" i="3"/>
  <c r="F238" i="3"/>
  <c r="F177" i="3"/>
  <c r="F166" i="3"/>
  <c r="F218" i="3"/>
  <c r="F176" i="3"/>
  <c r="F217" i="3"/>
  <c r="F216" i="3"/>
  <c r="F174" i="3"/>
  <c r="F175" i="3"/>
  <c r="F215" i="3"/>
  <c r="F214" i="3"/>
  <c r="F195" i="3"/>
  <c r="F255" i="3"/>
  <c r="F254" i="3"/>
  <c r="F173" i="3"/>
  <c r="F213" i="3"/>
  <c r="F212" i="3"/>
  <c r="F13" i="3"/>
  <c r="F156" i="3"/>
  <c r="F155" i="3"/>
  <c r="F11" i="3"/>
  <c r="F10" i="3"/>
  <c r="F9" i="3"/>
  <c r="F12" i="3"/>
  <c r="F209" i="3"/>
  <c r="F210" i="3"/>
  <c r="F211" i="3"/>
  <c r="F154" i="3"/>
  <c r="F8" i="3"/>
  <c r="F206" i="3"/>
  <c r="F207" i="3"/>
  <c r="F208" i="3"/>
  <c r="F204" i="3"/>
  <c r="F203" i="3"/>
  <c r="F152" i="3"/>
  <c r="F4" i="3"/>
  <c r="F165" i="3"/>
  <c r="F146" i="3"/>
  <c r="F151" i="3"/>
  <c r="F153" i="3"/>
  <c r="F144" i="3"/>
  <c r="F202" i="3"/>
  <c r="F145" i="3"/>
  <c r="F147" i="3"/>
  <c r="F164" i="3"/>
  <c r="F7" i="3"/>
  <c r="F163" i="3"/>
  <c r="F162" i="3"/>
  <c r="F199" i="3"/>
  <c r="F200" i="3"/>
  <c r="F5" i="3"/>
  <c r="F6" i="3"/>
  <c r="F149" i="3"/>
  <c r="F150" i="3"/>
  <c r="F198" i="3"/>
  <c r="F167" i="3"/>
  <c r="F168" i="3"/>
  <c r="F197" i="3"/>
  <c r="F158" i="3"/>
  <c r="F157" i="3"/>
  <c r="F196" i="3"/>
  <c r="M196" i="3"/>
  <c r="G2" i="3"/>
  <c r="M157" i="3"/>
  <c r="M158" i="3"/>
  <c r="M197" i="3"/>
  <c r="M168" i="3"/>
  <c r="M167" i="3"/>
  <c r="M198" i="3"/>
  <c r="M150" i="3"/>
  <c r="M149" i="3"/>
  <c r="G149" i="3" s="1"/>
  <c r="M6" i="3"/>
  <c r="M5" i="3"/>
  <c r="M200" i="3"/>
  <c r="M199" i="3"/>
  <c r="M162" i="3"/>
  <c r="M163" i="3"/>
  <c r="M7" i="3"/>
  <c r="M164" i="3"/>
  <c r="G164" i="3" s="1"/>
  <c r="M147" i="3"/>
  <c r="M145" i="3"/>
  <c r="M202" i="3"/>
  <c r="M144" i="3"/>
  <c r="M153" i="3"/>
  <c r="M151" i="3"/>
  <c r="M146" i="3"/>
  <c r="M165" i="3"/>
  <c r="G165" i="3" s="1"/>
  <c r="M4" i="3"/>
  <c r="M152" i="3"/>
  <c r="M203" i="3"/>
  <c r="M204" i="3"/>
  <c r="M208" i="3"/>
  <c r="M207" i="3"/>
  <c r="M206" i="3"/>
  <c r="M8" i="3"/>
  <c r="G8" i="3" s="1"/>
  <c r="M154" i="3"/>
  <c r="M211" i="3"/>
  <c r="M210" i="3"/>
  <c r="M209" i="3"/>
  <c r="M12" i="3"/>
  <c r="M9" i="3"/>
  <c r="M10" i="3"/>
  <c r="M11" i="3"/>
  <c r="G11" i="3" s="1"/>
  <c r="M155" i="3"/>
  <c r="M156" i="3"/>
  <c r="M13" i="3"/>
  <c r="M212" i="3"/>
  <c r="M213" i="3"/>
  <c r="M173" i="3"/>
  <c r="M254" i="3"/>
  <c r="M255" i="3"/>
  <c r="G255" i="3" s="1"/>
  <c r="M195" i="3"/>
  <c r="M214" i="3"/>
  <c r="M215" i="3"/>
  <c r="M175" i="3"/>
  <c r="M174" i="3"/>
  <c r="M216" i="3"/>
  <c r="M217" i="3"/>
  <c r="M176" i="3"/>
  <c r="G176" i="3" s="1"/>
  <c r="M218" i="3"/>
  <c r="M166" i="3"/>
  <c r="M177" i="3"/>
  <c r="M238" i="3"/>
  <c r="M178" i="3"/>
  <c r="M239" i="3"/>
  <c r="M179" i="3"/>
  <c r="M180" i="3"/>
  <c r="G180" i="3" s="1"/>
  <c r="M170" i="3"/>
  <c r="M181" i="3"/>
  <c r="M159" i="3"/>
  <c r="M160" i="3"/>
  <c r="M221" i="3"/>
  <c r="M223" i="3"/>
  <c r="M222" i="3"/>
  <c r="M21" i="3"/>
  <c r="G21" i="3" s="1"/>
  <c r="M240" i="3"/>
  <c r="M171" i="3"/>
  <c r="M224" i="3"/>
  <c r="M161" i="3"/>
  <c r="M22" i="3"/>
  <c r="M26" i="3"/>
  <c r="M27" i="3"/>
  <c r="M23" i="3"/>
  <c r="G23" i="3" s="1"/>
  <c r="M183" i="3"/>
  <c r="M225" i="3"/>
  <c r="M33" i="3"/>
  <c r="M31" i="3"/>
  <c r="M32" i="3"/>
  <c r="M34" i="3"/>
  <c r="M28" i="3"/>
  <c r="M30" i="3"/>
  <c r="G30" i="3" s="1"/>
  <c r="M29" i="3"/>
  <c r="M24" i="3"/>
  <c r="M35" i="3"/>
  <c r="M25" i="3"/>
  <c r="M241" i="3"/>
  <c r="M36" i="3"/>
  <c r="M37" i="3"/>
  <c r="M39" i="3"/>
  <c r="G39" i="3" s="1"/>
  <c r="M41" i="3"/>
  <c r="M42" i="3"/>
  <c r="M43" i="3"/>
  <c r="M242" i="3"/>
  <c r="M227" i="3"/>
  <c r="M38" i="3"/>
  <c r="M46" i="3"/>
  <c r="M219" i="3"/>
  <c r="G219" i="3" s="1"/>
  <c r="M220" i="3"/>
  <c r="M17" i="3"/>
  <c r="M226" i="3"/>
  <c r="M40" i="3"/>
  <c r="M44" i="3"/>
  <c r="M45" i="3"/>
  <c r="M49" i="3"/>
  <c r="M169" i="3"/>
  <c r="G169" i="3" s="1"/>
  <c r="M47" i="3"/>
  <c r="M50" i="3"/>
  <c r="M228" i="3"/>
  <c r="M51" i="3"/>
  <c r="M52" i="3"/>
  <c r="M53" i="3"/>
  <c r="M243" i="3"/>
  <c r="M54" i="3"/>
  <c r="G54" i="3" s="1"/>
  <c r="M55" i="3"/>
  <c r="M185" i="3"/>
  <c r="M56" i="3"/>
  <c r="M57" i="3"/>
  <c r="M58" i="3"/>
  <c r="M186" i="3"/>
  <c r="M59" i="3"/>
  <c r="M61" i="3"/>
  <c r="G61" i="3" s="1"/>
  <c r="M62" i="3"/>
  <c r="M70" i="3"/>
  <c r="M65" i="3"/>
  <c r="M66" i="3"/>
  <c r="M60" i="3"/>
  <c r="M74" i="3"/>
  <c r="M63" i="3"/>
  <c r="M67" i="3"/>
  <c r="G67" i="3" s="1"/>
  <c r="M64" i="3"/>
  <c r="M72" i="3"/>
  <c r="M68" i="3"/>
  <c r="M73" i="3"/>
  <c r="M69" i="3"/>
  <c r="M71" i="3"/>
  <c r="M75" i="3"/>
  <c r="M244" i="3"/>
  <c r="G244" i="3" s="1"/>
  <c r="M188" i="3"/>
  <c r="M76" i="3"/>
  <c r="M77" i="3"/>
  <c r="M78" i="3"/>
  <c r="M229" i="3"/>
  <c r="M79" i="3"/>
  <c r="M190" i="3"/>
  <c r="M80" i="3"/>
  <c r="G80" i="3" s="1"/>
  <c r="M82" i="3"/>
  <c r="M81" i="3"/>
  <c r="M83" i="3"/>
  <c r="M84" i="3"/>
  <c r="M48" i="3"/>
  <c r="M85" i="3"/>
  <c r="M86" i="3"/>
  <c r="M90" i="3"/>
  <c r="G90" i="3" s="1"/>
  <c r="M87" i="3"/>
  <c r="M88" i="3"/>
  <c r="M91" i="3"/>
  <c r="M89" i="3"/>
  <c r="M230" i="3"/>
  <c r="M92" i="3"/>
  <c r="M93" i="3"/>
  <c r="M94" i="3"/>
  <c r="G94" i="3" s="1"/>
  <c r="M18" i="3"/>
  <c r="M191" i="3"/>
  <c r="M95" i="3"/>
  <c r="M245" i="3"/>
  <c r="M96" i="3"/>
  <c r="M97" i="3"/>
  <c r="M98" i="3"/>
  <c r="M99" i="3"/>
  <c r="G99" i="3" s="1"/>
  <c r="M100" i="3"/>
  <c r="M102" i="3"/>
  <c r="M101" i="3"/>
  <c r="M103" i="3"/>
  <c r="M104" i="3"/>
  <c r="M105" i="3"/>
  <c r="M106" i="3"/>
  <c r="M107" i="3"/>
  <c r="G107" i="3" s="1"/>
  <c r="M109" i="3"/>
  <c r="M108" i="3"/>
  <c r="M112" i="3"/>
  <c r="M113" i="3"/>
  <c r="M110" i="3"/>
  <c r="M111" i="3"/>
  <c r="M114" i="3"/>
  <c r="M115" i="3"/>
  <c r="G115" i="3" s="1"/>
  <c r="M116" i="3"/>
  <c r="M117" i="3"/>
  <c r="M118" i="3"/>
  <c r="M119" i="3"/>
  <c r="M19" i="3"/>
  <c r="M231" i="3"/>
  <c r="M120" i="3"/>
  <c r="M232" i="3"/>
  <c r="G232" i="3" s="1"/>
  <c r="M233" i="3"/>
  <c r="M234" i="3"/>
  <c r="M246" i="3"/>
  <c r="M20" i="3"/>
  <c r="M121" i="3"/>
  <c r="M122" i="3"/>
  <c r="M142" i="3"/>
  <c r="M247" i="3"/>
  <c r="G247" i="3" s="1"/>
  <c r="M235" i="3"/>
  <c r="M123" i="3"/>
  <c r="M248" i="3"/>
  <c r="M249" i="3"/>
  <c r="M250" i="3"/>
  <c r="M124" i="3"/>
  <c r="M143" i="3"/>
  <c r="M125" i="3"/>
  <c r="G125" i="3" s="1"/>
  <c r="M126" i="3"/>
  <c r="M127" i="3"/>
  <c r="M128" i="3"/>
  <c r="M129" i="3"/>
  <c r="M130" i="3"/>
  <c r="M131" i="3"/>
  <c r="M132" i="3"/>
  <c r="M133" i="3"/>
  <c r="G133" i="3" s="1"/>
  <c r="M134" i="3"/>
  <c r="M135" i="3"/>
  <c r="M138" i="3"/>
  <c r="M139" i="3"/>
  <c r="M136" i="3"/>
  <c r="M137" i="3"/>
  <c r="M252" i="3"/>
  <c r="M251" i="3"/>
  <c r="G251" i="3" s="1"/>
  <c r="M140" i="3"/>
  <c r="M193" i="3"/>
  <c r="M257" i="3"/>
  <c r="M141" i="3"/>
  <c r="M236" i="3"/>
  <c r="M194" i="3"/>
  <c r="M256" i="3"/>
  <c r="M237" i="3"/>
  <c r="G237" i="3" s="1"/>
  <c r="M184" i="3"/>
  <c r="M187" i="3"/>
  <c r="M189" i="3"/>
  <c r="M192" i="3"/>
  <c r="M148" i="3"/>
  <c r="M16" i="3"/>
  <c r="M3" i="3"/>
  <c r="M253" i="3"/>
  <c r="G253" i="3" s="1"/>
  <c r="M172" i="3"/>
  <c r="M182" i="3"/>
  <c r="M14" i="3"/>
  <c r="M15" i="3"/>
  <c r="M205" i="3"/>
  <c r="M201" i="3"/>
  <c r="C196" i="3"/>
  <c r="C157" i="3"/>
  <c r="C158" i="3"/>
  <c r="C197" i="3"/>
  <c r="C168" i="3"/>
  <c r="C167" i="3"/>
  <c r="C198" i="3"/>
  <c r="C150" i="3"/>
  <c r="C149" i="3"/>
  <c r="C6" i="3"/>
  <c r="C5" i="3"/>
  <c r="C200" i="3"/>
  <c r="C199" i="3"/>
  <c r="C162" i="3"/>
  <c r="C163" i="3"/>
  <c r="C7" i="3"/>
  <c r="C164" i="3"/>
  <c r="C147" i="3"/>
  <c r="C145" i="3"/>
  <c r="C202" i="3"/>
  <c r="C144" i="3"/>
  <c r="C153" i="3"/>
  <c r="C151" i="3"/>
  <c r="C146" i="3"/>
  <c r="C165" i="3"/>
  <c r="C4" i="3"/>
  <c r="C152" i="3"/>
  <c r="C203" i="3"/>
  <c r="C204" i="3"/>
  <c r="C208" i="3"/>
  <c r="C207" i="3"/>
  <c r="C206" i="3"/>
  <c r="C8" i="3"/>
  <c r="C154" i="3"/>
  <c r="C211" i="3"/>
  <c r="C210" i="3"/>
  <c r="C209" i="3"/>
  <c r="C12" i="3"/>
  <c r="C9" i="3"/>
  <c r="C10" i="3"/>
  <c r="C11" i="3"/>
  <c r="C155" i="3"/>
  <c r="C156" i="3"/>
  <c r="C13" i="3"/>
  <c r="C212" i="3"/>
  <c r="C213" i="3"/>
  <c r="C173" i="3"/>
  <c r="C254" i="3"/>
  <c r="C255" i="3"/>
  <c r="C195" i="3"/>
  <c r="C214" i="3"/>
  <c r="C215" i="3"/>
  <c r="C175" i="3"/>
  <c r="C174" i="3"/>
  <c r="C216" i="3"/>
  <c r="C217" i="3"/>
  <c r="C176" i="3"/>
  <c r="C218" i="3"/>
  <c r="C166" i="3"/>
  <c r="C177" i="3"/>
  <c r="C238" i="3"/>
  <c r="C178" i="3"/>
  <c r="C239" i="3"/>
  <c r="C179" i="3"/>
  <c r="C180" i="3"/>
  <c r="C170" i="3"/>
  <c r="C181" i="3"/>
  <c r="C159" i="3"/>
  <c r="C160" i="3"/>
  <c r="C221" i="3"/>
  <c r="C223" i="3"/>
  <c r="C222" i="3"/>
  <c r="C21" i="3"/>
  <c r="C240" i="3"/>
  <c r="C171" i="3"/>
  <c r="C224" i="3"/>
  <c r="C161" i="3"/>
  <c r="C22" i="3"/>
  <c r="C26" i="3"/>
  <c r="C27" i="3"/>
  <c r="C23" i="3"/>
  <c r="C183" i="3"/>
  <c r="C225" i="3"/>
  <c r="C33" i="3"/>
  <c r="C31" i="3"/>
  <c r="C32" i="3"/>
  <c r="C34" i="3"/>
  <c r="C28" i="3"/>
  <c r="C30" i="3"/>
  <c r="C29" i="3"/>
  <c r="C24" i="3"/>
  <c r="C35" i="3"/>
  <c r="C25" i="3"/>
  <c r="C241" i="3"/>
  <c r="C36" i="3"/>
  <c r="C37" i="3"/>
  <c r="C39" i="3"/>
  <c r="C41" i="3"/>
  <c r="C42" i="3"/>
  <c r="C43" i="3"/>
  <c r="C242" i="3"/>
  <c r="C227" i="3"/>
  <c r="C38" i="3"/>
  <c r="C46" i="3"/>
  <c r="C219" i="3"/>
  <c r="C220" i="3"/>
  <c r="C17" i="3"/>
  <c r="C226" i="3"/>
  <c r="C40" i="3"/>
  <c r="C44" i="3"/>
  <c r="C45" i="3"/>
  <c r="C49" i="3"/>
  <c r="C169" i="3"/>
  <c r="C47" i="3"/>
  <c r="C50" i="3"/>
  <c r="C228" i="3"/>
  <c r="C51" i="3"/>
  <c r="C52" i="3"/>
  <c r="C53" i="3"/>
  <c r="C243" i="3"/>
  <c r="C54" i="3"/>
  <c r="C55" i="3"/>
  <c r="C185" i="3"/>
  <c r="C56" i="3"/>
  <c r="C57" i="3"/>
  <c r="C58" i="3"/>
  <c r="C186" i="3"/>
  <c r="C59" i="3"/>
  <c r="C61" i="3"/>
  <c r="C62" i="3"/>
  <c r="C70" i="3"/>
  <c r="C65" i="3"/>
  <c r="C66" i="3"/>
  <c r="C60" i="3"/>
  <c r="C74" i="3"/>
  <c r="C63" i="3"/>
  <c r="C67" i="3"/>
  <c r="C64" i="3"/>
  <c r="C72" i="3"/>
  <c r="C68" i="3"/>
  <c r="C73" i="3"/>
  <c r="C69" i="3"/>
  <c r="C71" i="3"/>
  <c r="C75" i="3"/>
  <c r="C244" i="3"/>
  <c r="C188" i="3"/>
  <c r="C76" i="3"/>
  <c r="C77" i="3"/>
  <c r="C78" i="3"/>
  <c r="C229" i="3"/>
  <c r="C79" i="3"/>
  <c r="C190" i="3"/>
  <c r="C80" i="3"/>
  <c r="C82" i="3"/>
  <c r="C81" i="3"/>
  <c r="C83" i="3"/>
  <c r="C84" i="3"/>
  <c r="C48" i="3"/>
  <c r="C85" i="3"/>
  <c r="C86" i="3"/>
  <c r="C90" i="3"/>
  <c r="C87" i="3"/>
  <c r="C88" i="3"/>
  <c r="C91" i="3"/>
  <c r="C89" i="3"/>
  <c r="C230" i="3"/>
  <c r="C92" i="3"/>
  <c r="C93" i="3"/>
  <c r="C94" i="3"/>
  <c r="C18" i="3"/>
  <c r="C191" i="3"/>
  <c r="C95" i="3"/>
  <c r="C245" i="3"/>
  <c r="C96" i="3"/>
  <c r="C97" i="3"/>
  <c r="C98" i="3"/>
  <c r="C99" i="3"/>
  <c r="C100" i="3"/>
  <c r="C102" i="3"/>
  <c r="C101" i="3"/>
  <c r="C103" i="3"/>
  <c r="C104" i="3"/>
  <c r="C105" i="3"/>
  <c r="C106" i="3"/>
  <c r="C107" i="3"/>
  <c r="C109" i="3"/>
  <c r="C108" i="3"/>
  <c r="C112" i="3"/>
  <c r="C113" i="3"/>
  <c r="C110" i="3"/>
  <c r="C111" i="3"/>
  <c r="C114" i="3"/>
  <c r="C115" i="3"/>
  <c r="C116" i="3"/>
  <c r="C117" i="3"/>
  <c r="C118" i="3"/>
  <c r="C119" i="3"/>
  <c r="C19" i="3"/>
  <c r="C231" i="3"/>
  <c r="C120" i="3"/>
  <c r="C232" i="3"/>
  <c r="C233" i="3"/>
  <c r="C234" i="3"/>
  <c r="C246" i="3"/>
  <c r="C20" i="3"/>
  <c r="C121" i="3"/>
  <c r="C122" i="3"/>
  <c r="C142" i="3"/>
  <c r="C247" i="3"/>
  <c r="C235" i="3"/>
  <c r="C123" i="3"/>
  <c r="C248" i="3"/>
  <c r="C249" i="3"/>
  <c r="C250" i="3"/>
  <c r="C124" i="3"/>
  <c r="C143" i="3"/>
  <c r="C125" i="3"/>
  <c r="C126" i="3"/>
  <c r="C127" i="3"/>
  <c r="C128" i="3"/>
  <c r="C129" i="3"/>
  <c r="C130" i="3"/>
  <c r="C131" i="3"/>
  <c r="C132" i="3"/>
  <c r="C133" i="3"/>
  <c r="C134" i="3"/>
  <c r="C135" i="3"/>
  <c r="C138" i="3"/>
  <c r="C139" i="3"/>
  <c r="C136" i="3"/>
  <c r="C137" i="3"/>
  <c r="C252" i="3"/>
  <c r="C251" i="3"/>
  <c r="C140" i="3"/>
  <c r="C193" i="3"/>
  <c r="C257" i="3"/>
  <c r="C141" i="3"/>
  <c r="C236" i="3"/>
  <c r="C194" i="3"/>
  <c r="C256" i="3"/>
  <c r="C237" i="3"/>
  <c r="C184" i="3"/>
  <c r="C187" i="3"/>
  <c r="C189" i="3"/>
  <c r="C192" i="3"/>
  <c r="C148" i="3"/>
  <c r="C16" i="3"/>
  <c r="C3" i="3"/>
  <c r="C253" i="3"/>
  <c r="C172" i="3"/>
  <c r="C182" i="3"/>
  <c r="C14" i="3"/>
  <c r="C15" i="3"/>
  <c r="C205" i="3"/>
  <c r="C201" i="3"/>
  <c r="F3" i="9" l="1"/>
  <c r="H196" i="3" s="1"/>
  <c r="G3" i="3"/>
  <c r="G9" i="5"/>
  <c r="G17" i="5"/>
  <c r="G25" i="5"/>
  <c r="G33" i="5"/>
  <c r="G29" i="5"/>
  <c r="G22" i="5"/>
  <c r="G2" i="5"/>
  <c r="D2" i="5"/>
  <c r="D196" i="3" s="1"/>
  <c r="G10" i="5"/>
  <c r="G18" i="5"/>
  <c r="G26" i="5"/>
  <c r="G34" i="5"/>
  <c r="G37" i="5"/>
  <c r="G30" i="5"/>
  <c r="G3" i="5"/>
  <c r="G11" i="5"/>
  <c r="G19" i="5"/>
  <c r="G27" i="5"/>
  <c r="G35" i="5"/>
  <c r="G21" i="5"/>
  <c r="G14" i="5"/>
  <c r="G38" i="5"/>
  <c r="G4" i="5"/>
  <c r="G12" i="5"/>
  <c r="G20" i="5"/>
  <c r="G28" i="5"/>
  <c r="G36" i="5"/>
  <c r="G13" i="5"/>
  <c r="G6" i="5"/>
  <c r="G5" i="5"/>
  <c r="G7" i="5"/>
  <c r="G15" i="5"/>
  <c r="G23" i="5"/>
  <c r="G31" i="5"/>
  <c r="G39" i="5"/>
  <c r="G8" i="5"/>
  <c r="G16" i="5"/>
  <c r="G24" i="5"/>
  <c r="G32" i="5"/>
  <c r="G256" i="3"/>
  <c r="G252" i="3"/>
  <c r="G132" i="3"/>
  <c r="G143" i="3"/>
  <c r="G142" i="3"/>
  <c r="G120" i="3"/>
  <c r="G114" i="3"/>
  <c r="G106" i="3"/>
  <c r="G98" i="3"/>
  <c r="G93" i="3"/>
  <c r="G86" i="3"/>
  <c r="G190" i="3"/>
  <c r="G75" i="3"/>
  <c r="G63" i="3"/>
  <c r="G59" i="3"/>
  <c r="G243" i="3"/>
  <c r="G49" i="3"/>
  <c r="G46" i="3"/>
  <c r="G37" i="3"/>
  <c r="G28" i="3"/>
  <c r="G27" i="3"/>
  <c r="G222" i="3"/>
  <c r="G179" i="3"/>
  <c r="G217" i="3"/>
  <c r="G254" i="3"/>
  <c r="G10" i="3"/>
  <c r="G206" i="3"/>
  <c r="G146" i="3"/>
  <c r="G7" i="3"/>
  <c r="G150" i="3"/>
  <c r="G196" i="3"/>
  <c r="P5" i="8"/>
  <c r="G189" i="3"/>
  <c r="P10" i="8"/>
  <c r="G187" i="3"/>
  <c r="G201" i="3"/>
  <c r="G16" i="3"/>
  <c r="G194" i="3"/>
  <c r="G137" i="3"/>
  <c r="G131" i="3"/>
  <c r="G124" i="3"/>
  <c r="G122" i="3"/>
  <c r="G231" i="3"/>
  <c r="G111" i="3"/>
  <c r="G105" i="3"/>
  <c r="G97" i="3"/>
  <c r="G92" i="3"/>
  <c r="G85" i="3"/>
  <c r="G79" i="3"/>
  <c r="G71" i="3"/>
  <c r="G74" i="3"/>
  <c r="G186" i="3"/>
  <c r="G53" i="3"/>
  <c r="G45" i="3"/>
  <c r="G38" i="3"/>
  <c r="G36" i="3"/>
  <c r="G34" i="3"/>
  <c r="G26" i="3"/>
  <c r="G223" i="3"/>
  <c r="G239" i="3"/>
  <c r="G216" i="3"/>
  <c r="G173" i="3"/>
  <c r="G9" i="3"/>
  <c r="G207" i="3"/>
  <c r="G151" i="3"/>
  <c r="G163" i="3"/>
  <c r="G198" i="3"/>
  <c r="G205" i="3"/>
  <c r="G148" i="3"/>
  <c r="G236" i="3"/>
  <c r="G136" i="3"/>
  <c r="G130" i="3"/>
  <c r="G250" i="3"/>
  <c r="G121" i="3"/>
  <c r="G19" i="3"/>
  <c r="G110" i="3"/>
  <c r="G104" i="3"/>
  <c r="G96" i="3"/>
  <c r="G230" i="3"/>
  <c r="G48" i="3"/>
  <c r="G229" i="3"/>
  <c r="G69" i="3"/>
  <c r="G60" i="3"/>
  <c r="G58" i="3"/>
  <c r="G52" i="3"/>
  <c r="G44" i="3"/>
  <c r="G227" i="3"/>
  <c r="G241" i="3"/>
  <c r="G32" i="3"/>
  <c r="G22" i="3"/>
  <c r="G221" i="3"/>
  <c r="G178" i="3"/>
  <c r="G174" i="3"/>
  <c r="G213" i="3"/>
  <c r="G12" i="3"/>
  <c r="G208" i="3"/>
  <c r="G153" i="3"/>
  <c r="G162" i="3"/>
  <c r="G167" i="3"/>
  <c r="G15" i="3"/>
  <c r="G192" i="3"/>
  <c r="G141" i="3"/>
  <c r="G139" i="3"/>
  <c r="G129" i="3"/>
  <c r="G249" i="3"/>
  <c r="G20" i="3"/>
  <c r="G119" i="3"/>
  <c r="G113" i="3"/>
  <c r="G103" i="3"/>
  <c r="G245" i="3"/>
  <c r="G89" i="3"/>
  <c r="G84" i="3"/>
  <c r="G78" i="3"/>
  <c r="G73" i="3"/>
  <c r="G66" i="3"/>
  <c r="G57" i="3"/>
  <c r="G51" i="3"/>
  <c r="G40" i="3"/>
  <c r="G242" i="3"/>
  <c r="G25" i="3"/>
  <c r="G31" i="3"/>
  <c r="G161" i="3"/>
  <c r="G160" i="3"/>
  <c r="G238" i="3"/>
  <c r="G175" i="3"/>
  <c r="G212" i="3"/>
  <c r="G209" i="3"/>
  <c r="G204" i="3"/>
  <c r="G144" i="3"/>
  <c r="G199" i="3"/>
  <c r="G168" i="3"/>
  <c r="G14" i="3"/>
  <c r="G257" i="3"/>
  <c r="G138" i="3"/>
  <c r="G128" i="3"/>
  <c r="G248" i="3"/>
  <c r="G246" i="3"/>
  <c r="G118" i="3"/>
  <c r="G112" i="3"/>
  <c r="G101" i="3"/>
  <c r="G95" i="3"/>
  <c r="G91" i="3"/>
  <c r="G83" i="3"/>
  <c r="G77" i="3"/>
  <c r="G68" i="3"/>
  <c r="G65" i="3"/>
  <c r="G56" i="3"/>
  <c r="G228" i="3"/>
  <c r="G226" i="3"/>
  <c r="G43" i="3"/>
  <c r="G35" i="3"/>
  <c r="G33" i="3"/>
  <c r="G224" i="3"/>
  <c r="G159" i="3"/>
  <c r="G177" i="3"/>
  <c r="G215" i="3"/>
  <c r="G13" i="3"/>
  <c r="G210" i="3"/>
  <c r="G203" i="3"/>
  <c r="G202" i="3"/>
  <c r="G200" i="3"/>
  <c r="G197" i="3"/>
  <c r="G182" i="3"/>
  <c r="G193" i="3"/>
  <c r="G123" i="3"/>
  <c r="G108" i="3"/>
  <c r="G191" i="3"/>
  <c r="G81" i="3"/>
  <c r="G72" i="3"/>
  <c r="G185" i="3"/>
  <c r="G42" i="3"/>
  <c r="G225" i="3"/>
  <c r="G181" i="3"/>
  <c r="G166" i="3"/>
  <c r="G214" i="3"/>
  <c r="G152" i="3"/>
  <c r="G158" i="3"/>
  <c r="G135" i="3"/>
  <c r="G127" i="3"/>
  <c r="G234" i="3"/>
  <c r="G117" i="3"/>
  <c r="G102" i="3"/>
  <c r="G88" i="3"/>
  <c r="G76" i="3"/>
  <c r="G70" i="3"/>
  <c r="G50" i="3"/>
  <c r="G17" i="3"/>
  <c r="G24" i="3"/>
  <c r="G171" i="3"/>
  <c r="G156" i="3"/>
  <c r="G211" i="3"/>
  <c r="G145" i="3"/>
  <c r="G5" i="3"/>
  <c r="G172" i="3"/>
  <c r="G184" i="3"/>
  <c r="G140" i="3"/>
  <c r="G134" i="3"/>
  <c r="G126" i="3"/>
  <c r="G235" i="3"/>
  <c r="G233" i="3"/>
  <c r="G116" i="3"/>
  <c r="G109" i="3"/>
  <c r="G100" i="3"/>
  <c r="G18" i="3"/>
  <c r="G87" i="3"/>
  <c r="G82" i="3"/>
  <c r="G188" i="3"/>
  <c r="G64" i="3"/>
  <c r="G62" i="3"/>
  <c r="G55" i="3"/>
  <c r="G47" i="3"/>
  <c r="G220" i="3"/>
  <c r="G41" i="3"/>
  <c r="G29" i="3"/>
  <c r="G183" i="3"/>
  <c r="G240" i="3"/>
  <c r="G170" i="3"/>
  <c r="G218" i="3"/>
  <c r="G195" i="3"/>
  <c r="G155" i="3"/>
  <c r="G154" i="3"/>
  <c r="G4" i="3"/>
  <c r="G147" i="3"/>
  <c r="G6" i="3"/>
  <c r="G157" i="3"/>
  <c r="P9" i="8"/>
  <c r="BE19" i="12"/>
  <c r="P8" i="8"/>
  <c r="BE11" i="12"/>
  <c r="P7" i="8"/>
  <c r="M5" i="8"/>
  <c r="E201" i="3" s="1"/>
  <c r="P6" i="8"/>
  <c r="M4" i="8"/>
  <c r="E196" i="3" s="1"/>
  <c r="P4" i="8"/>
  <c r="BE6" i="12"/>
  <c r="BE9" i="12"/>
  <c r="BE13" i="12"/>
  <c r="BE5" i="12"/>
  <c r="BB6" i="12"/>
  <c r="D248" i="9" s="1"/>
  <c r="F248" i="9" s="1"/>
  <c r="H5" i="3" s="1"/>
  <c r="BE20" i="12"/>
  <c r="BE12" i="12"/>
  <c r="BE4" i="12"/>
  <c r="BE18" i="12"/>
  <c r="BE10" i="12"/>
  <c r="BE17" i="12"/>
  <c r="BE16" i="12"/>
  <c r="BE8" i="12"/>
  <c r="BE15" i="12"/>
  <c r="BE7" i="12"/>
  <c r="BE14" i="12"/>
  <c r="F229" i="9"/>
  <c r="H208" i="3" s="1"/>
  <c r="F174" i="9"/>
  <c r="H31" i="3" s="1"/>
  <c r="F164" i="9"/>
  <c r="H36" i="3" s="1"/>
  <c r="F155" i="9"/>
  <c r="H46" i="3" s="1"/>
  <c r="F142" i="9"/>
  <c r="H51" i="3" s="1"/>
  <c r="F130" i="9"/>
  <c r="F122" i="9"/>
  <c r="H67" i="3" s="1"/>
  <c r="F112" i="9"/>
  <c r="H76" i="3" s="1"/>
  <c r="F98" i="9"/>
  <c r="F84" i="9"/>
  <c r="H97" i="3" s="1"/>
  <c r="F70" i="9"/>
  <c r="H113" i="3" s="1"/>
  <c r="F50" i="9"/>
  <c r="H247" i="3" s="1"/>
  <c r="F37" i="9"/>
  <c r="H130" i="3" s="1"/>
  <c r="F28" i="9"/>
  <c r="H137" i="3" s="1"/>
  <c r="F203" i="9"/>
  <c r="H217" i="3" s="1"/>
  <c r="F165" i="9"/>
  <c r="H241" i="3" s="1"/>
  <c r="F87" i="9"/>
  <c r="H95" i="3" s="1"/>
  <c r="F60" i="9"/>
  <c r="F11" i="9"/>
  <c r="H3" i="3" s="1"/>
  <c r="F227" i="9"/>
  <c r="F143" i="9"/>
  <c r="H228" i="3" s="1"/>
  <c r="F56" i="9"/>
  <c r="H234" i="3" s="1"/>
  <c r="F247" i="9"/>
  <c r="H200" i="3" s="1"/>
  <c r="F6" i="9"/>
  <c r="H15" i="3" s="1"/>
  <c r="F109" i="9"/>
  <c r="H229" i="3" s="1"/>
  <c r="F92" i="9"/>
  <c r="H92" i="3" s="1"/>
  <c r="F15" i="9"/>
  <c r="H189" i="3" s="1"/>
  <c r="F21" i="9"/>
  <c r="F20" i="9"/>
  <c r="H194" i="3" s="1"/>
  <c r="F225" i="9"/>
  <c r="H154" i="3" s="1"/>
  <c r="F173" i="9"/>
  <c r="H32" i="3" s="1"/>
  <c r="F163" i="9"/>
  <c r="H37" i="3" s="1"/>
  <c r="F154" i="9"/>
  <c r="H219" i="3" s="1"/>
  <c r="F141" i="9"/>
  <c r="H52" i="3" s="1"/>
  <c r="F129" i="9"/>
  <c r="H62" i="3" s="1"/>
  <c r="F121" i="9"/>
  <c r="H64" i="3" s="1"/>
  <c r="F111" i="9"/>
  <c r="H77" i="3" s="1"/>
  <c r="F97" i="9"/>
  <c r="H87" i="3" s="1"/>
  <c r="F83" i="9"/>
  <c r="F69" i="9"/>
  <c r="H110" i="3" s="1"/>
  <c r="F243" i="9"/>
  <c r="H7" i="3" s="1"/>
  <c r="F255" i="9"/>
  <c r="H197" i="3" s="1"/>
  <c r="F220" i="9"/>
  <c r="H9" i="3" s="1"/>
  <c r="F172" i="9"/>
  <c r="H34" i="3" s="1"/>
  <c r="F162" i="9"/>
  <c r="F153" i="9"/>
  <c r="H220" i="3" s="1"/>
  <c r="F140" i="9"/>
  <c r="H53" i="3" s="1"/>
  <c r="F128" i="9"/>
  <c r="H70" i="3" s="1"/>
  <c r="F120" i="9"/>
  <c r="H72" i="3" s="1"/>
  <c r="F108" i="9"/>
  <c r="H79" i="3" s="1"/>
  <c r="F96" i="9"/>
  <c r="H88" i="3" s="1"/>
  <c r="F82" i="9"/>
  <c r="F68" i="9"/>
  <c r="H111" i="3" s="1"/>
  <c r="F43" i="9"/>
  <c r="F35" i="9"/>
  <c r="H132" i="3" s="1"/>
  <c r="F26" i="9"/>
  <c r="H251" i="3" s="1"/>
  <c r="F240" i="9"/>
  <c r="H145" i="3" s="1"/>
  <c r="F200" i="9"/>
  <c r="H166" i="3" s="1"/>
  <c r="F151" i="9"/>
  <c r="H226" i="3" s="1"/>
  <c r="F77" i="9"/>
  <c r="H104" i="3" s="1"/>
  <c r="F55" i="9"/>
  <c r="H246" i="3" s="1"/>
  <c r="F5" i="9"/>
  <c r="F219" i="9"/>
  <c r="F100" i="9"/>
  <c r="H85" i="3" s="1"/>
  <c r="F47" i="9"/>
  <c r="H248" i="3" s="1"/>
  <c r="F237" i="9"/>
  <c r="H153" i="3" s="1"/>
  <c r="F235" i="9"/>
  <c r="H146" i="3" s="1"/>
  <c r="F89" i="9"/>
  <c r="H18" i="3" s="1"/>
  <c r="F188" i="9"/>
  <c r="F189" i="9"/>
  <c r="F231" i="9"/>
  <c r="H203" i="3" s="1"/>
  <c r="F45" i="9"/>
  <c r="H250" i="3" s="1"/>
  <c r="F250" i="9"/>
  <c r="H149" i="3" s="1"/>
  <c r="F208" i="9"/>
  <c r="H214" i="3" s="1"/>
  <c r="F171" i="9"/>
  <c r="H28" i="3" s="1"/>
  <c r="F161" i="9"/>
  <c r="H41" i="3" s="1"/>
  <c r="F150" i="9"/>
  <c r="H40" i="3" s="1"/>
  <c r="F137" i="9"/>
  <c r="H55" i="3" s="1"/>
  <c r="F127" i="9"/>
  <c r="F119" i="9"/>
  <c r="H68" i="3" s="1"/>
  <c r="F106" i="9"/>
  <c r="H80" i="3" s="1"/>
  <c r="F95" i="9"/>
  <c r="H91" i="3" s="1"/>
  <c r="F81" i="9"/>
  <c r="H100" i="3" s="1"/>
  <c r="F66" i="9"/>
  <c r="F42" i="9"/>
  <c r="F34" i="9"/>
  <c r="H133" i="3" s="1"/>
  <c r="F25" i="9"/>
  <c r="H140" i="3" s="1"/>
  <c r="F236" i="9"/>
  <c r="H151" i="3" s="1"/>
  <c r="F186" i="9"/>
  <c r="H21" i="3" s="1"/>
  <c r="F139" i="9"/>
  <c r="H243" i="3" s="1"/>
  <c r="F76" i="9"/>
  <c r="H105" i="3" s="1"/>
  <c r="F52" i="9"/>
  <c r="F254" i="9"/>
  <c r="F214" i="9"/>
  <c r="H212" i="3" s="1"/>
  <c r="F85" i="9"/>
  <c r="H96" i="3" s="1"/>
  <c r="F46" i="9"/>
  <c r="H249" i="3" s="1"/>
  <c r="F233" i="9"/>
  <c r="H4" i="3" s="1"/>
  <c r="F223" i="9"/>
  <c r="H210" i="3" s="1"/>
  <c r="F73" i="9"/>
  <c r="H109" i="3" s="1"/>
  <c r="F187" i="9"/>
  <c r="J7" i="14"/>
  <c r="F44" i="9"/>
  <c r="H124" i="3" s="1"/>
  <c r="F201" i="9"/>
  <c r="F239" i="9"/>
  <c r="H202" i="3" s="1"/>
  <c r="F216" i="9"/>
  <c r="H156" i="3" s="1"/>
  <c r="F249" i="9"/>
  <c r="H6" i="3" s="1"/>
  <c r="F183" i="9"/>
  <c r="H224" i="3" s="1"/>
  <c r="F170" i="9"/>
  <c r="F160" i="9"/>
  <c r="F149" i="9"/>
  <c r="H44" i="3" s="1"/>
  <c r="F135" i="9"/>
  <c r="H56" i="3" s="1"/>
  <c r="F126" i="9"/>
  <c r="F118" i="9"/>
  <c r="H73" i="3" s="1"/>
  <c r="F105" i="9"/>
  <c r="H82" i="3" s="1"/>
  <c r="J14" i="14"/>
  <c r="F253" i="9"/>
  <c r="F217" i="9"/>
  <c r="H155" i="3" s="1"/>
  <c r="F246" i="9"/>
  <c r="F180" i="9"/>
  <c r="H26" i="3" s="1"/>
  <c r="F169" i="9"/>
  <c r="H29" i="3" s="1"/>
  <c r="F159" i="9"/>
  <c r="H43" i="3" s="1"/>
  <c r="F148" i="9"/>
  <c r="H45" i="3" s="1"/>
  <c r="F134" i="9"/>
  <c r="H57" i="3" s="1"/>
  <c r="F125" i="9"/>
  <c r="F117" i="9"/>
  <c r="H69" i="3" s="1"/>
  <c r="F104" i="9"/>
  <c r="H81" i="3" s="1"/>
  <c r="F93" i="9"/>
  <c r="H230" i="3" s="1"/>
  <c r="F79" i="9"/>
  <c r="H101" i="3" s="1"/>
  <c r="F54" i="9"/>
  <c r="H20" i="3" s="1"/>
  <c r="F40" i="9"/>
  <c r="F31" i="9"/>
  <c r="H138" i="3" s="1"/>
  <c r="F230" i="9"/>
  <c r="H204" i="3" s="1"/>
  <c r="F182" i="9"/>
  <c r="H161" i="3" s="1"/>
  <c r="F114" i="9"/>
  <c r="F72" i="9"/>
  <c r="H108" i="3" s="1"/>
  <c r="F33" i="9"/>
  <c r="H134" i="3" s="1"/>
  <c r="F242" i="9"/>
  <c r="F204" i="9"/>
  <c r="H216" i="3" s="1"/>
  <c r="F65" i="9"/>
  <c r="H116" i="3" s="1"/>
  <c r="F7" i="9"/>
  <c r="H14" i="3" s="1"/>
  <c r="F196" i="9"/>
  <c r="F215" i="9"/>
  <c r="H13" i="3" s="1"/>
  <c r="F218" i="9"/>
  <c r="F210" i="9"/>
  <c r="H255" i="3" s="1"/>
  <c r="J3" i="14"/>
  <c r="F36" i="9"/>
  <c r="H131" i="3" s="1"/>
  <c r="F157" i="9"/>
  <c r="H227" i="3" s="1"/>
  <c r="F226" i="9"/>
  <c r="F252" i="9"/>
  <c r="F244" i="9"/>
  <c r="F241" i="9"/>
  <c r="H147" i="3" s="1"/>
  <c r="F179" i="9"/>
  <c r="F167" i="9"/>
  <c r="H35" i="3" s="1"/>
  <c r="F158" i="9"/>
  <c r="H242" i="3" s="1"/>
  <c r="F147" i="9"/>
  <c r="H49" i="3" s="1"/>
  <c r="F133" i="9"/>
  <c r="F124" i="9"/>
  <c r="F116" i="9"/>
  <c r="F103" i="9"/>
  <c r="H83" i="3" s="1"/>
  <c r="F91" i="9"/>
  <c r="H93" i="3" s="1"/>
  <c r="F78" i="9"/>
  <c r="H103" i="3" s="1"/>
  <c r="F53" i="9"/>
  <c r="F39" i="9"/>
  <c r="H128" i="3" s="1"/>
  <c r="F30" i="9"/>
  <c r="H139" i="3" s="1"/>
  <c r="F256" i="9"/>
  <c r="H158" i="3" s="1"/>
  <c r="F224" i="9"/>
  <c r="H211" i="3" s="1"/>
  <c r="F181" i="9"/>
  <c r="F110" i="9"/>
  <c r="H78" i="3" s="1"/>
  <c r="F67" i="9"/>
  <c r="H114" i="3" s="1"/>
  <c r="F18" i="9"/>
  <c r="F232" i="9"/>
  <c r="H152" i="3" s="1"/>
  <c r="F178" i="9"/>
  <c r="F58" i="9"/>
  <c r="F4" i="9"/>
  <c r="H201" i="3" s="1"/>
  <c r="F64" i="9"/>
  <c r="H117" i="3" s="1"/>
  <c r="F207" i="9"/>
  <c r="H215" i="3" s="1"/>
  <c r="F176" i="9"/>
  <c r="H225" i="3" s="1"/>
  <c r="F132" i="9"/>
  <c r="F190" i="9"/>
  <c r="F213" i="9"/>
  <c r="F221" i="9"/>
  <c r="H12" i="3" s="1"/>
  <c r="F234" i="9"/>
  <c r="F175" i="9"/>
  <c r="H33" i="3" s="1"/>
  <c r="F166" i="9"/>
  <c r="H25" i="3" s="1"/>
  <c r="F156" i="9"/>
  <c r="H38" i="3" s="1"/>
  <c r="F144" i="9"/>
  <c r="H50" i="3" s="1"/>
  <c r="F131" i="9"/>
  <c r="H59" i="3" s="1"/>
  <c r="F123" i="9"/>
  <c r="F115" i="9"/>
  <c r="F102" i="9"/>
  <c r="H84" i="3" s="1"/>
  <c r="F90" i="9"/>
  <c r="F71" i="9"/>
  <c r="H112" i="3" s="1"/>
  <c r="F51" i="9"/>
  <c r="F38" i="9"/>
  <c r="H129" i="3" s="1"/>
  <c r="F29" i="9"/>
  <c r="H136" i="3" s="1"/>
  <c r="F251" i="9"/>
  <c r="F222" i="9"/>
  <c r="H209" i="3" s="1"/>
  <c r="F168" i="9"/>
  <c r="F99" i="9"/>
  <c r="F62" i="9"/>
  <c r="F12" i="9"/>
  <c r="F228" i="9"/>
  <c r="H207" i="3" s="1"/>
  <c r="F145" i="9"/>
  <c r="F57" i="9"/>
  <c r="H233" i="3" s="1"/>
  <c r="F257" i="9"/>
  <c r="H157" i="3" s="1"/>
  <c r="F61" i="9"/>
  <c r="H19" i="3" s="1"/>
  <c r="F198" i="9"/>
  <c r="F152" i="9"/>
  <c r="G7" i="14"/>
  <c r="B191" i="9" s="1"/>
  <c r="F191" i="9" s="1"/>
  <c r="H159" i="3" s="1"/>
  <c r="J11" i="14"/>
  <c r="J10" i="14"/>
  <c r="J2" i="14"/>
  <c r="F94" i="9"/>
  <c r="F86" i="9"/>
  <c r="H245" i="3" s="1"/>
  <c r="F101" i="9"/>
  <c r="H48" i="3" s="1"/>
  <c r="F212" i="9"/>
  <c r="H173" i="3" s="1"/>
  <c r="J8" i="14"/>
  <c r="F195" i="9"/>
  <c r="H179" i="3" s="1"/>
  <c r="F19" i="9"/>
  <c r="H256" i="3" s="1"/>
  <c r="J15" i="14"/>
  <c r="J9" i="14"/>
  <c r="G3" i="14"/>
  <c r="B211" i="9" s="1"/>
  <c r="F211" i="9" s="1"/>
  <c r="H254" i="3" s="1"/>
  <c r="F202" i="9"/>
  <c r="F194" i="9"/>
  <c r="F17" i="9"/>
  <c r="F80" i="9"/>
  <c r="H102" i="3" s="1"/>
  <c r="F63" i="9"/>
  <c r="H118" i="3" s="1"/>
  <c r="F41" i="9"/>
  <c r="F32" i="9"/>
  <c r="H135" i="3" s="1"/>
  <c r="F22" i="9"/>
  <c r="H141" i="3" s="1"/>
  <c r="F185" i="9"/>
  <c r="H240" i="3" s="1"/>
  <c r="F136" i="9"/>
  <c r="F75" i="9"/>
  <c r="H106" i="3" s="1"/>
  <c r="F48" i="9"/>
  <c r="H123" i="3" s="1"/>
  <c r="F74" i="9"/>
  <c r="F113" i="9"/>
  <c r="H188" i="3" s="1"/>
  <c r="F209" i="9"/>
  <c r="F193" i="9"/>
  <c r="H170" i="3" s="1"/>
  <c r="F184" i="9"/>
  <c r="H171" i="3" s="1"/>
  <c r="F16" i="9"/>
  <c r="F192" i="9"/>
  <c r="H181" i="3" s="1"/>
  <c r="F146" i="9"/>
  <c r="H169" i="3" s="1"/>
  <c r="F88" i="9"/>
  <c r="H191" i="3" s="1"/>
  <c r="F14" i="9"/>
  <c r="J4" i="14"/>
  <c r="J12" i="14"/>
  <c r="F199" i="9"/>
  <c r="F13" i="9"/>
  <c r="H148" i="3" s="1"/>
  <c r="J5" i="14"/>
  <c r="J13" i="14"/>
  <c r="F238" i="9"/>
  <c r="H144" i="3" s="1"/>
  <c r="F206" i="9"/>
  <c r="F24" i="9"/>
  <c r="H193" i="3" s="1"/>
  <c r="F9" i="9"/>
  <c r="J6" i="14"/>
  <c r="F245" i="9"/>
  <c r="F205" i="9"/>
  <c r="H174" i="3" s="1"/>
  <c r="F197" i="9"/>
  <c r="F107" i="9"/>
  <c r="F8" i="9"/>
  <c r="F27" i="9"/>
  <c r="F59" i="9"/>
  <c r="H120" i="3" s="1"/>
  <c r="F10" i="9"/>
  <c r="F138" i="9"/>
  <c r="F49" i="9"/>
  <c r="H235" i="3" s="1"/>
  <c r="F23" i="9"/>
  <c r="H257" i="3" s="1"/>
  <c r="F177" i="9"/>
  <c r="H183" i="3" s="1"/>
  <c r="K133" i="3"/>
  <c r="K149" i="3"/>
  <c r="K255" i="3"/>
  <c r="K21" i="3"/>
  <c r="K219" i="3"/>
  <c r="K169" i="3"/>
  <c r="K67" i="3"/>
  <c r="K80" i="3"/>
  <c r="K247" i="3"/>
  <c r="K251" i="3"/>
  <c r="K105" i="3"/>
  <c r="K7" i="3"/>
  <c r="K146" i="3"/>
  <c r="K28" i="3"/>
  <c r="K37" i="3"/>
  <c r="K46" i="3"/>
  <c r="K93" i="3"/>
  <c r="K132" i="3"/>
  <c r="K53" i="3"/>
  <c r="K220" i="3"/>
  <c r="K87" i="3"/>
  <c r="K100" i="3"/>
  <c r="K109" i="3"/>
  <c r="K110" i="3"/>
  <c r="K234" i="3"/>
  <c r="K215" i="3"/>
  <c r="K226" i="3"/>
  <c r="K101" i="3"/>
  <c r="K112" i="3"/>
  <c r="K26" i="3"/>
  <c r="K161" i="3"/>
  <c r="K73" i="3"/>
  <c r="K20" i="3"/>
  <c r="K15" i="3"/>
  <c r="H232" i="3" l="1"/>
  <c r="K232" i="3" s="1"/>
  <c r="H74" i="3"/>
  <c r="K74" i="3" s="1"/>
  <c r="H198" i="3"/>
  <c r="K198" i="3" s="1"/>
  <c r="H239" i="3"/>
  <c r="K239" i="3" s="1"/>
  <c r="H164" i="3"/>
  <c r="K164" i="3" s="1"/>
  <c r="H42" i="3"/>
  <c r="K42" i="3" s="1"/>
  <c r="H168" i="3"/>
  <c r="K168" i="3" s="1"/>
  <c r="H125" i="3"/>
  <c r="K125" i="3" s="1"/>
  <c r="H223" i="3"/>
  <c r="K223" i="3" s="1"/>
  <c r="H39" i="3"/>
  <c r="K39" i="3" s="1"/>
  <c r="H90" i="3"/>
  <c r="K90" i="3" s="1"/>
  <c r="K88" i="3"/>
  <c r="K214" i="3"/>
  <c r="K9" i="3"/>
  <c r="K195" i="3"/>
  <c r="H195" i="3"/>
  <c r="K184" i="3"/>
  <c r="H184" i="3"/>
  <c r="K89" i="3"/>
  <c r="H89" i="3"/>
  <c r="K16" i="3"/>
  <c r="H16" i="3"/>
  <c r="K142" i="3"/>
  <c r="H142" i="3"/>
  <c r="K75" i="3"/>
  <c r="H75" i="3"/>
  <c r="K54" i="3"/>
  <c r="H54" i="3"/>
  <c r="K182" i="3"/>
  <c r="H182" i="3"/>
  <c r="K162" i="3"/>
  <c r="H162" i="3"/>
  <c r="K175" i="3"/>
  <c r="H175" i="3"/>
  <c r="K192" i="3"/>
  <c r="H192" i="3"/>
  <c r="K187" i="3"/>
  <c r="H187" i="3"/>
  <c r="K185" i="3"/>
  <c r="H185" i="3"/>
  <c r="K126" i="3"/>
  <c r="H126" i="3"/>
  <c r="H180" i="3"/>
  <c r="K180" i="3" s="1"/>
  <c r="K17" i="3"/>
  <c r="H17" i="3"/>
  <c r="H119" i="3"/>
  <c r="K119" i="3" s="1"/>
  <c r="H150" i="3"/>
  <c r="K150" i="3" s="1"/>
  <c r="H63" i="3"/>
  <c r="K63" i="3" s="1"/>
  <c r="H213" i="3"/>
  <c r="K213" i="3" s="1"/>
  <c r="H23" i="3"/>
  <c r="K23" i="3" s="1"/>
  <c r="H58" i="3"/>
  <c r="K58" i="3" s="1"/>
  <c r="H27" i="3"/>
  <c r="K27" i="3" s="1"/>
  <c r="H8" i="3"/>
  <c r="K8" i="3" s="1"/>
  <c r="H60" i="3"/>
  <c r="K60" i="3" s="1"/>
  <c r="H167" i="3"/>
  <c r="K167" i="3" s="1"/>
  <c r="H66" i="3"/>
  <c r="K66" i="3" s="1"/>
  <c r="H30" i="3"/>
  <c r="K30" i="3" s="1"/>
  <c r="H222" i="3"/>
  <c r="K222" i="3" s="1"/>
  <c r="H122" i="3"/>
  <c r="K122" i="3" s="1"/>
  <c r="H115" i="3"/>
  <c r="K115" i="3" s="1"/>
  <c r="H99" i="3"/>
  <c r="K99" i="3" s="1"/>
  <c r="H236" i="3"/>
  <c r="K236" i="3" s="1"/>
  <c r="H206" i="3"/>
  <c r="K206" i="3" s="1"/>
  <c r="K4" i="3"/>
  <c r="K55" i="3"/>
  <c r="K82" i="3"/>
  <c r="K156" i="3"/>
  <c r="K50" i="3"/>
  <c r="K43" i="3"/>
  <c r="K91" i="3"/>
  <c r="K138" i="3"/>
  <c r="K212" i="3"/>
  <c r="K44" i="3"/>
  <c r="K96" i="3"/>
  <c r="K97" i="3"/>
  <c r="H178" i="3"/>
  <c r="K178" i="3" s="1"/>
  <c r="H172" i="3"/>
  <c r="K172" i="3" s="1"/>
  <c r="H252" i="3"/>
  <c r="K252" i="3" s="1"/>
  <c r="H253" i="3"/>
  <c r="K253" i="3" s="1"/>
  <c r="H190" i="3"/>
  <c r="K190" i="3" s="1"/>
  <c r="H177" i="3"/>
  <c r="K177" i="3" s="1"/>
  <c r="H107" i="3"/>
  <c r="K107" i="3" s="1"/>
  <c r="H176" i="3"/>
  <c r="K176" i="3" s="1"/>
  <c r="H238" i="3"/>
  <c r="K238" i="3" s="1"/>
  <c r="H47" i="3"/>
  <c r="K47" i="3" s="1"/>
  <c r="H86" i="3"/>
  <c r="K86" i="3" s="1"/>
  <c r="H94" i="3"/>
  <c r="K94" i="3" s="1"/>
  <c r="H160" i="3"/>
  <c r="K160" i="3" s="1"/>
  <c r="H22" i="3"/>
  <c r="K22" i="3" s="1"/>
  <c r="H11" i="3"/>
  <c r="K11" i="3" s="1"/>
  <c r="H218" i="3"/>
  <c r="K218" i="3" s="1"/>
  <c r="H65" i="3"/>
  <c r="K65" i="3" s="1"/>
  <c r="H10" i="3"/>
  <c r="K10" i="3" s="1"/>
  <c r="H98" i="3"/>
  <c r="K98" i="3" s="1"/>
  <c r="K134" i="3"/>
  <c r="K72" i="3"/>
  <c r="K224" i="3"/>
  <c r="K95" i="3"/>
  <c r="K257" i="3"/>
  <c r="K31" i="3"/>
  <c r="K51" i="3"/>
  <c r="K103" i="3"/>
  <c r="K249" i="3"/>
  <c r="K153" i="3"/>
  <c r="K229" i="3"/>
  <c r="K151" i="3"/>
  <c r="K79" i="3"/>
  <c r="K189" i="3"/>
  <c r="K3" i="3"/>
  <c r="K24" i="3"/>
  <c r="H24" i="3"/>
  <c r="K165" i="3"/>
  <c r="H165" i="3"/>
  <c r="K186" i="3"/>
  <c r="H186" i="3"/>
  <c r="K237" i="3"/>
  <c r="H237" i="3"/>
  <c r="K121" i="3"/>
  <c r="H121" i="3"/>
  <c r="K71" i="3"/>
  <c r="H71" i="3"/>
  <c r="K163" i="3"/>
  <c r="H163" i="3"/>
  <c r="K244" i="3"/>
  <c r="H244" i="3"/>
  <c r="K127" i="3"/>
  <c r="H127" i="3"/>
  <c r="K199" i="3"/>
  <c r="H199" i="3"/>
  <c r="K221" i="3"/>
  <c r="H221" i="3"/>
  <c r="K205" i="3"/>
  <c r="H205" i="3"/>
  <c r="K143" i="3"/>
  <c r="H143" i="3"/>
  <c r="K231" i="3"/>
  <c r="H231" i="3"/>
  <c r="K61" i="3"/>
  <c r="H61" i="3"/>
  <c r="K243" i="3"/>
  <c r="K40" i="3"/>
  <c r="K194" i="3"/>
  <c r="K102" i="3"/>
  <c r="K216" i="3"/>
  <c r="K174" i="3"/>
  <c r="K181" i="3"/>
  <c r="K173" i="3"/>
  <c r="K29" i="3"/>
  <c r="K171" i="3"/>
  <c r="K117" i="3"/>
  <c r="K120" i="3"/>
  <c r="K141" i="3"/>
  <c r="K245" i="3"/>
  <c r="K41" i="3"/>
  <c r="K154" i="3"/>
  <c r="K188" i="3"/>
  <c r="K191" i="3"/>
  <c r="K136" i="3"/>
  <c r="K59" i="3"/>
  <c r="K128" i="3"/>
  <c r="K227" i="3"/>
  <c r="K183" i="3"/>
  <c r="K235" i="3"/>
  <c r="K193" i="3"/>
  <c r="K135" i="3"/>
  <c r="K69" i="3"/>
  <c r="K155" i="3"/>
  <c r="K111" i="3"/>
  <c r="K228" i="3"/>
  <c r="K14" i="3"/>
  <c r="K18" i="3"/>
  <c r="K118" i="3"/>
  <c r="K113" i="3"/>
  <c r="K159" i="3"/>
  <c r="K225" i="3"/>
  <c r="K254" i="3"/>
  <c r="K158" i="3"/>
  <c r="K246" i="3"/>
  <c r="K77" i="3"/>
  <c r="K5" i="3"/>
  <c r="K233" i="3"/>
  <c r="K34" i="3"/>
  <c r="K144" i="3"/>
  <c r="K256" i="3"/>
  <c r="K49" i="3"/>
  <c r="K124" i="3"/>
  <c r="K78" i="3"/>
  <c r="K68" i="3"/>
  <c r="K250" i="3"/>
  <c r="K145" i="3"/>
  <c r="K202" i="3"/>
  <c r="K130" i="3"/>
  <c r="K196" i="3"/>
  <c r="K106" i="3"/>
  <c r="K240" i="3"/>
  <c r="K48" i="3"/>
  <c r="K179" i="3"/>
  <c r="K242" i="3"/>
  <c r="K38" i="3"/>
  <c r="K114" i="3"/>
  <c r="K35" i="3"/>
  <c r="K92" i="3"/>
  <c r="K83" i="3"/>
  <c r="K147" i="3"/>
  <c r="K209" i="3"/>
  <c r="K12" i="3"/>
  <c r="K139" i="3"/>
  <c r="K6" i="3"/>
  <c r="K33" i="3"/>
  <c r="K248" i="3"/>
  <c r="K208" i="3"/>
  <c r="K36" i="3"/>
  <c r="K85" i="3"/>
  <c r="K152" i="3"/>
  <c r="K64" i="3"/>
  <c r="K137" i="3"/>
  <c r="K131" i="3"/>
  <c r="K45" i="3"/>
  <c r="K210" i="3"/>
  <c r="K207" i="3"/>
  <c r="K241" i="3"/>
  <c r="K217" i="3"/>
  <c r="K84" i="3"/>
  <c r="K81" i="3"/>
  <c r="K170" i="3"/>
  <c r="K123" i="3"/>
  <c r="K19" i="3"/>
  <c r="K201" i="3"/>
  <c r="K211" i="3"/>
  <c r="K13" i="3"/>
  <c r="K230" i="3"/>
  <c r="K57" i="3"/>
  <c r="K56" i="3"/>
  <c r="K140" i="3"/>
  <c r="K203" i="3"/>
  <c r="K32" i="3"/>
  <c r="K200" i="3"/>
  <c r="K76" i="3"/>
  <c r="K157" i="3"/>
  <c r="K62" i="3"/>
  <c r="K116" i="3"/>
  <c r="K70" i="3"/>
  <c r="K166" i="3"/>
  <c r="K108" i="3"/>
  <c r="K197" i="3"/>
  <c r="K52" i="3"/>
  <c r="K104" i="3"/>
  <c r="K148" i="3"/>
  <c r="K204" i="3"/>
  <c r="K25" i="3"/>
  <c r="K129" i="3"/>
</calcChain>
</file>

<file path=xl/sharedStrings.xml><?xml version="1.0" encoding="utf-8"?>
<sst xmlns="http://schemas.openxmlformats.org/spreadsheetml/2006/main" count="27231" uniqueCount="3816">
  <si>
    <t>Publication numbers</t>
  </si>
  <si>
    <t>Publication kind codes</t>
  </si>
  <si>
    <t>Earliest publication number</t>
  </si>
  <si>
    <t>Earliest priority date</t>
  </si>
  <si>
    <t>Current assignees</t>
  </si>
  <si>
    <t>IPC - International classification</t>
  </si>
  <si>
    <t>Legal state (Alive, Dead)</t>
  </si>
  <si>
    <t>Non-self citing patents</t>
  </si>
  <si>
    <t>Independent claims</t>
  </si>
  <si>
    <t>US3965205</t>
  </si>
  <si>
    <t>A</t>
  </si>
  <si>
    <t>US03965205</t>
  </si>
  <si>
    <t>1974-06-10</t>
  </si>
  <si>
    <t>MOBIL OIL</t>
  </si>
  <si>
    <t>C10G-003/00_x000D_
C10G-035/095</t>
  </si>
  <si>
    <t>DEAD</t>
  </si>
  <si>
    <t>29</t>
  </si>
  <si>
    <t>(US3965205)_x000D_
1</t>
  </si>
  <si>
    <t>US4404414</t>
  </si>
  <si>
    <t>US04404414</t>
  </si>
  <si>
    <t>1982-09-28</t>
  </si>
  <si>
    <t>C07C-001/20_x000D_
C10G-003/00</t>
  </si>
  <si>
    <t>27</t>
  </si>
  <si>
    <t>(US4404414)_x000D_
3</t>
  </si>
  <si>
    <t>US4788365_x000D_
EP0320158_x000D_
US4885421_x000D_
ZA8808909_x000D_
NZ226970_x000D_
EP0320158_x000D_
DE3872678</t>
  </si>
  <si>
    <t>A_x000D_
A1_x000D_
A_x000D_
B_x000D_
A_x000D_
B1_x000D_
D1</t>
  </si>
  <si>
    <t>US04788365</t>
  </si>
  <si>
    <t>1987-12-08</t>
  </si>
  <si>
    <t>C07C-002/12_x000D_
C07C-041/06_x000D_
C10L-001/02</t>
  </si>
  <si>
    <t>(EP-320158)_x000D_
DEAD_x000D_
(US4788365)_x000D_
DEAD_x000D_
(US4885421)_x000D_
DEAD_x000D_
(DE3872678)_x000D_
DEAD_x000D_
(ZA8808909)_x000D_
DEAD_x000D_
(NZ-226970)_x000D_
DEAD</t>
  </si>
  <si>
    <t>25</t>
  </si>
  <si>
    <t>(EP-320158)_x000D_
2_x000D_
(EP-320158)_x000D_
2_x000D_
(US4788365)_x000D_
1_x000D_
(US4885421)_x000D_
2</t>
  </si>
  <si>
    <t>WO2011020194_x000D_
CA2771808_x000D_
EP2467454_x000D_
US20120273728_x000D_
EP2467454_x000D_
US20150069300</t>
  </si>
  <si>
    <t>A1_x000D_
A1_x000D_
A1_x000D_
A1_x000D_
A4_x000D_
A1</t>
  </si>
  <si>
    <t>CA2771808</t>
  </si>
  <si>
    <t>2009-08-21</t>
  </si>
  <si>
    <t>UNIVERSITY SHERBROOKE_x000D_
UTI PARTNERSHIP BY ITS GENERAL PARTNER UNIVERSITY TECHNOLOGIES INTERNATIONAL</t>
  </si>
  <si>
    <t>B01J-021/00_x000D_
B01J-021/06_x000D_
B01J-021/12_x000D_
B01J-023/00_x000D_
B01J-023/755_x000D_
B01J-023/83_x000D_
B01J-035/00_x000D_
B01J-035/02_x000D_
B01J-037/02_x000D_
B01J-037/04_x000D_
B01J-037/08_x000D_
C01B-003/32_x000D_
C01B-003/40_x000D_
C10G-035/06_x000D_
C10J-003/72</t>
  </si>
  <si>
    <t>(EP2467454)_x000D_
DEAD_x000D_
(US20120273728)_x000D_
DEAD_x000D_
(US20150069300)_x000D_
DEAD_x000D_
(WO201120194)_x000D_
DEAD_x000D_
(CA2771808)_x000D_
DEAD</t>
  </si>
  <si>
    <t>3</t>
  </si>
  <si>
    <t>(US20120273728)_x000D_
3_x000D_
(US20150069300)_x000D_
1_x000D_
(WO201120194)_x000D_
4_x000D_
(CA2771808)_x000D_
4</t>
  </si>
  <si>
    <t>WO2010104581_x000D_
CA2754816_x000D_
US20100300930_x000D_
MX2011009373_x000D_
AU2010223041_x000D_
KR20120002586_x000D_
EP2408880_x000D_
WO2010104581_x000D_
CN102625823_x000D_
JP2012520376_x000D_
BRPI1009400_x000D_
IN6831/DELNP/2011_x000D_
TH120308_x000D_
US8395006_x000D_
RU2011139641_x000D_
RU2515525_x000D_
JP5636382_x000D_
KR101474599_x000D_
AU2010223041_x000D_
CN102625823_x000D_
ZA201106630_x000D_
CA2754816_x000D_
BRPI1009400_x000D_
IN294685_x000D_
BRPI1009400_x000D_
BRPI1009400_x000D_
BRPI1009400</t>
  </si>
  <si>
    <t>A2_x000D_
A1_x000D_
A1_x000D_
A_x000D_
A1_x000D_
A_x000D_
A2_x000D_
A3_x000D_
A_x000D_
A_x000D_
A1_x000D_
A_x000D_
A_x000D_
B2_x000D_
A_x000D_
C2_x000D_
B2_x000D_
B1_x000D_
B2_x000D_
B_x000D_
B_x000D_
C_x000D_
A2_x000D_
B_x000D_
A2_x000D_
B1_x000D_
B1</t>
  </si>
  <si>
    <t>CA2754816</t>
  </si>
  <si>
    <t>2009-03-13</t>
  </si>
  <si>
    <t>EXXONMOBIL_x000D_
EXXONMOBIL RESEARCH &amp; ENGINEERING</t>
  </si>
  <si>
    <t>B01J_x000D_
B01J-029/70_x000D_
C01G-035/06_x000D_
C07C_x000D_
C07C-002/64_x000D_
C07C-002/66_x000D_
C10G_x000D_
C10G-029/20_x000D_
C10G-035/06_x000D_
C10G-050/00_x000D_
C10L_x000D_
C10L-001/04_x000D_
C10L-001/06_x000D_
C10L-001/16</t>
  </si>
  <si>
    <t>(EP2408880)_x000D_
ALIVE_x000D_
(US8395006)_x000D_
ALIVE_x000D_
(WO2010104581)_x000D_
DEAD_x000D_
(JP5636382)_x000D_
ALIVE_x000D_
(RU2515525)_x000D_
ALIVE_x000D_
(MX2011009373)_x000D_
ALIVE_x000D_
(TH-120308)_x000D_
DEAD_x000D_
(KR101474599)_x000D_
ALIVE_x000D_
(AU2010223041)_x000D_
ALIVE_x000D_
(CN102625823B)_x000D_
ALIVE_x000D_
(ZA201106630)_x000D_
ALIVE_x000D_
(CA2754816)_x000D_
ALIVE_x000D_
(IN-294685)_x000D_
ALIVE_x000D_
(BR201009400)_x000D_
ALIVE</t>
  </si>
  <si>
    <t>14</t>
  </si>
  <si>
    <t>(US20100300930)_x000D_
3_x000D_
(US8395006)_x000D_
2_x000D_
(WO2010104581)_x000D_
3_x000D_
(JP2012520376)_x000D_
3_x000D_
(JP5636382)_x000D_
1_x000D_
(KR20120002586)_x000D_
3_x000D_
(KR101474599)_x000D_
2_x000D_
(CN102625823)_x000D_
3_x000D_
(CN102625823B)_x000D_
1_x000D_
(CA2754816)_x000D_
2_x000D_
(CA2754816)_x000D_
2</t>
  </si>
  <si>
    <t>RU2417249</t>
  </si>
  <si>
    <t>C1</t>
  </si>
  <si>
    <t>2009-11-05</t>
  </si>
  <si>
    <t>OOO SINTON</t>
  </si>
  <si>
    <t>C10G-035/095</t>
  </si>
  <si>
    <t>ALIVE</t>
  </si>
  <si>
    <t>5</t>
  </si>
  <si>
    <t/>
  </si>
  <si>
    <t>RU2009140666_x000D_
RU2425091</t>
  </si>
  <si>
    <t>A_x000D_
C1</t>
  </si>
  <si>
    <t>RU2009140666</t>
  </si>
  <si>
    <t>WO8911463_x000D_
AU3688589_x000D_
US4886925_x000D_
US4957709_x000D_
ZA8903236_x000D_
EP0414800_x000D_
EP0414800_x000D_
JPH03504136_x000D_
AU625062</t>
  </si>
  <si>
    <t>A1_x000D_
A_x000D_
A_x000D_
A_x000D_
B_x000D_
A1_x000D_
A4_x000D_
A_x000D_
B2</t>
  </si>
  <si>
    <t>WO8911463</t>
  </si>
  <si>
    <t>1988-05-02</t>
  </si>
  <si>
    <t>C07C-041/06_x000D_
C10G-003/00_x000D_
C10G-029/20_x000D_
C10G-050/00_x000D_
C10L-001/02_x000D_
C10L-001/06</t>
  </si>
  <si>
    <t>(EP-414800)_x000D_
DEAD_x000D_
(US4886925)_x000D_
DEAD_x000D_
(US4957709)_x000D_
DEAD_x000D_
(WO8911463)_x000D_
DEAD_x000D_
(JP03504136)_x000D_
DEAD_x000D_
(ZA8903236)_x000D_
DEAD_x000D_
(AU-625062)_x000D_
DEAD</t>
  </si>
  <si>
    <t>26</t>
  </si>
  <si>
    <t>(US4886925)_x000D_
1_x000D_
(US4957709)_x000D_
2_x000D_
(WO8911463)_x000D_
1</t>
  </si>
  <si>
    <t>WO2010011958_x000D_
CA2731837_x000D_
AU2009273843_x000D_
US20100041932_x000D_
WO2010011958_x000D_
EP2313193_x000D_
CN102131579_x000D_
IN0565/DELNP/2011_x000D_
RU2011106922_x000D_
US8450545</t>
  </si>
  <si>
    <t>A2_x000D_
A1_x000D_
A1_x000D_
A1_x000D_
A3_x000D_
A2_x000D_
A_x000D_
A_x000D_
A_x000D_
B2</t>
  </si>
  <si>
    <t>AU2009273843</t>
  </si>
  <si>
    <t>2008-07-25</t>
  </si>
  <si>
    <t>CONOCOPHILLIPS_x000D_
PHILLIPS 66</t>
  </si>
  <si>
    <t>B01J-023/28_x000D_
B01J-029/40_x000D_
B01J-037/28_x000D_
C07C-001/20_x000D_
C10G-003/00</t>
  </si>
  <si>
    <t>(EP2313193)_x000D_
DEAD_x000D_
(US8450545)_x000D_
ALIVE_x000D_
(WO201011958)_x000D_
DEAD_x000D_
(RU2011106922)_x000D_
DEAD_x000D_
(AU2009273843)_x000D_
DEAD_x000D_
(CA2731837)_x000D_
DEAD_x000D_
(CN102131579)_x000D_
DEAD_x000D_
(IN2011DN00565)_x000D_
ALIVE</t>
  </si>
  <si>
    <t>9</t>
  </si>
  <si>
    <t>(US20100041932)_x000D_
2_x000D_
(US8450545)_x000D_
2_x000D_
(WO201011958)_x000D_
2_x000D_
(CA2731837)_x000D_
2_x000D_
(CN102131579)_x000D_
2</t>
  </si>
  <si>
    <t>WO2011071755_x000D_
CA2781892_x000D_
US20110152594_x000D_
WO2011071755_x000D_
CN102725379_x000D_
KR20120123305_x000D_
TH126631_x000D_
RU2012126402_x000D_
US9090525_x000D_
IN4844DEN2012_x000D_
CN102725379_x000D_
CA2781892</t>
  </si>
  <si>
    <t>A2_x000D_
A1_x000D_
A1_x000D_
A3_x000D_
A_x000D_
A_x000D_
A_x000D_
A_x000D_
B2_x000D_
A_x000D_
B_x000D_
C</t>
  </si>
  <si>
    <t>CA2781892</t>
  </si>
  <si>
    <t>2009-12-11</t>
  </si>
  <si>
    <t>B01J-008/00_x000D_
C07C-001/20_x000D_
C07C-002/12_x000D_
C07C-009/14_x000D_
C07C-009/22_x000D_
C10G-003/00_x000D_
C10G-050/00</t>
  </si>
  <si>
    <t>(US9090525)_x000D_
ALIVE_x000D_
(WO201171755)_x000D_
DEAD_x000D_
(RU2012126402)_x000D_
DEAD_x000D_
(KR20120123305)_x000D_
DEAD_x000D_
(TH-126631)_x000D_
DEAD_x000D_
(IN2012DN04844)_x000D_
ALIVE_x000D_
(CN102725379B)_x000D_
ALIVE_x000D_
(CA2781892)_x000D_
ALIVE</t>
  </si>
  <si>
    <t>(US20110152594)_x000D_
2_x000D_
(US9090525)_x000D_
1_x000D_
(WO201171755)_x000D_
2_x000D_
(KR20120123305)_x000D_
2_x000D_
(CN102725379)_x000D_
2_x000D_
(CN102725379B)_x000D_
1_x000D_
(CA2781892)_x000D_
1_x000D_
(CA2781892)_x000D_
1</t>
  </si>
  <si>
    <t>EA199900341_x000D_
RU2163624_x000D_
EA003249</t>
  </si>
  <si>
    <t>A1_x000D_
C2_x000D_
B1</t>
  </si>
  <si>
    <t>EA199900341</t>
  </si>
  <si>
    <t>1998-11-25</t>
  </si>
  <si>
    <t>INSTITUTE KATALIZA SO RAN_x000D_
NINTS TSEOSIT OB EDINENNOGO_x000D_
SCIENTIFIC ENGINEERING CENTER ZEOCIT</t>
  </si>
  <si>
    <t>B01J-029/46_x000D_
C07C-001/20_x000D_
C10G-003/00_x000D_
C10G-035/095_x000D_
C10G-050/00</t>
  </si>
  <si>
    <t>(RU2163624)_x000D_
DEAD_x000D_
(EA---3249)_x000D_
DEAD</t>
  </si>
  <si>
    <t>6</t>
  </si>
  <si>
    <t>RU2610277</t>
  </si>
  <si>
    <t>2015-12-09</t>
  </si>
  <si>
    <t>FEDERAL GOSUDARSTVENNOE BYUDZHETNOE UCHREZHDENIE NATSIONALNYJ ISSLEDOVATELSKIJ TSENTR KURCHATOVSKIJ INSTITUTE</t>
  </si>
  <si>
    <t>C07C-001/20_x000D_
C07C-029/151_x000D_
C07C-031/04_x000D_
C10G-003/00</t>
  </si>
  <si>
    <t>0</t>
  </si>
  <si>
    <t>RU2558955_x000D_
CA2958104_x000D_
WO2016024883_x000D_
WO2016024883_x000D_
IN201727005691_x000D_
EP3190098_x000D_
EA201700105_x000D_
CN107001182_x000D_
US20170233311_x000D_
EP3190098</t>
  </si>
  <si>
    <t>C1_x000D_
A1_x000D_
A2_x000D_
A3_x000D_
A_x000D_
A2_x000D_
A1_x000D_
A_x000D_
A1_x000D_
A4</t>
  </si>
  <si>
    <t>RU2558955</t>
  </si>
  <si>
    <t>2014-08-12</t>
  </si>
  <si>
    <t>NGT GLOBAL_x000D_
NGT SYNTHESIS_x000D_
ОБЩЕСТВО С ОГРАНИЧЕННОЙ ОТВЕТСТВЕННОСТЬЮ НОВЫЕ ГАЗОВЫЕ ТЕХНОЛОГИИ СИНТЕЗ</t>
  </si>
  <si>
    <t>C07C-002/86_x000D_
C07C-015/02_x000D_
C07C-015/06_x000D_
C07C-015/08_x000D_
C10G-003/00_x000D_
C10G-035/04_x000D_
C10G-035/095</t>
  </si>
  <si>
    <t>(EP3190098)_x000D_
ALIVE_x000D_
(US20170233311)_x000D_
ALIVE_x000D_
(WO201624883)_x000D_
DEAD_x000D_
(RU2558955)_x000D_
ALIVE_x000D_
(CA2958104)_x000D_
ALIVE_x000D_
(IN201727005691)_x000D_
ALIVE_x000D_
(EA201700105)_x000D_
ALIVE_x000D_
(CN107001182)_x000D_
ALIVE</t>
  </si>
  <si>
    <t>(EP3190098)_x000D_
2_x000D_
(US20170233311)_x000D_
2_x000D_
(WO201624883)_x000D_
12_x000D_
(CA2958104)_x000D_
1_x000D_
(CN107001182)_x000D_
2</t>
  </si>
  <si>
    <t>RU2544510</t>
  </si>
  <si>
    <t>2014-02-11</t>
  </si>
  <si>
    <t>ОБЩЕСТВО С ОГРАНИЧЕННОЙ ОТВЕТСТВЕННОСТЬЮ НОВЫЕ ГАЗОВЫЕ ТЕХНОЛОГИИ СИНТЕЗ</t>
  </si>
  <si>
    <t>C02F-001/04_x000D_
C07C-001/04_x000D_
C10G-002/00</t>
  </si>
  <si>
    <t>RU2477656</t>
  </si>
  <si>
    <t>2012-02-07</t>
  </si>
  <si>
    <t>B01J-029/40_x000D_
C07C-001/20_x000D_
C10G-035/095</t>
  </si>
  <si>
    <t>WO03089135_x000D_
AU2002306421_x000D_
AU2002306421</t>
  </si>
  <si>
    <t>A1_x000D_
A1_x000D_
A8</t>
  </si>
  <si>
    <t>WO03089135</t>
  </si>
  <si>
    <t>2002-04-22</t>
  </si>
  <si>
    <t>AVTONOMNAYA NEKOMMERCHESKAYA O_x000D_
ZAKRITOE AKCHIONERNOE OBSCHEST</t>
  </si>
  <si>
    <t>B01J-023/10_x000D_
B01J-029/40</t>
  </si>
  <si>
    <t>(WO200389135)_x000D_
DEAD_x000D_
(AU2002306421)_x000D_
DEAD</t>
  </si>
  <si>
    <t>2</t>
  </si>
  <si>
    <t>(WO200389135)_x000D_
2</t>
  </si>
  <si>
    <t>ZA200810099</t>
  </si>
  <si>
    <t>B</t>
  </si>
  <si>
    <t>2006-07-28</t>
  </si>
  <si>
    <t>EXXONMOBIL CHEMICAL</t>
  </si>
  <si>
    <t>B01J_x000D_
C01B</t>
  </si>
  <si>
    <t>RU2671568</t>
  </si>
  <si>
    <t>2016-09-27</t>
  </si>
  <si>
    <t>BARILCHUK MIKHAJLO</t>
  </si>
  <si>
    <t>C07C-015/00_x000D_
C10G-003/00_x000D_
C10G-035/095_x000D_
C10L-001/04</t>
  </si>
  <si>
    <t>US20180273442</t>
  </si>
  <si>
    <t>A1</t>
  </si>
  <si>
    <t>2017-03-27</t>
  </si>
  <si>
    <t>B01J-029/48_x000D_
C07C-002/86_x000D_
C07C-009/04_x000D_
C07C-009/14_x000D_
C07C-015/08_x000D_
C07C-031/04</t>
  </si>
  <si>
    <t>(US20180273442)_x000D_
5</t>
  </si>
  <si>
    <t>CN108404970</t>
  </si>
  <si>
    <t>2018-03-05</t>
  </si>
  <si>
    <t>INSTITUTE OF COAL CHEMISTRY, CHINESE ACADEMY OF SCIENCE</t>
  </si>
  <si>
    <t>B01J-013/02_x000D_
B01J-029/40_x000D_
B01J-029/85_x000D_
B01J-029/89_x000D_
B01J-035/08_x000D_
B01J-035/10_x000D_
C07C-001/20_x000D_
C07C-011/02_x000D_
C07C-011/04_x000D_
C07C-011/06_x000D_
C07C-011/08_x000D_
C07C-015/00_x000D_
C07C-037/60_x000D_
C07C-039/04_x000D_
C07C-039/08_x000D_
C07C-249/04_x000D_
C07C-251/44</t>
  </si>
  <si>
    <t>(CN108404970)_x000D_
1</t>
  </si>
  <si>
    <t>ZA8809455_x000D_
EP0372133_x000D_
AU2736188_x000D_
JPH02184516_x000D_
BR8900091_x000D_
BRPI8900091_x000D_
US5011591_x000D_
AU623357_x000D_
IN171379_x000D_
EP0372133_x000D_
AT84502_x000D_
DE3877582_x000D_
DE3877582_x000D_
GR3007042_x000D_
ES2042770_x000D_
CA1330431_x000D_
BRPI8900091_x000D_
JP2693534</t>
  </si>
  <si>
    <t>B_x000D_
A1_x000D_
A_x000D_
A_x000D_
A_x000D_
A1_x000D_
A_x000D_
B2_x000D_
B_x000D_
B1_x000D_
T_x000D_
D1_x000D_
T2_x000D_
T3_x000D_
T3_x000D_
C_x000D_
B1_x000D_
B2</t>
  </si>
  <si>
    <t>ZA8809455</t>
  </si>
  <si>
    <t>1987-09-08</t>
  </si>
  <si>
    <t>ENGELHARD</t>
  </si>
  <si>
    <t>B01J_x000D_
B01J-029/04_x000D_
B01J-029/89_x000D_
C01B_x000D_
C01B-033/20_x000D_
C01B-039/08_x000D_
C01B-039/46_x000D_
C10G_x000D_
C10G-035/00_x000D_
C10G-035/06_x000D_
C10G-035/095_x000D_
C10G-045/12</t>
  </si>
  <si>
    <t>(EP-372133)_x000D_
DEAD_x000D_
(US5011591)_x000D_
DEAD_x000D_
(DE3877582)_x000D_
DEAD_x000D_
(JP2693534)_x000D_
DEAD_x000D_
(ZA8809455)_x000D_
DEAD_x000D_
(AU-623357)_x000D_
DEAD_x000D_
(IN-171379)_x000D_
DEAD_x000D_
(ATE084502)_x000D_
DEAD_x000D_
(GR3007042)_x000D_
DEAD_x000D_
(ES2042770)_x000D_
DEAD_x000D_
(CA1330431)_x000D_
DEAD_x000D_
(BR198900091)_x000D_
DEAD</t>
  </si>
  <si>
    <t>21</t>
  </si>
  <si>
    <t>(EP-372133)_x000D_
1_x000D_
(EP-372133)_x000D_
1_x000D_
(US5011591)_x000D_
6_x000D_
(JP2693534)_x000D_
1_x000D_
(CA1330431)_x000D_
1</t>
  </si>
  <si>
    <t>RU2658832</t>
  </si>
  <si>
    <t>2017-01-13</t>
  </si>
  <si>
    <t>B01J-029/04_x000D_
C10G-035/095</t>
  </si>
  <si>
    <t>CN108236966</t>
  </si>
  <si>
    <t>2016-12-23</t>
  </si>
  <si>
    <t>COMPASS AEROSPACE SATELLITE APPLICATION TECHNOLOGY</t>
  </si>
  <si>
    <t>B01J-029/48_x000D_
B01J-029/80_x000D_
C07C-002/86_x000D_
C07C-015/02_x000D_
C10G-035/095</t>
  </si>
  <si>
    <t>(CN108236966)_x000D_
1</t>
  </si>
  <si>
    <t>WO2018094336_x000D_
US20180155638</t>
  </si>
  <si>
    <t>A1_x000D_
A1</t>
  </si>
  <si>
    <t>WO2018094336</t>
  </si>
  <si>
    <t>2016-11-21</t>
  </si>
  <si>
    <t>ARAMCO SERVICES_x000D_
SAUDI ARABIAN OIL</t>
  </si>
  <si>
    <t>B01D-003/10_x000D_
B01D-003/14_x000D_
C10G-007/00_x000D_
C10G-007/06_x000D_
C10G-009/36_x000D_
C10G-021/00_x000D_
C10G-035/04_x000D_
C10G-047/00_x000D_
C10G-063/06_x000D_
C10G-067/00_x000D_
C10G-069/00_x000D_
C10G-069/06_x000D_
C10G-069/08_x000D_
C10G-069/14</t>
  </si>
  <si>
    <t>(US20180155638)_x000D_
ALIVE_x000D_
(WO201894336)_x000D_
ALIVE</t>
  </si>
  <si>
    <t>(US20180155638)_x000D_
1_x000D_
(WO201894336)_x000D_
1</t>
  </si>
  <si>
    <t>WO2018094353_x000D_
US20180155642_x000D_
WO2018094353</t>
  </si>
  <si>
    <t>A1_x000D_
A1_x000D_
A9</t>
  </si>
  <si>
    <t>WO2018094353</t>
  </si>
  <si>
    <t>C07C-029/04_x000D_
C07C-031/12_x000D_
C10G-007/06_x000D_
C10G-009/36_x000D_
C10G-011/02_x000D_
C10G-021/00_x000D_
C10G-035/04_x000D_
C10G-047/00_x000D_
C10G-069/08</t>
  </si>
  <si>
    <t>(US20180155642)_x000D_
ALIVE_x000D_
(WO201894353)_x000D_
ALIVE</t>
  </si>
  <si>
    <t>(US20180155642)_x000D_
1_x000D_
(WO201894353)_x000D_
1_x000D_
(WO201894353)_x000D_
1</t>
  </si>
  <si>
    <t>CN108017487</t>
  </si>
  <si>
    <t>2016-11-04</t>
  </si>
  <si>
    <t>CHINA PETROLEUM &amp; CHEMICAL_x000D_
SINOPEC</t>
  </si>
  <si>
    <t>B01J-008/28_x000D_
C07C-001/20_x000D_
C07C-015/04_x000D_
C07C-015/06_x000D_
C07C-015/08</t>
  </si>
  <si>
    <t>(CN108017487)_x000D_
1</t>
  </si>
  <si>
    <t>CN108014841</t>
  </si>
  <si>
    <t>B01J-029/80_x000D_
C07C-001/20_x000D_
C07C-004/06_x000D_
C07C-011/04_x000D_
C07C-011/06_x000D_
C07C-011/12_x000D_
C07C-015/06_x000D_
C07C-015/08</t>
  </si>
  <si>
    <t>(CN108014841)_x000D_
1</t>
  </si>
  <si>
    <t>CN108017494</t>
  </si>
  <si>
    <t>C07C-002/82_x000D_
C07C-015/02_x000D_
C07C-015/04_x000D_
C07C-015/06_x000D_
C07C-015/08_x000D_
C10G-050/00</t>
  </si>
  <si>
    <t>(CN108017494)_x000D_
1</t>
  </si>
  <si>
    <t>CN108017491</t>
  </si>
  <si>
    <t>C07C-002/08_x000D_
C07C-007/00_x000D_
C07C-007/04_x000D_
C07C-015/04_x000D_
C07C-015/06_x000D_
C07C-015/08</t>
  </si>
  <si>
    <t>(CN108017491)_x000D_
1</t>
  </si>
  <si>
    <t>CN107963638</t>
  </si>
  <si>
    <t>2016-10-20</t>
  </si>
  <si>
    <t>DALIAN INSTITUTE OF CHEMICAL PHYSICS</t>
  </si>
  <si>
    <t>B01J-029/40_x000D_
C01B-039/36_x000D_
C07C-002/86_x000D_
C07C-015/02</t>
  </si>
  <si>
    <t>(CN107963638)_x000D_
1</t>
  </si>
  <si>
    <t>CN107876083</t>
  </si>
  <si>
    <t>2017-11-07</t>
  </si>
  <si>
    <t>CNOOC - CHINA NATIONAL OFFSHORE OIL GROUP_x000D_
CNOOC ENERGY DEVELOPMENT_x000D_
CNOOC TIANJIN CHEMICAL RESEARCH &amp; DESIGN INSTITUTE</t>
  </si>
  <si>
    <t>B01J-029/46_x000D_
B01J-037/02_x000D_
B01J-037/08_x000D_
C07C-001/20_x000D_
C07C-015/04_x000D_
C07C-015/06_x000D_
C07C-015/08_x000D_
C10G-003/00</t>
  </si>
  <si>
    <t>(CN107876083)_x000D_
2</t>
  </si>
  <si>
    <t>CN107794080</t>
  </si>
  <si>
    <t>2016-08-31</t>
  </si>
  <si>
    <t>C10G-035/04_x000D_
C10G-061/02</t>
  </si>
  <si>
    <t>(CN107794080)_x000D_
1</t>
  </si>
  <si>
    <t>CN107573966</t>
  </si>
  <si>
    <t>2016-07-05</t>
  </si>
  <si>
    <t>C10G-061/02</t>
  </si>
  <si>
    <t>(CN107573966)_x000D_
1</t>
  </si>
  <si>
    <t>CN107540499</t>
  </si>
  <si>
    <t>2016-06-29</t>
  </si>
  <si>
    <t>C07C-001/20_x000D_
C07C-011/04_x000D_
C07C-011/06_x000D_
C07C-015/00_x000D_
C07C-015/04_x000D_
C07C-015/06_x000D_
C07C-015/08_x000D_
C07C-015/14</t>
  </si>
  <si>
    <t>(CN107540499)_x000D_
1</t>
  </si>
  <si>
    <t>CN107540498</t>
  </si>
  <si>
    <t>C07C-001/20_x000D_
C07C-011/04_x000D_
C07C-011/06_x000D_
C07C-015/04_x000D_
C07C-015/06_x000D_
C07C-015/08</t>
  </si>
  <si>
    <t>(CN107540498)_x000D_
1</t>
  </si>
  <si>
    <t>CN107540496</t>
  </si>
  <si>
    <t>(CN107540496)_x000D_
1</t>
  </si>
  <si>
    <t>CN107540495</t>
  </si>
  <si>
    <t>(CN107540495)_x000D_
1</t>
  </si>
  <si>
    <t>CN107540494</t>
  </si>
  <si>
    <t>(CN107540494)_x000D_
1</t>
  </si>
  <si>
    <t>CN107540493</t>
  </si>
  <si>
    <t>(CN107540493)_x000D_
1</t>
  </si>
  <si>
    <t>CN107540492</t>
  </si>
  <si>
    <t>(CN107540492)_x000D_
1</t>
  </si>
  <si>
    <t>CN206751740</t>
  </si>
  <si>
    <t>U</t>
  </si>
  <si>
    <t>2017-05-10</t>
  </si>
  <si>
    <t>SHANDONG DAQI CHEMICAL SCIENCE &amp; TECHNOLOGY_x000D_
SHANDONG DAQI PETROLEUM CHEMICAL DESIGN</t>
  </si>
  <si>
    <t>C10G-003/00</t>
  </si>
  <si>
    <t>(CN206751740U)_x000D_
1</t>
  </si>
  <si>
    <t>CN107413376</t>
  </si>
  <si>
    <t>2016-05-24</t>
  </si>
  <si>
    <t>B01J-029/70_x000D_
B01J-029/74_x000D_
B01J-029/76_x000D_
C07C-002/86_x000D_
C07C-015/067_x000D_
C07C-015/08_x000D_
C10G-035/095</t>
  </si>
  <si>
    <t>(CN107413376)_x000D_
1</t>
  </si>
  <si>
    <t>WO2017205243_x000D_
CN108602054</t>
  </si>
  <si>
    <t>A1_x000D_
A</t>
  </si>
  <si>
    <t>WO2017205243</t>
  </si>
  <si>
    <t>2016-05-25</t>
  </si>
  <si>
    <t>UOP</t>
  </si>
  <si>
    <t>B01J-027/18_x000D_
B01J-029/84_x000D_
B01J-031/02_x000D_
C01B-039/54_x000D_
C10G-011/05_x000D_
C10G-035/095</t>
  </si>
  <si>
    <t>(WO2017205243)_x000D_
ALIVE_x000D_
(CN108602054)_x000D_
ALIVE</t>
  </si>
  <si>
    <t>(WO2017205243)_x000D_
3_x000D_
(CN108602054)_x000D_
3</t>
  </si>
  <si>
    <t>WO2017205112_x000D_
CN108472635</t>
  </si>
  <si>
    <t>WO2017205112</t>
  </si>
  <si>
    <t>B01J-027/182_x000D_
B01J-029/85_x000D_
B01J-031/02_x000D_
C01B-039/54_x000D_
C10G-011/05_x000D_
C10G-035/095</t>
  </si>
  <si>
    <t>(WO2017205112)_x000D_
ALIVE_x000D_
(CN108472635)_x000D_
ALIVE</t>
  </si>
  <si>
    <t>(WO2017205112)_x000D_
3_x000D_
(CN108472635)_x000D_
3</t>
  </si>
  <si>
    <t>WO2017205023_x000D_
CN108495711</t>
  </si>
  <si>
    <t>WO2017205023</t>
  </si>
  <si>
    <t>(WO2017205023)_x000D_
ALIVE_x000D_
(CN108495711)_x000D_
ALIVE</t>
  </si>
  <si>
    <t>(WO2017205023)_x000D_
3_x000D_
(CN108495711)_x000D_
3</t>
  </si>
  <si>
    <t>CN107398294</t>
  </si>
  <si>
    <t>2016-05-18</t>
  </si>
  <si>
    <t>B01J-029/40_x000D_
C07C-002/86_x000D_
C07C-015/02_x000D_
C07C-015/06_x000D_
C07C-015/08</t>
  </si>
  <si>
    <t>(CN107398294)_x000D_
2</t>
  </si>
  <si>
    <t>US20170341064_x000D_
WO2017204993_x000D_
CN108602052</t>
  </si>
  <si>
    <t>A1_x000D_
A1_x000D_
A</t>
  </si>
  <si>
    <t>US20170341064</t>
  </si>
  <si>
    <t>B01J-020/04_x000D_
B01J-020/30_x000D_
B01J-027/18_x000D_
B01J-029/84_x000D_
B01J-031/02_x000D_
B01J-037/00_x000D_
B01J-037/04_x000D_
B01J-037/06_x000D_
B01J-037/10_x000D_
B01J-039/02_x000D_
B01J-039/12_x000D_
C01B-039/54_x000D_
C10G-011/05_x000D_
C10G-035/095</t>
  </si>
  <si>
    <t>(US20170341064)_x000D_
ALIVE_x000D_
(WO2017204993)_x000D_
ALIVE_x000D_
(CN108602052)_x000D_
ALIVE</t>
  </si>
  <si>
    <t>(US20170341064)_x000D_
3_x000D_
(US-10159964B2-1)_x000D_
2_x000D_
(US-20190105642A1-2)_x000D_
2_x000D_
(WO2017204993)_x000D_
3_x000D_
(CN108602052)_x000D_
3</t>
  </si>
  <si>
    <t>WO2017187873_x000D_
TW201739509_x000D_
TWI625163_x000D_
JPWO2017187873</t>
  </si>
  <si>
    <t>A1_x000D_
A_x000D_
B_x000D_
A1</t>
  </si>
  <si>
    <t>WO2017187873</t>
  </si>
  <si>
    <t>2016-04-28</t>
  </si>
  <si>
    <t>ASAHI CHEMICAL INDUSTRY_x000D_
ASAHI KASEI</t>
  </si>
  <si>
    <t>B01J-008/24_x000D_
B01J-021/08_x000D_
B01J-029/40_x000D_
C07B-061/00_x000D_
C07C-001/20_x000D_
C07C-002/42_x000D_
C07C-015/02_x000D_
C07C-015/04_x000D_
C07C-015/06_x000D_
C07C-015/067_x000D_
C07C-061/00</t>
  </si>
  <si>
    <t>(WO2017187873)_x000D_
ALIVE_x000D_
(JP2017187873W)_x000D_
ALIVE_x000D_
(TWI625163)_x000D_
ALIVE</t>
  </si>
  <si>
    <t>1</t>
  </si>
  <si>
    <t>CN206570276</t>
  </si>
  <si>
    <t>2017-01-20</t>
  </si>
  <si>
    <t>HEBEI XIYAO NEW ENERGY TECHNOLOGY</t>
  </si>
  <si>
    <t>C10G-003/00_x000D_
C10G-035/06</t>
  </si>
  <si>
    <t>(CN206570276U)_x000D_
1</t>
  </si>
  <si>
    <t>CN107262142</t>
  </si>
  <si>
    <t>2017-07-10</t>
  </si>
  <si>
    <t>TSINGHUA UNIVERSITY</t>
  </si>
  <si>
    <t>B01J-029/48_x000D_
C07C-001/20_x000D_
C07C-015/04_x000D_
C07C-015/06_x000D_
C07C-015/08_x000D_
C07C-029/153_x000D_
C07C-029/156_x000D_
C07C-031/04</t>
  </si>
  <si>
    <t>(CN107262142)_x000D_
2</t>
  </si>
  <si>
    <t>CN107243359</t>
  </si>
  <si>
    <t>2017-07-13</t>
  </si>
  <si>
    <t>CHINA HUANENG_x000D_
HUANENG CLEAN ENERGY RESEARCH INSTITUTE</t>
  </si>
  <si>
    <t>B01J-029/40_x000D_
B01J-029/46_x000D_
B01J-029/48_x000D_
C07C-001/20_x000D_
C07C-015/04_x000D_
C07C-015/06_x000D_
C07C-015/08</t>
  </si>
  <si>
    <t>(CN107243359)_x000D_
1</t>
  </si>
  <si>
    <t>CA3016531_x000D_
WO2017155425_x000D_
AU2016396601_x000D_
BR112018067668_x000D_
CN108779399</t>
  </si>
  <si>
    <t>A1_x000D_
A1_x000D_
A1_x000D_
A1_x000D_
A</t>
  </si>
  <si>
    <t>CA3016531</t>
  </si>
  <si>
    <t>2016-03-09</t>
  </si>
  <si>
    <t>NGT SYNTHESIS_x000D_
PEPTID PRODUCTS</t>
  </si>
  <si>
    <t>B01J-029/42_x000D_
B01J-037/10_x000D_
C10G-035/095</t>
  </si>
  <si>
    <t>(WO2017155425)_x000D_
ALIVE_x000D_
(CA3016531)_x000D_
ALIVE_x000D_
(AU2016396601)_x000D_
ALIVE_x000D_
(BR112018067668)_x000D_
ALIVE_x000D_
(CN108779399)_x000D_
ALIVE</t>
  </si>
  <si>
    <t>_x000D_
(WO2017155425)_x000D_
1_x000D_
(CA3016531)_x000D_
1_x000D_
(CN108779399)_x000D_
1</t>
  </si>
  <si>
    <t>WO2017155431_x000D_
WO2017155424_x000D_
AU2017230031_x000D_
BR112018067640</t>
  </si>
  <si>
    <t>A1_x000D_
A1_x000D_
A1_x000D_
A1</t>
  </si>
  <si>
    <t>WO2017155424</t>
  </si>
  <si>
    <t>NGT GLOBAL_x000D_
NGT SYNTHESIS</t>
  </si>
  <si>
    <t>(WO2017155424)_x000D_
ALIVE_x000D_
(WO2017155431)_x000D_
ALIVE_x000D_
(AU2017230031)_x000D_
ALIVE_x000D_
(BR112018067640)_x000D_
ALIVE</t>
  </si>
  <si>
    <t>_x000D_
(WO2017155431)_x000D_
2_x000D_
(WO2017155424)_x000D_
2_x000D_
(CN-109072093A-168)_x000D_
2</t>
  </si>
  <si>
    <t>US20170252734_x000D_
WO2017151864_x000D_
CN108698031</t>
  </si>
  <si>
    <t>US20170252734</t>
  </si>
  <si>
    <t>2016-03-04</t>
  </si>
  <si>
    <t>B01J-027/182_x000D_
B01J-029/85_x000D_
B01J-031/02_x000D_
B01J-037/08_x000D_
C01B-039/54_x000D_
C10G-011/05_x000D_
C10G-035/095</t>
  </si>
  <si>
    <t>(US20170252734)_x000D_
ALIVE_x000D_
(WO2017151864)_x000D_
ALIVE_x000D_
(CN108698031)_x000D_
ALIVE</t>
  </si>
  <si>
    <t>(US20170252734)_x000D_
3_x000D_
(WO2017151864)_x000D_
3_x000D_
(CN108698031)_x000D_
3</t>
  </si>
  <si>
    <t>US20170252733_x000D_
WO2017151845_x000D_
CN108698030</t>
  </si>
  <si>
    <t>US20170252733</t>
  </si>
  <si>
    <t>B01J-027/182_x000D_
B01J-029/85_x000D_
B01J-031/02_x000D_
B01J-035/02_x000D_
B01J-037/00_x000D_
B01J-037/04_x000D_
B01J-037/06_x000D_
B01J-037/08_x000D_
B01J-037/30_x000D_
C01B-039/54_x000D_
C10G-011/05_x000D_
C10G-035/095</t>
  </si>
  <si>
    <t>(US20170252733)_x000D_
ALIVE_x000D_
(WO2017151845)_x000D_
ALIVE_x000D_
(CN108698030)_x000D_
ALIVE</t>
  </si>
  <si>
    <t>(US20170252733)_x000D_
3_x000D_
(WO2017151845)_x000D_
3_x000D_
(CN108698030)_x000D_
3</t>
  </si>
  <si>
    <t>US20170252732_x000D_
WO2017151875_x000D_
CN108698029</t>
  </si>
  <si>
    <t>US20170252732</t>
  </si>
  <si>
    <t>B01J-027/182_x000D_
B01J-029/85_x000D_
B01J-031/02_x000D_
B01J-035/02_x000D_
B01J-037/00_x000D_
B01J-037/04_x000D_
B01J-037/06_x000D_
B01J-037/30_x000D_
C01B-039/54_x000D_
C10G-011/05_x000D_
C10G-035/095</t>
  </si>
  <si>
    <t>(US20170252732)_x000D_
ALIVE_x000D_
(WO2017151875)_x000D_
ALIVE_x000D_
(CN108698029)_x000D_
ALIVE</t>
  </si>
  <si>
    <t>(US20170252732)_x000D_
3_x000D_
(WO2017151875)_x000D_
3_x000D_
(CN108698029)_x000D_
3</t>
  </si>
  <si>
    <t>CN107010639</t>
  </si>
  <si>
    <t>2017-04-11</t>
  </si>
  <si>
    <t>SICHUAN RUN &amp; CATALYTIC NEW MATERIALS</t>
  </si>
  <si>
    <t>B01J-029/40_x000D_
C01B-039/38_x000D_
C07C-001/20_x000D_
C07C-015/02</t>
  </si>
  <si>
    <t>(CN107010639)_x000D_
2</t>
  </si>
  <si>
    <t>US20170226427_x000D_
WO2017139491</t>
  </si>
  <si>
    <t>US20170226427</t>
  </si>
  <si>
    <t>2016-02-10</t>
  </si>
  <si>
    <t>PRIMUS GREEN ENERGY</t>
  </si>
  <si>
    <t>B01J-008/04_x000D_
B01J-019/24_x000D_
C07C-001/06_x000D_
C07C-029/152_x000D_
C07C-029/153_x000D_
C07C-041/09_x000D_
C07C-041/14_x000D_
C10G-003/00_x000D_
C10G-035/095_x000D_
C10L-001/02_x000D_
C10L-001/04_x000D_
C10L-001/06</t>
  </si>
  <si>
    <t>(US20170226427)_x000D_
ALIVE_x000D_
(WO2017139491)_x000D_
ALIVE</t>
  </si>
  <si>
    <t>(US20170226427)_x000D_
2_x000D_
(WO2017139491)_x000D_
2</t>
  </si>
  <si>
    <t>CA3006021_x000D_
CA3006025_x000D_
CA3006031_x000D_
WO2017093342_x000D_
WO2017093335_x000D_
WO2017093338_x000D_
BR112018010901_x000D_
BR112018010929_x000D_
BR112018010896_x000D_
CN108290803_x000D_
CN108290802_x000D_
CN108290801_x000D_
US20180304240_x000D_
BR112018010901_x000D_
BR112018010896</t>
  </si>
  <si>
    <t>A1_x000D_
A1_x000D_
A1_x000D_
A1_x000D_
A1_x000D_
A1_x000D_
A1_x000D_
A1_x000D_
A1_x000D_
A_x000D_
A_x000D_
A_x000D_
A1_x000D_
A2_x000D_
A2</t>
  </si>
  <si>
    <t>CA3006021</t>
  </si>
  <si>
    <t>2015-11-30</t>
  </si>
  <si>
    <t>HALDOR TOPSOE</t>
  </si>
  <si>
    <t>B01J-021/12_x000D_
B01J-023/00_x000D_
B01J-023/06_x000D_
B01J-027/14_x000D_
B01J-029/40_x000D_
B01J-037/00_x000D_
B01J-037/02_x000D_
B01J-037/08_x000D_
C07C-001/20_x000D_
C10G-035/00</t>
  </si>
  <si>
    <t>(US20180304240)_x000D_
ALIVE_x000D_
(WO201793335)_x000D_
ALIVE_x000D_
(WO201793338)_x000D_
ALIVE_x000D_
(WO201793342)_x000D_
ALIVE_x000D_
(CA3006021)_x000D_
ALIVE_x000D_
(CA3006025)_x000D_
ALIVE_x000D_
(CA3006031)_x000D_
ALIVE_x000D_
(BR112018010929)_x000D_
ALIVE_x000D_
(CN108290801)_x000D_
ALIVE_x000D_
(CN108290802)_x000D_
ALIVE_x000D_
(CN108290803)_x000D_
ALIVE_x000D_
(BR112018010896)_x000D_
ALIVE_x000D_
(BR112018010901)_x000D_
ALIVE</t>
  </si>
  <si>
    <t>(US20180304240)_x000D_
3_x000D_
(US-20190076830A1-2)_x000D_
4_x000D_
(WO201793342)_x000D_
4_x000D_
(WO201793335)_x000D_
3_x000D_
(WO201793338)_x000D_
4_x000D_
(CA3006021)_x000D_
4_x000D_
(CA3006025)_x000D_
4_x000D_
(CA3006031)_x000D_
3_x000D_
(CN108290803)_x000D_
3_x000D_
(CN108290802)_x000D_
4_x000D_
(CN108290801)_x000D_
4</t>
  </si>
  <si>
    <t>CN106694029</t>
  </si>
  <si>
    <t>2016-12-06</t>
  </si>
  <si>
    <t>B01J-029/40_x000D_
C07C-001/20_x000D_
C07C-001/24_x000D_
C07C-011/04_x000D_
C07C-011/06_x000D_
C07C-011/08_x000D_
C07C-015/08_x000D_
C10G-003/00</t>
  </si>
  <si>
    <t>(CN106694029)_x000D_
2</t>
  </si>
  <si>
    <t>CN106622344</t>
  </si>
  <si>
    <t>B01J-029/40_x000D_
C07C-001/20_x000D_
C07C-015/08</t>
  </si>
  <si>
    <t>(CN106622344)_x000D_
1</t>
  </si>
  <si>
    <t>CN106608786</t>
  </si>
  <si>
    <t>2015-10-22</t>
  </si>
  <si>
    <t>C07C-001/20_x000D_
C07C-002/64_x000D_
C07C-015/073_x000D_
C07C-015/08</t>
  </si>
  <si>
    <t>(CN106608786)_x000D_
4</t>
  </si>
  <si>
    <t>CN106608781</t>
  </si>
  <si>
    <t>C07C-001/20_x000D_
C07C-015/02_x000D_
C07C-015/04_x000D_
C07C-015/06_x000D_
C07C-015/073_x000D_
C07C-015/08</t>
  </si>
  <si>
    <t>(CN106608781)_x000D_
3</t>
  </si>
  <si>
    <t>CN106608780</t>
  </si>
  <si>
    <t>2015-10-21</t>
  </si>
  <si>
    <t>C07C-001/20_x000D_
C07C-011/06_x000D_
C07C-015/02_x000D_
C07C-015/04_x000D_
C07C-015/06_x000D_
C07C-015/08</t>
  </si>
  <si>
    <t>(CN106608780)_x000D_
1</t>
  </si>
  <si>
    <t>CN106607088</t>
  </si>
  <si>
    <t>B01J-029/85_x000D_
C07C-001/20_x000D_
C07C-015/04_x000D_
C07C-015/06_x000D_
C07C-015/08</t>
  </si>
  <si>
    <t>(CN106607088)_x000D_
2</t>
  </si>
  <si>
    <t>CN106607079</t>
  </si>
  <si>
    <t>B01J-029/40_x000D_
C07C-001/20_x000D_
C07C-015/00_x000D_
C07C-015/02_x000D_
C07C-015/04_x000D_
C07C-015/06_x000D_
C07C-015/08</t>
  </si>
  <si>
    <t>(CN106607079)_x000D_
1</t>
  </si>
  <si>
    <t>CN106607078</t>
  </si>
  <si>
    <t>B01J-029/40_x000D_
B01J-029/70_x000D_
C07C-001/20_x000D_
C07C-011/06_x000D_
C07C-015/08</t>
  </si>
  <si>
    <t>(CN106607078)_x000D_
1_x000D_
(CN-106607078B-168)_x000D_
1</t>
  </si>
  <si>
    <t>CN106607086</t>
  </si>
  <si>
    <t>B01J-029/85_x000D_
C07C-001/20_x000D_
C07C-015/02_x000D_
C07C-015/08</t>
  </si>
  <si>
    <t>(CN106607086)_x000D_
1</t>
  </si>
  <si>
    <t>CN106607083</t>
  </si>
  <si>
    <t>B01J-029/48_x000D_
C07C-001/04_x000D_
C07C-015/00_x000D_
C07C-015/04_x000D_
C07C-015/06_x000D_
C07C-015/08_x000D_
C10G-002/00</t>
  </si>
  <si>
    <t>(CN106607083)_x000D_
1</t>
  </si>
  <si>
    <t>CN106582789</t>
  </si>
  <si>
    <t>2016-12-27</t>
  </si>
  <si>
    <t>SHANGHAI NOVEL CHEMICAL TECHNOLOGY</t>
  </si>
  <si>
    <t>B01J-029/40_x000D_
C10G-003/00_x000D_
C10G-035/095</t>
  </si>
  <si>
    <t>(CN106582789)_x000D_
2</t>
  </si>
  <si>
    <t>CN106582797</t>
  </si>
  <si>
    <t>2016-11-25</t>
  </si>
  <si>
    <t>SHANGHAI NEW UNITY ENERGY TECHNOLOGY_x000D_
UNIVERSITY OF XIAMEN</t>
  </si>
  <si>
    <t>B01J-029/48_x000D_
C07C-001/20_x000D_
C07C-015/04_x000D_
C07C-015/06_x000D_
C07C-015/08</t>
  </si>
  <si>
    <t>(CN106582797)_x000D_
5</t>
  </si>
  <si>
    <t>CN106540737</t>
  </si>
  <si>
    <t>2016-10-28</t>
  </si>
  <si>
    <t>B01J-029/40_x000D_
C01B-039/40_x000D_
C07C-001/20_x000D_
C07C-015/02</t>
  </si>
  <si>
    <t>(CN106540737)_x000D_
3</t>
  </si>
  <si>
    <t>CN106466637</t>
  </si>
  <si>
    <t>2015-08-20</t>
  </si>
  <si>
    <t>B01J-029/85_x000D_
C07C-001/20_x000D_
C07C-015/02</t>
  </si>
  <si>
    <t>(CN106466637)_x000D_
2</t>
  </si>
  <si>
    <t>CN106466635</t>
  </si>
  <si>
    <t>(CN106466635)_x000D_
2</t>
  </si>
  <si>
    <t>CN106466634</t>
  </si>
  <si>
    <t>B01J-029/85_x000D_
B01J-035/10_x000D_
C07C-001/20_x000D_
C07C-015/04_x000D_
C07C-015/06_x000D_
C07C-015/08</t>
  </si>
  <si>
    <t>(CN106466634)_x000D_
2</t>
  </si>
  <si>
    <t>CN106466632</t>
  </si>
  <si>
    <t>(CN106466632)_x000D_
1</t>
  </si>
  <si>
    <t>CN106466628</t>
  </si>
  <si>
    <t>(CN106466628)_x000D_
1</t>
  </si>
  <si>
    <t>CN106466630</t>
  </si>
  <si>
    <t>(CN106466630)_x000D_
1</t>
  </si>
  <si>
    <t>CN106466627</t>
  </si>
  <si>
    <t>(CN106466627)_x000D_
1</t>
  </si>
  <si>
    <t>CN106431808</t>
  </si>
  <si>
    <t>2015-08-05</t>
  </si>
  <si>
    <t>PETROCHINA</t>
  </si>
  <si>
    <t>C07C-002/86_x000D_
C07C-015/02</t>
  </si>
  <si>
    <t>(CN106431808)_x000D_
1</t>
  </si>
  <si>
    <t>CN106336339</t>
  </si>
  <si>
    <t>2015-07-17</t>
  </si>
  <si>
    <t>C07C-001/20_x000D_
C07C-015/02_x000D_
C07C-015/04_x000D_
C07C-015/06_x000D_
C07C-015/08</t>
  </si>
  <si>
    <t>(CN106336339)_x000D_
1_x000D_
(CN-106336339B-168)_x000D_
1</t>
  </si>
  <si>
    <t>CN106082264</t>
  </si>
  <si>
    <t>2016-06-08</t>
  </si>
  <si>
    <t>B01J-029/40_x000D_
B01J-035/10_x000D_
C01B-039/04_x000D_
C01B-039/24_x000D_
C01B-039/40_x000D_
C07C-001/24_x000D_
C07C-015/00_x000D_
C07C-015/08</t>
  </si>
  <si>
    <t>(CN106082264)_x000D_
1</t>
  </si>
  <si>
    <t>CN106000452</t>
  </si>
  <si>
    <t>2016-06-28</t>
  </si>
  <si>
    <t>TANGSHAN REALM INDUSTRY &amp; COMMERCE</t>
  </si>
  <si>
    <t>B01J-029/40_x000D_
B01J-037/00_x000D_
C07C-001/20_x000D_
C07C-015/02</t>
  </si>
  <si>
    <t>(CN106000452)_x000D_
3</t>
  </si>
  <si>
    <t>WO2016160081_x000D_
SG11201707462T_x000D_
CN107428628_x000D_
US20180044260_x000D_
US10059638</t>
  </si>
  <si>
    <t>A1_x000D_
A_x000D_
A_x000D_
A1_x000D_
B2</t>
  </si>
  <si>
    <t>WO2016160081</t>
  </si>
  <si>
    <t>2015-03-31</t>
  </si>
  <si>
    <t>EXXON CHEMICAL_x000D_
EXXONMOBIL CHEMICAL</t>
  </si>
  <si>
    <t>B01J-029/40_x000D_
C07C-001/20_x000D_
C07C-002/42_x000D_
C07C-005/333_x000D_
C07C-005/393_x000D_
C07C-005/41_x000D_
C07C-011/02_x000D_
C07C-015/02_x000D_
C07C-015/08_x000D_
C10G-011/02</t>
  </si>
  <si>
    <t>(US10059638)_x000D_
ALIVE_x000D_
(WO2016160081)_x000D_
DEAD_x000D_
(SG11201707462T)_x000D_
ALIVE_x000D_
(CN107428628)_x000D_
ALIVE</t>
  </si>
  <si>
    <t>(US20180044260)_x000D_
2_x000D_
(US10059638)_x000D_
1_x000D_
(WO2016160081)_x000D_
2_x000D_
(CN107428628)_x000D_
2</t>
  </si>
  <si>
    <t>CN105949019</t>
  </si>
  <si>
    <t>2016-04-29</t>
  </si>
  <si>
    <t>ZHEJIANG UNIVERSITY</t>
  </si>
  <si>
    <t>B01J-029/40_x000D_
B01J-029/46_x000D_
B01J-029/48_x000D_
C07C-001/20_x000D_
C07C-015/02</t>
  </si>
  <si>
    <t>(CN105949019)_x000D_
2</t>
  </si>
  <si>
    <t>RU2594564</t>
  </si>
  <si>
    <t>2015-05-18</t>
  </si>
  <si>
    <t>FEDERAL GOSUDARSTVENNOE BYUDZHETNOE UCHREZHDENIE NAUKI ORDENA TRUDOVOGO KRASNOGO ZNAMENI INSTITUTE NEFTEKHIMI</t>
  </si>
  <si>
    <t>B01J-029/46_x000D_
C07C-001/20_x000D_
C07C-015/02_x000D_
C07C-015/08_x000D_
C07C-015/24</t>
  </si>
  <si>
    <t>CA2973639_x000D_
CA2973638_x000D_
WO2016116612_x000D_
WO2016116611_x000D_
AU2016208486_x000D_
AU2016208485_x000D_
CN107206365_x000D_
MX2017009128_x000D_
MX2017009129_x000D_
IN201717028989_x000D_
IN201717028988_x000D_
EA201791636_x000D_
EA201791631_x000D_
US20180002610_x000D_
US20180022673_x000D_
CN107635952_x000D_
BR112017014356_x000D_
BR112017014356_x000D_
BR112017015408_x000D_
BR112017015408</t>
  </si>
  <si>
    <t>A1_x000D_
A1_x000D_
A1_x000D_
A1_x000D_
A1_x000D_
A1_x000D_
A_x000D_
A_x000D_
A_x000D_
A_x000D_
A_x000D_
A1_x000D_
A1_x000D_
A1_x000D_
A1_x000D_
A_x000D_
A1_x000D_
A2_x000D_
A1_x000D_
A2</t>
  </si>
  <si>
    <t>CA2973638</t>
  </si>
  <si>
    <t>2015-01-22</t>
  </si>
  <si>
    <t>B01J-029/40_x000D_
C07C-001/20_x000D_
C07C-009/08_x000D_
C07C-009/10_x000D_
C07C-029/141_x000D_
C07C-031/04_x000D_
C10G-003/00</t>
  </si>
  <si>
    <t>(US20180002610)_x000D_
ALIVE_x000D_
(US20180022673)_x000D_
ALIVE_x000D_
(WO2016116611)_x000D_
DEAD_x000D_
(WO2016116612)_x000D_
DEAD_x000D_
(CA2973638)_x000D_
ALIVE_x000D_
(CA2973639)_x000D_
ALIVE_x000D_
(AU2016208485)_x000D_
ALIVE_x000D_
(AU2016208486)_x000D_
ALIVE_x000D_
(CN107206365)_x000D_
ALIVE_x000D_
(MX2017009128)_x000D_
ALIVE_x000D_
(MX2017009129)_x000D_
ALIVE_x000D_
(IN201717028988)_x000D_
ALIVE_x000D_
(IN201717028989)_x000D_
ALIVE_x000D_
(EA201791631)_x000D_
ALIVE_x000D_
(EA201791636)_x000D_
ALIVE_x000D_
(CN107635952)_x000D_
ALIVE_x000D_
(BR112017014356)_x000D_
ALIVE_x000D_
(BR112017015408)_x000D_
ALIVE</t>
  </si>
  <si>
    <t>(US20180022673)_x000D_
2_x000D_
(US20180002610)_x000D_
4_x000D_
(US-10150718B2-1)_x000D_
2_x000D_
(WO2016116612)_x000D_
4_x000D_
(WO2016116611)_x000D_
5_x000D_
(CA2973639)_x000D_
2_x000D_
(CA2973638)_x000D_
4_x000D_
(CN107206365)_x000D_
2_x000D_
(CN107635952)_x000D_
4</t>
  </si>
  <si>
    <t>CN105749958</t>
  </si>
  <si>
    <t>2016-02-04</t>
  </si>
  <si>
    <t>(CN105749958)_x000D_
1</t>
  </si>
  <si>
    <t>CN105732251_x000D_
CN105732251</t>
  </si>
  <si>
    <t>A_x000D_
B</t>
  </si>
  <si>
    <t>CN105732251</t>
  </si>
  <si>
    <t>2014-12-11</t>
  </si>
  <si>
    <t>B01J-029/40_x000D_
B01J-029/80_x000D_
C07C-001/20_x000D_
C07C-002/76_x000D_
C07C-011/02_x000D_
C07C-015/02</t>
  </si>
  <si>
    <t>(CN105732251)_x000D_
1_x000D_
(CN105732251B)_x000D_
1</t>
  </si>
  <si>
    <t>CN105728018_x000D_
CN105728018</t>
  </si>
  <si>
    <t>CN105728018</t>
  </si>
  <si>
    <t>B01J-029/40_x000D_
C07C-002/86_x000D_
C07C-015/06_x000D_
C07C-015/08</t>
  </si>
  <si>
    <t>(CN105728018)_x000D_
1_x000D_
(CN105728018B)_x000D_
6</t>
  </si>
  <si>
    <t>US20160186074_x000D_
US9732283</t>
  </si>
  <si>
    <t>A1_x000D_
B2</t>
  </si>
  <si>
    <t>US20160186074</t>
  </si>
  <si>
    <t>2014-12-26</t>
  </si>
  <si>
    <t>PHILLIPS 66</t>
  </si>
  <si>
    <t>B01J-008/00_x000D_
B01J-008/16_x000D_
B01J-019/00_x000D_
B01J-019/24_x000D_
C10G-003/00_x000D_
C10G-011/00_x000D_
C10G-011/14_x000D_
C10G-011/18</t>
  </si>
  <si>
    <t>(US20160186074)_x000D_
1_x000D_
(US9732283)_x000D_
1</t>
  </si>
  <si>
    <t>CN105457570_x000D_
CN105457570</t>
  </si>
  <si>
    <t>CN105457570</t>
  </si>
  <si>
    <t>2014-09-09</t>
  </si>
  <si>
    <t>B01J-008/26_x000D_
B01J-029/44_x000D_
B01J-029/46_x000D_
B01J-029/48_x000D_
B01J-029/70_x000D_
B01J-029/80_x000D_
B01J-029/90_x000D_
C07C-001/20_x000D_
C07C-011/04_x000D_
C07C-011/06_x000D_
C07C-015/02</t>
  </si>
  <si>
    <t>(CN105457570)_x000D_
1_x000D_
(CN105457570B)_x000D_
1</t>
  </si>
  <si>
    <t>CN105461497_x000D_
CN105461497</t>
  </si>
  <si>
    <t>CN105461497</t>
  </si>
  <si>
    <t>(CN105461497)_x000D_
1_x000D_
(CN105461497B)_x000D_
1</t>
  </si>
  <si>
    <t>CN105457569_x000D_
CN105457569</t>
  </si>
  <si>
    <t>CN105457569</t>
  </si>
  <si>
    <t>(CN105457569)_x000D_
1_x000D_
(CN105457569B)_x000D_
1</t>
  </si>
  <si>
    <t>CN105457568_x000D_
CN105457568</t>
  </si>
  <si>
    <t>CN105457568</t>
  </si>
  <si>
    <t>(CN105457568)_x000D_
1_x000D_
(CN105457568B)_x000D_
1</t>
  </si>
  <si>
    <t>CN105460952_x000D_
CN105460952</t>
  </si>
  <si>
    <t>CN105460952</t>
  </si>
  <si>
    <t>2014-08-19</t>
  </si>
  <si>
    <t>NATIONAL INSTITUTE OF CLEAN &amp; LOW CARBON ENERGY_x000D_
SHENHUA</t>
  </si>
  <si>
    <t>B01J-029/40_x000D_
C01B-039/40_x000D_
C07C-001/20_x000D_
C07C-006/06_x000D_
C07C-011/02_x000D_
C07C-015/02</t>
  </si>
  <si>
    <t>(CN105460952)_x000D_
1_x000D_
(CN105460952B)_x000D_
1</t>
  </si>
  <si>
    <t>CN105435839_x000D_
CN105435839</t>
  </si>
  <si>
    <t>CN105435839</t>
  </si>
  <si>
    <t>2015-12-07</t>
  </si>
  <si>
    <t>B01J-029/80_x000D_
C07C-001/20_x000D_
C07C-015/02_x000D_
C07C-015/04_x000D_
C07C-015/06</t>
  </si>
  <si>
    <t>(CN105435839)_x000D_
2_x000D_
(CN105435839B)_x000D_
1</t>
  </si>
  <si>
    <t>CN105289703_x000D_
CN105289703</t>
  </si>
  <si>
    <t>CN105289703</t>
  </si>
  <si>
    <t>NORTHWEST UNIVERSITY_x000D_
SHAANXI INSTITUTE OF ENERGY RESOURCES &amp; CHEMICAL ENGINEERING</t>
  </si>
  <si>
    <t>B01J-029/40_x000D_
B01J-029/46_x000D_
B01J-029/48_x000D_
B01J-035/10_x000D_
C07C-001/20_x000D_
C07C-015/04_x000D_
C07C-015/06_x000D_
C07C-015/08</t>
  </si>
  <si>
    <t>(CN105289703)_x000D_
1_x000D_
(CN105289703B)_x000D_
3</t>
  </si>
  <si>
    <t>CN103725315_x000D_
CN103725315</t>
  </si>
  <si>
    <t>CN103725315</t>
  </si>
  <si>
    <t>CHEVRON PHILLIPS CHEMICAL</t>
  </si>
  <si>
    <t>C10G-035/095_x000D_
C10G-035/24</t>
  </si>
  <si>
    <t>(CN103725315)_x000D_
5_x000D_
(CN103725315B)_x000D_
5</t>
  </si>
  <si>
    <t>CN105254462_x000D_
CN105254462</t>
  </si>
  <si>
    <t>CN105254462</t>
  </si>
  <si>
    <t>2015-11-03</t>
  </si>
  <si>
    <t>BEIJING DONGFANG HONGSHENG NEW ENERGY APPLICATIONTECHNOLOGY INSTITUTE_x000D_
CHINA UNIVERSITY OF PETROLEUM EAST CHINA</t>
  </si>
  <si>
    <t>C07C-001/20_x000D_
C07C-009/04_x000D_
C07C-011/04_x000D_
C07C-011/06_x000D_
C07C-011/08_x000D_
C07C-015/02_x000D_
C10G-003/00</t>
  </si>
  <si>
    <t>(CN105254462)_x000D_
1_x000D_
(CN105254462B)_x000D_
1</t>
  </si>
  <si>
    <t>CN105254461</t>
  </si>
  <si>
    <t>2014-06-19</t>
  </si>
  <si>
    <t>SINOPEC</t>
  </si>
  <si>
    <t>B01J-029/80_x000D_
C07C-001/20_x000D_
C07C-015/02_x000D_
C10L-001/04</t>
  </si>
  <si>
    <t>(CN105254461)_x000D_
1</t>
  </si>
  <si>
    <t>CN105195213_x000D_
CN105195213</t>
  </si>
  <si>
    <t>CN105195213</t>
  </si>
  <si>
    <t>2015-10-12</t>
  </si>
  <si>
    <t>HUADIAN COAL INDUSTRY_x000D_
TSINGHUA UNIVERSITY</t>
  </si>
  <si>
    <t>B01J-029/40_x000D_
B01J-029/44_x000D_
C07C-001/20_x000D_
C07C-015/02</t>
  </si>
  <si>
    <t>(CN105195213)_x000D_
1_x000D_
(CN105195213B)_x000D_
1</t>
  </si>
  <si>
    <t>CN105195226</t>
  </si>
  <si>
    <t>2015-10-10</t>
  </si>
  <si>
    <t>JIANGSU YIJI CHEMICAL TECHNOLOGY</t>
  </si>
  <si>
    <t>B01J-031/26_x000D_
C07C-001/20_x000D_
C07C-002/70_x000D_
C07C-005/27_x000D_
C07C-011/02_x000D_
C07C-011/04_x000D_
C07C-011/06_x000D_
C07C-015/073_x000D_
C07C-015/08_x000D_
C10G-003/00</t>
  </si>
  <si>
    <t>(CN105195226)_x000D_
1</t>
  </si>
  <si>
    <t>CN105195211_x000D_
CN105195211</t>
  </si>
  <si>
    <t>CN105195211</t>
  </si>
  <si>
    <t>2014-06-16</t>
  </si>
  <si>
    <t>B01J-029/40_x000D_
C07C-002/88_x000D_
C07C-015/02_x000D_
C07C-015/04_x000D_
C07C-015/06_x000D_
C07C-015/08</t>
  </si>
  <si>
    <t>(CN105195211)_x000D_
1_x000D_
(CN105195211B)_x000D_
1</t>
  </si>
  <si>
    <t>RU2567534</t>
  </si>
  <si>
    <t>2014-08-26</t>
  </si>
  <si>
    <t>BELJAEV ANDREJ JUR EVICH_x000D_
LISHCHINER IOSIF IZRAILEVICH_x000D_
MALOVA OL GA VASIL EVNA_x000D_
TARASOV ANDREJ LEONIDOVICH_x000D_
VILENSKIJ LEONID MIKHAJLOVICH</t>
  </si>
  <si>
    <t>C10G-035/04</t>
  </si>
  <si>
    <t>CN105013524_x000D_
CN105013524</t>
  </si>
  <si>
    <t>CN105013524</t>
  </si>
  <si>
    <t>2014-04-25</t>
  </si>
  <si>
    <t>SHANGHAI BIKE CLEAN ENERGY TECHNOLOGY</t>
  </si>
  <si>
    <t>(CN105013524)_x000D_
1_x000D_
(CN105013524B)_x000D_
1</t>
  </si>
  <si>
    <t>US20150266744_x000D_
US20150265996_x000D_
WO2015142942_x000D_
TW201536680_x000D_
WO2015142942_x000D_
KR20160126061_x000D_
TWI555705_x000D_
CN106163628_x000D_
US9669378_x000D_
US10010853</t>
  </si>
  <si>
    <t>A1_x000D_
A1_x000D_
A2_x000D_
A_x000D_
A3_x000D_
A_x000D_
B_x000D_
A_x000D_
B2_x000D_
B2</t>
  </si>
  <si>
    <t>US20150266744</t>
  </si>
  <si>
    <t>2014-03-18</t>
  </si>
  <si>
    <t>MATHESON TRI GAS</t>
  </si>
  <si>
    <t>B01D-003/34_x000D_
B01D-005/00_x000D_
B01D-009/00_x000D_
B01D-053/00_x000D_
B01D-053/04_x000D_
B01D-053/22_x000D_
B01J-008/06_x000D_
B01J-019/02_x000D_
B01J-019/24_x000D_
C01B-033/035_x000D_
C01B-033/10_x000D_
C01B-035/06_x000D_
C01B-035/10_x000D_
C01B-035/18_x000D_
C10G-065/04</t>
  </si>
  <si>
    <t>(US9669378)_x000D_
ALIVE_x000D_
(US10010853)_x000D_
ALIVE_x000D_
(WO2015142942)_x000D_
DEAD_x000D_
(KR20160126061)_x000D_
ALIVE_x000D_
(TWI555705)_x000D_
ALIVE_x000D_
(CN106163628)_x000D_
ALIVE</t>
  </si>
  <si>
    <t>(US20150266744)_x000D_
3_x000D_
(US9669378)_x000D_
4_x000D_
(US20150265996)_x000D_
2_x000D_
(US10010853)_x000D_
1_x000D_
(WO2015142942)_x000D_
5_x000D_
(KR20160126061)_x000D_
5_x000D_
(KR-101928159B1-30)_x000D_
2_x000D_
(CN106163628)_x000D_
5_x000D_
(CN-106163628B-168)_x000D_
2</t>
  </si>
  <si>
    <t>CN104910957_x000D_
CN104910957</t>
  </si>
  <si>
    <t>CN104910957</t>
  </si>
  <si>
    <t>2015-06-09</t>
  </si>
  <si>
    <t>HEBEI PETROCHEMICAL HONGTIAN PETROCHEMICAL_x000D_
TIANJIN FUSHENG DYE PLANT</t>
  </si>
  <si>
    <t>C10G-059/02</t>
  </si>
  <si>
    <t>(CN104910957)_x000D_
2_x000D_
(CN104910957B)_x000D_
2</t>
  </si>
  <si>
    <t>CN104907091_x000D_
CN104907091</t>
  </si>
  <si>
    <t>CN104907091</t>
  </si>
  <si>
    <t>2014-03-13</t>
  </si>
  <si>
    <t>B01J-029/40_x000D_
B01J-029/44_x000D_
B01J-029/48_x000D_
C07C-001/20_x000D_
C07C-011/02_x000D_
C07C-015/02</t>
  </si>
  <si>
    <t>(CN104907091)_x000D_
1_x000D_
(CN104907091B)_x000D_
1</t>
  </si>
  <si>
    <t>CN104801332_x000D_
CN104801332</t>
  </si>
  <si>
    <t>CN104801332</t>
  </si>
  <si>
    <t>2014-01-24</t>
  </si>
  <si>
    <t>B01J-029/46_x000D_
C07C-001/20_x000D_
C07C-015/04_x000D_
C07C-015/06_x000D_
C07C-015/08</t>
  </si>
  <si>
    <t>(CN104801332)_x000D_
1_x000D_
(CN104801332B)_x000D_
1</t>
  </si>
  <si>
    <t>RU2550354_x000D_
WO2015147700_x000D_
EA201600667_x000D_
EP3124576_x000D_
US20170145317_x000D_
EP3124576</t>
  </si>
  <si>
    <t>C1_x000D_
A1_x000D_
A1_x000D_
A1_x000D_
A1_x000D_
A4</t>
  </si>
  <si>
    <t>RU2550354</t>
  </si>
  <si>
    <t>2014-03-28</t>
  </si>
  <si>
    <t>C07C-001/20_x000D_
C07C-002/12_x000D_
C07C-002/76_x000D_
C07C-002/86_x000D_
C07C-015/02_x000D_
C10G-003/00_x000D_
C10G-035/095_x000D_
C10G-045/68_x000D_
C10G-063/02</t>
  </si>
  <si>
    <t>(EP3124576)_x000D_
ALIVE_x000D_
(US20170145317)_x000D_
ALIVE_x000D_
(WO2015147700)_x000D_
DEAD_x000D_
(RU2550354)_x000D_
ALIVE_x000D_
(EA201600667)_x000D_
ALIVE</t>
  </si>
  <si>
    <t>(EP3124576)_x000D_
2_x000D_
(US20170145317)_x000D_
2_x000D_
(WO2015147700)_x000D_
8</t>
  </si>
  <si>
    <t>WO2015094698_x000D_
WO2015094696_x000D_
WO2015094697</t>
  </si>
  <si>
    <t>A1_x000D_
A1_x000D_
A1</t>
  </si>
  <si>
    <t>WO2015094696</t>
  </si>
  <si>
    <t>2013-12-20</t>
  </si>
  <si>
    <t>C07C-001/20_x000D_
C07C-015/02_x000D_
C07C-015/08_x000D_
C10G-003/00</t>
  </si>
  <si>
    <t>(WO201594696)_x000D_
DEAD_x000D_
(WO201594697)_x000D_
DEAD_x000D_
(WO201594698)_x000D_
DEAD</t>
  </si>
  <si>
    <t>(WO201594698)_x000D_
2_x000D_
(WO201594696)_x000D_
2_x000D_
(WO201594697)_x000D_
2</t>
  </si>
  <si>
    <t>CN104557432</t>
  </si>
  <si>
    <t>2013-10-28</t>
  </si>
  <si>
    <t>B01J-029/40_x000D_
B01J-029/48_x000D_
C07C-001/20_x000D_
C07C-002/86_x000D_
C07C-015/08</t>
  </si>
  <si>
    <t>(CN104557432)_x000D_
1</t>
  </si>
  <si>
    <t>CN104557369_x000D_
CN104557369</t>
  </si>
  <si>
    <t>CN104557369</t>
  </si>
  <si>
    <t>(CN104557369)_x000D_
1_x000D_
(CN104557369B)_x000D_
1</t>
  </si>
  <si>
    <t>CN104549484</t>
  </si>
  <si>
    <t>(CN104549484)_x000D_
1</t>
  </si>
  <si>
    <t>CN104557419</t>
  </si>
  <si>
    <t>B01J-029/40_x000D_
B01J-029/46_x000D_
B01J-029/80_x000D_
C07C-001/20_x000D_
C07C-015/04_x000D_
C07C-015/06_x000D_
C07C-015/08</t>
  </si>
  <si>
    <t>(CN104557419)_x000D_
1</t>
  </si>
  <si>
    <t>CN104549483_x000D_
CN104549483</t>
  </si>
  <si>
    <t>CN104549483</t>
  </si>
  <si>
    <t>B01J-029/85_x000D_
C07C-001/20_x000D_
C07C-015/02_x000D_
C07C-015/04_x000D_
C07C-015/06_x000D_
C07C-015/08</t>
  </si>
  <si>
    <t>(CN104549483)_x000D_
1_x000D_
(CN104549483B)_x000D_
1</t>
  </si>
  <si>
    <t>CN104557416_x000D_
CN104557416</t>
  </si>
  <si>
    <t>CN104557416</t>
  </si>
  <si>
    <t>B01J-029/40_x000D_
B01J-029/48_x000D_
C07C-002/86_x000D_
C07C-004/00_x000D_
C07C-015/02</t>
  </si>
  <si>
    <t>(CN104557416)_x000D_
1_x000D_
(CN104557416B)_x000D_
1</t>
  </si>
  <si>
    <t>CN104549470_x000D_
CN104549470</t>
  </si>
  <si>
    <t>CN104549470</t>
  </si>
  <si>
    <t>B01J-029/40_x000D_
B01J-029/48_x000D_
B01J-029/80_x000D_
C07C-001/20_x000D_
C07C-015/02</t>
  </si>
  <si>
    <t>(CN104549470)_x000D_
1_x000D_
(CN104549470B)_x000D_
1</t>
  </si>
  <si>
    <t>CN104549481_x000D_
CN104549481</t>
  </si>
  <si>
    <t>CN104549481</t>
  </si>
  <si>
    <t>(CN104549481)_x000D_
1_x000D_
(CN104549481B)_x000D_
1</t>
  </si>
  <si>
    <t>CN104549454_x000D_
CN104549454</t>
  </si>
  <si>
    <t>CN104549454</t>
  </si>
  <si>
    <t>B01J-029/70_x000D_
B01J-029/76_x000D_
B01J-029/78_x000D_
C07C-001/20_x000D_
C07C-015/04_x000D_
C07C-015/06_x000D_
C07C-015/08</t>
  </si>
  <si>
    <t>(CN104549454)_x000D_
1_x000D_
(CN104549454B)_x000D_
1</t>
  </si>
  <si>
    <t>CN104557427_x000D_
CN104557427</t>
  </si>
  <si>
    <t>CN104557427</t>
  </si>
  <si>
    <t>B01J-029/40_x000D_
C07C-002/86_x000D_
C07C-015/08</t>
  </si>
  <si>
    <t>(CN104557427)_x000D_
1_x000D_
(CN104557427B)_x000D_
1</t>
  </si>
  <si>
    <t>CN104549408_x000D_
CN104549408</t>
  </si>
  <si>
    <t>CN104549408</t>
  </si>
  <si>
    <t>B01J-029/00_x000D_
C07C-001/20_x000D_
C07C-015/02</t>
  </si>
  <si>
    <t>(CN104549408)_x000D_
1_x000D_
(CN104549408B)_x000D_
1</t>
  </si>
  <si>
    <t>CN104549480_x000D_
CN104549480</t>
  </si>
  <si>
    <t>CN104549480</t>
  </si>
  <si>
    <t>(CN104549480)_x000D_
1_x000D_
(CN104549480B)_x000D_
1</t>
  </si>
  <si>
    <t>CN104549479_x000D_
CN104549479</t>
  </si>
  <si>
    <t>CN104549479</t>
  </si>
  <si>
    <t>(CN104549479)_x000D_
1_x000D_
(CN104549479B)_x000D_
1</t>
  </si>
  <si>
    <t>CN104557364_x000D_
CN104557364</t>
  </si>
  <si>
    <t>CN104557364</t>
  </si>
  <si>
    <t>B01J-029/40_x000D_
B01J-029/48_x000D_
C07C-001/20_x000D_
C07C-015/04_x000D_
C07C-015/06_x000D_
C07C-015/08</t>
  </si>
  <si>
    <t>(CN104557364)_x000D_
1_x000D_
(CN104557364B)_x000D_
1</t>
  </si>
  <si>
    <t>CN104549441</t>
  </si>
  <si>
    <t>B01J-029/40_x000D_
B01J-029/46_x000D_
C07C-001/20_x000D_
C07C-015/04_x000D_
C07C-015/06_x000D_
C07C-015/08</t>
  </si>
  <si>
    <t>(CN104549441)_x000D_
1</t>
  </si>
  <si>
    <t>CN104549440</t>
  </si>
  <si>
    <t>B01J-029/40_x000D_
B01J-029/80_x000D_
C07C-001/20_x000D_
C07C-015/02_x000D_
C07C-015/04_x000D_
C07C-015/06_x000D_
C07C-015/08</t>
  </si>
  <si>
    <t>(CN104549440)_x000D_
1</t>
  </si>
  <si>
    <t>CN104496743_x000D_
CN104496743</t>
  </si>
  <si>
    <t>CN104496743</t>
  </si>
  <si>
    <t>2014-11-27</t>
  </si>
  <si>
    <t>SEDIN ENGINEERING_x000D_
SHANXI FEISHI TECHNOLOGY</t>
  </si>
  <si>
    <t>C07C-001/20_x000D_
C07C-002/76_x000D_
C07C-011/02_x000D_
C07C-015/02_x000D_
C07C-015/04_x000D_
C07C-015/06_x000D_
C07C-015/08</t>
  </si>
  <si>
    <t>(CN104496743)_x000D_
1_x000D_
(CN104496743B)_x000D_
1</t>
  </si>
  <si>
    <t>RU2544241_x000D_
WO2015112056_x000D_
CN106029613_x000D_
EP3098213_x000D_
EA201600532_x000D_
US20170001922_x000D_
EP3098213</t>
  </si>
  <si>
    <t>C1_x000D_
A1_x000D_
A_x000D_
A1_x000D_
A1_x000D_
A1_x000D_
A4</t>
  </si>
  <si>
    <t>RU2544241</t>
  </si>
  <si>
    <t>2014-01-22</t>
  </si>
  <si>
    <t>B01J-029/46_x000D_
C01B-003/38_x000D_
C07C-001/20_x000D_
C07C-002/76_x000D_
C07C-015/00_x000D_
C07C-029/151_x000D_
C07C-031/04_x000D_
C10G-003/00</t>
  </si>
  <si>
    <t>(EP3098213)_x000D_
ALIVE_x000D_
(US20170001922)_x000D_
ALIVE_x000D_
(WO2015112056)_x000D_
DEAD_x000D_
(RU2544241)_x000D_
ALIVE_x000D_
(CN106029613)_x000D_
ALIVE_x000D_
(EA201600532)_x000D_
ALIVE</t>
  </si>
  <si>
    <t>(EP3098213)_x000D_
2_x000D_
(US20170001922)_x000D_
9_x000D_
(WO2015112056)_x000D_
3_x000D_
(CN106029613)_x000D_
2</t>
  </si>
  <si>
    <t>CN104447157_x000D_
CN104447157</t>
  </si>
  <si>
    <t>CN104447157</t>
  </si>
  <si>
    <t>C07C-002/42_x000D_
C07C-015/04_x000D_
C07C-015/06_x000D_
C07C-015/08</t>
  </si>
  <si>
    <t>(CN104447157)_x000D_
1_x000D_
(CN104447157B)_x000D_
1</t>
  </si>
  <si>
    <t>CN104437596_x000D_
CN104437596</t>
  </si>
  <si>
    <t>CN104437596</t>
  </si>
  <si>
    <t>2013-09-24</t>
  </si>
  <si>
    <t>B01J-029/40_x000D_
C07C-001/20_x000D_
C07C-015/02_x000D_
C07C-015/04_x000D_
C07C-015/06_x000D_
C07C-015/08</t>
  </si>
  <si>
    <t>(CN104437596)_x000D_
1_x000D_
(CN104437596B)_x000D_
1</t>
  </si>
  <si>
    <t>CN104437595_x000D_
CN104437595</t>
  </si>
  <si>
    <t>CN104437595</t>
  </si>
  <si>
    <t>(CN104437595)_x000D_
1_x000D_
(CN104437595B)_x000D_
1</t>
  </si>
  <si>
    <t>RU2544017_x000D_
CA2945839_x000D_
WO2015115932_x000D_
BR112016017158_x000D_
AU2014380443_x000D_
IN201627028132_x000D_
CN106163661_x000D_
EA201600533_x000D_
EP3100784_x000D_
US20170007992_x000D_
EP3100784_x000D_
BR112016017158_x000D_
AU2014380443_x000D_
US10131592</t>
  </si>
  <si>
    <t>C1_x000D_
A1_x000D_
A1_x000D_
A1_x000D_
A1_x000D_
A_x000D_
A_x000D_
A1_x000D_
A1_x000D_
A1_x000D_
A4_x000D_
A2_x000D_
B2_x000D_
B2</t>
  </si>
  <si>
    <t>RU2544017</t>
  </si>
  <si>
    <t>2014-01-28</t>
  </si>
  <si>
    <t>B01J-021/04_x000D_
B01J-021/06_x000D_
B01J-021/08_x000D_
B01J-021/10_x000D_
B01J-021/12_x000D_
B01J-023/10_x000D_
B01J-029/06_x000D_
B01J-029/40_x000D_
B01J-029/80_x000D_
B01J-035/00_x000D_
B01J-037/04_x000D_
B01J-037/30_x000D_
C01C-001/20_x000D_
C07C-002/86_x000D_
C10G-035/06_x000D_
C10G-035/095</t>
  </si>
  <si>
    <t>(EP3100784)_x000D_
ALIVE_x000D_
(US10131592)_x000D_
ALIVE_x000D_
(WO2015115932)_x000D_
DEAD_x000D_
(RU2544017)_x000D_
ALIVE_x000D_
(CA2945839)_x000D_
ALIVE_x000D_
(IN201627028132)_x000D_
ALIVE_x000D_
(CN106163661)_x000D_
ALIVE_x000D_
(EA201600533)_x000D_
ALIVE_x000D_
(BR112016017158)_x000D_
ALIVE_x000D_
(AU2014380443)_x000D_
ALIVE</t>
  </si>
  <si>
    <t>(EP3100784)_x000D_
1_x000D_
(US20170007992)_x000D_
2_x000D_
(US10131592)_x000D_
1_x000D_
(US-20190100477A1-2)_x000D_
2_x000D_
(WO2015115932)_x000D_
2_x000D_
(CA2945839)_x000D_
1_x000D_
(CN106163661)_x000D_
1</t>
  </si>
  <si>
    <t>CN104342198_x000D_
CN104342198</t>
  </si>
  <si>
    <t>CN104342198</t>
  </si>
  <si>
    <t>2013-08-08</t>
  </si>
  <si>
    <t>B01J-029/18_x000D_
B01J-029/40_x000D_
B01J-029/70_x000D_
C07C-006/12_x000D_
C07C-015/02_x000D_
C07C-015/067_x000D_
C10G-029/02</t>
  </si>
  <si>
    <t>(CN104342198)_x000D_
1_x000D_
(CN104342198B)_x000D_
1</t>
  </si>
  <si>
    <t>CN104250183_x000D_
CN104250183</t>
  </si>
  <si>
    <t>CN104250183</t>
  </si>
  <si>
    <t>2013-06-26</t>
  </si>
  <si>
    <t>4</t>
  </si>
  <si>
    <t>(CN104250183)_x000D_
3_x000D_
(CN104250183B)_x000D_
3</t>
  </si>
  <si>
    <t>WO2015001004_x000D_
BR112016000038_x000D_
KR20160027199_x000D_
CN105517708_x000D_
EP3016738_x000D_
US20160136625_x000D_
JP2016527076_x000D_
BR112016000038</t>
  </si>
  <si>
    <t>A1_x000D_
A1_x000D_
A_x000D_
A_x000D_
A1_x000D_
A1_x000D_
A_x000D_
A2</t>
  </si>
  <si>
    <t>WO2015001004</t>
  </si>
  <si>
    <t>2013-07-04</t>
  </si>
  <si>
    <t>CENTER NASHIONAR Â· DE LA Â· LUCIELUS Â· SHIANTEIFUIK_x000D_
CNRS - CENTRE NATIONAL DE LA RECHERCHE SCIENTIFIQUE_x000D_
TOTAL_x000D_
TOTAL PETROCHEMICALS RESEARCH FELUY</t>
  </si>
  <si>
    <t>B01J-029/00_x000D_
B01J-029/40_x000D_
B01J-029/80_x000D_
B01J-035/00_x000D_
B01J-035/02_x000D_
B01J-035/10_x000D_
B01J-037/00_x000D_
B01J-037/02_x000D_
B01J-037/04_x000D_
B01J-037/08_x000D_
B01J-037/10_x000D_
C07C-001/00_x000D_
C07C-004/00_x000D_
C07C-004/18_x000D_
C07C-005/00_x000D_
C10G-001/00_x000D_
C10G-003/00_x000D_
C10G-011/00_x000D_
C10G-011/05_x000D_
C10G-035/095_x000D_
C10G-047/00_x000D_
C10G-047/16_x000D_
C10G-050/00</t>
  </si>
  <si>
    <t>(EP3016738)_x000D_
ALIVE_x000D_
(US20160136625)_x000D_
ALIVE_x000D_
(WO201501004)_x000D_
DEAD_x000D_
(JP2016527076)_x000D_
ALIVE_x000D_
(KR20160027199)_x000D_
ALIVE_x000D_
(CN105517708)_x000D_
ALIVE_x000D_
(BR112016000038)_x000D_
ALIVE</t>
  </si>
  <si>
    <t>(US20160136625)_x000D_
2_x000D_
(US-10239051B2-1)_x000D_
1_x000D_
(WO201501004)_x000D_
1_x000D_
(JP2016527076)_x000D_
1_x000D_
(KR20160027199)_x000D_
2_x000D_
(CN105517708)_x000D_
1_x000D_
(CN-105517708B-168)_x000D_
2</t>
  </si>
  <si>
    <t>CN104174427_x000D_
CN104174427</t>
  </si>
  <si>
    <t>CN104174427</t>
  </si>
  <si>
    <t>2013-05-24</t>
  </si>
  <si>
    <t>B01J-029/076_x000D_
C10G-035/095</t>
  </si>
  <si>
    <t>(CN104174427)_x000D_
1_x000D_
(CN104174427B)_x000D_
1</t>
  </si>
  <si>
    <t>CN104130796</t>
  </si>
  <si>
    <t>2014-08-27</t>
  </si>
  <si>
    <t>ZHANG YONGKUI</t>
  </si>
  <si>
    <t>(CN104130796)_x000D_
1</t>
  </si>
  <si>
    <t>CN104107708_x000D_
CN104107708</t>
  </si>
  <si>
    <t>CN104107708</t>
  </si>
  <si>
    <t>2013-04-16</t>
  </si>
  <si>
    <t>B01J-029/40_x000D_
B01J-029/46_x000D_
C07C-001/20_x000D_
C07C-011/06_x000D_
C07C-015/02</t>
  </si>
  <si>
    <t>(CN104107708)_x000D_
1_x000D_
(CN104107708B)_x000D_
1</t>
  </si>
  <si>
    <t>US20140256010_x000D_
CA2903389_x000D_
WO2014137991_x000D_
US20140322781_x000D_
CN105050713_x000D_
BR112015021621_x000D_
EP2964380_x000D_
MX2015011706_x000D_
US9278892_x000D_
IN2399/MUMNP/2015_x000D_
HK1215227_x000D_
US9434658_x000D_
EP2964380_x000D_
TH164800_x000D_
BR112015021621</t>
  </si>
  <si>
    <t>A1_x000D_
A1_x000D_
A1_x000D_
A1_x000D_
A_x000D_
A1_x000D_
A1_x000D_
A_x000D_
B2_x000D_
A_x000D_
A1_x000D_
B2_x000D_
A4_x000D_
A_x000D_
A2</t>
  </si>
  <si>
    <t>US20140256010</t>
  </si>
  <si>
    <t>2013-03-06</t>
  </si>
  <si>
    <t>UT BATTELLE</t>
  </si>
  <si>
    <t>B01J_x000D_
B01J-029/06_x000D_
B01J-029/08_x000D_
B01J-029/18_x000D_
B01J-029/40_x000D_
B01J-029/46_x000D_
B01J-029/48_x000D_
B01J-029/70_x000D_
B01J-029/76_x000D_
B01J-029/78_x000D_
B01J-029/80_x000D_
B01J-035/00_x000D_
C07C_x000D_
C07C-001/20_x000D_
C07C-001/22_x000D_
C07C-001/24_x000D_
C07C-002/64_x000D_
C07C-002/66_x000D_
C07C-002/68_x000D_
C07C-002/86_x000D_
C10G_x000D_
C10G-003/00_x000D_
C10G-035/095_x000D_
C12P-007/06</t>
  </si>
  <si>
    <t>(EP2964380)_x000D_
ALIVE_x000D_
(US9278892)_x000D_
ALIVE_x000D_
(US9434658)_x000D_
ALIVE_x000D_
(WO2014137991)_x000D_
DEAD_x000D_
(CA2903389)_x000D_
ALIVE_x000D_
(CN105050713)_x000D_
ALIVE_x000D_
(MX2015011706)_x000D_
ALIVE_x000D_
(IN2015MN02399)_x000D_
ALIVE_x000D_
(HK1215227)_x000D_
ALIVE_x000D_
(TH-164800)_x000D_
ALIVE_x000D_
(BR112015021621)_x000D_
ALIVE</t>
  </si>
  <si>
    <t>(US20140322781)_x000D_
3_x000D_
(US9278892)_x000D_
2_x000D_
(US20140256010)_x000D_
3_x000D_
(US9434658)_x000D_
1_x000D_
(WO2014137991)_x000D_
3_x000D_
(CA2903389)_x000D_
3_x000D_
(CN105050713)_x000D_
3_x000D_
(CN-105050713B-168)_x000D_
3</t>
  </si>
  <si>
    <t>CN103864565_x000D_
CN103864565</t>
  </si>
  <si>
    <t>CN103864565</t>
  </si>
  <si>
    <t>2014-03-20</t>
  </si>
  <si>
    <t>C07C-001/20_x000D_
C07C-005/27_x000D_
C07C-006/12_x000D_
C07C-015/08</t>
  </si>
  <si>
    <t>8</t>
  </si>
  <si>
    <t>(CN103864565)_x000D_
1_x000D_
(CN103864565B)_x000D_
1</t>
  </si>
  <si>
    <t>CN103694078_x000D_
CN103694078</t>
  </si>
  <si>
    <t>CN103694078</t>
  </si>
  <si>
    <t>2013-12-19</t>
  </si>
  <si>
    <t>UNIVERSITY OF NANKAI</t>
  </si>
  <si>
    <t>B01J-029/40_x000D_
C07C-002/86_x000D_
C07C-015/04_x000D_
C07C-015/06_x000D_
C07C-015/08</t>
  </si>
  <si>
    <t>(CN103694078)_x000D_
3_x000D_
(CN103694078B)_x000D_
1</t>
  </si>
  <si>
    <t>RU138334</t>
  </si>
  <si>
    <t>U1</t>
  </si>
  <si>
    <t>2013-10-31</t>
  </si>
  <si>
    <t>CN103755514_x000D_
CN103755514</t>
  </si>
  <si>
    <t>CN103755514</t>
  </si>
  <si>
    <t>2013-10-18</t>
  </si>
  <si>
    <t>C07C-001/20_x000D_
C07C-005/27_x000D_
C07C-006/12_x000D_
C07C-015/04_x000D_
C07C-015/08</t>
  </si>
  <si>
    <t>(CN103755514)_x000D_
1_x000D_
(CN103755514B)_x000D_
1</t>
  </si>
  <si>
    <t>CN103464193_x000D_
CN103464193</t>
  </si>
  <si>
    <t>CN103464193</t>
  </si>
  <si>
    <t>2013-08-09</t>
  </si>
  <si>
    <t>B01J-029/46_x000D_
B01J-029/48_x000D_
C07C-001/20_x000D_
C07C-002/88_x000D_
C07C-015/00</t>
  </si>
  <si>
    <t>(CN103464193)_x000D_
1_x000D_
(CN103464193B)_x000D_
1</t>
  </si>
  <si>
    <t>CN103394366_x000D_
CN103394366</t>
  </si>
  <si>
    <t>CN103394366</t>
  </si>
  <si>
    <t>B01J-029/40_x000D_
B01J-029/46_x000D_
B01J-029/48_x000D_
C07C-001/20_x000D_
C07C-002/76_x000D_
C07C-006/00_x000D_
C07C-015/00</t>
  </si>
  <si>
    <t>(CN103394366)_x000D_
1_x000D_
(CN103394366B)_x000D_
1</t>
  </si>
  <si>
    <t>CN103007985_x000D_
CN103007985</t>
  </si>
  <si>
    <t>CN103007985</t>
  </si>
  <si>
    <t>2012-12-20</t>
  </si>
  <si>
    <t>10</t>
  </si>
  <si>
    <t>(CN103007985)_x000D_
1_x000D_
(CN103007985B)_x000D_
1</t>
  </si>
  <si>
    <t>US20130158323_x000D_
WO2013091824_x000D_
CN104053504_x000D_
KR20140113963_x000D_
EP2794101_x000D_
IN4591DEN2014_x000D_
US9388092_x000D_
CN104053504</t>
  </si>
  <si>
    <t>A1_x000D_
A1_x000D_
A_x000D_
A_x000D_
A1_x000D_
A_x000D_
B2_x000D_
B</t>
  </si>
  <si>
    <t>US20130158323</t>
  </si>
  <si>
    <t>2011-12-20</t>
  </si>
  <si>
    <t>SABIC_x000D_
SABIC PETROCHEMICALS</t>
  </si>
  <si>
    <t>B01J-029/40_x000D_
B01J-029/87_x000D_
B01J-037/02_x000D_
C07C-001/20_x000D_
C07C-015/02</t>
  </si>
  <si>
    <t>(EP2794101)_x000D_
ALIVE_x000D_
(US9388092)_x000D_
ALIVE_x000D_
(WO201391824)_x000D_
DEAD_x000D_
(KR20140113963)_x000D_
ALIVE_x000D_
(IN2014DN04591)_x000D_
ALIVE_x000D_
(CN104053504B)_x000D_
ALIVE</t>
  </si>
  <si>
    <t>(US20130158323)_x000D_
2_x000D_
(US9388092)_x000D_
2_x000D_
(WO201391824)_x000D_
1_x000D_
(KR20140113963)_x000D_
1_x000D_
(CN104053504)_x000D_
1_x000D_
(CN104053504B)_x000D_
2</t>
  </si>
  <si>
    <t>CA2858408_x000D_
US20130165720_x000D_
US20130164212_x000D_
US20130164213_x000D_
WO2013096069_x000D_
US8642823_x000D_
US20140066674_x000D_
US20140171719_x000D_
KR20140113977_x000D_
US8846998_x000D_
MX2014007632_x000D_
EP2802533_x000D_
SG11201402970R_x000D_
US20150025287_x000D_
US8940952_x000D_
US8946497_x000D_
CN104379505_x000D_
IN5047/DELNP/2014_x000D_
US8992885_x000D_
WO2013096069_x000D_
JP2015523943_x000D_
BR112014015231_x000D_
EP2802533_x000D_
KR101617564_x000D_
JP6134335_x000D_
BR112014015231_x000D_
BR112014015231_x000D_
BR112014015231_x000D_
MX349355_x000D_
IN301270</t>
  </si>
  <si>
    <t>A1_x000D_
A1_x000D_
A1_x000D_
A1_x000D_
A2_x000D_
B2_x000D_
A1_x000D_
A1_x000D_
A_x000D_
B2_x000D_
A_x000D_
A2_x000D_
A_x000D_
A1_x000D_
B2_x000D_
B1_x000D_
A_x000D_
A_x000D_
B2_x000D_
A3_x000D_
A_x000D_
A1_x000D_
A4_x000D_
B1_x000D_
B2_x000D_
A2_x000D_
A8_x000D_
A8_x000D_
B_x000D_
B</t>
  </si>
  <si>
    <t>CA2858408</t>
  </si>
  <si>
    <t>2011-12-22</t>
  </si>
  <si>
    <t>U OPER_x000D_
UOP</t>
  </si>
  <si>
    <t>B01D-015/08_x000D_
B01J-020/18_x000D_
B01J-029/06_x000D_
B01J-029/70_x000D_
B01J-029/80_x000D_
B01J-029/86_x000D_
B01J-029/87_x000D_
B01J-029/88_x000D_
B01J-035/00_x000D_
B01J-043/00_x000D_
C01B-039/02_x000D_
C01B-039/04_x000D_
C01B-039/46_x000D_
C01B-039/48_x000D_
C07C-001/00_x000D_
C07C-001/02_x000D_
C07C-002/02_x000D_
C07C-002/58_x000D_
C07C-002/66_x000D_
C07C-002/76_x000D_
C07C-004/12_x000D_
C07C-005/13_x000D_
C07C-005/22_x000D_
C07C-005/27_x000D_
C07C-006/12_x000D_
C07C-007/12_x000D_
C07C-007/13_x000D_
C07C-009/04_x000D_
C07C-015/02_x000D_
C07C-015/073_x000D_
C07C-015/08_x000D_
C10G-011/04_x000D_
C10G-029/00_x000D_
C10G-035/06_x000D_
C10G-035/095_x000D_
C10G-045/00_x000D_
C10G-047/20_x000D_
C10G-065/04</t>
  </si>
  <si>
    <t>(EP2802533)_x000D_
ALIVE_x000D_
(US20130164212)_x000D_
DEAD_x000D_
(US8642823)_x000D_
ALIVE_x000D_
(US8846998)_x000D_
ALIVE_x000D_
(US8940952)_x000D_
ALIVE_x000D_
(US8946497)_x000D_
ALIVE_x000D_
(US8992885)_x000D_
ALIVE_x000D_
(WO201396069)_x000D_
DEAD_x000D_
(JP6134335)_x000D_
ALIVE_x000D_
(CA2858408)_x000D_
DEAD_x000D_
(SG11201402970R)_x000D_
ALIVE_x000D_
(CN104379505)_x000D_
DEAD_x000D_
(KR101617564)_x000D_
ALIVE_x000D_
(BR112014015231)_x000D_
DEAD_x000D_
(MX-349355)_x000D_
ALIVE_x000D_
(IN-301270)_x000D_
ALIVE</t>
  </si>
  <si>
    <t>(US20130164212)_x000D_
2_x000D_
(US20130165720)_x000D_
4_x000D_
(US8642823)_x000D_
2_x000D_
(US20140171719)_x000D_
3_x000D_
(US8846998)_x000D_
1_x000D_
(US20140066674)_x000D_
3_x000D_
(US8940952)_x000D_
2_x000D_
(US20150025287)_x000D_
1_x000D_
(US8946497)_x000D_
1_x000D_
(US20130164213)_x000D_
6_x000D_
(US8992885)_x000D_
6_x000D_
(WO201396069)_x000D_
3_x000D_
(JP2015523943)_x000D_
3_x000D_
(JP6134335)_x000D_
3_x000D_
(CA2858408)_x000D_
3_x000D_
(CN104379505)_x000D_
3_x000D_
(KR20140113977)_x000D_
3_x000D_
(KR101617564)_x000D_
3</t>
  </si>
  <si>
    <t>US8569558_x000D_
US8697927_x000D_
US20140206919_x000D_
US8916738</t>
  </si>
  <si>
    <t>B1_x000D_
B1_x000D_
A1_x000D_
B2</t>
  </si>
  <si>
    <t>US08569558</t>
  </si>
  <si>
    <t>2012-11-30</t>
  </si>
  <si>
    <t>C01B-003/26_x000D_
C01B-039/54_x000D_
C07C-001/00_x000D_
C07C-001/22_x000D_
C07C-002/02_x000D_
C07C-002/58_x000D_
C07C-002/66_x000D_
C07C-004/12_x000D_
C07C-005/13_x000D_
C07C-005/22_x000D_
C07C-006/12_x000D_
C10G-011/04_x000D_
C10G-011/05_x000D_
C10G-029/00_x000D_
C10G-035/06_x000D_
C10G-045/00_x000D_
C10G-047/20_x000D_
C10G-065/04</t>
  </si>
  <si>
    <t>(US8569558)_x000D_
ALIVE_x000D_
(US8697927)_x000D_
ALIVE_x000D_
(US8916738)_x000D_
ALIVE</t>
  </si>
  <si>
    <t>(US8569558)_x000D_
1_x000D_
(US8697927)_x000D_
1_x000D_
(US20140206919)_x000D_
1_x000D_
(US8916738)_x000D_
1</t>
  </si>
  <si>
    <t>US8569557_x000D_
US8696886_x000D_
US20140206918_x000D_
US8933287</t>
  </si>
  <si>
    <t>US08569557</t>
  </si>
  <si>
    <t>C01B-003/26_x000D_
C01B-039/54_x000D_
C07C-001/00_x000D_
C07C-001/22_x000D_
C07C-002/02_x000D_
C07C-002/58_x000D_
C07C-002/66_x000D_
C07C-004/12_x000D_
C07C-005/13_x000D_
C07C-005/22_x000D_
C07C-006/12_x000D_
C10G-011/04_x000D_
C10G-011/05_x000D_
C10G-029/00_x000D_
C10G-035/06_x000D_
C10G-045/00_x000D_
C10G-047/16_x000D_
C10G-047/20_x000D_
C10G-065/04</t>
  </si>
  <si>
    <t>(US8569557)_x000D_
ALIVE_x000D_
(US8696886)_x000D_
ALIVE_x000D_
(US8933287)_x000D_
ALIVE</t>
  </si>
  <si>
    <t>(US8569557)_x000D_
1_x000D_
(US8696886)_x000D_
1_x000D_
(US20140206918)_x000D_
1_x000D_
(US8933287)_x000D_
1</t>
  </si>
  <si>
    <t>CN103664440_x000D_
CN103664440</t>
  </si>
  <si>
    <t>CN103664440</t>
  </si>
  <si>
    <t>2012-09-05</t>
  </si>
  <si>
    <t>B01J-029/40_x000D_
B01J-029/46_x000D_
B01J-029/48_x000D_
C07C-001/20_x000D_
C07C-015/00_x000D_
C07C-015/04_x000D_
C07C-015/06_x000D_
C07C-015/08</t>
  </si>
  <si>
    <t>(CN103664440)_x000D_
1_x000D_
(CN103664440B)_x000D_
1</t>
  </si>
  <si>
    <t>CN102775261</t>
  </si>
  <si>
    <t>2012-07-23</t>
  </si>
  <si>
    <t>LI XIAOYAN</t>
  </si>
  <si>
    <t>C07C-001/20_x000D_
C07C-002/00_x000D_
C07C-011/02_x000D_
C07C-015/00_x000D_
C10G-003/00</t>
  </si>
  <si>
    <t>(CN102775261)_x000D_
1</t>
  </si>
  <si>
    <t>US20140018592_x000D_
CN103537315_x000D_
AU2013206818_x000D_
ZA201305248_x000D_
BR102013017946_x000D_
RU2013132371_x000D_
BR102013017946_x000D_
CN103537315_x000D_
US9339801_x000D_
RU2607633_x000D_
AU2013206818</t>
  </si>
  <si>
    <t>A1_x000D_
A_x000D_
A1_x000D_
B_x000D_
A1_x000D_
A_x000D_
A2_x000D_
B_x000D_
B2_x000D_
C2_x000D_
B2</t>
  </si>
  <si>
    <t>US20140018592</t>
  </si>
  <si>
    <t>2012-07-12</t>
  </si>
  <si>
    <t>CHAJNA PETROLEUM END KEMIKAL KORPOREJSHN_x000D_
CHINA PETROLEUM &amp; CHEMICAL_x000D_
SHANGHAI RESEARCH INSTITUTE OF PETROCHEMICAL TECHNOLOGY SINOPEC_x000D_
SHANGHAI RESEARCH INSTITUTE PETROCHEMICAL TECHNOLOGY SINOPEC_x000D_
SINOPEC</t>
  </si>
  <si>
    <t>B01J_x000D_
B01J-029/40_x000D_
B01J-029/44_x000D_
B01J-029/46_x000D_
B01J-029/48_x000D_
B01J-035/10_x000D_
B01J-037/00_x000D_
B01J-037/03_x000D_
B01J-037/04_x000D_
C01B-039/38_x000D_
C07C_x000D_
C07C-001/20_x000D_
C07C-001/22_x000D_
C07C-002/66_x000D_
C07C-015/02_x000D_
C07C-015/04_x000D_
C07C-015/06_x000D_
C07C-015/08_x000D_
C10G-003/00</t>
  </si>
  <si>
    <t>(US9339801)_x000D_
ALIVE_x000D_
(RU2607633)_x000D_
ALIVE_x000D_
(ZA201305248)_x000D_
ALIVE_x000D_
(BR102013017946)_x000D_
ALIVE_x000D_
(CN103537315B)_x000D_
ALIVE_x000D_
(AU2013206818)_x000D_
ALIVE</t>
  </si>
  <si>
    <t>(US20140018592)_x000D_
2_x000D_
(US9339801)_x000D_
1_x000D_
(CN103537315)_x000D_
1_x000D_
(CN103537315B)_x000D_
1</t>
  </si>
  <si>
    <t>WO2012108926_x000D_
TW201247598_x000D_
AU2011358570_x000D_
MX2013008351_x000D_
CN103402952_x000D_
US20130324776_x000D_
EP2673247_x000D_
KR20140037040_x000D_
JP2014513151_x000D_
IN6933/DELNP/2013_x000D_
CN103402952_x000D_
US9199891_x000D_
MX337780_x000D_
AU2011358570</t>
  </si>
  <si>
    <t>A1_x000D_
A_x000D_
A1_x000D_
A_x000D_
A_x000D_
A1_x000D_
A1_x000D_
A_x000D_
A_x000D_
A_x000D_
B_x000D_
B2_x000D_
B_x000D_
B2</t>
  </si>
  <si>
    <t>WO2012108926</t>
  </si>
  <si>
    <t>2011-02-07</t>
  </si>
  <si>
    <t>BADGER LICENSING</t>
  </si>
  <si>
    <t>C07B-061/00_x000D_
C07C-002/64_x000D_
C07C-002/66_x000D_
C07C-015/085_x000D_
C10G-005/00_x000D_
C10G-029/20_x000D_
C10G-035/095_x000D_
C10G-050/00_x000D_
C10G-057/00_x000D_
C10G-063/02_x000D_
C10G-069/12</t>
  </si>
  <si>
    <t>(EP2673247)_x000D_
ALIVE_x000D_
(US9199891)_x000D_
ALIVE_x000D_
(WO2012108926)_x000D_
DEAD_x000D_
(JP2014513151)_x000D_
DEAD_x000D_
(TW201247598)_x000D_
ALIVE_x000D_
(KR20140037040)_x000D_
DEAD_x000D_
(IN2013DN06933)_x000D_
ALIVE_x000D_
(CN103402952B)_x000D_
ALIVE_x000D_
(MX-337780)_x000D_
ALIVE_x000D_
(AU2011358570)_x000D_
ALIVE</t>
  </si>
  <si>
    <t>(US20130324776)_x000D_
1_x000D_
(US9199891)_x000D_
1_x000D_
(WO2012108926)_x000D_
1_x000D_
(JP2014513151)_x000D_
1_x000D_
(KR20140037040)_x000D_
1_x000D_
(CN103402952)_x000D_
1_x000D_
(CN103402952B)_x000D_
1</t>
  </si>
  <si>
    <t>CN103058807_x000D_
CN103058807</t>
  </si>
  <si>
    <t>CN103058807</t>
  </si>
  <si>
    <t>2011-10-24</t>
  </si>
  <si>
    <t>B01J-029/40_x000D_
C07C-001/20_x000D_
C07C-015/02</t>
  </si>
  <si>
    <t>(CN103058807)_x000D_
1_x000D_
(CN103058807B)_x000D_
1</t>
  </si>
  <si>
    <t>CN103055928</t>
  </si>
  <si>
    <t>B01J-029/40_x000D_
C07C-001/20_x000D_
C07C-015/04_x000D_
C07C-015/06_x000D_
C07C-015/08</t>
  </si>
  <si>
    <t>(CN103055928)_x000D_
1</t>
  </si>
  <si>
    <t>CN103030497</t>
  </si>
  <si>
    <t>2011-09-30</t>
  </si>
  <si>
    <t>C07C-001/20_x000D_
C07C-002/00_x000D_
C07C-002/86_x000D_
C07C-005/00_x000D_
C07C-011/06_x000D_
C07C-015/02</t>
  </si>
  <si>
    <t>(CN103030497)_x000D_
1</t>
  </si>
  <si>
    <t>CN102910647_x000D_
CN102910647</t>
  </si>
  <si>
    <t>CN102910647</t>
  </si>
  <si>
    <t>2011-08-02</t>
  </si>
  <si>
    <t>B01J-029/40_x000D_
B01J-029/44_x000D_
B01J-029/46_x000D_
B01J-029/48_x000D_
C01B-039/40_x000D_
C07C-001/20_x000D_
C07C-015/08</t>
  </si>
  <si>
    <t>(CN102910647)_x000D_
1_x000D_
(CN102910647B)_x000D_
1</t>
  </si>
  <si>
    <t>CN102746877_x000D_
CN102746877</t>
  </si>
  <si>
    <t>CN102746877</t>
  </si>
  <si>
    <t>2011-04-20</t>
  </si>
  <si>
    <t>C10G-003/00_x000D_
C10G-029/22_x000D_
C10G-035/06_x000D_
C10G-035/095_x000D_
C10G-050/00</t>
  </si>
  <si>
    <t>(CN102746877)_x000D_
1_x000D_
(CN102746877B)_x000D_
1</t>
  </si>
  <si>
    <t>CN102746875_x000D_
CN102746875</t>
  </si>
  <si>
    <t>CN102746875</t>
  </si>
  <si>
    <t>C10G-003/00_x000D_
C10G-029/22_x000D_
C10G-035/06</t>
  </si>
  <si>
    <t>(CN102746875)_x000D_
1_x000D_
(CN102746875B)_x000D_
1</t>
  </si>
  <si>
    <t>WO2012108861_x000D_
TW201245432_x000D_
AU2011358597_x000D_
MX2013008353_x000D_
US20130331627_x000D_
EP2673245_x000D_
CN103562161_x000D_
KR20140037039_x000D_
JP2014513152_x000D_
IN6934/DELNP/2013_x000D_
CN103562161_x000D_
AU2011358597_x000D_
US9834493</t>
  </si>
  <si>
    <t>A1_x000D_
A_x000D_
A1_x000D_
A_x000D_
A1_x000D_
A1_x000D_
A_x000D_
A_x000D_
A_x000D_
A_x000D_
B_x000D_
B2_x000D_
B2</t>
  </si>
  <si>
    <t>WO2012108861</t>
  </si>
  <si>
    <t>ALIPH_x000D_
ALIPHCOM_x000D_
BADGER LICENSING_x000D_
BODYMEDIA_x000D_
MACGYVER ACQUISITION_x000D_
PROJECT PARIS ACQUISITION</t>
  </si>
  <si>
    <t>C07C-002/66_x000D_
C07C-015/085_x000D_
C10G-029/20_x000D_
C10G-035/095_x000D_
C10G-050/00_x000D_
C10L-001/06</t>
  </si>
  <si>
    <t>(EP2673245)_x000D_
ALIVE_x000D_
(US9834493)_x000D_
ALIVE_x000D_
(WO2012108861)_x000D_
DEAD_x000D_
(JP2014513152)_x000D_
DEAD_x000D_
(TW201245432)_x000D_
ALIVE_x000D_
(MX2013008353)_x000D_
ALIVE_x000D_
(KR20140037039)_x000D_
DEAD_x000D_
(IN2013DN06934)_x000D_
ALIVE_x000D_
(CN103562161B)_x000D_
ALIVE_x000D_
(AU2011358597)_x000D_
ALIVE</t>
  </si>
  <si>
    <t>(US20130331627)_x000D_
1_x000D_
(US9834493)_x000D_
1_x000D_
(WO2012108861)_x000D_
1_x000D_
(JP2014513152)_x000D_
2_x000D_
(KR20140037039)_x000D_
1_x000D_
(CN103562161)_x000D_
1_x000D_
(CN103562161B)_x000D_
1</t>
  </si>
  <si>
    <t>CN102126915_x000D_
CN102126915</t>
  </si>
  <si>
    <t>CN102126915</t>
  </si>
  <si>
    <t>2011-01-12</t>
  </si>
  <si>
    <t>B01J-029/48_x000D_
C07C-001/20_x000D_
C07C-011/04_x000D_
C07C-015/08</t>
  </si>
  <si>
    <t>(CN102126915)_x000D_
1_x000D_
(CN102126915B)_x000D_
1</t>
  </si>
  <si>
    <t>CN102531821_x000D_
WO2012088852_x000D_
AU2011349906_x000D_
SG191805_x000D_
KR20130106872_x000D_
EP2660228_x000D_
EP2660228_x000D_
US20140051900_x000D_
JP2014510706_x000D_
BR112013016481_x000D_
ZA201305273_x000D_
IN6432/DELNP/2013_x000D_
CN102531821_x000D_
JP5756867_x000D_
KR101550202_x000D_
EP2660228_x000D_
AU2011349906_x000D_
DK2660228_x000D_
US9284235_x000D_
BR112013016481_x000D_
MY163178_x000D_
IN295842_x000D_
BR112013016481</t>
  </si>
  <si>
    <t>A_x000D_
A1_x000D_
A1_x000D_
A1_x000D_
A_x000D_
A1_x000D_
A4_x000D_
A1_x000D_
A_x000D_
A1_x000D_
B_x000D_
A_x000D_
B_x000D_
B2_x000D_
B1_x000D_
B1_x000D_
B2_x000D_
T3_x000D_
B2_x000D_
A2_x000D_
A_x000D_
B_x000D_
B1</t>
  </si>
  <si>
    <t>CN102531821</t>
  </si>
  <si>
    <t>2010-12-28</t>
  </si>
  <si>
    <t>CHINESE ACADEMY OF SCIENCES Â**² Â**¼ CHEMISTRY PHYSICS LABORATORY DALIAN INSTITUTE OF CHEMICAL PHYSICS CHINESE ACADEMY OF SCIENCES_x000D_
DALIAN INSTITUTE CHEMICAL &amp; PHYSICS CAS_x000D_
DALIAN INSTITUTE OF CHEMICAL PHYSICS</t>
  </si>
  <si>
    <t>B01J_x000D_
B01J-029/40_x000D_
B01J-037/00_x000D_
C07C_x000D_
C07C-001/20_x000D_
C07C-002/84_x000D_
C07C-004/06_x000D_
C07C-011/02_x000D_
C07C-011/04_x000D_
C07C-011/06_x000D_
C07C-011/08_x000D_
C07C-015/04_x000D_
C07C-015/06_x000D_
C07C-015/08_x000D_
C10G_x000D_
C10G-003/00_x000D_
C10G-011/05_x000D_
C10G-011/10_x000D_
C10G-011/18</t>
  </si>
  <si>
    <t>(EP2660228)_x000D_
ALIVE_x000D_
(US9284235)_x000D_
ALIVE_x000D_
(WO201288852)_x000D_
DEAD_x000D_
(JP5756867)_x000D_
ALIVE_x000D_
(SG-191805)_x000D_
ALIVE_x000D_
(ZA201305273)_x000D_
ALIVE_x000D_
(CN102531821B)_x000D_
ALIVE_x000D_
(KR101550202)_x000D_
ALIVE_x000D_
(AU2011349906)_x000D_
ALIVE_x000D_
(DK2660228T)_x000D_
ALIVE_x000D_
(MY-163178)_x000D_
ALIVE_x000D_
(IN-295842)_x000D_
ALIVE_x000D_
(BR112013016481)_x000D_
ALIVE</t>
  </si>
  <si>
    <t>13</t>
  </si>
  <si>
    <t>(EP2660228)_x000D_
1_x000D_
(EP2660228)_x000D_
1_x000D_
(US20140051900)_x000D_
1_x000D_
(US9284235)_x000D_
1_x000D_
(WO201288852)_x000D_
1_x000D_
(JP2014510706)_x000D_
1_x000D_
(JP5756867)_x000D_
1_x000D_
(CN102531821)_x000D_
1_x000D_
(CN102531821B)_x000D_
1_x000D_
(KR20130106872)_x000D_
1_x000D_
(KR101550202)_x000D_
1</t>
  </si>
  <si>
    <t>CN101954291_x000D_
CN101954291</t>
  </si>
  <si>
    <t>CN101954291</t>
  </si>
  <si>
    <t>2010-09-26</t>
  </si>
  <si>
    <t>HUAZHONG UNIVERSITY OF SCIENCE &amp; TECHNOLOGY</t>
  </si>
  <si>
    <t>B01J-029/40_x000D_
C07C-002/88_x000D_
C07C-015/02</t>
  </si>
  <si>
    <t>(CN101954291)_x000D_
2_x000D_
(CN101954291B)_x000D_
2</t>
  </si>
  <si>
    <t>CN102371177_x000D_
CN102371177</t>
  </si>
  <si>
    <t>CN102371177</t>
  </si>
  <si>
    <t>2010-08-23</t>
  </si>
  <si>
    <t>B01J-029/80_x000D_
C07C-001/20_x000D_
C07C-015/00_x000D_
C07C-015/04_x000D_
C07C-015/06_x000D_
C07C-015/08</t>
  </si>
  <si>
    <t>(CN102371177)_x000D_
1_x000D_
(CN102371177B)_x000D_
1</t>
  </si>
  <si>
    <t>CN102371178_x000D_
CN102371178</t>
  </si>
  <si>
    <t>CN102371178</t>
  </si>
  <si>
    <t>B01J-029/40_x000D_
B01J-029/46_x000D_
B01J-029/70_x000D_
B01J-029/76_x000D_
B01J-029/80_x000D_
C07C-001/20_x000D_
C07C-015/00_x000D_
C07C-015/02</t>
  </si>
  <si>
    <t>(CN102371178)_x000D_
1_x000D_
(CN102371178B)_x000D_
1</t>
  </si>
  <si>
    <t>CN102371176_x000D_
CN102371176</t>
  </si>
  <si>
    <t>CN102371176</t>
  </si>
  <si>
    <t>B01J-029/80_x000D_
C07C-002/88_x000D_
C07C-015/00</t>
  </si>
  <si>
    <t>(CN102371176)_x000D_
1_x000D_
(CN102371176B)_x000D_
1</t>
  </si>
  <si>
    <t>CN102372550</t>
  </si>
  <si>
    <t>(CN102372550)_x000D_
1</t>
  </si>
  <si>
    <t>CN102372536_x000D_
CN102372536</t>
  </si>
  <si>
    <t>CN102372536</t>
  </si>
  <si>
    <t>B01J-029/40_x000D_
B01J-029/70_x000D_
B01J-029/80_x000D_
C07C-001/20_x000D_
C07C-015/00_x000D_
C07C-015/04_x000D_
C07C-015/06_x000D_
C07C-015/08</t>
  </si>
  <si>
    <t>(CN102372536)_x000D_
1_x000D_
(CN102372536B)_x000D_
1</t>
  </si>
  <si>
    <t>CN102372535_x000D_
CN102372535</t>
  </si>
  <si>
    <t>CN102372535</t>
  </si>
  <si>
    <t>(CN102372535)_x000D_
1_x000D_
(CN102372535B)_x000D_
1</t>
  </si>
  <si>
    <t>CN102372537</t>
  </si>
  <si>
    <t>B01J-029/40_x000D_
B01J-029/70_x000D_
B01J-029/80_x000D_
C07C-001/20_x000D_
C07C-002/00_x000D_
C07C-011/06_x000D_
C07C-015/02</t>
  </si>
  <si>
    <t>(CN102372537)_x000D_
1</t>
  </si>
  <si>
    <t>US20110036756_x000D_
US8906971_x000D_
US20150065338_x000D_
US20180029024</t>
  </si>
  <si>
    <t>A1_x000D_
B2_x000D_
A1_x000D_
A1</t>
  </si>
  <si>
    <t>US20110036756</t>
  </si>
  <si>
    <t>2009-08-10</t>
  </si>
  <si>
    <t>UNIVERSITY OF  MISSISSIPPI</t>
  </si>
  <si>
    <t>B01J-023/28_x000D_
B01J-029/03_x000D_
B01J-029/076_x000D_
B01J-029/08_x000D_
B01J-029/16_x000D_
B01J-029/26_x000D_
B01J-029/48_x000D_
B01J-029/78_x000D_
B01J-037/02_x000D_
C07C-001/04_x000D_
C10G-002/00_x000D_
C10L-001/08_x000D_
C10L-003/12</t>
  </si>
  <si>
    <t>(US8906971)_x000D_
ALIVE_x000D_
(US20150065338)_x000D_
DEAD_x000D_
(US20180029024)_x000D_
ALIVE</t>
  </si>
  <si>
    <t>(US20110036756)_x000D_
6_x000D_
(US8906971)_x000D_
1_x000D_
(US20150065338)_x000D_
5_x000D_
(US20180029024)_x000D_
2</t>
  </si>
  <si>
    <t>RU2429910</t>
  </si>
  <si>
    <t>2010-07-08</t>
  </si>
  <si>
    <t>B01J-021/00_x000D_
B01J-023/10_x000D_
B01J-029/40_x000D_
B01J-029/80_x000D_
C07C-001/20_x000D_
C10G-035/095</t>
  </si>
  <si>
    <t>CN101823929_x000D_
CN101823929</t>
  </si>
  <si>
    <t>CN101823929</t>
  </si>
  <si>
    <t>2010-04-14</t>
  </si>
  <si>
    <t>C01B-003/26_x000D_
C01B-003/52_x000D_
C07C-001/20_x000D_
C07C-002/00_x000D_
C07C-006/12_x000D_
C07C-007/11_x000D_
C07C-009/04_x000D_
C07C-015/00_x000D_
C07C-015/04_x000D_
C07C-015/06_x000D_
C07C-015/067</t>
  </si>
  <si>
    <t>(CN101823929)_x000D_
3_x000D_
(CN101823929B)_x000D_
3</t>
  </si>
  <si>
    <t>CN102218341_x000D_
CN102218341</t>
  </si>
  <si>
    <t>CN102218341</t>
  </si>
  <si>
    <t>2010-04-13</t>
  </si>
  <si>
    <t>CHINA PETROCHEMICAL_x000D_
SINOPEC</t>
  </si>
  <si>
    <t>B01J-029/80_x000D_
B01J-031/06_x000D_
C10G-035/095</t>
  </si>
  <si>
    <t>(CN102218341)_x000D_
1_x000D_
(CN102218341B)_x000D_
1</t>
  </si>
  <si>
    <t>CN102199446</t>
  </si>
  <si>
    <t>2010-03-23</t>
  </si>
  <si>
    <t>CNOOC - CHINA NATIONAL OFFSHORE OIL GROUP_x000D_
CNOOC NEW ENERGY INVESTMENT</t>
  </si>
  <si>
    <t>C07C-001/20_x000D_
C07C-015/00_x000D_
C10G-003/00_x000D_
C10G-035/095</t>
  </si>
  <si>
    <t>(CN102199446)_x000D_
1</t>
  </si>
  <si>
    <t>CN101607858_x000D_
CN101607858</t>
  </si>
  <si>
    <t>CN101607858</t>
  </si>
  <si>
    <t>2009-07-24</t>
  </si>
  <si>
    <t>CNOOC - CHINA NATIONAL OFFSHORE OIL GROUP_x000D_
CNOOC NEW ENERGY INVESTMENT_x000D_
DALIAN INSTITUTE OF CHEMICAL PHYSICS</t>
  </si>
  <si>
    <t>B01J-029/40_x000D_
B01J-029/48_x000D_
B01J-031/02_x000D_
B01J-031/26_x000D_
B01J-031/32_x000D_
B01J-031/34_x000D_
C07C-001/20_x000D_
C07C-002/00_x000D_
C07C-011/06_x000D_
C07C-015/02</t>
  </si>
  <si>
    <t>16</t>
  </si>
  <si>
    <t>(CN101607858)_x000D_
1_x000D_
(CN101607858B)_x000D_
2</t>
  </si>
  <si>
    <t>JP2010208948_x000D_
JP5294928</t>
  </si>
  <si>
    <t>A_x000D_
B2</t>
  </si>
  <si>
    <t>JP2010208948</t>
  </si>
  <si>
    <t>2009-03-06</t>
  </si>
  <si>
    <t>MITSUI CHEMICALS</t>
  </si>
  <si>
    <t>B01J-029/06_x000D_
C07B-061/00_x000D_
C07C-001/20_x000D_
C07C-015/08</t>
  </si>
  <si>
    <t>(JP2010208948)_x000D_
2_x000D_
(JP5294928)_x000D_
1</t>
  </si>
  <si>
    <t>US20090211943_x000D_
WO2009108655_x000D_
WO2009108655_x000D_
CN101952397_x000D_
ZA201005778_x000D_
US8143466_x000D_
CN101952397</t>
  </si>
  <si>
    <t>A1_x000D_
A2_x000D_
A3_x000D_
A_x000D_
B_x000D_
B2_x000D_
B</t>
  </si>
  <si>
    <t>US20090211943</t>
  </si>
  <si>
    <t>2008-02-26</t>
  </si>
  <si>
    <t>CATALYTIC DISTILLATION TECHNOLOGIES</t>
  </si>
  <si>
    <t>C07C-002/66_x000D_
C10G-035/04_x000D_
C10G-055/06</t>
  </si>
  <si>
    <t>(US8143466)_x000D_
ALIVE_x000D_
(WO2009108655)_x000D_
DEAD_x000D_
(ZA201005778)_x000D_
ALIVE_x000D_
(CN101952397B)_x000D_
ALIVE</t>
  </si>
  <si>
    <t>7</t>
  </si>
  <si>
    <t>(US20090211943)_x000D_
1_x000D_
(US8143466)_x000D_
1_x000D_
(WO2009108655)_x000D_
1_x000D_
(CN101952397)_x000D_
1_x000D_
(CN101952397B)_x000D_
1</t>
  </si>
  <si>
    <t>RU2009101606_x000D_
RU2478007</t>
  </si>
  <si>
    <t>A_x000D_
C2</t>
  </si>
  <si>
    <t>RU2009101606</t>
  </si>
  <si>
    <t>2009-01-19</t>
  </si>
  <si>
    <t>NPP KHIM T TS AOZT_x000D_
UCHREZHDENIE ROSSIJSKOJ AKADEMII NAUK INSTITUTE KHIM NEFTI SIB OTDEL RAN</t>
  </si>
  <si>
    <t>B01J-021/04_x000D_
B01J-021/06_x000D_
B01J-029/46_x000D_
B01J-029/48_x000D_
B01J-037/00_x000D_
C07C-001/20_x000D_
C10G-035/095</t>
  </si>
  <si>
    <t>WO2009055216_x000D_
WO2009055216_x000D_
US20100298598_x000D_
US8398955_x000D_
US20130157840_x000D_
US9321043</t>
  </si>
  <si>
    <t>A2_x000D_
A3_x000D_
A1_x000D_
B2_x000D_
A1_x000D_
B2</t>
  </si>
  <si>
    <t>WO2009055216</t>
  </si>
  <si>
    <t>2007-10-26</t>
  </si>
  <si>
    <t>B01J-029/00_x000D_
B01J-029/04_x000D_
B01J-029/06_x000D_
B01J-029/08_x000D_
B01J-029/18_x000D_
B01J-029/40_x000D_
B01J-029/65_x000D_
B01J-029/70_x000D_
B01J-029/80_x000D_
B01J-035/00_x000D_
B01J-035/10_x000D_
B01J-037/00_x000D_
C01B-031/02_x000D_
C01B-033/36_x000D_
C01B-039/00_x000D_
C01B-039/02_x000D_
C01B-039/20_x000D_
C01B-039/24_x000D_
C01B-039/36_x000D_
C01B-039/38_x000D_
C01B-039/42_x000D_
C01B-039/44_x000D_
C01B-039/46_x000D_
C01B-039/48_x000D_
C09B-062/02_x000D_
C10G-011/05_x000D_
C10G-025/03_x000D_
C10G-029/20_x000D_
C10G-045/00_x000D_
C10G-045/54_x000D_
C10G-045/64_x000D_
C10G-047/16_x000D_
C10G-050/00</t>
  </si>
  <si>
    <t>(US8398955)_x000D_
ALIVE_x000D_
(US9321043)_x000D_
ALIVE_x000D_
(WO200955216)_x000D_
DEAD</t>
  </si>
  <si>
    <t>22</t>
  </si>
  <si>
    <t>(US20100298598)_x000D_
1_x000D_
(US8398955)_x000D_
1_x000D_
(US20130157840)_x000D_
2_x000D_
(US9321043)_x000D_
2_x000D_
(WO200955216)_x000D_
1</t>
  </si>
  <si>
    <t>CN101244969_x000D_
CN101244969</t>
  </si>
  <si>
    <t>CN101244969</t>
  </si>
  <si>
    <t>2008-03-25</t>
  </si>
  <si>
    <t>B01J-029/90_x000D_
B01J-038/32_x000D_
C07C-001/20_x000D_
C07C-002/00_x000D_
C07C-015/02</t>
  </si>
  <si>
    <t>(CN101244969)_x000D_
2_x000D_
(CN101244969B)_x000D_
1</t>
  </si>
  <si>
    <t>US20080027256_x000D_
WO2008016456_x000D_
WO2008016456_x000D_
TW200831187_x000D_
KR20090014224_x000D_
IN9968/DELNP/2008_x000D_
EP2051806_x000D_
CN101489675_x000D_
JP2009544568_x000D_
KR101044495_x000D_
US8110176_x000D_
TWI365105_x000D_
CN101489675_x000D_
US20120226084_x000D_
BRPI0713674_x000D_
US8529752_x000D_
JP5571950_x000D_
EP2051806_x000D_
IN287196</t>
  </si>
  <si>
    <t>A1_x000D_
A2_x000D_
A3_x000D_
A_x000D_
A_x000D_
A_x000D_
A2_x000D_
A_x000D_
A_x000D_
B1_x000D_
B2_x000D_
B_x000D_
B_x000D_
A1_x000D_
A2_x000D_
B2_x000D_
B2_x000D_
B1_x000D_
B</t>
  </si>
  <si>
    <t>US20080027256</t>
  </si>
  <si>
    <t>EXXON CHEMICAL_x000D_
EXXON MOBIL CHEMICAL PTE_x000D_
EXXONMOBIL CHEMICAL</t>
  </si>
  <si>
    <t>B01J-029/70_x000D_
B01J-029/72_x000D_
C01B-039/46_x000D_
C01B-039/48_x000D_
C07B-061/00_x000D_
C07C-002/66_x000D_
C07C-002/86_x000D_
C07C-004/06_x000D_
C07C-005/02_x000D_
C07C-005/10_x000D_
C07C-005/41_x000D_
C07C-005/52_x000D_
C07C-007/13_x000D_
C07C-015/085_x000D_
C10G-035/095</t>
  </si>
  <si>
    <t>(EP2051806)_x000D_
ALIVE_x000D_
(US8110176)_x000D_
ALIVE_x000D_
(US8529752)_x000D_
ALIVE_x000D_
(WO200816456)_x000D_
DEAD_x000D_
(JP5571950)_x000D_
ALIVE_x000D_
(KR101044495)_x000D_
DEAD_x000D_
(TWI365105)_x000D_
DEAD_x000D_
(CN101489675B)_x000D_
ALIVE_x000D_
(BR200713674)_x000D_
ALIVE_x000D_
(IN-287196)_x000D_
ALIVE</t>
  </si>
  <si>
    <t>11</t>
  </si>
  <si>
    <t>(EP2051806)_x000D_
1_x000D_
(US20080027256)_x000D_
7_x000D_
(US8110176)_x000D_
4_x000D_
(US20120226084)_x000D_
1_x000D_
(US8529752)_x000D_
1_x000D_
(WO200816456)_x000D_
4_x000D_
(JP2009544568)_x000D_
4_x000D_
(JP5571950)_x000D_
5_x000D_
(KR20090014224)_x000D_
4_x000D_
(KR101044495)_x000D_
2_x000D_
(CN101489675)_x000D_
4_x000D_
(CN101489675B)_x000D_
2</t>
  </si>
  <si>
    <t>US20080027259_x000D_
US7959899_x000D_
US20110190114_x000D_
US20110237826_x000D_
US8262904_x000D_
US20120269718_x000D_
US8636976</t>
  </si>
  <si>
    <t>A1_x000D_
B2_x000D_
A1_x000D_
A1_x000D_
B2_x000D_
A1_x000D_
B2</t>
  </si>
  <si>
    <t>US20080027259</t>
  </si>
  <si>
    <t>B01J-029/04_x000D_
B01J-029/06_x000D_
B01J-029/70_x000D_
B01J-029/72_x000D_
C01B-039/00_x000D_
C01B-039/46_x000D_
C01B-039/48_x000D_
C07C-002/66_x000D_
C07C-002/86_x000D_
C07C-004/06_x000D_
C07C-005/02_x000D_
C07C-005/10_x000D_
C07C-005/41_x000D_
C07C-005/52_x000D_
C07C-007/13_x000D_
C10G-011/05_x000D_
C10G-025/03_x000D_
C10G-035/095_x000D_
C10G-047/16_x000D_
C10G-049/08</t>
  </si>
  <si>
    <t>(US7959899)_x000D_
ALIVE_x000D_
(US20110190114)_x000D_
DEAD_x000D_
(US8262904)_x000D_
ALIVE_x000D_
(US8636976)_x000D_
ALIVE</t>
  </si>
  <si>
    <t>(US20080027259)_x000D_
7_x000D_
(US7959899)_x000D_
6_x000D_
(US20110190114)_x000D_
6_x000D_
(US20110237826)_x000D_
4_x000D_
(US8262904)_x000D_
1_x000D_
(US20120269718)_x000D_
4_x000D_
(US8636976)_x000D_
4</t>
  </si>
  <si>
    <t>US20070284284_x000D_
WO2007146622_x000D_
CA2653928_x000D_
AU2007258049_x000D_
WO2007146622_x000D_
WO2007146622_x000D_
KR20090021376_x000D_
EP2038220_x000D_
IN0039/MUMNP/2009_x000D_
CN101489932_x000D_
JP2009539747_x000D_
US7651603_x000D_
US20100121122_x000D_
EP2038220_x000D_
US8177961_x000D_
AU2007258049_x000D_
CN101489932_x000D_
JP5295953_x000D_
KR101385396_x000D_
CA2653928_x000D_
IN268698</t>
  </si>
  <si>
    <t>A1_x000D_
A2_x000D_
A1_x000D_
A1_x000D_
A3_x000D_
A8_x000D_
A_x000D_
A2_x000D_
A_x000D_
A_x000D_
A_x000D_
B2_x000D_
A1_x000D_
A4_x000D_
B2_x000D_
B2_x000D_
B_x000D_
B2_x000D_
B1_x000D_
C_x000D_
B</t>
  </si>
  <si>
    <t>US20070284284</t>
  </si>
  <si>
    <t>2006-06-08</t>
  </si>
  <si>
    <t>CHEVRON</t>
  </si>
  <si>
    <t>B01D-053/94_x000D_
B01J-029/064_x000D_
B01J-029/70_x000D_
C01B-033/36_x000D_
C01B-039/00_x000D_
C01B-039/46_x000D_
C01B-039/48_x000D_
C01F-007/00_x000D_
C07B-061/00_x000D_
C07C-001/00_x000D_
C07C-001/20_x000D_
C07C-002/66_x000D_
C07C-002/76_x000D_
C07C-004/02_x000D_
C07C-005/27_x000D_
C07C-006/12_x000D_
C07C-009/00_x000D_
C07C-011/02_x000D_
C07C-011/04_x000D_
C07C-011/06_x000D_
C07C-011/08_x000D_
C07C-015/02_x000D_
C07C-015/073_x000D_
C07C-209/14_x000D_
C07C-209/16_x000D_
C07C-211/04_x000D_
C08F-004/02_x000D_
C08F-010/00_x000D_
C10G-011/05_x000D_
C10G-035/06_x000D_
C10G-045/04_x000D_
C10G-045/64_x000D_
C10G-047/16_x000D_
C10G-049/02_x000D_
C10G-073/00</t>
  </si>
  <si>
    <t>(EP2038220)_x000D_
DEAD_x000D_
(US7651603)_x000D_
DEAD_x000D_
(US8177961)_x000D_
ALIVE_x000D_
(WO2007146622)_x000D_
DEAD_x000D_
(JP5295953)_x000D_
DEAD_x000D_
(AU2007258049)_x000D_
DEAD_x000D_
(CN101489932B)_x000D_
DEAD_x000D_
(KR101385396)_x000D_
ALIVE_x000D_
(CA2653928)_x000D_
DEAD_x000D_
(IN-268698)_x000D_
ALIVE</t>
  </si>
  <si>
    <t>31</t>
  </si>
  <si>
    <t>(US20070284284)_x000D_
9_x000D_
(US7651603)_x000D_
1_x000D_
(US20100121122)_x000D_
6_x000D_
(US8177961)_x000D_
6_x000D_
(WO2007146622)_x000D_
13_x000D_
(JP2009539747)_x000D_
17_x000D_
(JP5295953)_x000D_
18_x000D_
(CN101489932)_x000D_
17_x000D_
(CN101489932B)_x000D_
12_x000D_
(KR20090021376)_x000D_
17_x000D_
(KR101385396)_x000D_
17_x000D_
(CA2653928)_x000D_
17_x000D_
(CA2653928)_x000D_
17</t>
  </si>
  <si>
    <t>JP2008127542_x000D_
JP4846540</t>
  </si>
  <si>
    <t>JP2008127542</t>
  </si>
  <si>
    <t>2006-11-24</t>
  </si>
  <si>
    <t>COSMO OIL</t>
  </si>
  <si>
    <t>B01J-029/12_x000D_
B01J-029/16_x000D_
B01J-029/26_x000D_
B01J-029/78_x000D_
C10G-035/095_x000D_
C10L-001/06</t>
  </si>
  <si>
    <t>1_x000D_
2</t>
  </si>
  <si>
    <t>WO2008029631_x000D_
JP2008056593_x000D_
TW200825036_x000D_
EP2058290_x000D_
KR20090059108_x000D_
CN101506127_x000D_
US20100179365_x000D_
IN1005/DELNP/2009_x000D_
EP2058290</t>
  </si>
  <si>
    <t>A1_x000D_
A_x000D_
A_x000D_
A1_x000D_
A_x000D_
A_x000D_
A1_x000D_
A_x000D_
A4</t>
  </si>
  <si>
    <t>JP2008056593</t>
  </si>
  <si>
    <t>2006-08-30</t>
  </si>
  <si>
    <t>JGC</t>
  </si>
  <si>
    <t>B01J-019/00_x000D_
B01J-029/40_x000D_
B01J-029/70_x000D_
C07B-061/00_x000D_
C07C-001/20_x000D_
C07C-001/24_x000D_
C07C-002/86_x000D_
C07C-004/02_x000D_
C07C-004/04_x000D_
C07C-004/06_x000D_
C07C-004/08_x000D_
C07C-006/04_x000D_
C07C-011/06_x000D_
C10G-003/00</t>
  </si>
  <si>
    <t>(EP2058290)_x000D_
DEAD_x000D_
(US20100179365)_x000D_
DEAD_x000D_
(WO200829631)_x000D_
DEAD_x000D_
(JP2008056593)_x000D_
DEAD_x000D_
(TW200825036)_x000D_
ALIVE_x000D_
(KR20090059108)_x000D_
DEAD_x000D_
(CN101506127)_x000D_
DEAD_x000D_
(IN2009DN01005)_x000D_
ALIVE</t>
  </si>
  <si>
    <t>(EP2058290)_x000D_
3_x000D_
(US20100179365)_x000D_
3_x000D_
(WO200829631)_x000D_
11_x000D_
(JP2008056593)_x000D_
1_x000D_
(KR20090059108)_x000D_
4_x000D_
(CN101506127)_x000D_
3</t>
  </si>
  <si>
    <t>RU2284343</t>
  </si>
  <si>
    <t>2005-06-20</t>
  </si>
  <si>
    <t>DOLINSKIJ SERGEJ EHRIKOVICH_x000D_
LISHCHINER IOSIF IZRAILEVICH_x000D_
MALOVA OL GA VASIL EVNA</t>
  </si>
  <si>
    <t>B01J-029/46_x000D_
C10G-035/095</t>
  </si>
  <si>
    <t>RU2004135451_x000D_
EA200501139_x000D_
EA008568_x000D_
RU2304608</t>
  </si>
  <si>
    <t>A_x000D_
A1_x000D_
B1_x000D_
C2</t>
  </si>
  <si>
    <t>RU2004135451</t>
  </si>
  <si>
    <t>2004-12-03</t>
  </si>
  <si>
    <t>JOINT STOCK_x000D_
SIB T KOMPANIJA TSEOSIT AOZT</t>
  </si>
  <si>
    <t>B01J-029/076_x000D_
B01J-029/22_x000D_
B01J-029/40_x000D_
B01J-029/48_x000D_
B01J-029/60_x000D_
B01J-029/85_x000D_
B01J-029/86_x000D_
B01J-029/87_x000D_
B01J-029/88_x000D_
C10G-035/095_x000D_
C10G-045/12_x000D_
C10G-047/02</t>
  </si>
  <si>
    <t>(RU2304608)_x000D_
DEAD_x000D_
(EA---8568)_x000D_
DEAD</t>
  </si>
  <si>
    <t>RU2238298</t>
  </si>
  <si>
    <t>2003-09-30</t>
  </si>
  <si>
    <t>ZAKRYTOE NEFTEKHIMIJA</t>
  </si>
  <si>
    <t>B01J-029/40_x000D_
C07C-002/12_x000D_
C10G-035/095_x000D_
C10G-050/00</t>
  </si>
  <si>
    <t>RU2209811</t>
  </si>
  <si>
    <t>2002-01-08</t>
  </si>
  <si>
    <t>NI AOOT_x000D_
SKIJ INSTITUTE JARSINTEZ ATEL</t>
  </si>
  <si>
    <t>C07C-041/06_x000D_
C07C-043/04</t>
  </si>
  <si>
    <t>WO200232837_x000D_
AU9116801</t>
  </si>
  <si>
    <t>WO200232837</t>
  </si>
  <si>
    <t>2000-10-13</t>
  </si>
  <si>
    <t>C07C-001/20_x000D_
C07C-002/86_x000D_
C07C-015/073_x000D_
C07C-015/08</t>
  </si>
  <si>
    <t>(WO200232837)_x000D_
DEAD_x000D_
(AU200191168)_x000D_
DEAD</t>
  </si>
  <si>
    <t>(WO200232837)_x000D_
4</t>
  </si>
  <si>
    <t>RU2208624</t>
  </si>
  <si>
    <t>C2</t>
  </si>
  <si>
    <t>2001-09-03</t>
  </si>
  <si>
    <t>INSTITUTE KATALIZA SO RAN_x000D_
NINTS TSEOSIT OB EDINENNOGO</t>
  </si>
  <si>
    <t>WO200177046_x000D_
AU5147401_x000D_
EP1272446_x000D_
US6506954</t>
  </si>
  <si>
    <t>A1_x000D_
A_x000D_
A1_x000D_
B1</t>
  </si>
  <si>
    <t>WO200177046</t>
  </si>
  <si>
    <t>2000-04-11</t>
  </si>
  <si>
    <t>(EP1272446)_x000D_
DEAD_x000D_
(US6506954)_x000D_
DEAD_x000D_
(WO200177046)_x000D_
DEAD_x000D_
(AU200151474)_x000D_
DEAD</t>
  </si>
  <si>
    <t>30</t>
  </si>
  <si>
    <t>(US6506954)_x000D_
5</t>
  </si>
  <si>
    <t>RU2163623</t>
  </si>
  <si>
    <t>2000-06-29</t>
  </si>
  <si>
    <t>KOLESNIKOV SERGEJ IVANOVICH</t>
  </si>
  <si>
    <t>NO973534_x000D_
NO973534_x000D_
NO305308_x000D_
US6207605</t>
  </si>
  <si>
    <t>D0_x000D_
A_x000D_
B1_x000D_
B1</t>
  </si>
  <si>
    <t>NO973534</t>
  </si>
  <si>
    <t>1997-07-31</t>
  </si>
  <si>
    <t>SANYO PETROCHEMICAL</t>
  </si>
  <si>
    <t>B01J-029/70_x000D_
C10G-011/05_x000D_
C10G-035/095</t>
  </si>
  <si>
    <t>(US6207605)_x000D_
DEAD_x000D_
(NO-305308)_x000D_
DEAD</t>
  </si>
  <si>
    <t>(US6207605)_x000D_
2</t>
  </si>
  <si>
    <t>US6245219</t>
  </si>
  <si>
    <t>B1</t>
  </si>
  <si>
    <t>US06245219</t>
  </si>
  <si>
    <t>1997-04-18</t>
  </si>
  <si>
    <t>EXXON CHEMICAL</t>
  </si>
  <si>
    <t>(US6245219)_x000D_
2</t>
  </si>
  <si>
    <t>RU2114811</t>
  </si>
  <si>
    <t>1996-12-16</t>
  </si>
  <si>
    <t>CHESKIKH I ADSORBTSIONNYKH PRO_x000D_
KT I KATALITI_x000D_
TSEOSIT SO RAN H</t>
  </si>
  <si>
    <t>C07C-015/08</t>
  </si>
  <si>
    <t>US5880051_x000D_
US6066251</t>
  </si>
  <si>
    <t>A_x000D_
A</t>
  </si>
  <si>
    <t>US05880051</t>
  </si>
  <si>
    <t>1996-10-23</t>
  </si>
  <si>
    <t>B01J-021/02_x000D_
B01J-029/06_x000D_
B01J-029/068_x000D_
B01J-029/60_x000D_
B01J-029/62_x000D_
B01J-035/00_x000D_
C10G-035/095</t>
  </si>
  <si>
    <t>(US5880051)_x000D_
DEAD_x000D_
(US6066251)_x000D_
DEAD</t>
  </si>
  <si>
    <t>(US5880051)_x000D_
2_x000D_
(US6066251)_x000D_
2</t>
  </si>
  <si>
    <t>US5683573</t>
  </si>
  <si>
    <t>US05683573</t>
  </si>
  <si>
    <t>1994-12-22</t>
  </si>
  <si>
    <t>C10G-035/06_x000D_
C10G-035/095_x000D_
C10G-047/14_x000D_
C10G-049/08_x000D_
C10G-059/02</t>
  </si>
  <si>
    <t>(US5683573)_x000D_
3</t>
  </si>
  <si>
    <t>RU2098173</t>
  </si>
  <si>
    <t>1996-04-09</t>
  </si>
  <si>
    <t>ИНЖЕНЕРНО ТЕХНИЧЕСКА  ФИРМА В ФОРМЕ ТОВАРИЩЕСТВА С ОГРАНИЧЕННОЙ ОТВЕТСТВЕННОСТЬЮ ЦЕОКОНСАЛТ</t>
  </si>
  <si>
    <t>B01J-019/00_x000D_
C07C-002/12_x000D_
C10G-003/00_x000D_
C10G-035/04</t>
  </si>
  <si>
    <t>RU2103322</t>
  </si>
  <si>
    <t>1995-10-12</t>
  </si>
  <si>
    <t>US5641393</t>
  </si>
  <si>
    <t>US05641393</t>
  </si>
  <si>
    <t>1992-06-30</t>
  </si>
  <si>
    <t>B01J-029/04_x000D_
B01J-029/70_x000D_
C01B-037/00_x000D_
C01B-037/02_x000D_
C01B-039/12_x000D_
C01B-039/48_x000D_
C07C-001/20_x000D_
C07C-002/00_x000D_
C07C-002/66_x000D_
C07C-005/22_x000D_
C07C-005/27_x000D_
C07C-006/12_x000D_
C10G-011/05_x000D_
C10G-035/095_x000D_
C10G-049/08</t>
  </si>
  <si>
    <t>(US5641393)_x000D_
5</t>
  </si>
  <si>
    <t>US5578195_x000D_
US5696043_x000D_
US5711869</t>
  </si>
  <si>
    <t>A_x000D_
A_x000D_
A</t>
  </si>
  <si>
    <t>US05578195</t>
  </si>
  <si>
    <t>1990-07-06</t>
  </si>
  <si>
    <t>CLARIANT_x000D_
ECOLITH ZEOLITHE_x000D_
ECOLITH ZEOLITHE I G</t>
  </si>
  <si>
    <t>B01J-029/06_x000D_
B01J-029/08_x000D_
B01J-029/70_x000D_
B01J-029/78_x000D_
C01B-039/36_x000D_
C07C-001/20_x000D_
C07C-002/00_x000D_
C07C-002/66_x000D_
C07C-002/86_x000D_
C07C-005/27_x000D_
C10G-011/05_x000D_
C10G-035/095_x000D_
C10G-045/64</t>
  </si>
  <si>
    <t>(US5578195)_x000D_
DEAD_x000D_
(US5696043)_x000D_
DEAD_x000D_
(US5711869)_x000D_
DEAD</t>
  </si>
  <si>
    <t>(US5578195)_x000D_
1_x000D_
(US5696043)_x000D_
1_x000D_
(US5711869)_x000D_
1</t>
  </si>
  <si>
    <t>RU94024425_x000D_
RU94024425_x000D_
RU2087522</t>
  </si>
  <si>
    <t>A_x000D_
A1_x000D_
C1</t>
  </si>
  <si>
    <t>RU94024425</t>
  </si>
  <si>
    <t>1994-07-14</t>
  </si>
  <si>
    <t>GROZNENSK NEFTYANOJ NII</t>
  </si>
  <si>
    <t>WO9601688_x000D_
AU2869495_x000D_
US5591421_x000D_
EP0769984_x000D_
CN1152263_x000D_
US5656149_x000D_
KR19970704514_x000D_
KR19977004514_x000D_
JPH10502608_x000D_
BR9508391_x000D_
BRPI9508391_x000D_
EP0769984_x000D_
RU2153397_x000D_
IN0829/MAS/1995</t>
  </si>
  <si>
    <t>A1_x000D_
A_x000D_
A_x000D_
A1_x000D_
A_x000D_
A_x000D_
A_x000D_
A_x000D_
A_x000D_
A_x000D_
A1_x000D_
A4_x000D_
C2_x000D_
A</t>
  </si>
  <si>
    <t>WO9601688</t>
  </si>
  <si>
    <t>1994-07-11</t>
  </si>
  <si>
    <t>B01J-029/00_x000D_
B01J-029/04_x000D_
B01J-029/06_x000D_
B01J-029/70_x000D_
C01B-039/48_x000D_
C07C-002/66_x000D_
C07C-005/22_x000D_
C07C-005/27_x000D_
C07C-005/41_x000D_
C07C-006/12_x000D_
C07C-015/02_x000D_
C10G-003/00_x000D_
C10G-029/20_x000D_
C10G-045/64_x000D_
C10G-047/16_x000D_
C10G-047/20_x000D_
C10G-071/00</t>
  </si>
  <si>
    <t>(EP-769984)_x000D_
DEAD_x000D_
(US5591421)_x000D_
DEAD_x000D_
(US5656149)_x000D_
DEAD_x000D_
(WO9601688)_x000D_
DEAD_x000D_
(JP10502608)_x000D_
DEAD_x000D_
(RU2153397)_x000D_
DEAD_x000D_
(AU9528694)_x000D_
DEAD_x000D_
(CN1152263)_x000D_
DEAD_x000D_
(KR19977004514)_x000D_
DEAD_x000D_
(BRPI9508391)_x000D_
DEAD_x000D_
(IN1995MA00829)_x000D_
DEAD</t>
  </si>
  <si>
    <t>35</t>
  </si>
  <si>
    <t>(US5591421)_x000D_
6_x000D_
(US5656149)_x000D_
9_x000D_
(WO9601688)_x000D_
5_x000D_
(JP10502608)_x000D_
5_x000D_
(CN1152263)_x000D_
6_x000D_
(KR19970704514)_x000D_
9</t>
  </si>
  <si>
    <t>WO9408899_x000D_
AU5101793_x000D_
US5316753_x000D_
EP0618879_x000D_
KR19947003315_x000D_
EP0618879_x000D_
US5391287_x000D_
JPH07504151_x000D_
KR100279195_x000D_
JP3499870</t>
  </si>
  <si>
    <t>A1_x000D_
A_x000D_
A_x000D_
A1_x000D_
A_x000D_
A4_x000D_
A_x000D_
A_x000D_
B1_x000D_
B2</t>
  </si>
  <si>
    <t>WO9408899</t>
  </si>
  <si>
    <t>1992-10-09</t>
  </si>
  <si>
    <t>CHEVRON RESEARCH &amp; TECHNOLOGY</t>
  </si>
  <si>
    <t>B01J-020/18_x000D_
B01J-029/035_x000D_
B01J-029/04_x000D_
B01J-029/70_x000D_
B01J-029/86_x000D_
B01J-029/87_x000D_
B01J-029/88_x000D_
B01J-029/89_x000D_
C01B-033/26_x000D_
C01B-037/02_x000D_
C01B-039/04_x000D_
C01B-039/06_x000D_
C01B-039/12_x000D_
C01B-039/46_x000D_
C01B-039/48_x000D_
C07B-061/00_x000D_
C07C-001/20_x000D_
C07C-002/66_x000D_
C07C-005/27_x000D_
C07C-009/22_x000D_
C07C-015/02_x000D_
C10G-035/095_x000D_
C10G-045/64_x000D_
C10G-047/16_x000D_
C10G-047/20</t>
  </si>
  <si>
    <t>(EP-618879)_x000D_
DEAD_x000D_
(US5316753)_x000D_
DEAD_x000D_
(US5391287)_x000D_
DEAD_x000D_
(WO9408899)_x000D_
DEAD_x000D_
(JP3499870)_x000D_
DEAD_x000D_
(AU9351017)_x000D_
DEAD_x000D_
(KR100279195)_x000D_
DEAD</t>
  </si>
  <si>
    <t>(US5316753)_x000D_
4_x000D_
(US5391287)_x000D_
9_x000D_
(WO9408899)_x000D_
3_x000D_
(JP3499870)_x000D_
22_x000D_
(KR19947003315)_x000D_
6_x000D_
(KR100279195)_x000D_
6</t>
  </si>
  <si>
    <t>RU2019290_x000D_
SU2019290</t>
  </si>
  <si>
    <t>C1_x000D_
C1</t>
  </si>
  <si>
    <t>RU2019290</t>
  </si>
  <si>
    <t>1992-03-31</t>
  </si>
  <si>
    <t>TOVARISHCHESTVO S OGRANICHENNO</t>
  </si>
  <si>
    <t>B01J-021/06_x000D_
B01J-029/89_x000D_
C10G-035/095</t>
  </si>
  <si>
    <t>US5202014</t>
  </si>
  <si>
    <t>US05202014</t>
  </si>
  <si>
    <t>1986-01-29</t>
  </si>
  <si>
    <t>B01J-029/04_x000D_
B01J-029/70_x000D_
B01J-029/74_x000D_
B01J-029/76_x000D_
C01B-035/10_x000D_
C01B-039/48_x000D_
C07C-002/66_x000D_
C07C-005/27_x000D_
C10G-011/05_x000D_
C10G-029/20_x000D_
C10G-035/095_x000D_
C10G-045/64</t>
  </si>
  <si>
    <t>(US5202014)_x000D_
3</t>
  </si>
  <si>
    <t>US5095159</t>
  </si>
  <si>
    <t>US05095159</t>
  </si>
  <si>
    <t>1990-11-21</t>
  </si>
  <si>
    <t>C07C-041/06_x000D_
C10G-003/00_x000D_
C10G-035/095_x000D_
C10L-001/06</t>
  </si>
  <si>
    <t>(US5095159)_x000D_
3</t>
  </si>
  <si>
    <t>CA2062799_x000D_
WO9100844_x000D_
BRPI9007513_x000D_
AU5965490_x000D_
ZA9005368_x000D_
EP0483222_x000D_
BR9007513_x000D_
NZ234403_x000D_
EP0483222_x000D_
KR19927003444_x000D_
JPH05500352_x000D_
BRPI9007513</t>
  </si>
  <si>
    <t>A1_x000D_
A1_x000D_
A1_x000D_
A_x000D_
B_x000D_
A1_x000D_
A_x000D_
A_x000D_
A4_x000D_
A_x000D_
A_x000D_
A2</t>
  </si>
  <si>
    <t>CA2062799</t>
  </si>
  <si>
    <t>1989-07-07</t>
  </si>
  <si>
    <t>B01J-029/04_x000D_
B01J-029/70_x000D_
B01J-029/86_x000D_
B01J-029/87_x000D_
C01B-033/00_x000D_
C01B-033/12_x000D_
C01B-033/40_x000D_
C01B-035/00_x000D_
C01B-035/12_x000D_
C01B-039/04_x000D_
C01B-039/12_x000D_
C07B-061/00_x000D_
C07C-002/12_x000D_
C07C-002/66_x000D_
C07C-005/27_x000D_
C07C-006/12_x000D_
C07C-211/62</t>
  </si>
  <si>
    <t>(EP-483222)_x000D_
DEAD_x000D_
(WO9100844)_x000D_
DEAD_x000D_
(JP05500352)_x000D_
DEAD_x000D_
(CA2062799)_x000D_
DEAD_x000D_
(AU9059654)_x000D_
DEAD_x000D_
(ZA9005368)_x000D_
DEAD_x000D_
(NZ-234403)_x000D_
DEAD_x000D_
(KR19927003444)_x000D_
DEAD_x000D_
(BRPI9007513)_x000D_
DEAD</t>
  </si>
  <si>
    <t>(WO9100844)_x000D_
4_x000D_
(CA2062799)_x000D_
4_x000D_
(KR19927003444)_x000D_
5</t>
  </si>
  <si>
    <t>GB9013916_x000D_
NO912444_x000D_
NO912444_x000D_
CA2044959_x000D_
AU7836891_x000D_
EP0463768_x000D_
KR19920000619_x000D_
CN1058196_x000D_
ZA9104540_x000D_
US5108579_x000D_
EP0463768_x000D_
JPH0597429_x000D_
AU641018_x000D_
EP0463768_x000D_
AT144755_x000D_
DK0463768_x000D_
DE69122911_x000D_
CN1033850_x000D_
GR3021837_x000D_
ES2095911_x000D_
DE69122911_x000D_
RU2092241_x000D_
SU2092241_x000D_
KR100195902_x000D_
NO307749_x000D_
IN184830_x000D_
CA2044959_x000D_
JP3347752</t>
  </si>
  <si>
    <t>D0_x000D_
D0_x000D_
A_x000D_
A1_x000D_
A_x000D_
A2_x000D_
A_x000D_
A_x000D_
B_x000D_
A_x000D_
A3_x000D_
A_x000D_
B2_x000D_
B1_x000D_
T_x000D_
T3_x000D_
D1_x000D_
C_x000D_
T3_x000D_
T3_x000D_
T2_x000D_
C1_x000D_
C1_x000D_
B1_x000D_
B1_x000D_
B_x000D_
C_x000D_
B2</t>
  </si>
  <si>
    <t>GB9013916</t>
  </si>
  <si>
    <t>1990-06-22</t>
  </si>
  <si>
    <t>ICI - IMPERIAL CHEMICAL INDUSTRIES_x000D_
IFP ENERGIES NOUVELLES</t>
  </si>
  <si>
    <t>B01J-029/04_x000D_
B01J-029/70_x000D_
B01J-029/80_x000D_
B01J-029/86_x000D_
B01J-029/87_x000D_
B01J-029/88_x000D_
B01J-029/89_x000D_
B01J-037/00_x000D_
C01B-039/04_x000D_
C01B-039/06_x000D_
C01B-039/34_x000D_
C01B-039/48_x000D_
C07B-061/00_x000D_
C07C-002/00_x000D_
C07C-002/66_x000D_
C07C-002/86_x000D_
C07C-004/06_x000D_
C07C-004/18_x000D_
C07C-005/22_x000D_
C07C-005/27_x000D_
C07C-006/12_x000D_
C10G-011/05_x000D_
C10G-035/095_x000D_
C10G-047/16</t>
  </si>
  <si>
    <t>(EP-463768)_x000D_
DEAD_x000D_
(US5108579)_x000D_
DEAD_x000D_
(GB9013916)_x000D_
DEAD_x000D_
(DE69122911)_x000D_
DEAD_x000D_
(JP3347752)_x000D_
DEAD_x000D_
(SU2092241)_x000D_
DEAD_x000D_
(ZA9104540)_x000D_
DEAD_x000D_
(AU-641018)_x000D_
DEAD_x000D_
(ATE144755)_x000D_
DEAD_x000D_
(DK-463768T)_x000D_
DEAD_x000D_
(CN1033850C)_x000D_
DEAD_x000D_
(GR3021837)_x000D_
DEAD_x000D_
(ES2095911)_x000D_
DEAD_x000D_
(KR100195902)_x000D_
DEAD_x000D_
(NO-307749)_x000D_
DEAD_x000D_
(IN-184830)_x000D_
DEAD_x000D_
(CA2044959)_x000D_
DEAD</t>
  </si>
  <si>
    <t>66</t>
  </si>
  <si>
    <t>(EP-463768)_x000D_
2_x000D_
(EP-463768)_x000D_
4_x000D_
(US5108579)_x000D_
2_x000D_
(JP05097429)_x000D_
2_x000D_
(JP3347752)_x000D_
2_x000D_
(CN1058196)_x000D_
2_x000D_
(CN1033850C)_x000D_
2_x000D_
(KR100195902)_x000D_
18_x000D_
(CA2044959)_x000D_
1_x000D_
(CA2044959)_x000D_
1</t>
  </si>
  <si>
    <t>GB9013859_x000D_
CA2044960_x000D_
EP0462745_x000D_
AU7836991_x000D_
CN1058195_x000D_
ZA9104542_x000D_
EP0462745_x000D_
AU639110_x000D_
US5385718_x000D_
JPH0748122_x000D_
US5446234_x000D_
US5464799_x000D_
EP0462745_x000D_
AT133922_x000D_
DE69116937_x000D_
ES2085965_x000D_
DK0462745_x000D_
GR3019845_x000D_
DE69116937_x000D_
CN1034325_x000D_
CN1147422_x000D_
IN180874_x000D_
CA2044960_x000D_
CN1073888_x000D_
JP3391805</t>
  </si>
  <si>
    <t>D0_x000D_
A1_x000D_
A2_x000D_
A_x000D_
A_x000D_
B_x000D_
A3_x000D_
B2_x000D_
A_x000D_
A_x000D_
A_x000D_
A_x000D_
B1_x000D_
T_x000D_
D1_x000D_
T3_x000D_
T3_x000D_
T3_x000D_
T2_x000D_
C_x000D_
A_x000D_
B_x000D_
C_x000D_
C_x000D_
B2</t>
  </si>
  <si>
    <t>GB9013859</t>
  </si>
  <si>
    <t>1990-06-21</t>
  </si>
  <si>
    <t>B01J-029/70_x000D_
B01J-029/72_x000D_
B01J-029/74_x000D_
C01B-039/02_x000D_
C01B-039/06_x000D_
C01B-039/48_x000D_
C07B-061/00_x000D_
C07C-002/66_x000D_
C07C-002/76_x000D_
C07C-002/86_x000D_
C07C-004/06_x000D_
C07C-004/18_x000D_
C07C-005/22_x000D_
C07C-005/27_x000D_
C07C-006/12_x000D_
C07C-009/18_x000D_
C07C-015/073_x000D_
C07C-015/08_x000D_
C07C-209/14_x000D_
C07C-209/16_x000D_
C10G-011/05_x000D_
C10G-035/095_x000D_
C10G-045/12_x000D_
C10G-047/16_x000D_
C10G-049/08</t>
  </si>
  <si>
    <t>(EP-462745)_x000D_
DEAD_x000D_
(US5385718)_x000D_
DEAD_x000D_
(US5446234)_x000D_
DEAD_x000D_
(US5464799)_x000D_
DEAD_x000D_
(GB9013859)_x000D_
DEAD_x000D_
(DE69116937)_x000D_
DEAD_x000D_
(JP3391805)_x000D_
DEAD_x000D_
(ZA9104542)_x000D_
DEAD_x000D_
(AU-639110)_x000D_
DEAD_x000D_
(ATE133922)_x000D_
DEAD_x000D_
(ES2085965)_x000D_
DEAD_x000D_
(DK-462745T)_x000D_
DEAD_x000D_
(GR3019845)_x000D_
DEAD_x000D_
(CN1034325C)_x000D_
DEAD_x000D_
(IN-180874)_x000D_
DEAD_x000D_
(CA2044960)_x000D_
DEAD_x000D_
(CN1073888C)_x000D_
DEAD</t>
  </si>
  <si>
    <t>68</t>
  </si>
  <si>
    <t>(EP-462745)_x000D_
3_x000D_
(EP-462745)_x000D_
3_x000D_
(US5385718)_x000D_
4_x000D_
(US5446234)_x000D_
3_x000D_
(US5464799)_x000D_
2_x000D_
(JP07048122)_x000D_
3_x000D_
(CN1058195)_x000D_
3_x000D_
(CN1034325C)_x000D_
3_x000D_
(CA2044960)_x000D_
2_x000D_
(CA2044960)_x000D_
2_x000D_
(CN1147422)_x000D_
2_x000D_
(CN1073888C)_x000D_
2</t>
  </si>
  <si>
    <t>CA2031212_x000D_
WO9012778_x000D_
AU5529890_x000D_
EP0422188_x000D_
JPH03505603</t>
  </si>
  <si>
    <t>A1_x000D_
A1_x000D_
A_x000D_
A1_x000D_
A</t>
  </si>
  <si>
    <t>CA2031212</t>
  </si>
  <si>
    <t>1989-04-24</t>
  </si>
  <si>
    <t>C07B-061/00_x000D_
C07C-041/06_x000D_
C07C-043/04_x000D_
C10G-003/00_x000D_
C10G-035/095_x000D_
C10L-001/02_x000D_
C10L-001/18</t>
  </si>
  <si>
    <t>(EP-422188)_x000D_
DEAD_x000D_
(WO9012778)_x000D_
DEAD_x000D_
(JP03505603)_x000D_
DEAD_x000D_
(CA2031212)_x000D_
DEAD_x000D_
(AU9055298)_x000D_
DEAD</t>
  </si>
  <si>
    <t>(WO9012778)_x000D_
6_x000D_
(CA2031212)_x000D_
6</t>
  </si>
  <si>
    <t>CA2030797_x000D_
WO9012854_x000D_
AU5556090_x000D_
EP0424511_x000D_
JPH03505608_x000D_
AU621486_x000D_
US5167937</t>
  </si>
  <si>
    <t>A1_x000D_
A1_x000D_
A_x000D_
A1_x000D_
A_x000D_
B2_x000D_
A</t>
  </si>
  <si>
    <t>CA2030797</t>
  </si>
  <si>
    <t>C07B-061/00_x000D_
C07C-041/06_x000D_
C07C-043/04_x000D_
C10G-003/00_x000D_
C10G-035/095_x000D_
C10L-001/02_x000D_
C10L-001/18_x000D_
C10L-010/10</t>
  </si>
  <si>
    <t>(EP-424511)_x000D_
DEAD_x000D_
(US5167937)_x000D_
DEAD_x000D_
(WO9012854)_x000D_
DEAD_x000D_
(JP03505608)_x000D_
DEAD_x000D_
(CA2030797)_x000D_
DEAD_x000D_
(AU-621486)_x000D_
DEAD</t>
  </si>
  <si>
    <t>(US5167937)_x000D_
2_x000D_
(WO9012854)_x000D_
3_x000D_
(CA2030797)_x000D_
3</t>
  </si>
  <si>
    <t>CA2014666_x000D_
EP0405978_x000D_
AU5510990_x000D_
JPH0369510_x000D_
BR9002548_x000D_
BRPI9002548_x000D_
ZA9002718_x000D_
AU633567_x000D_
EP0405978_x000D_
AT89494_x000D_
DE69001644_x000D_
US5244650_x000D_
DK0405978_x000D_
ES2040566_x000D_
DE69001644_x000D_
MX172049_x000D_
AR246198_x000D_
CA2014666_x000D_
JP3030056_x000D_
BRPI9002548</t>
  </si>
  <si>
    <t>A1_x000D_
A1_x000D_
A_x000D_
A_x000D_
A_x000D_
A1_x000D_
B_x000D_
B2_x000D_
B1_x000D_
T_x000D_
D1_x000D_
A_x000D_
T3_x000D_
T3_x000D_
T2_x000D_
B_x000D_
A1_x000D_
C_x000D_
B2_x000D_
A2</t>
  </si>
  <si>
    <t>CA2014666</t>
  </si>
  <si>
    <t>1989-06-29</t>
  </si>
  <si>
    <t>B01J_x000D_
B01J-020/18_x000D_
B01J-021/00_x000D_
B01J-021/06_x000D_
B01J-029/04_x000D_
B01J-029/06_x000D_
B01J-029/70_x000D_
B01J-029/89_x000D_
B01J-039/14_x000D_
C01B_x000D_
C01B-033/40_x000D_
C01B-039/00_x000D_
C01B-039/02_x000D_
C01B-039/06_x000D_
C02F-001/42_x000D_
C07B-061/00_x000D_
C07C-005/25_x000D_
C07C-005/27_x000D_
C07C-009/00_x000D_
C07C-011/02_x000D_
C10G_x000D_
C10G-011/05_x000D_
C10G-035/095_x000D_
C10G-047/20</t>
  </si>
  <si>
    <t>(EP-405978)_x000D_
DEAD_x000D_
(US5244650)_x000D_
DEAD_x000D_
(DE69001644)_x000D_
DEAD_x000D_
(JP3030056)_x000D_
DEAD_x000D_
(ZA9002718)_x000D_
DEAD_x000D_
(AU-633567)_x000D_
DEAD_x000D_
(ATE089494)_x000D_
DEAD_x000D_
(DK-405978T)_x000D_
DEAD_x000D_
(ES2040566)_x000D_
DEAD_x000D_
(MX-172049)_x000D_
DEAD_x000D_
(AR-246198)_x000D_
DEAD_x000D_
(CA2014666)_x000D_
DEAD_x000D_
(BRPI9002548)_x000D_
DEAD</t>
  </si>
  <si>
    <t>42</t>
  </si>
  <si>
    <t>(EP-405978)_x000D_
1_x000D_
(EP-405978)_x000D_
1_x000D_
(US5244650)_x000D_
1_x000D_
(JP3030056)_x000D_
1_x000D_
(CA2014666)_x000D_
1_x000D_
(CA2014666)_x000D_
1</t>
  </si>
  <si>
    <t>CA2039224_x000D_
AU7391091_x000D_
EP0454304_x000D_
US5080691_x000D_
JPH04225093</t>
  </si>
  <si>
    <t>A1_x000D_
A_x000D_
A1_x000D_
A_x000D_
A</t>
  </si>
  <si>
    <t>CA2039224</t>
  </si>
  <si>
    <t>1990-04-04</t>
  </si>
  <si>
    <t>MOBIL OIL_x000D_
SORENSEN CHARLES M</t>
  </si>
  <si>
    <t>C10G-035/04_x000D_
C10G-050/00_x000D_
C10G-057/02_x000D_
C10L-001/02</t>
  </si>
  <si>
    <t>(EP-454304)_x000D_
DEAD_x000D_
(US5080691)_x000D_
DEAD_x000D_
(JP04225093)_x000D_
DEAD_x000D_
(CA2039224)_x000D_
DEAD_x000D_
(AU9173910)_x000D_
DEAD</t>
  </si>
  <si>
    <t>(EP-454304)_x000D_
4_x000D_
(US5080691)_x000D_
5_x000D_
(CA2039224)_x000D_
4</t>
  </si>
  <si>
    <t>US4975179_x000D_
CA2023449_x000D_
EP0414449_x000D_
AU6097390_x000D_
JPH03109490_x000D_
NZ234880_x000D_
AU635060_x000D_
EP0414449_x000D_
DE69003634_x000D_
DE69003634</t>
  </si>
  <si>
    <t>A_x000D_
A1_x000D_
A1_x000D_
A_x000D_
A_x000D_
A_x000D_
B2_x000D_
B1_x000D_
D1_x000D_
T2</t>
  </si>
  <si>
    <t>US04975179</t>
  </si>
  <si>
    <t>1989-08-24</t>
  </si>
  <si>
    <t>C10G-059/04_x000D_
C10G-063/00_x000D_
C10L-001/06</t>
  </si>
  <si>
    <t>(EP-414449)_x000D_
DEAD_x000D_
(US4975179)_x000D_
DEAD_x000D_
(DE69003634)_x000D_
DEAD_x000D_
(JP03109490)_x000D_
DEAD_x000D_
(CA2023449)_x000D_
DEAD_x000D_
(NZ-234880)_x000D_
DEAD_x000D_
(AU-635060)_x000D_
DEAD</t>
  </si>
  <si>
    <t>(EP-414449)_x000D_
1_x000D_
(EP-414449)_x000D_
1_x000D_
(US4975179)_x000D_
2_x000D_
(CA2023449)_x000D_
1</t>
  </si>
  <si>
    <t>US4981491_x000D_
CA2022308_x000D_
EP0410690_x000D_
AU5990390_x000D_
JPH03205490_x000D_
NZ234637</t>
  </si>
  <si>
    <t>A_x000D_
A1_x000D_
A1_x000D_
A_x000D_
A_x000D_
A</t>
  </si>
  <si>
    <t>US04981491</t>
  </si>
  <si>
    <t>1989-07-28</t>
  </si>
  <si>
    <t>B01J-019/00_x000D_
C07C-041/06_x000D_
C07C-043/04_x000D_
C10G-003/00_x000D_
C10L-001/02_x000D_
C10L-001/182</t>
  </si>
  <si>
    <t>(EP-410690)_x000D_
DEAD_x000D_
(US4981491)_x000D_
DEAD_x000D_
(JP03205490)_x000D_
DEAD_x000D_
(CA2022308)_x000D_
DEAD_x000D_
(AU9059903)_x000D_
DEAD_x000D_
(NZ-234637)_x000D_
DEAD</t>
  </si>
  <si>
    <t>(EP-410690)_x000D_
2_x000D_
(US4981491)_x000D_
5_x000D_
(CA2022308)_x000D_
2</t>
  </si>
  <si>
    <t>US5013329_x000D_
CA2040152_x000D_
EP0509162_x000D_
AU7437591_x000D_
AU633719_x000D_
JPH05132677_x000D_
EP0509162_x000D_
DE69102419_x000D_
DE69102419</t>
  </si>
  <si>
    <t>A_x000D_
A1_x000D_
A1_x000D_
A_x000D_
B2_x000D_
A_x000D_
B1_x000D_
D1_x000D_
T2</t>
  </si>
  <si>
    <t>US05013329</t>
  </si>
  <si>
    <t>1989-03-31</t>
  </si>
  <si>
    <t>B01J-031/10_x000D_
C07B-061/00_x000D_
C10G-003/00_x000D_
C10G-035/00_x000D_
C10L-001/02_x000D_
C10L-001/182_x000D_
C10L-001/185</t>
  </si>
  <si>
    <t>(EP-509162)_x000D_
DEAD_x000D_
(US5013329)_x000D_
DEAD_x000D_
(DE69102419)_x000D_
DEAD_x000D_
(JP05132677)_x000D_
DEAD_x000D_
(CA2040152)_x000D_
DEAD_x000D_
(AU-633719)_x000D_
DEAD</t>
  </si>
  <si>
    <t>(EP-509162)_x000D_
1_x000D_
(EP-509162)_x000D_
1_x000D_
(US5013329)_x000D_
2_x000D_
(JP05132677)_x000D_
1_x000D_
(CA2040152)_x000D_
1</t>
  </si>
  <si>
    <t>GB8829923_x000D_
NO895175_x000D_
DK654789_x000D_
CA2006542_x000D_
DK654789_x000D_
NO895175_x000D_
AU4714689_x000D_
KR19900009135_x000D_
CN1044052_x000D_
EP0378916_x000D_
JPH02222727_x000D_
ZA8909697_x000D_
US5041402_x000D_
AU622964_x000D_
EP0378916_x000D_
AT82526_x000D_
DE68903560_x000D_
DE68903560_x000D_
GR3006777_x000D_
ES2044151_x000D_
US5345021_x000D_
CN1027048_x000D_
RU2067024_x000D_
SU2067024_x000D_
IN178832_x000D_
KR100144466_x000D_
KR0144466_x000D_
NO303677_x000D_
JP2924911_x000D_
CA2006542_x000D_
DK173894</t>
  </si>
  <si>
    <t>D0_x000D_
D0_x000D_
D0_x000D_
A1_x000D_
A_x000D_
A_x000D_
A_x000D_
A_x000D_
A_x000D_
A1_x000D_
A_x000D_
B_x000D_
A_x000D_
B2_x000D_
B1_x000D_
T_x000D_
D1_x000D_
T2_x000D_
T3_x000D_
T3_x000D_
A_x000D_
C_x000D_
C1_x000D_
C1_x000D_
B_x000D_
D1_x000D_
B1_x000D_
B1_x000D_
B2_x000D_
C_x000D_
B1</t>
  </si>
  <si>
    <t>GB8829923</t>
  </si>
  <si>
    <t>1988-12-22</t>
  </si>
  <si>
    <t>B01J-029/04_x000D_
B01J-029/06_x000D_
B01J-029/076_x000D_
B01J-029/70_x000D_
B01J-029/74_x000D_
B01J-029/76_x000D_
B01J-029/80_x000D_
B01J-029/89_x000D_
C01B-033/40_x000D_
C01B-039/00_x000D_
C01B-039/02_x000D_
C01B-039/04_x000D_
C01B-039/10_x000D_
C01B-039/12_x000D_
C01B-039/24_x000D_
C01B-039/26_x000D_
C01B-039/46_x000D_
C07B-061/00_x000D_
C07C-001/24_x000D_
C07C-002/00_x000D_
C07C-002/66_x000D_
C07C-002/70_x000D_
C07C-002/84_x000D_
C07C-002/86_x000D_
C07C-004/06_x000D_
C07C-004/18_x000D_
C07C-005/27_x000D_
C07C-006/12_x000D_
C07C-009/00_x000D_
C07C-011/02_x000D_
C07C-015/02_x000D_
C07C-041/06_x000D_
C07C-043/04_x000D_
C07C-209/16_x000D_
C10G-011/05_x000D_
C10G-045/64_x000D_
C10G-050/00</t>
  </si>
  <si>
    <t>(EP-378916)_x000D_
DEAD_x000D_
(US5041402)_x000D_
DEAD_x000D_
(US5345021)_x000D_
DEAD_x000D_
(GB8829923)_x000D_
DEAD_x000D_
(DE68903560)_x000D_
DEAD_x000D_
(JP2924911)_x000D_
DEAD_x000D_
(SU2067024)_x000D_
DEAD_x000D_
(ZA8909697)_x000D_
DEAD_x000D_
(AU-622964)_x000D_
DEAD_x000D_
(ATE082526)_x000D_
DEAD_x000D_
(GR3006777)_x000D_
DEAD_x000D_
(ES2044151)_x000D_
DEAD_x000D_
(CN1027048C)_x000D_
DEAD_x000D_
(IN-178832)_x000D_
DEAD_x000D_
(KR100144466)_x000D_
DEAD_x000D_
(NO-303677)_x000D_
DEAD_x000D_
(CA2006542)_x000D_
DEAD_x000D_
(DK-173894)_x000D_
DEAD</t>
  </si>
  <si>
    <t>60</t>
  </si>
  <si>
    <t>(EP-378916)_x000D_
1_x000D_
(EP-378916)_x000D_
1_x000D_
(US5041402)_x000D_
1_x000D_
(US5345021)_x000D_
1_x000D_
(JP2924911)_x000D_
1_x000D_
(CN1044052)_x000D_
1_x000D_
(CN1027048C)_x000D_
1_x000D_
(KR19900009135)_x000D_
1_x000D_
(CA2006542)_x000D_
1_x000D_
(CA2006542)_x000D_
1</t>
  </si>
  <si>
    <t>CA2005452_x000D_
AU4693289_x000D_
EP0375286_x000D_
US4939314_x000D_
JPH02222489_x000D_
AU633531_x000D_
EP0375286_x000D_
DE68915258_x000D_
DE68915258</t>
  </si>
  <si>
    <t>A1_x000D_
A_x000D_
A1_x000D_
A_x000D_
A_x000D_
B2_x000D_
B1_x000D_
D1_x000D_
T2</t>
  </si>
  <si>
    <t>CA2005452</t>
  </si>
  <si>
    <t>1988-12-19</t>
  </si>
  <si>
    <t>B01J-029/90_x000D_
C07C-002/00_x000D_
C07C-002/12_x000D_
C10G-035/14_x000D_
C10G-050/00_x000D_
C10G-050/02</t>
  </si>
  <si>
    <t>(EP-375286)_x000D_
DEAD_x000D_
(US4939314)_x000D_
DEAD_x000D_
(DE68915258)_x000D_
DEAD_x000D_
(JP02222489)_x000D_
DEAD_x000D_
(CA2005452)_x000D_
DEAD_x000D_
(AU-633531)_x000D_
DEAD</t>
  </si>
  <si>
    <t>(EP-375286)_x000D_
2_x000D_
(EP-375286)_x000D_
2_x000D_
(US4939314)_x000D_
3_x000D_
(CA2005452)_x000D_
2</t>
  </si>
  <si>
    <t>US4814535_x000D_
AU2697688_x000D_
NZ227218_x000D_
DD283415_x000D_
AU617730</t>
  </si>
  <si>
    <t>A_x000D_
A_x000D_
A_x000D_
A5_x000D_
B2</t>
  </si>
  <si>
    <t>US04814535</t>
  </si>
  <si>
    <t>1987-12-15</t>
  </si>
  <si>
    <t>(US4814535)_x000D_
DEAD_x000D_
(NZ-227218)_x000D_
DEAD_x000D_
(DD-283415)_x000D_
DEAD_x000D_
(AU-617730)_x000D_
DEAD</t>
  </si>
  <si>
    <t>(US4814535)_x000D_
3</t>
  </si>
  <si>
    <t>US4814536_x000D_
AU2697588_x000D_
AR240055_x000D_
NZ227217_x000D_
DD289554_x000D_
AU618044</t>
  </si>
  <si>
    <t>A_x000D_
A_x000D_
A1_x000D_
A_x000D_
A5_x000D_
B2</t>
  </si>
  <si>
    <t>US04814536</t>
  </si>
  <si>
    <t>(US4814536)_x000D_
DEAD_x000D_
(AR-240055)_x000D_
DEAD_x000D_
(NZ-227217)_x000D_
DEAD_x000D_
(DD-289554)_x000D_
DEAD_x000D_
(AU-618044)_x000D_
DEAD</t>
  </si>
  <si>
    <t>(US4814536)_x000D_
3</t>
  </si>
  <si>
    <t>US4854939</t>
  </si>
  <si>
    <t>US04854939</t>
  </si>
  <si>
    <t>C10G-003/00_x000D_
C10G-035/095_x000D_
C10L-001/02</t>
  </si>
  <si>
    <t>(US4854939)_x000D_
1</t>
  </si>
  <si>
    <t>US4709114_x000D_
CA1286321</t>
  </si>
  <si>
    <t>A_x000D_
C</t>
  </si>
  <si>
    <t>US04709114</t>
  </si>
  <si>
    <t>1985-06-27</t>
  </si>
  <si>
    <t>B01J-029/70_x000D_
C01B-039/48_x000D_
C07C-001/20_x000D_
C07C-002/66_x000D_
C07C-005/27_x000D_
C07C-006/12_x000D_
C07C-011/02_x000D_
C07C-015/02</t>
  </si>
  <si>
    <t>(US4709114)_x000D_
DEAD_x000D_
(CA1286321)_x000D_
DEAD</t>
  </si>
  <si>
    <t>(US4709114)_x000D_
2_x000D_
(CA1286321)_x000D_
1</t>
  </si>
  <si>
    <t>US4590321_x000D_
JPS61285287_x000D_
EP0205300_x000D_
AU5527386_x000D_
US4665251_x000D_
EP0205300_x000D_
ZA8602537_x000D_
CA1262363_x000D_
CA1262363_x000D_
AU595508_x000D_
EP0205300_x000D_
DE3680034</t>
  </si>
  <si>
    <t>A_x000D_
A_x000D_
A2_x000D_
A_x000D_
A_x000D_
A3_x000D_
B_x000D_
A_x000D_
C_x000D_
B2_x000D_
B1_x000D_
D1</t>
  </si>
  <si>
    <t>US04590321</t>
  </si>
  <si>
    <t>1985-06-12</t>
  </si>
  <si>
    <t>B01J-029/00_x000D_
B01J-029/40_x000D_
C07C-001/20_x000D_
C07C-002/00_x000D_
C10G-035/095</t>
  </si>
  <si>
    <t>(EP-205300)_x000D_
DEAD_x000D_
(US4590321)_x000D_
DEAD_x000D_
(US4665251)_x000D_
DEAD_x000D_
(DE3680034)_x000D_
DEAD_x000D_
(JP61285287)_x000D_
DEAD_x000D_
(ZA8602537)_x000D_
DEAD_x000D_
(CA1262363)_x000D_
DEAD_x000D_
(AU-595508)_x000D_
DEAD</t>
  </si>
  <si>
    <t>41</t>
  </si>
  <si>
    <t>(EP-205300)_x000D_
1_x000D_
(EP-205300)_x000D_
1_x000D_
(US4590321)_x000D_
1_x000D_
(US4665251)_x000D_
1_x000D_
(CA1262363)_x000D_
2</t>
  </si>
  <si>
    <t>EP0148038_x000D_
US4708857_x000D_
EP0148038_x000D_
EP0148038_x000D_
DE3485493</t>
  </si>
  <si>
    <t>A2_x000D_
A_x000D_
A3_x000D_
B1_x000D_
D1</t>
  </si>
  <si>
    <t>EP0148038</t>
  </si>
  <si>
    <t>1983-07-26</t>
  </si>
  <si>
    <t>CENTRE DE RECHERCHE INDUSTRIELLE DU QUEBEC</t>
  </si>
  <si>
    <t>B01J-029/88_x000D_
C01B-035/10_x000D_
C01B-039/36_x000D_
C10G-002/00_x000D_
C10G-003/00</t>
  </si>
  <si>
    <t>(EP-148038)_x000D_
DEAD_x000D_
(US4708857)_x000D_
DEAD_x000D_
(DE3485493)_x000D_
DEAD</t>
  </si>
  <si>
    <t>(EP-148038)_x000D_
3_x000D_
(EP-148038)_x000D_
3_x000D_
(US4708857)_x000D_
1</t>
  </si>
  <si>
    <t>AU3162484_x000D_
EP0134058_x000D_
ZA8406063_x000D_
JPS6053592_x000D_
EP0134058_x000D_
US4579988_x000D_
AU565365_x000D_
CA1231104_x000D_
EP0134058_x000D_
DE3471473_x000D_
JPH0645788_x000D_
JP1919897</t>
  </si>
  <si>
    <t>A_x000D_
A2_x000D_
B_x000D_
A_x000D_
A3_x000D_
A_x000D_
B2_x000D_
A_x000D_
B1_x000D_
D1_x000D_
B2_x000D_
C</t>
  </si>
  <si>
    <t>AU3162484</t>
  </si>
  <si>
    <t>1983-08-08</t>
  </si>
  <si>
    <t>SHELL_x000D_
SHELL CANADA_x000D_
SHELL INTERNATIONALE RESEARCH</t>
  </si>
  <si>
    <t>B01J-021/00_x000D_
B01J-021/16_x000D_
B01J-029/87_x000D_
B01J-029/88_x000D_
C07B-061/00_x000D_
C07C-001/00_x000D_
C07C-002/00_x000D_
C07C-002/76_x000D_
C07C-015/02_x000D_
C07C-067/00_x000D_
C10G-035/06_x000D_
C10G-045/68_x000D_
C10G-050/00_x000D_
C10G-057/02</t>
  </si>
  <si>
    <t>(EP-134058)_x000D_
DEAD_x000D_
(US4579988)_x000D_
DEAD_x000D_
(DE3471473)_x000D_
DEAD_x000D_
(JP1919897)_x000D_
DEAD_x000D_
(ZA8406063)_x000D_
DEAD_x000D_
(AU-565365)_x000D_
DEAD_x000D_
(CA1231104)_x000D_
DEAD</t>
  </si>
  <si>
    <t>(EP-134058)_x000D_
1_x000D_
(EP-134058)_x000D_
1_x000D_
(US4579988)_x000D_
1_x000D_
(JP94045788)_x000D_
4_x000D_
(CA1231104)_x000D_
1</t>
  </si>
  <si>
    <t>NO842857_x000D_
EP0131975_x000D_
EP0131975_x000D_
ES534244_x000D_
ES8702479_x000D_
NZ208878_x000D_
EP0131975_x000D_
AT36725_x000D_
DE3473611_x000D_
NO164841_x000D_
NO164841</t>
  </si>
  <si>
    <t>A_x000D_
A2_x000D_
A3_x000D_
A0_x000D_
A1_x000D_
A_x000D_
B1_x000D_
T_x000D_
D1_x000D_
B_x000D_
C</t>
  </si>
  <si>
    <t>NO842857</t>
  </si>
  <si>
    <t>1983-07-14</t>
  </si>
  <si>
    <t>SHELL INTERNATIONALE RESEARCH</t>
  </si>
  <si>
    <t>B01J-037/04_x000D_
C10G-035/06_x000D_
C10G-035/095</t>
  </si>
  <si>
    <t>(EP-131975)_x000D_
DEAD_x000D_
(DE3473611)_x000D_
DEAD_x000D_
(ES8702479)_x000D_
DEAD_x000D_
(NZ-208878)_x000D_
DEAD_x000D_
(ATE036725)_x000D_
DEAD_x000D_
(NO-164841)_x000D_
DEAD</t>
  </si>
  <si>
    <t>(EP-131975)_x000D_
1_x000D_
(EP-131975)_x000D_
1</t>
  </si>
  <si>
    <t>DE3221936</t>
  </si>
  <si>
    <t>1982-06-11</t>
  </si>
  <si>
    <t>CHEVRON RESEARCH</t>
  </si>
  <si>
    <t>C10G-035/095_x000D_
C10G-059/02</t>
  </si>
  <si>
    <t>(DE3221936)_x000D_
5</t>
  </si>
  <si>
    <t>EP0095851_x000D_
JPS58214346_x000D_
US4441990_x000D_
EP0095851_x000D_
DE3368533_x000D_
JPH0420665_x000D_
JP1887840</t>
  </si>
  <si>
    <t>A1_x000D_
A_x000D_
A_x000D_
B1_x000D_
D1_x000D_
B2_x000D_
C</t>
  </si>
  <si>
    <t>EP0095851</t>
  </si>
  <si>
    <t>1982-05-28</t>
  </si>
  <si>
    <t>B01J-029/06_x000D_
B01J-029/40_x000D_
B01J-035/02_x000D_
C07B-061/00_x000D_
C07C-001/00_x000D_
C07C-001/20_x000D_
C07C-002/12_x000D_
C07C-002/66_x000D_
C07C-005/08_x000D_
C07C-005/27_x000D_
C07C-006/12_x000D_
C07C-015/02_x000D_
C07C-015/073_x000D_
C07C-015/08_x000D_
C07C-067/00_x000D_
C10C-003/00_x000D_
C10G-003/00_x000D_
C10G-011/00_x000D_
C10G-011/05_x000D_
C10G-045/64</t>
  </si>
  <si>
    <t>(EP--95851)_x000D_
DEAD_x000D_
(US4441990)_x000D_
DEAD_x000D_
(DE3368533)_x000D_
DEAD_x000D_
(JP1887840)_x000D_
DEAD</t>
  </si>
  <si>
    <t>(EP--95851)_x000D_
2_x000D_
(EP--95851)_x000D_
1_x000D_
(US4441990)_x000D_
2</t>
  </si>
  <si>
    <t>GB8312144_x000D_
JPS58191786_x000D_
DE3316320_x000D_
AU1418583_x000D_
JPS58192836_x000D_
JPS58194737_x000D_
GB2122591_x000D_
GB2122591_x000D_
CA1210749_x000D_
JPS624327_x000D_
JPS624438_x000D_
AU562665_x000D_
JP1395281_x000D_
US4698449_x000D_
DE3316320</t>
  </si>
  <si>
    <t>D0_x000D_
A_x000D_
A1_x000D_
A_x000D_
A_x000D_
A_x000D_
A_x000D_
B_x000D_
A_x000D_
B2_x000D_
B2_x000D_
B2_x000D_
C_x000D_
A_x000D_
C2</t>
  </si>
  <si>
    <t>GB8312144</t>
  </si>
  <si>
    <t>1982-05-04</t>
  </si>
  <si>
    <t>COSMO OIL_x000D_
MITSUBISHI HEAVY INDUSTRIES_x000D_
RESEARCH ASS PETROLEUM ALTERNAT DEVELOPMENT_x000D_
RESEARCH ASSOCIATION FOR PETROLEUM ALTERNATIVES DEVELOPMENT TOKIO TOKYO_x000D_
SHINNENRYOYU KAIHATSU GIJUTSU_x000D_
SHINNENRYOYU KAIHATSU GIJUTSU KENKYU KUMIAI</t>
  </si>
  <si>
    <t>B01J-021/00_x000D_
B01J-021/16_x000D_
B01J-029/00_x000D_
B01J-029/04_x000D_
B01J-029/06_x000D_
B01J-029/80_x000D_
B01J-029/88_x000D_
B01J-029/89_x000D_
C01B-033/20_x000D_
C01B-039/04_x000D_
C07B-061/00_x000D_
C07C-001/00_x000D_
C07C-001/04_x000D_
C07C-001/20_x000D_
C07C-001/24_x000D_
C07C-002/12_x000D_
C07C-002/66_x000D_
C07C-005/22_x000D_
C07C-005/27_x000D_
C07C-006/12_x000D_
C07C-009/14_x000D_
C07C-015/00_x000D_
C07C-015/02_x000D_
C07C-015/073_x000D_
C07C-015/08_x000D_
C07C-067/00_x000D_
C10G-002/00_x000D_
C10G-003/00</t>
  </si>
  <si>
    <t>(US4698449)_x000D_
DEAD_x000D_
(GB2122591)_x000D_
DEAD_x000D_
(DE3316320)_x000D_
DEAD_x000D_
(JP58192836)_x000D_
DEAD_x000D_
(JP87004327)_x000D_
DEAD_x000D_
(JP1395281)_x000D_
DEAD_x000D_
(CA1210749)_x000D_
DEAD_x000D_
(AU-562665)_x000D_
DEAD</t>
  </si>
  <si>
    <t>18</t>
  </si>
  <si>
    <t>(US4698449)_x000D_
1_x000D_
(GB2122591)_x000D_
4_x000D_
(CA1210749)_x000D_
1</t>
  </si>
  <si>
    <t>DD211037_x000D_
CS8300697</t>
  </si>
  <si>
    <t>A3_x000D_
A1</t>
  </si>
  <si>
    <t>DD211037</t>
  </si>
  <si>
    <t>1982-02-23</t>
  </si>
  <si>
    <t>LEUNA WERKE_x000D_
ONDERKA ERIKA</t>
  </si>
  <si>
    <t>B01J-029/06_x000D_
C07C-001/00_x000D_
C07C-015/02</t>
  </si>
  <si>
    <t>(DD-211037)_x000D_
DEAD_x000D_
(CS8300697)_x000D_
DEAD</t>
  </si>
  <si>
    <t>US4429176_x000D_
US4522929_x000D_
AU2294483_x000D_
EP0148540_x000D_
JPS60153944_x000D_
CA1207734_x000D_
US4663492_x000D_
AU566588_x000D_
EP0148540_x000D_
DE3477746_x000D_
JPH0512024_x000D_
JP1804076</t>
  </si>
  <si>
    <t>A_x000D_
A_x000D_
A_x000D_
A1_x000D_
A_x000D_
A_x000D_
A_x000D_
B2_x000D_
B1_x000D_
D1_x000D_
B2_x000D_
C</t>
  </si>
  <si>
    <t>US04429176</t>
  </si>
  <si>
    <t>1982-02-08</t>
  </si>
  <si>
    <t>B01J-029/40_x000D_
B01J-037/10_x000D_
C07B-061/00_x000D_
C07C-001/00_x000D_
C07C-002/00_x000D_
C07C-002/42_x000D_
C07C-002/76_x000D_
C07C-005/27_x000D_
C07C-006/12_x000D_
C07C-015/02_x000D_
C07C-015/08_x000D_
C07C-067/00</t>
  </si>
  <si>
    <t>(EP-148540)_x000D_
DEAD_x000D_
(US4429176)_x000D_
DEAD_x000D_
(US4522929)_x000D_
DEAD_x000D_
(US4663492)_x000D_
DEAD_x000D_
(DE3477746)_x000D_
DEAD_x000D_
(JP1804076)_x000D_
DEAD_x000D_
(CA1207734)_x000D_
DEAD_x000D_
(AU-566588)_x000D_
DEAD</t>
  </si>
  <si>
    <t>28</t>
  </si>
  <si>
    <t>(EP-148540)_x000D_
3_x000D_
(EP-148540)_x000D_
1_x000D_
(US4429176)_x000D_
2_x000D_
(US4522929)_x000D_
1_x000D_
(US4663492)_x000D_
4_x000D_
(CA1207734)_x000D_
3</t>
  </si>
  <si>
    <t>DE3143045_x000D_
EP0091508_x000D_
EP0091508_x000D_
EP0091508_x000D_
DE3272178</t>
  </si>
  <si>
    <t>A1_x000D_
A2_x000D_
A3_x000D_
B1_x000D_
D1</t>
  </si>
  <si>
    <t>DE3143045</t>
  </si>
  <si>
    <t>1981-10-30</t>
  </si>
  <si>
    <t>BASF</t>
  </si>
  <si>
    <t>B01J-029/04_x000D_
B01J-029/86_x000D_
C01B-035/12_x000D_
C01B-039/36_x000D_
C07C-001/20_x000D_
C07C-015/00</t>
  </si>
  <si>
    <t>(EP--91508)_x000D_
DEAD_x000D_
(DE3143045)_x000D_
DEAD_x000D_
(DE3272178)_x000D_
DEAD</t>
  </si>
  <si>
    <t>(EP--91508)_x000D_
2_x000D_
(EP--91508)_x000D_
1_x000D_
(DE3143045)_x000D_
2</t>
  </si>
  <si>
    <t>DK458881_x000D_
NO813481_x000D_
AU7635381_x000D_
EP0050499_x000D_
JPS5796086_x000D_
EP0050499_x000D_
ZA8107004_x000D_
CA1158586_x000D_
US4444652_x000D_
EP0050499_x000D_
DE3169580_x000D_
AU544220_x000D_
IN157106_x000D_
JPH0148958_x000D_
NO163236_x000D_
NO163236_x000D_
JP1563226</t>
  </si>
  <si>
    <t>A_x000D_
A_x000D_
A_x000D_
A2_x000D_
A_x000D_
A3_x000D_
B_x000D_
A_x000D_
A_x000D_
B1_x000D_
D1_x000D_
B2_x000D_
B_x000D_
B2_x000D_
B_x000D_
C_x000D_
C</t>
  </si>
  <si>
    <t>DK458881</t>
  </si>
  <si>
    <t>1980-10-17</t>
  </si>
  <si>
    <t>BP_x000D_
BURITEITSUSHU PITOROORIAMU</t>
  </si>
  <si>
    <t>(EP--50499)_x000D_
DEAD_x000D_
(US4444652)_x000D_
DEAD_x000D_
(DE3169580)_x000D_
DEAD_x000D_
(JP1563226)_x000D_
DEAD_x000D_
(DK8104588)_x000D_
DEAD_x000D_
(ZA8107004)_x000D_
DEAD_x000D_
(CA1158586)_x000D_
DEAD_x000D_
(AU-544220)_x000D_
DEAD_x000D_
(IN-157106)_x000D_
DEAD_x000D_
(NO-163236)_x000D_
DEAD</t>
  </si>
  <si>
    <t>(EP--50499)_x000D_
1_x000D_
(EP--50499)_x000D_
1_x000D_
(US4444652)_x000D_
1_x000D_
(CA1158586)_x000D_
1</t>
  </si>
  <si>
    <t>JPS5857494_x000D_
DE3236093_x000D_
AU8867482_x000D_
CA1175073</t>
  </si>
  <si>
    <t>A_x000D_
A1_x000D_
A_x000D_
A</t>
  </si>
  <si>
    <t>JPS5857494</t>
  </si>
  <si>
    <t>1981-09-29</t>
  </si>
  <si>
    <t>TOYO ENGINEERING</t>
  </si>
  <si>
    <t>B01J-029/00_x000D_
B01J-037/04_x000D_
C07C-001/00_x000D_
C07C-001/04_x000D_
C07C-015/02_x000D_
C07C-067/00_x000D_
C10G-002/00</t>
  </si>
  <si>
    <t>(DE3236093)_x000D_
DEAD_x000D_
(JP58057494)_x000D_
DEAD_x000D_
(AU8288674)_x000D_
DEAD_x000D_
(CA1175073)_x000D_
DEAD</t>
  </si>
  <si>
    <t>(DE3236093)_x000D_
3_x000D_
(CA1175073)_x000D_
2</t>
  </si>
  <si>
    <t>AU7131481_x000D_
GB2077709_x000D_
GB2077709_x000D_
NZ197291_x000D_
AU542052_x000D_
US4741891_x000D_
US4836996_x000D_
US4876412_x000D_
US5098685</t>
  </si>
  <si>
    <t>A_x000D_
A_x000D_
B_x000D_
A_x000D_
B2_x000D_
A_x000D_
A_x000D_
A_x000D_
A</t>
  </si>
  <si>
    <t>AU7131481</t>
  </si>
  <si>
    <t>1980-06-12</t>
  </si>
  <si>
    <t>ICI - IMPERIAL CHEMICAL INDUSTRIES</t>
  </si>
  <si>
    <t>B01J-029/70_x000D_
B01J-031/02_x000D_
C01B-035/00_x000D_
C01B-035/10_x000D_
C01B-037/02_x000D_
C01B-039/48_x000D_
C01G-017/00_x000D_
C01G-049/00_x000D_
C07C-001/20_x000D_
C07C-001/24_x000D_
C07C-011/06_x000D_
C07C-015/00</t>
  </si>
  <si>
    <t>(US4741891)_x000D_
DEAD_x000D_
(US4836996)_x000D_
DEAD_x000D_
(US4876412)_x000D_
DEAD_x000D_
(US5098685)_x000D_
DEAD_x000D_
(GB2077709)_x000D_
DEAD_x000D_
(NZ-197291)_x000D_
DEAD_x000D_
(AU-542052)_x000D_
DEAD</t>
  </si>
  <si>
    <t>33</t>
  </si>
  <si>
    <t>(US4741891)_x000D_
1_x000D_
(US4836996)_x000D_
1_x000D_
(US4876412)_x000D_
2_x000D_
(US5098685)_x000D_
1_x000D_
(GB2077709)_x000D_
1</t>
  </si>
  <si>
    <t>JPS57196719_x000D_
JPH0249246</t>
  </si>
  <si>
    <t>JPS57196719</t>
  </si>
  <si>
    <t>1981-05-26</t>
  </si>
  <si>
    <t>SHINNENRYOYU KAIHATSU GIJUTSU KENKYU KUMIAI</t>
  </si>
  <si>
    <t>B01J-029/00_x000D_
B01J-029/70_x000D_
B01J-029/88_x000D_
B01J-029/89_x000D_
C01B-039/04_x000D_
C01B-039/06_x000D_
C07B-061/00_x000D_
C07C-001/00_x000D_
C07C-001/20_x000D_
C07C-002/42_x000D_
C07C-002/66_x000D_
C07C-002/76_x000D_
C07C-002/86_x000D_
C07C-006/12_x000D_
C07C-015/02_x000D_
C07C-067/00</t>
  </si>
  <si>
    <t>JPS57196718_x000D_
JPH0249245</t>
  </si>
  <si>
    <t>JPS57196718</t>
  </si>
  <si>
    <t>B01J-029/00_x000D_
B01J-029/04_x000D_
B01J-029/88_x000D_
B01J-029/89_x000D_
C01B-033/20_x000D_
C01B-039/04_x000D_
C01B-039/06_x000D_
C01B-039/08_x000D_
C07B-061/00_x000D_
C07C-001/00_x000D_
C07C-001/20_x000D_
C07C-002/42_x000D_
C07C-002/66_x000D_
C07C-002/86_x000D_
C07C-006/12_x000D_
C07C-015/02_x000D_
C07C-067/00</t>
  </si>
  <si>
    <t>US4323481</t>
  </si>
  <si>
    <t>US04323481</t>
  </si>
  <si>
    <t>1981-02-26</t>
  </si>
  <si>
    <t>STANDARD OIL</t>
  </si>
  <si>
    <t>B01J-029/18_x000D_
B01J-029/22_x000D_
B01J-029/65_x000D_
C01B-039/02_x000D_
C01B-039/44_x000D_
C07C-005/27_x000D_
C10G-035/095_x000D_
C10G-047/16</t>
  </si>
  <si>
    <t>(US4323481)_x000D_
1</t>
  </si>
  <si>
    <t>US4327236</t>
  </si>
  <si>
    <t>US04327236</t>
  </si>
  <si>
    <t>1979-07-03</t>
  </si>
  <si>
    <t>B01J-029/86_x000D_
C07C-005/27</t>
  </si>
  <si>
    <t>(US4327236)_x000D_
4</t>
  </si>
  <si>
    <t>AU6980581_x000D_
EP0039996_x000D_
GB2075357_x000D_
JPS574231_x000D_
CA1154737_x000D_
EP0039996_x000D_
DE3161305_x000D_
AU535752</t>
  </si>
  <si>
    <t>A_x000D_
A1_x000D_
A_x000D_
A_x000D_
A_x000D_
B1_x000D_
D1_x000D_
B2</t>
  </si>
  <si>
    <t>AU6980581</t>
  </si>
  <si>
    <t>1980-05-09</t>
  </si>
  <si>
    <t>COAL INDUSTRY</t>
  </si>
  <si>
    <t>B01J-021/06_x000D_
B01J-021/12_x000D_
B01J-035/10_x000D_
B01J-037/02_x000D_
B01J-037/03_x000D_
C07C-001/00_x000D_
C07C-001/04_x000D_
C07C-001/20_x000D_
C07C-001/207_x000D_
C07C-011/02_x000D_
C07C-067/00_x000D_
C10G-003/00</t>
  </si>
  <si>
    <t>(EP--39996)_x000D_
DEAD_x000D_
(GB2075357)_x000D_
DEAD_x000D_
(DE3161305)_x000D_
DEAD_x000D_
(JP57004231)_x000D_
DEAD_x000D_
(CA1154737)_x000D_
DEAD_x000D_
(AU-535752)_x000D_
DEAD</t>
  </si>
  <si>
    <t>(EP--39996)_x000D_
2_x000D_
(EP--39996)_x000D_
2_x000D_
(GB2075357)_x000D_
2_x000D_
(CA1154737)_x000D_
2</t>
  </si>
  <si>
    <t>AU7010381_x000D_
EP0039964_x000D_
NL8002582_x000D_
JPS572222_x000D_
BR8102713_x000D_
ZA8102936_x000D_
NZ196997_x000D_
CA1157484_x000D_
EP0039964_x000D_
DE3162594_x000D_
AU543699_x000D_
JPH0113453</t>
  </si>
  <si>
    <t>A_x000D_
A1_x000D_
A_x000D_
A_x000D_
A_x000D_
B_x000D_
A_x000D_
A_x000D_
B1_x000D_
D1_x000D_
B2_x000D_
B2</t>
  </si>
  <si>
    <t>AU7010381</t>
  </si>
  <si>
    <t>1980-05-06</t>
  </si>
  <si>
    <t>SHELL_x000D_
SHELL CANADA_x000D_
SHELL INTERNATIONALE RESEARCH_x000D_
SHELL INTERNATIONALE RESEARCH MAATSCHAPPIJ</t>
  </si>
  <si>
    <t>B01J-023/00_x000D_
B01J-023/745_x000D_
B01J-029/06_x000D_
B01J-029/88_x000D_
C07B-061/00_x000D_
C07C-001/00_x000D_
C07C-001/04_x000D_
C07C-015/00_x000D_
C07C-067/00_x000D_
C10G-002/00</t>
  </si>
  <si>
    <t>(EP--39964)_x000D_
DEAD_x000D_
(DE3162594)_x000D_
DEAD_x000D_
(JP89013453)_x000D_
DEAD_x000D_
(NL8002582)_x000D_
DEAD_x000D_
(BR8102713)_x000D_
DEAD_x000D_
(ZA8102936)_x000D_
DEAD_x000D_
(NZ-196997)_x000D_
DEAD_x000D_
(CA1157484)_x000D_
DEAD_x000D_
(AU-543699)_x000D_
DEAD</t>
  </si>
  <si>
    <t>(EP--39964)_x000D_
1_x000D_
(EP--39964)_x000D_
1_x000D_
(CA1157484)_x000D_
1</t>
  </si>
  <si>
    <t>EP0037982_x000D_
DE3014637_x000D_
JPS56160317</t>
  </si>
  <si>
    <t>EP0037982</t>
  </si>
  <si>
    <t>1980-04-16</t>
  </si>
  <si>
    <t>BAYER</t>
  </si>
  <si>
    <t>B01J-029/00_x000D_
B01J-029/06_x000D_
C01B-039/04_x000D_
C01B-039/06_x000D_
C01B-039/38_x000D_
C01B-039/40_x000D_
C07C-001/00_x000D_
C07C-001/20_x000D_
C07C-002/00_x000D_
C07C-002/42_x000D_
C07C-002/66_x000D_
C07C-005/27_x000D_
C07C-006/12_x000D_
C07C-015/00_x000D_
C07C-015/02_x000D_
C07C-067/00</t>
  </si>
  <si>
    <t>(EP--37982)_x000D_
DEAD_x000D_
(DE3014637)_x000D_
DEAD_x000D_
(JP56160317)_x000D_
DEAD</t>
  </si>
  <si>
    <t>(EP--37982)_x000D_
1_x000D_
(DE3014637)_x000D_
1</t>
  </si>
  <si>
    <t>EP0037983_x000D_
DE3014636_x000D_
JPS56161837</t>
  </si>
  <si>
    <t>EP0037983</t>
  </si>
  <si>
    <t>B01J-029/06_x000D_
B01J-029/40_x000D_
C01B-039/00_x000D_
C01B-039/04_x000D_
C01B-039/06_x000D_
C01B-039/36_x000D_
C01B-039/38_x000D_
C01B-039/40_x000D_
C01B-039/42_x000D_
C07B-061/00_x000D_
C07C-001/00_x000D_
C07C-001/20_x000D_
C07C-002/00_x000D_
C07C-002/42_x000D_
C07C-002/66_x000D_
C07C-005/27_x000D_
C07C-006/12_x000D_
C07C-009/12_x000D_
C07C-015/00_x000D_
C07C-015/02_x000D_
C07C-067/00</t>
  </si>
  <si>
    <t>(EP--37983)_x000D_
DEAD_x000D_
(DE3014636)_x000D_
DEAD_x000D_
(JP56161837)_x000D_
DEAD</t>
  </si>
  <si>
    <t>(EP--37983)_x000D_
1_x000D_
(DE3014636)_x000D_
2</t>
  </si>
  <si>
    <t>US4268420_x000D_
US4292458_x000D_
US4292457</t>
  </si>
  <si>
    <t>US04268420</t>
  </si>
  <si>
    <t>1978-04-18</t>
  </si>
  <si>
    <t>HARTWIG HARTOGLASS_x000D_
STANDARD OIL</t>
  </si>
  <si>
    <t>B01J-029/86_x000D_
C07C-001/20_x000D_
C07C-002/66_x000D_
C07C-005/27_x000D_
C07C-009/12</t>
  </si>
  <si>
    <t>(US4268420)_x000D_
DEAD_x000D_
(US4292457)_x000D_
DEAD_x000D_
(US4292458)_x000D_
DEAD</t>
  </si>
  <si>
    <t>69</t>
  </si>
  <si>
    <t xml:space="preserve">(US4268420)_x000D_
3_x000D_
(US4292458)_x000D_
5_x000D_
</t>
  </si>
  <si>
    <t>PT69798_x000D_
LU81416_x000D_
IL57583_x000D_
IE791168_x000D_
SE7905453_x000D_
DK243279_x000D_
NO854781_x000D_
NL7904908_x000D_
NO792058_x000D_
GB2023562_x000D_
AU4823379_x000D_
DE2924870_x000D_
FR2429041_x000D_
PL216528_x000D_
ES482160_x000D_
DD144397_x000D_
PH14502_x000D_
PL118729_x000D_
DD151877_x000D_
RO78794_x000D_
CA1131206_x000D_
EG13897_x000D_
GB2023562_x000D_
YU148579_x000D_
IL57583_x000D_
IN151533_x000D_
FR2429041_x000D_
AU531124_x000D_
GR72245_x000D_
ATA438179_x000D_
AT374770_x000D_
SE8403138_x000D_
SE8403138_x000D_
CH645076_x000D_
IE48184_x000D_
DE2924870_x000D_
TR21702_x000D_
SE439437_x000D_
YU40370_x000D_
DK155176_x000D_
DK155176_x000D_
NL188787_x000D_
NL188787</t>
  </si>
  <si>
    <t>A_x000D_
A1_x000D_
A_x000D_
L_x000D_
L_x000D_
A_x000D_
A_x000D_
A_x000D_
A_x000D_
A_x000D_
A_x000D_
A1_x000D_
A1_x000D_
A1_x000D_
A1_x000D_
A5_x000D_
A_x000D_
B1_x000D_
A5_x000D_
A_x000D_
A_x000D_
A_x000D_
B_x000D_
A_x000D_
B_x000D_
B_x000D_
B1_x000D_
B2_x000D_
B_x000D_
A_x000D_
B_x000D_
D0_x000D_
L_x000D_
A5_x000D_
B1_x000D_
C2_x000D_
A_x000D_
B_x000D_
B_x000D_
B_x000D_
C_x000D_
B_x000D_
C</t>
  </si>
  <si>
    <t>PT69798</t>
  </si>
  <si>
    <t>1978-06-22</t>
  </si>
  <si>
    <t>SNAM PROGETTI</t>
  </si>
  <si>
    <t>B01J-021/08_x000D_
B01J-021/12_x000D_
B01J-029/06_x000D_
B01J-029/70_x000D_
C01B-033/12_x000D_
C01B-033/26_x000D_
C01B-039/02_x000D_
C07C-001/20_x000D_
C07C-002/54_x000D_
C07C-002/58_x000D_
C07C-002/66_x000D_
C07C-002/86_x000D_
C07C-009/14_x000D_
C07C-015/00_x000D_
C07C-015/02_x000D_
C07C-041/09</t>
  </si>
  <si>
    <t>(GB2023562)_x000D_
DEAD_x000D_
(FR2429041)_x000D_
DEAD_x000D_
(DE2924870)_x000D_
DEAD_x000D_
(CH-645076)_x000D_
DEAD_x000D_
(PT--69798)_x000D_
DEAD_x000D_
(LU--81416)_x000D_
DEAD_x000D_
(NO7902058)_x000D_
DEAD_x000D_
(NO8504781)_x000D_
DEAD_x000D_
(ES-482160)_x000D_
DEAD_x000D_
(DD-144397)_x000D_
DEAD_x000D_
(PH--14502)_x000D_
DEAD_x000D_
(PL-118729)_x000D_
DEAD_x000D_
(DD-151877)_x000D_
DEAD_x000D_
(RO--78794)_x000D_
DEAD_x000D_
(CA1131206)_x000D_
DEAD_x000D_
(EG--13897)_x000D_
DEAD_x000D_
(IL--57583)_x000D_
DEAD_x000D_
(IN-151533)_x000D_
DEAD_x000D_
(AU-531124)_x000D_
DEAD_x000D_
(GR--72245)_x000D_
DEAD_x000D_
(AT-374770)_x000D_
DEAD_x000D_
(SE8403138)_x000D_
DEAD_x000D_
(IE--48184)_x000D_
DEAD_x000D_
(TR--21702)_x000D_
DEAD_x000D_
(SE-439437)_x000D_
DEAD_x000D_
(YU--40370)_x000D_
DEAD_x000D_
(DK-155176C)_x000D_
DEAD_x000D_
(NL-188787)_x000D_
DEAD</t>
  </si>
  <si>
    <t>19</t>
  </si>
  <si>
    <t>(GB2023562)_x000D_
3_x000D_
(FR2429041)_x000D_
2_x000D_
(DE2924870)_x000D_
1_x000D_
(CA1131206)_x000D_
2</t>
  </si>
  <si>
    <t>PT69799_x000D_
LU81415_x000D_
IL57582_x000D_
IE791169_x000D_
SE7905452_x000D_
DK240379_x000D_
NL7904909_x000D_
NO792059_x000D_
DE2924915_x000D_
AU4787479_x000D_
GB2024790_x000D_
FR2429182_x000D_
PL216527_x000D_
DD144398_x000D_
ES482161_x000D_
ES8101921_x000D_
GR66589_x000D_
PL118686_x000D_
GB2078704_x000D_
AR225417_x000D_
GB2024790_x000D_
YU148479_x000D_
EG13934_x000D_
GB2078704_x000D_
PH15865_x000D_
IN151534_x000D_
RO78795_x000D_
RO78795_x000D_
AU531123_x000D_
IL57582_x000D_
CA1155824_x000D_
DE2924915_x000D_
HU181955_x000D_
TR21215_x000D_
CH643803_x000D_
SE8403805_x000D_
SE8403805_x000D_
FR2429182_x000D_
IE48198_x000D_
DK593084_x000D_
DK593084_x000D_
ATA438279_x000D_
SE445521_x000D_
BG39638_x000D_
DK149839_x000D_
AT381483_x000D_
DK149839_x000D_
US4656016_x000D_
NO156125_x000D_
US4666692_x000D_
NO156125_x000D_
SE8803722_x000D_
SE8803722_x000D_
SE8803721_x000D_
SE8803721_x000D_
JPH01275417_x000D_
JPH0230612_x000D_
JPH0217482_x000D_
JPH0223481_x000D_
SE462845_x000D_
JP1597452_x000D_
JP1601551_x000D_
SE464249_x000D_
SE464248_x000D_
DK3692_x000D_
DK3692_x000D_
DK3592_x000D_
DK3592_x000D_
DK165174_x000D_
DK165173_x000D_
DK164813_x000D_
DK165174_x000D_
DK165173_x000D_
DK166245_x000D_
NL190144_x000D_
NL190144</t>
  </si>
  <si>
    <t>A_x000D_
A1_x000D_
A_x000D_
L_x000D_
L_x000D_
A_x000D_
A_x000D_
A_x000D_
A1_x000D_
A_x000D_
A_x000D_
A1_x000D_
A1_x000D_
A5_x000D_
A0_x000D_
A1_x000D_
B_x000D_
B1_x000D_
A_x000D_
A1_x000D_
B_x000D_
A_x000D_
A_x000D_
B_x000D_
A_x000D_
B_x000D_
B_x000D_
A_x000D_
B2_x000D_
B_x000D_
A_x000D_
C2_x000D_
B_x000D_
A_x000D_
A5_x000D_
D0_x000D_
L_x000D_
B1_x000D_
B1_x000D_
A_x000D_
D0_x000D_
A_x000D_
B_x000D_
A3_x000D_
B_x000D_
B_x000D_
C_x000D_
A_x000D_
B_x000D_
A_x000D_
C_x000D_
D0_x000D_
L_x000D_
D0_x000D_
L_x000D_
A_x000D_
A_x000D_
B2_x000D_
B2_x000D_
B_x000D_
C_x000D_
C_x000D_
B_x000D_
B_x000D_
A_x000D_
D0_x000D_
A_x000D_
D0_x000D_
B_x000D_
B_x000D_
C_x000D_
C_x000D_
C_x000D_
B_x000D_
B_x000D_
C</t>
  </si>
  <si>
    <t>PT69799</t>
  </si>
  <si>
    <t>B01J-020/10_x000D_
B01J-021/08_x000D_
B01J-029/04_x000D_
B01J-029/86_x000D_
C01B-033/00_x000D_
C01B-033/02_x000D_
C01B-033/12_x000D_
C01B-033/20_x000D_
C01B-035/10_x000D_
C01B-035/12_x000D_
C01B-039/00_x000D_
C01B-039/04_x000D_
C01B-039/08_x000D_
C01B-039/12_x000D_
C07B-061/00_x000D_
C07C-001/00_x000D_
C07C-001/20_x000D_
C07C-002/66_x000D_
C07C-002/86_x000D_
C07C-015/067_x000D_
C07C-027/00_x000D_
C07C-029/10_x000D_
C07C-029/128_x000D_
C07C-031/04_x000D_
C07C-067/00</t>
  </si>
  <si>
    <t>(US4656016)_x000D_
DEAD_x000D_
(US4666692)_x000D_
DEAD_x000D_
(GB2024790)_x000D_
DEAD_x000D_
(GB2078704)_x000D_
DEAD_x000D_
(FR2429182)_x000D_
DEAD_x000D_
(DE2924915)_x000D_
DEAD_x000D_
(CH-643803)_x000D_
DEAD_x000D_
(JP1597452)_x000D_
DEAD_x000D_
(JP1601551)_x000D_
DEAD_x000D_
(PT--69799)_x000D_
DEAD_x000D_
(LU--81415)_x000D_
DEAD_x000D_
(DD-144398)_x000D_
DEAD_x000D_
(ES8101921)_x000D_
DEAD_x000D_
(GR--66589)_x000D_
DEAD_x000D_
(PL-118686)_x000D_
DEAD_x000D_
(AR-225417)_x000D_
DEAD_x000D_
(YU7901484)_x000D_
DEAD_x000D_
(EG--13934)_x000D_
DEAD_x000D_
(PH--15865)_x000D_
DEAD_x000D_
(IN-151534)_x000D_
DEAD_x000D_
(RO--78795)_x000D_
DEAD_x000D_
(AU-531123)_x000D_
DEAD_x000D_
(IL--57582)_x000D_
DEAD_x000D_
(CA1155824)_x000D_
DEAD_x000D_
(HU-181955)_x000D_
DEAD_x000D_
(TR--21215)_x000D_
DEAD_x000D_
(IE--48198)_x000D_
DEAD_x000D_
(SE-445521)_x000D_
DEAD_x000D_
(BG--39638)_x000D_
DEAD_x000D_
(AT-381483)_x000D_
DEAD_x000D_
(DK-149839C)_x000D_
DEAD_x000D_
(NO-156125)_x000D_
DEAD_x000D_
(SE-462845)_x000D_
DEAD_x000D_
(SE-464248)_x000D_
DEAD_x000D_
(SE-464249)_x000D_
DEAD_x000D_
(DK-165173)_x000D_
DEAD_x000D_
(DK-165174)_x000D_
DEAD_x000D_
(DK-165173C)_x000D_
DEAD_x000D_
(DK-165174C)_x000D_
DEAD_x000D_
(DK-166245)_x000D_
DEAD_x000D_
(NL-190144)_x000D_
DEAD</t>
  </si>
  <si>
    <t>130</t>
  </si>
  <si>
    <t>(US4656016)_x000D_
3_x000D_
(US4666692)_x000D_
2_x000D_
(GB2024790)_x000D_
3_x000D_
(GB2078704)_x000D_
3_x000D_
(FR2429182)_x000D_
1_x000D_
(DE2924915)_x000D_
2_x000D_
(CA1155824)_x000D_
1</t>
  </si>
  <si>
    <t>US4197214_x000D_
JPS5551440_x000D_
EP0009917_x000D_
AU5118179_x000D_
ZA7905395_x000D_
EP0009917_x000D_
DE2961703_x000D_
NZ191568_x000D_
CA1129393_x000D_
AU531633_x000D_
JPS624175</t>
  </si>
  <si>
    <t>A_x000D_
A_x000D_
A1_x000D_
A_x000D_
B_x000D_
B1_x000D_
D1_x000D_
A_x000D_
A_x000D_
B2_x000D_
B2</t>
  </si>
  <si>
    <t>US04197214</t>
  </si>
  <si>
    <t>1978-10-10</t>
  </si>
  <si>
    <t>MOBIL OIL_x000D_
WEEKMAN VERN W</t>
  </si>
  <si>
    <t>B01J-029/06_x000D_
B01J-029/90_x000D_
B01J-038/12_x000D_
C01B-039/20_x000D_
C01B-039/26_x000D_
C01B-039/30_x000D_
C01B-039/36_x000D_
C01B-039/38_x000D_
C01B-039/42_x000D_
C01B-039/44_x000D_
C10G-002/00_x000D_
C10G-003/00_x000D_
C10G-011/00</t>
  </si>
  <si>
    <t>(EP---9917)_x000D_
DEAD_x000D_
(US4197214)_x000D_
DEAD_x000D_
(DE2961703)_x000D_
DEAD_x000D_
(JP87004175)_x000D_
DEAD_x000D_
(ZA7905395)_x000D_
DEAD_x000D_
(NZ-191568)_x000D_
DEAD_x000D_
(CA1129393)_x000D_
DEAD_x000D_
(AU-531633)_x000D_
DEAD</t>
  </si>
  <si>
    <t>(EP---9917)_x000D_
1_x000D_
(EP---9917)_x000D_
1_x000D_
(US4197214)_x000D_
1_x000D_
(CA1129393)_x000D_
1</t>
  </si>
  <si>
    <t>IT7923055_x000D_
NL7805841_x000D_
JPS54156013_x000D_
DE2921601_x000D_
FR2427375_x000D_
GB2023167_x000D_
GB2023167_x000D_
CA1142118_x000D_
FR2427375_x000D_
IT1121519_x000D_
JPS6320877_x000D_
DE2921601_x000D_
JP1474447</t>
  </si>
  <si>
    <t>D0_x000D_
A_x000D_
A_x000D_
A1_x000D_
A1_x000D_
A_x000D_
B_x000D_
A_x000D_
B1_x000D_
B_x000D_
B2_x000D_
C2_x000D_
C</t>
  </si>
  <si>
    <t>IT7923055</t>
  </si>
  <si>
    <t>1978-05-30</t>
  </si>
  <si>
    <t>SHELL CANADA_x000D_
SHELL INTERNATIONALE RESEARCH_x000D_
SHELL INTERNATIONALE RESEARCH MAATSCHAPPIJ</t>
  </si>
  <si>
    <t>B01J-029/04_x000D_
B01J-029/87_x000D_
B01J-029/88_x000D_
C10G-011/00_x000D_
C10G-011/04_x000D_
C10G-011/05_x000D_
C10G-035/06_x000D_
C10L-001/06</t>
  </si>
  <si>
    <t>(GB2023167)_x000D_
DEAD_x000D_
(FR2427375)_x000D_
DEAD_x000D_
(DE2921601)_x000D_
DEAD_x000D_
(JP1474447)_x000D_
DEAD_x000D_
(NL7805841)_x000D_
DEAD_x000D_
(CA1142118)_x000D_
DEAD_x000D_
(IT1121519)_x000D_
DEAD</t>
  </si>
  <si>
    <t>(GB2023167)_x000D_
1_x000D_
(FR2427375)_x000D_
2_x000D_
(CA1142118)_x000D_
1</t>
  </si>
  <si>
    <t>IT7922934_x000D_
NL7805671_x000D_
DE2920956_x000D_
JPS54153805_x000D_
GB2021636_x000D_
FR2426729_x000D_
US4244807_x000D_
GB2021636_x000D_
CA1138364_x000D_
IT1115233_x000D_
JPS6158112_x000D_
JP1389381_x000D_
FR2426729_x000D_
DE2920956</t>
  </si>
  <si>
    <t>D0_x000D_
A_x000D_
A1_x000D_
A_x000D_
A_x000D_
A1_x000D_
A_x000D_
B_x000D_
A_x000D_
B_x000D_
B2_x000D_
C_x000D_
B1_x000D_
C2</t>
  </si>
  <si>
    <t>IT7922934</t>
  </si>
  <si>
    <t>1978-05-25</t>
  </si>
  <si>
    <t>B01J-029/04_x000D_
B01J-029/87_x000D_
B01J-029/88_x000D_
C10G-035/06_x000D_
C10G-035/095_x000D_
C10G-059/02</t>
  </si>
  <si>
    <t>(US4244807)_x000D_
DEAD_x000D_
(GB2021636)_x000D_
DEAD_x000D_
(FR2426729)_x000D_
DEAD_x000D_
(DE2920956)_x000D_
DEAD_x000D_
(JP1389381)_x000D_
DEAD_x000D_
(NL7805671)_x000D_
DEAD_x000D_
(CA1138364)_x000D_
DEAD_x000D_
(IT1115233)_x000D_
DEAD</t>
  </si>
  <si>
    <t>(US4244807)_x000D_
1_x000D_
(GB2021636)_x000D_
4_x000D_
(FR2426729)_x000D_
2_x000D_
(CA1138364)_x000D_
1</t>
  </si>
  <si>
    <t>US4788365</t>
  </si>
  <si>
    <t>MOBIL OIL ([US])</t>
  </si>
  <si>
    <t>US4885421</t>
  </si>
  <si>
    <t>NZ226970</t>
  </si>
  <si>
    <t>EP0320158</t>
  </si>
  <si>
    <t>ZA8808909</t>
  </si>
  <si>
    <t>DE3872678</t>
  </si>
  <si>
    <t>D1</t>
  </si>
  <si>
    <t>WO2011020194</t>
  </si>
  <si>
    <t>UNIVERSITY SHERBROOKE ([CA])</t>
  </si>
  <si>
    <t>C10G-035/06_x000D_
B01J-021/00_x000D_
B01J-037/02_x000D_
B01J-037/04</t>
  </si>
  <si>
    <t>EP2467454</t>
  </si>
  <si>
    <t>C01B-003/32_x000D_
B01J-021/00_x000D_
B01J-021/06_x000D_
B01J-023/00_x000D_
B01J-023/755_x000D_
B01J-023/83_x000D_
B01J-035/00_x000D_
B01J-035/02_x000D_
B01J-037/02_x000D_
B01J-037/04_x000D_
B01J-037/08_x000D_
C01B-003/40</t>
  </si>
  <si>
    <t>A4</t>
  </si>
  <si>
    <t>US20120273728</t>
  </si>
  <si>
    <t>UTI PARTNERSHIP BY ITS GENERAL PARTNER UNIVERSITY TECHNOLOGIES INTERNATIONAL ([CA])</t>
  </si>
  <si>
    <t>B01J-021/06_x000D_
B01J-021/12_x000D_
B01J-037/04_x000D_
C10J-003/72</t>
  </si>
  <si>
    <t>US20150069300</t>
  </si>
  <si>
    <t>C10J-003/72</t>
  </si>
  <si>
    <t>WO2010104581</t>
  </si>
  <si>
    <t>A2</t>
  </si>
  <si>
    <t>EXXONMOBIL ([US])</t>
  </si>
  <si>
    <t>C10G-029/20_x000D_
B01J-029/70_x000D_
C07C-002/66_x000D_
C10L-001/06_x000D_
C10L-001/16</t>
  </si>
  <si>
    <t>A3</t>
  </si>
  <si>
    <t>EP2408880</t>
  </si>
  <si>
    <t>C10G-035/06</t>
  </si>
  <si>
    <t>BRPI1009400</t>
  </si>
  <si>
    <t>C07C-002/66_x000D_
C10G-029/20_x000D_
C10L-001/06</t>
  </si>
  <si>
    <t>C</t>
  </si>
  <si>
    <t>US20100300930</t>
  </si>
  <si>
    <t>EXXONMOBIL RESEARCH &amp; ENGINEERING</t>
  </si>
  <si>
    <t>C07C-002/64</t>
  </si>
  <si>
    <t>US8395006</t>
  </si>
  <si>
    <t>B2</t>
  </si>
  <si>
    <t>AU2010223041</t>
  </si>
  <si>
    <t>EXXONMOBIL</t>
  </si>
  <si>
    <t>MX2011009373</t>
  </si>
  <si>
    <t>KR20120002586</t>
  </si>
  <si>
    <t>C07C-002/66_x000D_
C10G-035/06_x000D_
C10L-001/04</t>
  </si>
  <si>
    <t>KR101474599</t>
  </si>
  <si>
    <t>CN102625823</t>
  </si>
  <si>
    <t>JP2012520376</t>
  </si>
  <si>
    <t>C10G-050/00</t>
  </si>
  <si>
    <t>JP5636382</t>
  </si>
  <si>
    <t>IN6831/DELNP/2011</t>
  </si>
  <si>
    <t>C01G-035/06_x000D_
C10G-029/20_x000D_
B01J-029/70_x000D_
C10L-001/06_x000D_
C10L-001/16_x000D_
C07C-002/66</t>
  </si>
  <si>
    <t>IN294685</t>
  </si>
  <si>
    <t>TH120308</t>
  </si>
  <si>
    <t>RU2011139641</t>
  </si>
  <si>
    <t>C07C-002/66_x000D_
C10G-035/06</t>
  </si>
  <si>
    <t>RU2515525</t>
  </si>
  <si>
    <t>ZA201106630</t>
  </si>
  <si>
    <t>C10G_x000D_
B01J_x000D_
C07C_x000D_
C10L</t>
  </si>
  <si>
    <t>OOO SINTON ([RU])</t>
  </si>
  <si>
    <t>RU2425091</t>
  </si>
  <si>
    <t>C10G-003/00_x000D_
C07C-041/06_x000D_
C10G-029/20_x000D_
C10G-050/00_x000D_
C10L-001/02_x000D_
C10L-001/06</t>
  </si>
  <si>
    <t>EP0414800</t>
  </si>
  <si>
    <t>AU3688589</t>
  </si>
  <si>
    <t>AU625062</t>
  </si>
  <si>
    <t>US4886925</t>
  </si>
  <si>
    <t>US4957709</t>
  </si>
  <si>
    <t>C07C-041/06_x000D_
C10G-029/20_x000D_
C10G-050/00_x000D_
C10L-001/02_x000D_
C10L-001/06</t>
  </si>
  <si>
    <t>JPH03504136</t>
  </si>
  <si>
    <t>ZA8903236</t>
  </si>
  <si>
    <t>WO2010011958</t>
  </si>
  <si>
    <t>CONOCOPHILLIPS ([US])</t>
  </si>
  <si>
    <t>EP2313193</t>
  </si>
  <si>
    <t>CA2731837</t>
  </si>
  <si>
    <t>C07C-001/20_x000D_
B01J-029/40_x000D_
B01J-037/28_x000D_
C10G-003/00</t>
  </si>
  <si>
    <t>CONOCOPHILLIPS</t>
  </si>
  <si>
    <t>US20100041932</t>
  </si>
  <si>
    <t>C07C-001/20</t>
  </si>
  <si>
    <t>US8450545</t>
  </si>
  <si>
    <t>CN102131579</t>
  </si>
  <si>
    <t>IN0565/DELNP/2011</t>
  </si>
  <si>
    <t>RU2011106922</t>
  </si>
  <si>
    <t>B01J-023/28</t>
  </si>
  <si>
    <t>WO2011071755</t>
  </si>
  <si>
    <t>C10G-003/00_x000D_
C07C-001/20_x000D_
C10G-050/00</t>
  </si>
  <si>
    <t>C10G-050/00_x000D_
C07C-001/20</t>
  </si>
  <si>
    <t>US20110152594</t>
  </si>
  <si>
    <t>C07C-001/20_x000D_
C07C-002/12_x000D_
C07C-009/14_x000D_
C07C-009/22_x000D_
C10G-003/00_x000D_
C10G-050/00</t>
  </si>
  <si>
    <t>US9090525</t>
  </si>
  <si>
    <t>CN102725379</t>
  </si>
  <si>
    <t>KR20120123305</t>
  </si>
  <si>
    <t>EXXONMOBIL RESEARCH &amp; ENGINEERING ([US])</t>
  </si>
  <si>
    <t>C10G-003/00_x000D_
B01J-008/00_x000D_
C07C-001/20_x000D_
C10G-050/00</t>
  </si>
  <si>
    <t>TH126631</t>
  </si>
  <si>
    <t>RU2012126402</t>
  </si>
  <si>
    <t>IN4844DEN2012</t>
  </si>
  <si>
    <t>SCIENTIFIC ENGINEERING CENTER ZEOCIT ([RU])</t>
  </si>
  <si>
    <t>C10G-035/095_x000D_
B01J-029/46_x000D_
C07C-001/20_x000D_
C10G-003/00_x000D_
C10G-050/00</t>
  </si>
  <si>
    <t>EA003249</t>
  </si>
  <si>
    <t>RU2163624</t>
  </si>
  <si>
    <t>NINTS TSEOSIT OB EDINENNOGO_x000D_
INSTITUTE KATALIZA SO RAN</t>
  </si>
  <si>
    <t>FEDERAL GOSUDARSTVENNOE BYUDZHETNOE UCHREZHDENIE NATSIONALNYJ ISSLEDOVATELSKIJ TSENTR KURCHATOVSKIJ INSTITUTE ([RU])</t>
  </si>
  <si>
    <t>C07C-029/151_x000D_
C07C-001/20_x000D_
C07C-031/04_x000D_
C10G-003/00</t>
  </si>
  <si>
    <t>ОБЩЕСТВО С ОГРАНИЧЕННОЙ ОТВЕТСТВЕННОСТЬЮ НОВЫЕ ГАЗОВЫЕ ТЕХНОЛОГИИ СИНТЕЗ ([RU])</t>
  </si>
  <si>
    <t>C07C-002/86_x000D_
C07C-015/02_x000D_
C10G-035/04</t>
  </si>
  <si>
    <t>CA2958104</t>
  </si>
  <si>
    <t>NGT GLOBAL ([CH])</t>
  </si>
  <si>
    <t>EA201700105</t>
  </si>
  <si>
    <t>US20170233311</t>
  </si>
  <si>
    <t>C07C-002/86</t>
  </si>
  <si>
    <t>WO2016024883</t>
  </si>
  <si>
    <t>NGT SYNTHESIS ([RU])</t>
  </si>
  <si>
    <t>12</t>
  </si>
  <si>
    <t>EP3190098</t>
  </si>
  <si>
    <t>C07C-002/86_x000D_
C07C-015/06_x000D_
C07C-015/08_x000D_
C10G-003/00_x000D_
C10G-035/095</t>
  </si>
  <si>
    <t>IN201727005691</t>
  </si>
  <si>
    <t>NGT GLOBAL</t>
  </si>
  <si>
    <t>CN107001182</t>
  </si>
  <si>
    <t>NGT SYNTHESIS</t>
  </si>
  <si>
    <t>ZAKRITOE AKCHIONERNOE OBSCHEST ([RU])_x000D_
AVTONOMNAYA NEKOMMERCHESKAYA O ([RU])</t>
  </si>
  <si>
    <t>AU2002306421</t>
  </si>
  <si>
    <t>A8</t>
  </si>
  <si>
    <t>BARILCHUK MIKHAJLO ([UA])</t>
  </si>
  <si>
    <t>C10G-035/095_x000D_
C07C-015/00_x000D_
C10G-003/00_x000D_
C10L-001/04</t>
  </si>
  <si>
    <t>C07C-002/86_x000D_
B01J-029/48_x000D_
C07C-009/04_x000D_
C07C-009/14_x000D_
C07C-015/08_x000D_
C07C-031/04</t>
  </si>
  <si>
    <t>B01J-029/40_x000D_
B01J-013/02_x000D_
B01J-029/85_x000D_
B01J-029/89_x000D_
B01J-035/08_x000D_
B01J-035/10_x000D_
C07C-001/20_x000D_
C07C-011/02_x000D_
C07C-011/04_x000D_
C07C-011/06_x000D_
C07C-011/08_x000D_
C07C-015/00_x000D_
C07C-037/60_x000D_
C07C-039/04_x000D_
C07C-039/08_x000D_
C07C-249/04_x000D_
C07C-251/44</t>
  </si>
  <si>
    <t>B01J-029/04_x000D_
B01J_x000D_
B01J-029/89_x000D_
C01B_x000D_
C01B-033/20_x000D_
C01B-039/08_x000D_
C01B-039/46_x000D_
C10G_x000D_
C10G-035/00_x000D_
C10G-035/06_x000D_
C10G-035/095_x000D_
C10G-045/12</t>
  </si>
  <si>
    <t>IN171379</t>
  </si>
  <si>
    <t>EP0372133</t>
  </si>
  <si>
    <t>BR8900091</t>
  </si>
  <si>
    <t>ENGELHARD ([US])</t>
  </si>
  <si>
    <t>BRPI8900091</t>
  </si>
  <si>
    <t>AU2736188</t>
  </si>
  <si>
    <t>AU623357</t>
  </si>
  <si>
    <t>JPH02184516</t>
  </si>
  <si>
    <t>JP2693534</t>
  </si>
  <si>
    <t>US5011591</t>
  </si>
  <si>
    <t>AT84502</t>
  </si>
  <si>
    <t>T</t>
  </si>
  <si>
    <t>DE3877582</t>
  </si>
  <si>
    <t>T2</t>
  </si>
  <si>
    <t>GR3007042</t>
  </si>
  <si>
    <t>T3</t>
  </si>
  <si>
    <t>ES2042770</t>
  </si>
  <si>
    <t>CA1330431</t>
  </si>
  <si>
    <t>B01J-029/80_x000D_
B01J-029/48_x000D_
C07C-002/86_x000D_
C07C-015/02_x000D_
C10G-035/095</t>
  </si>
  <si>
    <t>SAUDI ARABIAN OIL ([SA])_x000D_
ARAMCO SERVICES ([US])</t>
  </si>
  <si>
    <t>C10G-069/06_x000D_
C10G-007/06_x000D_
C10G-009/36_x000D_
C10G-021/00_x000D_
C10G-047/00_x000D_
C10G-067/00_x000D_
C10G-069/00_x000D_
C10G-069/08</t>
  </si>
  <si>
    <t>US20180155638</t>
  </si>
  <si>
    <t>SAUDI ARABIAN OIL ([SA])</t>
  </si>
  <si>
    <t>C10G-063/06_x000D_
B01D-003/10_x000D_
B01D-003/14_x000D_
C10G-007/00_x000D_
C10G-035/04_x000D_
C10G-069/14</t>
  </si>
  <si>
    <t>C10G-035/04_x000D_
C10G-007/06_x000D_
C10G-009/36_x000D_
C10G-021/00_x000D_
C10G-047/00_x000D_
C10G-069/08</t>
  </si>
  <si>
    <t>A9</t>
  </si>
  <si>
    <t>US20180155642</t>
  </si>
  <si>
    <t>C10G-069/08_x000D_
C07C-029/04_x000D_
C07C-031/12_x000D_
C10G-011/02</t>
  </si>
  <si>
    <t>C07C-001/20_x000D_
B01J-008/28_x000D_
C07C-015/04_x000D_
C07C-015/06_x000D_
C07C-015/08</t>
  </si>
  <si>
    <t>C01B-039/36_x000D_
B01J-029/40_x000D_
C07C-002/86_x000D_
C07C-015/02</t>
  </si>
  <si>
    <t>CNOOC TIANJIN CHEMICAL RESEARCH &amp; DESIGN INSTITUTE_x000D_
CNOOC - CHINA NATIONAL OFFSHORE OIL GROUP_x000D_
CNOOC ENERGY DEVELOPMENT</t>
  </si>
  <si>
    <t>UOP ([US])</t>
  </si>
  <si>
    <t>CN108602054</t>
  </si>
  <si>
    <t>CN108472635</t>
  </si>
  <si>
    <t>CN108495711</t>
  </si>
  <si>
    <t>B01J-029/84_x000D_
B01J-020/04_x000D_
B01J-020/30_x000D_
B01J-037/00_x000D_
B01J-037/04_x000D_
B01J-037/06_x000D_
B01J-037/10_x000D_
B01J-039/02_x000D_
B01J-039/12_x000D_
C01B-039/54</t>
  </si>
  <si>
    <t>WO2017204993</t>
  </si>
  <si>
    <t>CN108602052</t>
  </si>
  <si>
    <t>ASAHI KASEI</t>
  </si>
  <si>
    <t>C07C-001/20_x000D_
C07B-061/00_x000D_
C07C-002/42_x000D_
C07C-015/02_x000D_
C07C-015/04_x000D_
C07C-015/06_x000D_
C07C-015/067</t>
  </si>
  <si>
    <t>JPWO2017187873</t>
  </si>
  <si>
    <t>C07C-001/20_x000D_
C07C-015/04_x000D_
C07C-015/06_x000D_
C07C-015/067</t>
  </si>
  <si>
    <t>TW201739509</t>
  </si>
  <si>
    <t>ASAHI CHEMICAL INDUSTRY ([JP])</t>
  </si>
  <si>
    <t>B01J-021/08_x000D_
B01J-008/24_x000D_
B01J-029/40_x000D_
C07C-001/20_x000D_
C07C-002/42_x000D_
C07C-015/02_x000D_
C07C-061/00</t>
  </si>
  <si>
    <t>TWI625163</t>
  </si>
  <si>
    <t>C10G-035/06_x000D_
C10G-003/00</t>
  </si>
  <si>
    <t>B01J-029/46_x000D_
B01J-029/40_x000D_
B01J-029/48_x000D_
C07C-001/20_x000D_
C07C-015/04_x000D_
C07C-015/06_x000D_
C07C-015/08</t>
  </si>
  <si>
    <t>PEPTID PRODUCTS ([RU])</t>
  </si>
  <si>
    <t>C10G-035/095_x000D_
B01J-029/42_x000D_
B01J-037/10</t>
  </si>
  <si>
    <t>WO2017155425</t>
  </si>
  <si>
    <t>AU2016396601</t>
  </si>
  <si>
    <t>PEPTID PRODUCTS</t>
  </si>
  <si>
    <t>BR112018067668</t>
  </si>
  <si>
    <t>CN108779399</t>
  </si>
  <si>
    <t>WO2017155431</t>
  </si>
  <si>
    <t>AU2017230031</t>
  </si>
  <si>
    <t>BR112018067640</t>
  </si>
  <si>
    <t>B01J-029/85_x000D_
B01J-037/08</t>
  </si>
  <si>
    <t>WO2017151864</t>
  </si>
  <si>
    <t>CN108698031</t>
  </si>
  <si>
    <t>B01J-029/85_x000D_
B01J-035/02_x000D_
B01J-037/00_x000D_
B01J-037/04_x000D_
B01J-037/06_x000D_
B01J-037/08_x000D_
B01J-037/30_x000D_
C01B-039/54</t>
  </si>
  <si>
    <t>WO2017151845</t>
  </si>
  <si>
    <t>CN108698030</t>
  </si>
  <si>
    <t>B01J-029/85_x000D_
B01J-035/02_x000D_
B01J-037/00_x000D_
B01J-037/04_x000D_
B01J-037/06_x000D_
B01J-037/30_x000D_
C01B-039/54</t>
  </si>
  <si>
    <t>WO2017151875</t>
  </si>
  <si>
    <t>CN108698029</t>
  </si>
  <si>
    <t>C01B-039/38_x000D_
B01J-029/40_x000D_
C07C-001/20_x000D_
C07C-015/02</t>
  </si>
  <si>
    <t>C10G-003/00_x000D_
C07C-029/152_x000D_
C07C-041/09_x000D_
C10G-035/095_x000D_
C10L-001/06</t>
  </si>
  <si>
    <t>WO2017139491</t>
  </si>
  <si>
    <t>PRIMUS GREEN ENERGY ([US])</t>
  </si>
  <si>
    <t>B01J-008/04_x000D_
B01J-019/24_x000D_
C07C-001/06_x000D_
C07C-029/153_x000D_
C07C-041/14_x000D_
C10G-003/00_x000D_
C10L-001/02_x000D_
C10L-001/04</t>
  </si>
  <si>
    <t>HALDOR TOPSOE ([DK])</t>
  </si>
  <si>
    <t>C07C-001/20_x000D_
B01J-027/14_x000D_
C10G-035/00</t>
  </si>
  <si>
    <t>CA3006025</t>
  </si>
  <si>
    <t>CA3006031</t>
  </si>
  <si>
    <t>WO2017093342</t>
  </si>
  <si>
    <t>WO2017093335</t>
  </si>
  <si>
    <t>WO2017093338</t>
  </si>
  <si>
    <t>BR112018010901</t>
  </si>
  <si>
    <t>C07C-001/20_x000D_
C10G-035/00_x000D_
B01J-027/14</t>
  </si>
  <si>
    <t>BR112018010929</t>
  </si>
  <si>
    <t>BR112018010896</t>
  </si>
  <si>
    <t>US20180304240</t>
  </si>
  <si>
    <t>B01J-029/40_x000D_
B01J-021/12_x000D_
B01J-023/00_x000D_
B01J-023/06_x000D_
B01J-037/00_x000D_
B01J-037/02_x000D_
B01J-037/08_x000D_
C07C-001/20</t>
  </si>
  <si>
    <t>CN108290803</t>
  </si>
  <si>
    <t>CN108290802</t>
  </si>
  <si>
    <t>CN108290801</t>
  </si>
  <si>
    <t>UNIVERSITY OF XIAMEN_x000D_
SHANGHAI NEW UNITY ENERGY TECHNOLOGY</t>
  </si>
  <si>
    <t>C07C-015/04_x000D_
C07C-001/20_x000D_
C07C-015/02_x000D_
C07C-015/06_x000D_
C07C-015/08</t>
  </si>
  <si>
    <t>C01B-039/40_x000D_
B01J-029/40_x000D_
B01J-035/10_x000D_
C01B-039/04_x000D_
C01B-039/24_x000D_
C07C-001/24_x000D_
C07C-015/00_x000D_
C07C-015/08</t>
  </si>
  <si>
    <t>EXXONMOBIL CHEMICAL ([US])</t>
  </si>
  <si>
    <t>B01J-029/40_x000D_
C07C-001/20_x000D_
C07C-002/42_x000D_
C07C-005/333_x000D_
C07C-005/393_x000D_
C07C-015/08_x000D_
C10G-011/02</t>
  </si>
  <si>
    <t>US20180044260</t>
  </si>
  <si>
    <t>C07C-001/20_x000D_
B01J-029/40_x000D_
C07C-005/333_x000D_
C07C-005/41</t>
  </si>
  <si>
    <t>US10059638</t>
  </si>
  <si>
    <t>SG11201707462T</t>
  </si>
  <si>
    <t>CN107428628</t>
  </si>
  <si>
    <t>C07C-001/20_x000D_
C07C-002/42_x000D_
C07C-005/333_x000D_
C07C-005/393_x000D_
C07C-011/02_x000D_
C07C-015/02_x000D_
C07C-015/08</t>
  </si>
  <si>
    <t>C07C-001/20_x000D_
B01J-029/40_x000D_
B01J-029/46_x000D_
B01J-029/48_x000D_
C07C-015/02</t>
  </si>
  <si>
    <t>FEDERAL GOSUDARSTVENNOE BYUDZHETNOE UCHREZHDENIE NAUKI ORDENA TRUDOVOGO KRASNOGO ZNAMENI INSTITUTE NEFTEKHIMI ([RU])</t>
  </si>
  <si>
    <t>CA2973639</t>
  </si>
  <si>
    <t>C10G-003/00_x000D_
C07C-001/20</t>
  </si>
  <si>
    <t>WO2016116612</t>
  </si>
  <si>
    <t>WO2016116611</t>
  </si>
  <si>
    <t>AU2016208486</t>
  </si>
  <si>
    <t>AU2016208485</t>
  </si>
  <si>
    <t>EA201791636</t>
  </si>
  <si>
    <t>EA201791631</t>
  </si>
  <si>
    <t>US20180002610</t>
  </si>
  <si>
    <t>C10G-003/00_x000D_
B01J-029/40_x000D_
C07C-001/20_x000D_
C07C-009/08_x000D_
C07C-009/10_x000D_
C07C-029/141_x000D_
C07C-031/04</t>
  </si>
  <si>
    <t>US20180022673</t>
  </si>
  <si>
    <t>C07C-029/141_x000D_
C07C-001/20_x000D_
C07C-009/08_x000D_
C07C-009/10_x000D_
C10G-003/00</t>
  </si>
  <si>
    <t>BR112017014356</t>
  </si>
  <si>
    <t>BR112017015408</t>
  </si>
  <si>
    <t>CN107206365</t>
  </si>
  <si>
    <t>B01J-029/40_x000D_
C10G-003/00</t>
  </si>
  <si>
    <t>MX2017009128</t>
  </si>
  <si>
    <t>MX2017009129</t>
  </si>
  <si>
    <t>IN201717028989</t>
  </si>
  <si>
    <t>IN201717028988</t>
  </si>
  <si>
    <t>CN107635952</t>
  </si>
  <si>
    <t>C07C-001/20_x000D_
B01J-029/40_x000D_
C07C-009/08_x000D_
C07C-009/10_x000D_
C07C-029/141_x000D_
C07C-031/04_x000D_
C10G-003/00</t>
  </si>
  <si>
    <t>CNOOC - CHINA NATIONAL OFFSHORE OIL GROUP_x000D_
CNOOC TIANJIN CHEMICAL RESEARCH &amp; DESIGN INSTITUTE_x000D_
CNOOC ENERGY DEVELOPMENT</t>
  </si>
  <si>
    <t>C07C-001/20_x000D_
B01J-029/40_x000D_
B01J-029/80_x000D_
C07C-002/76_x000D_
C07C-011/02_x000D_
C07C-015/02</t>
  </si>
  <si>
    <t>US9732283</t>
  </si>
  <si>
    <t>SHENHUA_x000D_
NATIONAL INSTITUTE OF CLEAN &amp; LOW CARBON ENERGY</t>
  </si>
  <si>
    <t>C01B-039/40_x000D_
B01J-029/40_x000D_
C07C-001/20_x000D_
C07C-006/06_x000D_
C07C-011/02_x000D_
C07C-015/02</t>
  </si>
  <si>
    <t>CHINA UNIVERSITY OF PETROLEUM EAST CHINA_x000D_
BEIJING DONGFANG HONGSHENG NEW ENERGY APPLICATIONTECHNOLOGY INSTITUTE</t>
  </si>
  <si>
    <t>C07C-001/20_x000D_
B01J-029/80_x000D_
C07C-015/02_x000D_
C10L-001/04</t>
  </si>
  <si>
    <t>B01J-029/44_x000D_
B01J-029/40_x000D_
C07C-001/20_x000D_
C07C-015/02</t>
  </si>
  <si>
    <t>BELJAEV ANDREJ JUR EVICH ([RU])_x000D_
VILENSKIJ LEONID MIKHAJLOVICH ([RU])_x000D_
LISHCHINER IOSIF IZRAILEVICH ([RU])_x000D_
MALOVA OL GA VASIL EVNA ([RU])_x000D_
TARASOV ANDREJ LEONIDOVICH ([RU])</t>
  </si>
  <si>
    <t>C01B-035/06_x000D_
B01D-009/00_x000D_
B01D-053/04_x000D_
B01J-019/02</t>
  </si>
  <si>
    <t>US9669378</t>
  </si>
  <si>
    <t>US20150265996</t>
  </si>
  <si>
    <t>B01J-019/02_x000D_
B01D-009/00_x000D_
B01D-053/04_x000D_
C01B-035/06_x000D_
C10G-065/04</t>
  </si>
  <si>
    <t>US10010853</t>
  </si>
  <si>
    <t>WO2015142942</t>
  </si>
  <si>
    <t>MATHESON TRI GAS ([US])</t>
  </si>
  <si>
    <t>B01D-003/34_x000D_
C01B-033/035_x000D_
C01B-035/06_x000D_
C01B-035/18</t>
  </si>
  <si>
    <t>TW201536680</t>
  </si>
  <si>
    <t>C01B-035/06_x000D_
B01D-005/00_x000D_
B01D-053/00_x000D_
B01D-053/04_x000D_
B01D-053/22_x000D_
B01J-008/06_x000D_
B01J-019/24</t>
  </si>
  <si>
    <t>TWI555705</t>
  </si>
  <si>
    <t>KR20160126061</t>
  </si>
  <si>
    <t>C01B-035/10_x000D_
B01D-009/00_x000D_
B01D-053/04_x000D_
C01B-033/10_x000D_
C01B-035/06</t>
  </si>
  <si>
    <t>CN106163628</t>
  </si>
  <si>
    <t>TIANJIN FUSHENG DYE PLANT_x000D_
HEBEI PETROCHEMICAL HONGTIAN PETROCHEMICAL</t>
  </si>
  <si>
    <t>C10G-035/095_x000D_
C07C-001/20_x000D_
C07C-002/12_x000D_
C07C-002/76_x000D_
C07C-002/86_x000D_
C07C-015/02_x000D_
C10G-063/02</t>
  </si>
  <si>
    <t>WO2015147700</t>
  </si>
  <si>
    <t>EA201600667</t>
  </si>
  <si>
    <t>EP3124576</t>
  </si>
  <si>
    <t>C10G-035/095_x000D_
C07C-001/20_x000D_
C07C-002/12_x000D_
C07C-002/76_x000D_
C07C-002/86_x000D_
C07C-015/02_x000D_
C10G-003/00_x000D_
C10G-045/68_x000D_
C10G-063/02</t>
  </si>
  <si>
    <t>US20170145317</t>
  </si>
  <si>
    <t>C10G-003/00_x000D_
C10G-063/02</t>
  </si>
  <si>
    <t>WO2015094698</t>
  </si>
  <si>
    <t>C07C-001/20_x000D_
C07C-015/02_x000D_
C10G-003/00</t>
  </si>
  <si>
    <t>WO2015094697</t>
  </si>
  <si>
    <t>C07C-015/08_x000D_
C07C-001/20_x000D_
C07C-015/02_x000D_
C10G-003/00</t>
  </si>
  <si>
    <t>C07C-015/08_x000D_
B01J-029/40_x000D_
B01J-029/48_x000D_
C07C-001/20_x000D_
C07C-002/86</t>
  </si>
  <si>
    <t>C07C-015/04_x000D_
B01J-029/40_x000D_
B01J-029/46_x000D_
B01J-029/80_x000D_
C07C-001/20_x000D_
C07C-015/06_x000D_
C07C-015/08</t>
  </si>
  <si>
    <t>C07C-015/02_x000D_
B01J-029/40_x000D_
B01J-029/48_x000D_
C07C-002/86_x000D_
C07C-004/00</t>
  </si>
  <si>
    <t>B01J-029/80_x000D_
B01J-029/40_x000D_
B01J-029/48_x000D_
C07C-001/20_x000D_
C07C-015/02</t>
  </si>
  <si>
    <t>C07C-015/08_x000D_
B01J-029/40_x000D_
C07C-002/86</t>
  </si>
  <si>
    <t>C07C-001/20_x000D_
B01J-029/40_x000D_
B01J-029/48_x000D_
C07C-015/04_x000D_
C07C-015/06_x000D_
C07C-015/08</t>
  </si>
  <si>
    <t>SHANXI FEISHI TECHNOLOGY_x000D_
SEDIN ENGINEERING</t>
  </si>
  <si>
    <t>C07C-015/02_x000D_
C07C-001/20_x000D_
C07C-002/76_x000D_
C07C-011/02_x000D_
C07C-015/04_x000D_
C07C-015/06_x000D_
C07C-015/08</t>
  </si>
  <si>
    <t>C07C-015/00_x000D_
C07C-001/20_x000D_
C07C-002/76_x000D_
C07C-031/04_x000D_
C10G-003/00</t>
  </si>
  <si>
    <t>WO2015112056</t>
  </si>
  <si>
    <t>EP3098213</t>
  </si>
  <si>
    <t>EA201600532</t>
  </si>
  <si>
    <t>US20170001922</t>
  </si>
  <si>
    <t>C07C-001/20_x000D_
B01J-029/46_x000D_
C01B-003/38_x000D_
C07C-029/151_x000D_
C10G-003/00</t>
  </si>
  <si>
    <t>CN106029613</t>
  </si>
  <si>
    <t>MALOVA OL GA VASIL EVNA ([RU])_x000D_
LISHCHINER IOSIF IZRAILEVICH ([RU])_x000D_
TARASOV ANDREJ LEONIDOVICH ([RU])</t>
  </si>
  <si>
    <t>B01J-029/40_x000D_
B01J-021/10_x000D_
B01J-021/12_x000D_
B01J-023/10_x000D_
B01J-029/80_x000D_
C01C-001/20</t>
  </si>
  <si>
    <t>CA2945839</t>
  </si>
  <si>
    <t>B01J-029/40_x000D_
B01J-021/06_x000D_
B01J-021/10_x000D_
B01J-023/10_x000D_
B01J-029/80_x000D_
C10G-035/095</t>
  </si>
  <si>
    <t>WO2015115932</t>
  </si>
  <si>
    <t>BR112016017158</t>
  </si>
  <si>
    <t>B01J-029/40_x000D_
B01J-029/80_x000D_
B01J-023/10_x000D_
B01J-021/10_x000D_
B01J-021/06_x000D_
C10G-035/095</t>
  </si>
  <si>
    <t>AU2014380443</t>
  </si>
  <si>
    <t>EA201600533</t>
  </si>
  <si>
    <t>EP3100784</t>
  </si>
  <si>
    <t>US20170007992</t>
  </si>
  <si>
    <t>C07C-002/86_x000D_
B01J-021/04_x000D_
B01J-021/08_x000D_
B01J-029/06_x000D_
B01J-029/40_x000D_
B01J-029/80_x000D_
B01J-035/00_x000D_
B01J-037/04_x000D_
B01J-037/30_x000D_
C10G-035/06</t>
  </si>
  <si>
    <t>US10131592</t>
  </si>
  <si>
    <t>IN201627028132</t>
  </si>
  <si>
    <t>B01J-029/40_x000D_
B01J-029/80_x000D_
B01J-023/10</t>
  </si>
  <si>
    <t>CN106163661</t>
  </si>
  <si>
    <t>C10G-029/02_x000D_
B01J-029/18_x000D_
B01J-029/40_x000D_
B01J-029/70_x000D_
C07C-006/12_x000D_
C07C-015/02_x000D_
C07C-015/067</t>
  </si>
  <si>
    <t>TOTAL ([BE])_x000D_
CNRS - CENTRE NATIONAL DE LA RECHERCHE SCIENTIFIQUE ([FR])</t>
  </si>
  <si>
    <t>B01J-029/00_x000D_
B01J-029/40_x000D_
B01J-035/00_x000D_
B01J-035/02_x000D_
B01J-035/10_x000D_
B01J-037/00_x000D_
B01J-037/02_x000D_
C07C-001/00_x000D_
C07C-004/00_x000D_
C07C-005/00_x000D_
C10G-003/00_x000D_
C10G-011/00_x000D_
C10G-047/00_x000D_
C10G-050/00</t>
  </si>
  <si>
    <t>BR112016000038</t>
  </si>
  <si>
    <t>B01J-029/00_x000D_
B01J-029/40_x000D_
B01J-035/00_x000D_
B01J-035/02_x000D_
B01J-035/10_x000D_
B01J-037/00_x000D_
B01J-037/02_x000D_
C10G-047/00_x000D_
C10G-011/00_x000D_
C10G-003/00_x000D_
C10G-050/00_x000D_
C07C-001/00_x000D_
C07C-004/00_x000D_
C07C-005/00</t>
  </si>
  <si>
    <t>EP3016738</t>
  </si>
  <si>
    <t>US20160136625</t>
  </si>
  <si>
    <t>B01J-029/40_x000D_
B01J-035/10_x000D_
B01J-037/08_x000D_
C07C-004/18</t>
  </si>
  <si>
    <t>KR20160027199</t>
  </si>
  <si>
    <t>B01J-029/00_x000D_
B01J-029/40_x000D_
B01J-035/00_x000D_
B01J-035/02_x000D_
B01J-035/10_x000D_
B01J-037/00_x000D_
B01J-037/02</t>
  </si>
  <si>
    <t>CN105517708</t>
  </si>
  <si>
    <t>TOTAL PETROCHEMICALS RESEARCH FELUY_x000D_
CNRS - CENTRE NATIONAL DE LA RECHERCHE SCIENTIFIQUE</t>
  </si>
  <si>
    <t>JP2016527076</t>
  </si>
  <si>
    <t>TOTAL PETROCHEMICALS RESEARCH FELUY_x000D_
CENTER NASHIONAR Â· DE LA Â· LUCIELUS Â· SHIANTEIFUIK</t>
  </si>
  <si>
    <t>B01J-029/80_x000D_
B01J-035/10_x000D_
B01J-037/00_x000D_
B01J-037/04_x000D_
B01J-037/10_x000D_
C10G-001/00_x000D_
C10G-011/05_x000D_
C10G-035/095_x000D_
C10G-047/16_x000D_
C10G-050/00</t>
  </si>
  <si>
    <t>C07C-001/24_x000D_
B01J-029/06_x000D_
B01J-029/08_x000D_
B01J-029/18_x000D_
B01J-029/40_x000D_
B01J-029/46_x000D_
B01J-029/48_x000D_
B01J-029/70_x000D_
B01J-029/76_x000D_
B01J-029/78_x000D_
B01J-029/80_x000D_
B01J-035/00_x000D_
C07C-001/22_x000D_
C07C-002/64_x000D_
C07C-002/66_x000D_
C07C-002/68_x000D_
C07C-002/86_x000D_
C12P-007/06</t>
  </si>
  <si>
    <t>US9434658</t>
  </si>
  <si>
    <t>CA2903389</t>
  </si>
  <si>
    <t>UT BATTELLE ([US])</t>
  </si>
  <si>
    <t>B01J-029/80_x000D_
B01J-029/08_x000D_
B01J-029/18_x000D_
B01J-029/40_x000D_
C07C-001/20_x000D_
C07C-002/66_x000D_
C10G-003/00_x000D_
C10G-035/095</t>
  </si>
  <si>
    <t>WO2014137991</t>
  </si>
  <si>
    <t>US20140322781</t>
  </si>
  <si>
    <t>B01J-029/06_x000D_
B01J-029/08_x000D_
B01J-029/18_x000D_
B01J-029/40_x000D_
B01J-029/46_x000D_
B01J-029/48_x000D_
B01J-029/70_x000D_
B01J-029/76_x000D_
B01J-029/78_x000D_
B01J-029/80_x000D_
B01J-035/00_x000D_
C07C-001/20_x000D_
C07C-001/22_x000D_
C07C-001/24_x000D_
C07C-002/64_x000D_
C07C-002/66_x000D_
C07C-002/86_x000D_
C12P-007/06</t>
  </si>
  <si>
    <t>US9278892</t>
  </si>
  <si>
    <t>BR112015021621</t>
  </si>
  <si>
    <t>B01J-029/08_x000D_
B01J-029/18_x000D_
B01J-029/40_x000D_
B01J-029/80_x000D_
C07C-001/20_x000D_
C07C-002/66_x000D_
C10G-003/00_x000D_
C10G-035/095</t>
  </si>
  <si>
    <t>EP2964380</t>
  </si>
  <si>
    <t>HK1215227</t>
  </si>
  <si>
    <t>B01J_x000D_
C07C_x000D_
C10G</t>
  </si>
  <si>
    <t>CN105050713</t>
  </si>
  <si>
    <t>MX2015011706</t>
  </si>
  <si>
    <t>IN2399/MUMNP/2015</t>
  </si>
  <si>
    <t>B01J-029/80_x000D_
B01J-029/40_x000D_
B01J-029/18</t>
  </si>
  <si>
    <t>TH164800</t>
  </si>
  <si>
    <t>B01J-029/80</t>
  </si>
  <si>
    <t>C07C-015/08_x000D_
C07C-001/20_x000D_
C07C-005/27_x000D_
C07C-006/12</t>
  </si>
  <si>
    <t>C07C-015/04_x000D_
B01J-029/40_x000D_
C07C-002/86_x000D_
C07C-015/06_x000D_
C07C-015/08</t>
  </si>
  <si>
    <t>C07C-015/04_x000D_
C07C-001/20_x000D_
C07C-005/27_x000D_
C07C-006/12_x000D_
C07C-015/08</t>
  </si>
  <si>
    <t>B01J-029/48_x000D_
B01J-029/46_x000D_
C07C-001/20_x000D_
C07C-002/88_x000D_
C07C-015/00</t>
  </si>
  <si>
    <t>TSINGHUA UNIVERSITY_x000D_
HUADIAN COAL INDUSTRY</t>
  </si>
  <si>
    <t>SABIC ([SA])</t>
  </si>
  <si>
    <t>C07C-001/20_x000D_
B01J-029/40_x000D_
B01J-029/87_x000D_
B01J-037/02</t>
  </si>
  <si>
    <t>US9388092</t>
  </si>
  <si>
    <t>WO2013091824</t>
  </si>
  <si>
    <t>SABIC ([SA])_x000D_
SABIC PETROCHEMICALS ([NL])</t>
  </si>
  <si>
    <t>B01J-029/40_x000D_
B01J-037/02_x000D_
C07C-001/20_x000D_
C07C-015/02</t>
  </si>
  <si>
    <t>EP2794101</t>
  </si>
  <si>
    <t>CN104053504</t>
  </si>
  <si>
    <t>SABIC</t>
  </si>
  <si>
    <t>KR20140113963</t>
  </si>
  <si>
    <t>IN4591DEN2014</t>
  </si>
  <si>
    <t>B01J-029/40_x000D_
B01J-037/02_x000D_
C07C-001/20</t>
  </si>
  <si>
    <t>C01B-039/04</t>
  </si>
  <si>
    <t>US20130165720</t>
  </si>
  <si>
    <t>C07C-002/66</t>
  </si>
  <si>
    <t>US8642823</t>
  </si>
  <si>
    <t>US20130164212</t>
  </si>
  <si>
    <t>C01B-039/48_x000D_
B01J-029/70</t>
  </si>
  <si>
    <t>US20130164213</t>
  </si>
  <si>
    <t>C01B-039/46_x000D_
B01D-015/08_x000D_
B01J-020/18_x000D_
B01J-029/70_x000D_
B01J-029/80_x000D_
B01J-029/86_x000D_
B01J-029/87_x000D_
B01J-029/88_x000D_
B01J-035/00_x000D_
B01J-043/00_x000D_
C01B-039/48_x000D_
C07C-002/66_x000D_
C07C-002/76_x000D_
C07C-007/13_x000D_
C10G-047/20</t>
  </si>
  <si>
    <t>US8992885</t>
  </si>
  <si>
    <t>US20140066674</t>
  </si>
  <si>
    <t>C07C-002/66_x000D_
B01D-015/08_x000D_
B01J-020/18_x000D_
B01J-029/70_x000D_
B01J-029/86_x000D_
B01J-029/87_x000D_
B01J-029/88_x000D_
B01J-035/00_x000D_
B01J-043/00_x000D_
C01B-039/46_x000D_
C01B-039/48_x000D_
C07C-001/00_x000D_
C07C-002/02_x000D_
C07C-002/58_x000D_
C07C-002/76_x000D_
C07C-004/12_x000D_
C07C-005/13_x000D_
C07C-005/22_x000D_
C07C-006/12_x000D_
C07C-007/13_x000D_
C10G-011/04_x000D_
C10G-029/00_x000D_
C10G-035/06_x000D_
C10G-045/00_x000D_
C10G-047/20_x000D_
C10G-065/04</t>
  </si>
  <si>
    <t>US8940952</t>
  </si>
  <si>
    <t>US20140171719</t>
  </si>
  <si>
    <t>C07C-007/12_x000D_
B01J-043/00_x000D_
C07C-007/13</t>
  </si>
  <si>
    <t>US8846998</t>
  </si>
  <si>
    <t>US20150025287</t>
  </si>
  <si>
    <t>C07C-007/13_x000D_
B01J-020/18_x000D_
B01J-029/80_x000D_
B01J-029/87_x000D_
B01J-043/00_x000D_
C07C-002/66_x000D_
C07C-007/12</t>
  </si>
  <si>
    <t>US8946497</t>
  </si>
  <si>
    <t>BR112014015231</t>
  </si>
  <si>
    <t>B01J-020/18_x000D_
B01J-029/06_x000D_
B01J-029/80_x000D_
C01B-039/48</t>
  </si>
  <si>
    <t>WO2013096069</t>
  </si>
  <si>
    <t>C01B-039/48_x000D_
B01J-020/18_x000D_
B01J-029/06_x000D_
B01J-029/80</t>
  </si>
  <si>
    <t>EP2802533</t>
  </si>
  <si>
    <t>C01B-039/48_x000D_
B01J-020/18_x000D_
B01J-029/06_x000D_
B01J-029/80_x000D_
C01B-039/02</t>
  </si>
  <si>
    <t>JP2015523943</t>
  </si>
  <si>
    <t>U OPER</t>
  </si>
  <si>
    <t>C01B-039/48_x000D_
B01J-029/70_x000D_
C07C-001/02_x000D_
C07C-002/66_x000D_
C07C-005/27_x000D_
C07C-006/12_x000D_
C07C-009/04_x000D_
C07C-015/02_x000D_
C07C-015/073_x000D_
C07C-015/08_x000D_
C10G-035/095</t>
  </si>
  <si>
    <t>JP6134335</t>
  </si>
  <si>
    <t>KR20140113977</t>
  </si>
  <si>
    <t>B01D-015/08_x000D_
B01J-020/18_x000D_
B01J-029/86_x000D_
B01J-029/87_x000D_
B01J-029/88_x000D_
C07C-002/66</t>
  </si>
  <si>
    <t>KR101617564</t>
  </si>
  <si>
    <t>MX2014007632</t>
  </si>
  <si>
    <t>B01J-020/18_x000D_
B01D-015/08_x000D_
B01J-029/70_x000D_
B01J-029/86_x000D_
B01J-029/87</t>
  </si>
  <si>
    <t>MX349355</t>
  </si>
  <si>
    <t>SG11201402970R</t>
  </si>
  <si>
    <t>B01J-029/70_x000D_
B01J-029/86_x000D_
B01J-029/87_x000D_
B01J-029/88_x000D_
C01B-039/46_x000D_
C01B-039/48_x000D_
C07C-002/66_x000D_
C07C-015/073_x000D_
C07C-015/08</t>
  </si>
  <si>
    <t>CN104379505</t>
  </si>
  <si>
    <t>C01B-039/02</t>
  </si>
  <si>
    <t>IN5047/DELNP/2014</t>
  </si>
  <si>
    <t>IN301270</t>
  </si>
  <si>
    <t>US8569558</t>
  </si>
  <si>
    <t>US8697927</t>
  </si>
  <si>
    <t>US20140206919</t>
  </si>
  <si>
    <t>C07C-002/66_x000D_
C01B-003/26_x000D_
C01B-039/54_x000D_
C07C-001/00_x000D_
C07C-001/22_x000D_
C07C-002/02_x000D_
C07C-002/58_x000D_
C07C-004/12_x000D_
C07C-005/13_x000D_
C07C-005/22_x000D_
C07C-006/12_x000D_
C10G-011/04_x000D_
C10G-011/05_x000D_
C10G-029/00_x000D_
C10G-035/06_x000D_
C10G-045/00_x000D_
C10G-047/20_x000D_
C10G-065/04</t>
  </si>
  <si>
    <t>US8916738</t>
  </si>
  <si>
    <t>US8569557</t>
  </si>
  <si>
    <t>US8696886</t>
  </si>
  <si>
    <t>C10G-047/16_x000D_
C10G-047/20</t>
  </si>
  <si>
    <t>US20140206918</t>
  </si>
  <si>
    <t>US8933287</t>
  </si>
  <si>
    <t>C07C-001/20_x000D_
B01J-029/40_x000D_
B01J-029/46_x000D_
B01J-029/48_x000D_
C07C-015/00_x000D_
C07C-015/04_x000D_
C07C-015/06_x000D_
C07C-015/08</t>
  </si>
  <si>
    <t>CHINA PETROLEUM &amp; CHEMICAL ([CN])_x000D_
SHANGHAI RESEARCH INSTITUTE OF PETROCHEMICAL TECHNOLOGY SINOPEC ([CN])</t>
  </si>
  <si>
    <t>C07C-001/20_x000D_
B01J-029/40_x000D_
B01J-029/44_x000D_
B01J-029/46_x000D_
B01J-029/48_x000D_
B01J-035/10_x000D_
B01J-037/00_x000D_
C07C-001/22_x000D_
C07C-002/66_x000D_
C10G-003/00</t>
  </si>
  <si>
    <t>US9339801</t>
  </si>
  <si>
    <t>AU2013206818</t>
  </si>
  <si>
    <t>SHANGHAI RESEARCH INSTITUTE OF PETROCHEMICAL TECHNOLOGY SINOPEC_x000D_
CHINA PETROLEUM &amp; CHEMICAL</t>
  </si>
  <si>
    <t>B01J-029/40_x000D_
B01J-037/04_x000D_
C01B-039/38</t>
  </si>
  <si>
    <t>BR102013017946</t>
  </si>
  <si>
    <t>CHINA PETROLEUM &amp; CHEMICAL ([CN])_x000D_
SHANGHAI RESEARCH INSTITUTE PETROCHEMICAL TECHNOLOGY SINOPEC ([CN])</t>
  </si>
  <si>
    <t>B01J-029/44_x000D_
B01J-029/40_x000D_
B01J-029/46_x000D_
B01J-029/48_x000D_
B01J-037/00_x000D_
C07C-001/22_x000D_
C07C-015/02_x000D_
C10G-003/00</t>
  </si>
  <si>
    <t>CN103537315</t>
  </si>
  <si>
    <t>B01J-029/40_x000D_
B01J-029/44_x000D_
B01J-029/46_x000D_
B01J-029/48_x000D_
C07C-001/20_x000D_
C07C-015/04_x000D_
C07C-015/06_x000D_
C07C-015/08</t>
  </si>
  <si>
    <t>RU2013132371</t>
  </si>
  <si>
    <t>CHAJNA PETROLEUM END KEMIKAL KORPOREJSHN ([CN])</t>
  </si>
  <si>
    <t>B01J-029/40_x000D_
B01J-029/44_x000D_
B01J-029/46_x000D_
B01J-029/48_x000D_
B01J-037/03_x000D_
C07C-001/22_x000D_
C10G-003/00</t>
  </si>
  <si>
    <t>RU2607633</t>
  </si>
  <si>
    <t>ZA201305248</t>
  </si>
  <si>
    <t>B01J_x000D_
C07C</t>
  </si>
  <si>
    <t>BADGER LICENSING ([US])</t>
  </si>
  <si>
    <t>C07C-002/66_x000D_
C10G-029/20_x000D_
C10G-057/00_x000D_
C10G-063/02_x000D_
C10G-069/12</t>
  </si>
  <si>
    <t>AU2011358570</t>
  </si>
  <si>
    <t>US20130324776</t>
  </si>
  <si>
    <t>C07C-002/66_x000D_
C07C-002/64</t>
  </si>
  <si>
    <t>US9199891</t>
  </si>
  <si>
    <t>EP2673247</t>
  </si>
  <si>
    <t>TW201247598</t>
  </si>
  <si>
    <t>C07C-002/66_x000D_
C10G-005/00_x000D_
C10G-029/20_x000D_
C10G-063/02_x000D_
C10G-069/12</t>
  </si>
  <si>
    <t>MX2013008351</t>
  </si>
  <si>
    <t>MX337780</t>
  </si>
  <si>
    <t>CN103402952</t>
  </si>
  <si>
    <t>KR20140037040</t>
  </si>
  <si>
    <t>C07C-002/66_x000D_
C10G-029/20_x000D_
C10G-057/00_x000D_
C10G-063/02</t>
  </si>
  <si>
    <t>JP2014513151</t>
  </si>
  <si>
    <t>C10G-050/00_x000D_
C07B-061/00_x000D_
C07C-002/64_x000D_
C07C-015/085_x000D_
C10G-035/095</t>
  </si>
  <si>
    <t>IN6933/DELNP/2013</t>
  </si>
  <si>
    <t>C07C-002/66_x000D_
C10G-029/20_x000D_
C10G-063/02_x000D_
C10G-057/00_x000D_
C10G-069/12</t>
  </si>
  <si>
    <t>C07C-001/20_x000D_
B01J-029/40_x000D_
C07C-015/02</t>
  </si>
  <si>
    <t>C07C-011/06_x000D_
C07C-001/20_x000D_
C07C-002/00_x000D_
C07C-002/86_x000D_
C07C-005/00_x000D_
C07C-015/02</t>
  </si>
  <si>
    <t>C07C-001/20_x000D_
B01J-029/40_x000D_
B01J-029/44_x000D_
B01J-029/46_x000D_
B01J-029/48_x000D_
C01B-039/40_x000D_
C07C-015/08</t>
  </si>
  <si>
    <t>C10G-035/06_x000D_
C10G-003/00_x000D_
C10G-029/22_x000D_
C10G-035/095_x000D_
C10G-050/00</t>
  </si>
  <si>
    <t>C10G-029/22_x000D_
C10G-003/00_x000D_
C10G-035/06</t>
  </si>
  <si>
    <t>C07C-002/66_x000D_
C10G-029/20</t>
  </si>
  <si>
    <t>AU2011358597</t>
  </si>
  <si>
    <t>US20130331627</t>
  </si>
  <si>
    <t>ALIPH_x000D_
BADGER LICENSING_x000D_
BODYMEDIA_x000D_
PROJECT PARIS ACQUISITION_x000D_
MACGYVER ACQUISITION_x000D_
ALIPHCOM</t>
  </si>
  <si>
    <t>US9834493</t>
  </si>
  <si>
    <t>EP2673245</t>
  </si>
  <si>
    <t>TW201245432</t>
  </si>
  <si>
    <t>C10G-029/20_x000D_
C07C-002/66</t>
  </si>
  <si>
    <t>MX2013008353</t>
  </si>
  <si>
    <t>CN103562161</t>
  </si>
  <si>
    <t>KR20140037039</t>
  </si>
  <si>
    <t>JP2014513152</t>
  </si>
  <si>
    <t>C10G-050/00_x000D_
C07C-002/66_x000D_
C07C-015/085_x000D_
C10G-035/095</t>
  </si>
  <si>
    <t>IN6934/DELNP/2013</t>
  </si>
  <si>
    <t>C07C-015/08_x000D_
B01J-029/48_x000D_
C07C-001/20_x000D_
C07C-011/04</t>
  </si>
  <si>
    <t>C07C-011/04_x000D_
B01J-029/40_x000D_
C07C-004/06_x000D_
C07C-011/06_x000D_
C07C-011/08_x000D_
C07C-015/04_x000D_
C07C-015/06_x000D_
C07C-015/08_x000D_
C10G-011/05</t>
  </si>
  <si>
    <t>KR20130106872</t>
  </si>
  <si>
    <t>DALIAN INSTITUTE OF CHEMICAL PHYSICS ([CN])</t>
  </si>
  <si>
    <t>B01J-029/40_x000D_
C07C-011/04_x000D_
C07C-015/04_x000D_
C10G-011/05</t>
  </si>
  <si>
    <t>KR101550202</t>
  </si>
  <si>
    <t>JP2014510706</t>
  </si>
  <si>
    <t>CHINESE ACADEMY OF SCIENCES Â**² Â**¼ CHEMISTRY PHYSICS LABORATORY DALIAN INSTITUTE OF CHEMICAL PHYSICS CHINESE ACADEMY OF SCIENCES</t>
  </si>
  <si>
    <t>C07C-004/06_x000D_
B01J-029/40_x000D_
C07C-011/04_x000D_
C07C-011/06_x000D_
C07C-011/08</t>
  </si>
  <si>
    <t>JP5756867</t>
  </si>
  <si>
    <t>IN6432/DELNP/2013</t>
  </si>
  <si>
    <t>C07C-011/04_x000D_
C07C-011/06_x000D_
C07C-011/08</t>
  </si>
  <si>
    <t>IN295842</t>
  </si>
  <si>
    <t>MY163178</t>
  </si>
  <si>
    <t>DALIAN INSTITUTE CHEMICAL &amp; PHYSICS CAS ([CN])</t>
  </si>
  <si>
    <t>WO2012088852</t>
  </si>
  <si>
    <t>C07C-011/04_x000D_
B01J-029/40_x000D_
C07C-001/20_x000D_
C07C-004/06_x000D_
C07C-011/06_x000D_
C07C-011/08_x000D_
C07C-015/04_x000D_
C07C-015/06_x000D_
C07C-015/08_x000D_
C10G-011/05</t>
  </si>
  <si>
    <t>AU2011349906</t>
  </si>
  <si>
    <t>SG191805</t>
  </si>
  <si>
    <t>EP2660228</t>
  </si>
  <si>
    <t>C07C-011/04_x000D_
B01J-029/40_x000D_
B01J-037/00_x000D_
C07C-001/20_x000D_
C07C-002/84_x000D_
C07C-004/06_x000D_
C07C-011/02_x000D_
C07C-011/06_x000D_
C07C-011/08_x000D_
C07C-015/04_x000D_
C07C-015/06_x000D_
C07C-015/08_x000D_
C10G-003/00_x000D_
C10G-011/05_x000D_
C10G-011/10_x000D_
C10G-011/18</t>
  </si>
  <si>
    <t>US20140051900</t>
  </si>
  <si>
    <t>C07C-002/84_x000D_
B01J-029/40_x000D_
B01J-037/00_x000D_
C07C-001/20_x000D_
C10G-003/00_x000D_
C10G-011/05_x000D_
C10G-011/10_x000D_
C10G-011/18</t>
  </si>
  <si>
    <t>US9284235</t>
  </si>
  <si>
    <t>BR112013016481</t>
  </si>
  <si>
    <t>B01J-029/40_x000D_
C07C-001/20_x000D_
C07C-004/06_x000D_
C07C-011/04_x000D_
C07C-011/06_x000D_
C07C-011/08_x000D_
C07C-015/04_x000D_
C07C-015/06_x000D_
C07C-015/08_x000D_
C10G-011/05</t>
  </si>
  <si>
    <t>ZA201305273</t>
  </si>
  <si>
    <t>C07C_x000D_
B01J_x000D_
C10G</t>
  </si>
  <si>
    <t>DK2660228</t>
  </si>
  <si>
    <t>B01J-029/80_x000D_
B01J-029/40_x000D_
B01J-029/46_x000D_
B01J-029/70_x000D_
B01J-029/76_x000D_
C07C-001/20_x000D_
C07C-015/00_x000D_
C07C-015/02</t>
  </si>
  <si>
    <t>C07C-002/88_x000D_
B01J-029/80_x000D_
C07C-015/00</t>
  </si>
  <si>
    <t>C07C-001/20_x000D_
B01J-029/40_x000D_
B01J-029/70_x000D_
B01J-029/80_x000D_
C07C-015/00_x000D_
C07C-015/04_x000D_
C07C-015/06_x000D_
C07C-015/08</t>
  </si>
  <si>
    <t>C07C-001/20_x000D_
B01J-029/80_x000D_
C07C-015/00_x000D_
C07C-015/04_x000D_
C07C-015/06_x000D_
C07C-015/08</t>
  </si>
  <si>
    <t>C07C-001/20_x000D_
B01J-029/40_x000D_
B01J-029/70_x000D_
B01J-029/80_x000D_
C07C-002/00_x000D_
C07C-011/06_x000D_
C07C-015/02</t>
  </si>
  <si>
    <t>C07C-001/04_x000D_
B01J-029/03_x000D_
B01J-029/076_x000D_
B01J-029/16_x000D_
B01J-029/26_x000D_
B01J-029/48_x000D_
B01J-029/78_x000D_
B01J-037/02_x000D_
C10G-002/00_x000D_
C10L-001/08_x000D_
C10L-003/12</t>
  </si>
  <si>
    <t>US8906971</t>
  </si>
  <si>
    <t>US20150065338</t>
  </si>
  <si>
    <t>B01J-029/78_x000D_
B01J-023/28_x000D_
B01J-029/08_x000D_
B01J-029/48</t>
  </si>
  <si>
    <t>US20180029024</t>
  </si>
  <si>
    <t>B01J-029/78_x000D_
B01J-023/28_x000D_
B01J-029/03_x000D_
B01J-029/076_x000D_
B01J-029/08_x000D_
B01J-029/16_x000D_
B01J-029/26_x000D_
B01J-029/48_x000D_
B01J-037/02_x000D_
C10G-002/00_x000D_
C10L-001/08_x000D_
C10L-003/12</t>
  </si>
  <si>
    <t>TARASOV ANDREJ LEONIDOVICH ([RU])_x000D_
LISHCHINER IOSIF IZRAILEVICH ([RU])_x000D_
MALOVA OL GA VASIL EVNA ([RU])_x000D_
BELJAEV ANDREJ JUR EVICH ([RU])_x000D_
VILENSKIJ LEONID MIKHAJLOVICH ([RU])</t>
  </si>
  <si>
    <t>C07C-001/20_x000D_
C01B-003/26_x000D_
C01B-003/52_x000D_
C07C-002/00_x000D_
C07C-006/12_x000D_
C07C-007/11_x000D_
C07C-009/04_x000D_
C07C-015/00_x000D_
C07C-015/04_x000D_
C07C-015/06_x000D_
C07C-015/067</t>
  </si>
  <si>
    <t>B01J-031/06_x000D_
B01J-029/80_x000D_
C10G-035/095</t>
  </si>
  <si>
    <t>C10G-035/095_x000D_
C07C-001/20_x000D_
C07C-015/00_x000D_
C10G-003/00</t>
  </si>
  <si>
    <t>C07C-001/20_x000D_
B01J-029/40_x000D_
B01J-029/48_x000D_
B01J-031/02_x000D_
B01J-031/26_x000D_
B01J-031/32_x000D_
B01J-031/34_x000D_
C07C-002/00_x000D_
C07C-011/06_x000D_
C07C-015/02</t>
  </si>
  <si>
    <t>C07C-001/20_x000D_
B01J-029/06_x000D_
C07B-061/00_x000D_
C07C-015/08</t>
  </si>
  <si>
    <t>JP5294928</t>
  </si>
  <si>
    <t>US8143466</t>
  </si>
  <si>
    <t>WO2009108655</t>
  </si>
  <si>
    <t>CATALYTIC DISTILLATION TECHNOLOGIES ([US])</t>
  </si>
  <si>
    <t>C10G-035/04_x000D_
C10G-055/06</t>
  </si>
  <si>
    <t>CN101952397</t>
  </si>
  <si>
    <t>ZA201005778</t>
  </si>
  <si>
    <t>UCHREZHDENIE ROSSIJSKOJ AKADEMII NAUK INSTITUTE KHIM NEFTI SIB OTDEL RAN ([RU])_x000D_
NPP KHIM T TS AOZT ([RU])</t>
  </si>
  <si>
    <t>B01J-029/46_x000D_
B01J-021/04_x000D_
B01J-021/06_x000D_
B01J-029/48_x000D_
B01J-037/00_x000D_
C07C-001/20_x000D_
C10G-035/095</t>
  </si>
  <si>
    <t>RU2478007</t>
  </si>
  <si>
    <t>C01B-039/00_x000D_
C01B-031/02_x000D_
C01B-039/20_x000D_
C01B-039/24_x000D_
C01B-039/36_x000D_
C01B-039/38_x000D_
C01B-039/42_x000D_
C01B-039/44_x000D_
C01B-039/46_x000D_
C01B-039/48</t>
  </si>
  <si>
    <t>US20100298598</t>
  </si>
  <si>
    <t>C01B-033/36_x000D_
B01J-029/04_x000D_
B01J-029/06_x000D_
C01B-039/00</t>
  </si>
  <si>
    <t>US8398955</t>
  </si>
  <si>
    <t>US20130157840</t>
  </si>
  <si>
    <t>B01J-029/80_x000D_
B01J-029/00_x000D_
B01J-029/06_x000D_
B01J-029/08_x000D_
B01J-029/18_x000D_
B01J-029/40_x000D_
B01J-029/65_x000D_
B01J-029/70_x000D_
B01J-035/00_x000D_
B01J-035/10_x000D_
B01J-037/00_x000D_
C01B-039/02_x000D_
C01B-039/46_x000D_
C01B-039/48_x000D_
C09B-062/02_x000D_
C10G-011/05_x000D_
C10G-025/03_x000D_
C10G-029/20_x000D_
C10G-045/00_x000D_
C10G-045/54_x000D_
C10G-045/64_x000D_
C10G-047/16_x000D_
C10G-050/00</t>
  </si>
  <si>
    <t>US9321043</t>
  </si>
  <si>
    <t>C07C-001/20_x000D_
B01J-029/90_x000D_
B01J-038/32_x000D_
C07C-002/00_x000D_
C07C-015/02</t>
  </si>
  <si>
    <t>C01B-039/46_x000D_
C01B-039/48</t>
  </si>
  <si>
    <t>US8110176</t>
  </si>
  <si>
    <t>US20120226084</t>
  </si>
  <si>
    <t>B01J-029/70_x000D_
B01J-029/72_x000D_
C07C-002/66_x000D_
C07C-002/86_x000D_
C07C-004/06_x000D_
C07C-005/02_x000D_
C07C-005/10_x000D_
C07C-005/41_x000D_
C07C-005/52_x000D_
C07C-007/13</t>
  </si>
  <si>
    <t>US8529752</t>
  </si>
  <si>
    <t>WO2008016456</t>
  </si>
  <si>
    <t>B01J-029/70_x000D_
C01B-039/48</t>
  </si>
  <si>
    <t>EP2051806</t>
  </si>
  <si>
    <t>BRPI0713674</t>
  </si>
  <si>
    <t>TW200831187</t>
  </si>
  <si>
    <t>TWI365105</t>
  </si>
  <si>
    <t>KR20090014224</t>
  </si>
  <si>
    <t>KR101044495</t>
  </si>
  <si>
    <t>IN9968/DELNP/2008</t>
  </si>
  <si>
    <t>B01J-029/70</t>
  </si>
  <si>
    <t>IN287196</t>
  </si>
  <si>
    <t>CN101489675</t>
  </si>
  <si>
    <t>JP2009544568</t>
  </si>
  <si>
    <t>EXXON MOBIL CHEMICAL PTE</t>
  </si>
  <si>
    <t>C01B-039/48_x000D_
B01J-029/70_x000D_
C07B-061/00_x000D_
C07C-002/66_x000D_
C07C-015/085_x000D_
C10G-035/095</t>
  </si>
  <si>
    <t>JP5571950</t>
  </si>
  <si>
    <t>C01B-039/48_x000D_
C01B-039/46_x000D_
C07C-007/13_x000D_
C10G-011/05_x000D_
C10G-025/03_x000D_
C10G-047/16_x000D_
C10G-049/08</t>
  </si>
  <si>
    <t>US7959899</t>
  </si>
  <si>
    <t>US20110190114</t>
  </si>
  <si>
    <t>B01J-029/06_x000D_
B01J-029/04_x000D_
C01B-039/00</t>
  </si>
  <si>
    <t>US20110237826</t>
  </si>
  <si>
    <t>C10G-035/095_x000D_
C01B-039/48</t>
  </si>
  <si>
    <t>US8262904</t>
  </si>
  <si>
    <t>US20120269718</t>
  </si>
  <si>
    <t>C01B-039/46_x000D_
B01J-029/70_x000D_
B01J-029/72_x000D_
C01B-039/48_x000D_
C07C-002/66_x000D_
C07C-002/86_x000D_
C07C-004/06_x000D_
C07C-005/02_x000D_
C07C-005/10_x000D_
C07C-005/41_x000D_
C07C-005/52_x000D_
C07C-007/13</t>
  </si>
  <si>
    <t>US8636976</t>
  </si>
  <si>
    <t>CHEVRON ([US])</t>
  </si>
  <si>
    <t>C10G-045/04</t>
  </si>
  <si>
    <t>US7651603</t>
  </si>
  <si>
    <t>CA2653928</t>
  </si>
  <si>
    <t>C01B-039/00_x000D_
B01D-053/94_x000D_
B01J-029/064_x000D_
C01B-039/46_x000D_
C01B-039/48_x000D_
C07C-001/00_x000D_
C07C-209/14_x000D_
C10G-011/05_x000D_
C10G-045/64_x000D_
C10G-049/02_x000D_
C10G-073/00</t>
  </si>
  <si>
    <t>17</t>
  </si>
  <si>
    <t>AU2007258049</t>
  </si>
  <si>
    <t>C01B-033/36_x000D_
C01B-039/00_x000D_
C01F-007/00</t>
  </si>
  <si>
    <t>US20100121122</t>
  </si>
  <si>
    <t>C07C-004/02</t>
  </si>
  <si>
    <t>US8177961</t>
  </si>
  <si>
    <t>WO2007146622</t>
  </si>
  <si>
    <t>EP2038220</t>
  </si>
  <si>
    <t>KR20090021376</t>
  </si>
  <si>
    <t>C01B-033/36_x000D_
C01B-039/00</t>
  </si>
  <si>
    <t>KR101385396</t>
  </si>
  <si>
    <t>IN0039/MUMNP/2009</t>
  </si>
  <si>
    <t>C01B-039/00</t>
  </si>
  <si>
    <t>IN268698</t>
  </si>
  <si>
    <t>CN101489932</t>
  </si>
  <si>
    <t>JP2009539747</t>
  </si>
  <si>
    <t>C01B-039/48_x000D_
B01J-029/70_x000D_
C07B-061/00_x000D_
C07C-001/20_x000D_
C07C-002/66_x000D_
C07C-002/76_x000D_
C07C-005/27_x000D_
C07C-006/12_x000D_
C07C-009/00_x000D_
C07C-011/02_x000D_
C07C-011/04_x000D_
C07C-011/06_x000D_
C07C-011/08_x000D_
C07C-015/02_x000D_
C07C-015/073_x000D_
C07C-209/16_x000D_
C07C-211/04_x000D_
C08F-004/02_x000D_
C08F-010/00_x000D_
C10G-011/05_x000D_
C10G-035/06_x000D_
C10G-045/64_x000D_
C10G-047/16</t>
  </si>
  <si>
    <t>JP5295953</t>
  </si>
  <si>
    <t>C10G-035/095_x000D_
B01J-029/12_x000D_
B01J-029/16_x000D_
B01J-029/26_x000D_
B01J-029/78_x000D_
C10L-001/06</t>
  </si>
  <si>
    <t>10_x000D_
10</t>
  </si>
  <si>
    <t>JP4846540</t>
  </si>
  <si>
    <t>WO2008029631</t>
  </si>
  <si>
    <t>JGC ([JP])</t>
  </si>
  <si>
    <t>C07C-001/24_x000D_
B01J-029/40_x000D_
C07C-004/02_x000D_
C07C-004/08_x000D_
C07C-011/06</t>
  </si>
  <si>
    <t>EP2058290</t>
  </si>
  <si>
    <t>C07C-001/24_x000D_
B01J-029/40_x000D_
C07C-001/20_x000D_
C07C-004/02_x000D_
C07C-004/08_x000D_
C07C-011/06_x000D_
C10G-003/00</t>
  </si>
  <si>
    <t>US20100179365</t>
  </si>
  <si>
    <t>C07C-004/06_x000D_
B01J-019/00</t>
  </si>
  <si>
    <t>C07C-006/04_x000D_
B01J-029/40_x000D_
C07B-061/00_x000D_
C07C-002/86_x000D_
C07C-011/06</t>
  </si>
  <si>
    <t>TW200825036</t>
  </si>
  <si>
    <t>C07C-001/20_x000D_
C07C-004/06_x000D_
C07C-011/06_x000D_
C10G-003/00</t>
  </si>
  <si>
    <t>KR20090059108</t>
  </si>
  <si>
    <t>C07C-004/06_x000D_
B01J-029/70_x000D_
C07C-004/04_x000D_
C07C-011/06</t>
  </si>
  <si>
    <t>CN101506127</t>
  </si>
  <si>
    <t>IN1005/DELNP/2009</t>
  </si>
  <si>
    <t>C07C-001/24</t>
  </si>
  <si>
    <t>DOLINSKIJ SERGEJ EHRIKOVICH ([RU])_x000D_
LISHCHINER IOSIF IZRAILEVICH ([RU])_x000D_
MALOVA OL GA VASIL EVNA ([RU])</t>
  </si>
  <si>
    <t>C10G-035/095_x000D_
B01J-029/46</t>
  </si>
  <si>
    <t>SIB T KOMPANIJA TSEOSIT AOZT ([RU])</t>
  </si>
  <si>
    <t>C10G-035/095_x000D_
B01J-029/076_x000D_
B01J-029/22_x000D_
B01J-029/48_x000D_
B01J-029/85_x000D_
B01J-029/86_x000D_
B01J-029/87_x000D_
B01J-029/88_x000D_
C10G-045/12_x000D_
C10G-047/02</t>
  </si>
  <si>
    <t>RU2304608</t>
  </si>
  <si>
    <t>EA200501139</t>
  </si>
  <si>
    <t>JOINT STOCK ([RU])</t>
  </si>
  <si>
    <t>C10G-035/095_x000D_
B01J-029/076_x000D_
B01J-029/22_x000D_
B01J-029/40_x000D_
B01J-029/48_x000D_
B01J-029/60_x000D_
B01J-029/85_x000D_
B01J-029/86_x000D_
B01J-029/87_x000D_
B01J-029/88_x000D_
C10G-045/12_x000D_
C10G-047/02</t>
  </si>
  <si>
    <t>EA008568</t>
  </si>
  <si>
    <t>C10G-050/00_x000D_
B01J-029/40_x000D_
C07C-002/12_x000D_
C10G-035/095</t>
  </si>
  <si>
    <t>NI AOOT ([RU])_x000D_
SKIJ INSTITUTE JARSINTEZ ATEL ([RU])</t>
  </si>
  <si>
    <t>AU9116801</t>
  </si>
  <si>
    <t>EP1272446</t>
  </si>
  <si>
    <t>AU5147401</t>
  </si>
  <si>
    <t>US6506954</t>
  </si>
  <si>
    <t>D0</t>
  </si>
  <si>
    <t>SANYO PETROCHEMICAL ([JP])</t>
  </si>
  <si>
    <t>NO305308</t>
  </si>
  <si>
    <t>US6207605</t>
  </si>
  <si>
    <t>TSEOSIT SO RAN H_x000D_
KT I KATALITI_x000D_
CHESKIKH I ADSORBTSIONNYKH PRO</t>
  </si>
  <si>
    <t>US5880051</t>
  </si>
  <si>
    <t>B01J-029/06_x000D_
B01J-021/02_x000D_
B01J-029/068_x000D_
B01J-029/60_x000D_
B01J-029/62_x000D_
B01J-035/00_x000D_
C10G-035/095</t>
  </si>
  <si>
    <t>US6066251</t>
  </si>
  <si>
    <t>C10G-035/095_x000D_
B01J-021/02_x000D_
B01J-029/06_x000D_
B01J-029/068_x000D_
B01J-029/60_x000D_
B01J-029/62_x000D_
B01J-035/00</t>
  </si>
  <si>
    <t>C10G-035/06_x000D_
C10G-047/14_x000D_
C10G-035/095_x000D_
C10G-049/08_x000D_
C10G-059/02</t>
  </si>
  <si>
    <t>ИНЖЕНЕРНО ТЕХНИЧЕСКА  ФИРМА В ФОРМЕ ТОВАРИЩЕСТВА С ОГРАНИЧЕННОЙ ОТВЕТСТВЕННОСТЬЮ ЦЕОКОНСАЛТ ([RU])</t>
  </si>
  <si>
    <t>KT I KATALITI_x000D_
CHESKIKH I ADSORBTSIONNYKH PRO_x000D_
TSEOSIT SO RAN H</t>
  </si>
  <si>
    <t>B01J-029/04_x000D_
C10G-011/05_x000D_
B01J-029/70_x000D_
C01B-037/00_x000D_
C01B-037/02_x000D_
C01B-039/12_x000D_
C01B-039/48_x000D_
C07C-001/20_x000D_
C07C-002/00_x000D_
C07C-002/66_x000D_
C07C-005/22_x000D_
C07C-005/27_x000D_
C07C-006/12_x000D_
C10G-035/095_x000D_
C10G-049/08</t>
  </si>
  <si>
    <t>US5578195</t>
  </si>
  <si>
    <t>ECOLITH ZEOLITHE ([DE])_x000D_
CLARIANT ([DE])</t>
  </si>
  <si>
    <t>C10G-011/05_x000D_
B01J-029/06_x000D_
B01J-029/08_x000D_
B01J-029/70_x000D_
B01J-029/78_x000D_
C01B-039/36_x000D_
C07C-001/20_x000D_
C07C-002/00_x000D_
C07C-002/66_x000D_
C07C-002/86_x000D_
C07C-005/27_x000D_
C10G-035/095_x000D_
C10G-045/64</t>
  </si>
  <si>
    <t>US5696043</t>
  </si>
  <si>
    <t>ECOLITH ZEOLITHE I G ([DE])_x000D_
ECOLITH ZEOLITHE ([DE])_x000D_
CLARIANT ([DE])</t>
  </si>
  <si>
    <t>US5711869</t>
  </si>
  <si>
    <t>CLARIANT ([DE])</t>
  </si>
  <si>
    <t>GROZNENSK NEFTYANOJ NII ([SU])</t>
  </si>
  <si>
    <t>RU2087522</t>
  </si>
  <si>
    <t>B01J-029/06_x000D_
B01J-029/04_x000D_
B01J-029/70_x000D_
C01B-039/48_x000D_
C07C-002/66_x000D_
C07C-005/22_x000D_
C07C-005/27_x000D_
C07C-005/41_x000D_
C07C-006/12_x000D_
C07C-015/02_x000D_
C10G-003/00_x000D_
C10G-029/20_x000D_
C10G-045/64_x000D_
C10G-047/16_x000D_
C10G-047/20_x000D_
C10G-071/00</t>
  </si>
  <si>
    <t>EP0769984</t>
  </si>
  <si>
    <t>BR9508391</t>
  </si>
  <si>
    <t>BRPI9508391</t>
  </si>
  <si>
    <t>AU2869495</t>
  </si>
  <si>
    <t>US5591421</t>
  </si>
  <si>
    <t>C01B-039/48_x000D_
B01J-029/06_x000D_
B01J-029/04_x000D_
B01J-029/70_x000D_
C07C-002/66_x000D_
C07C-005/22_x000D_
C07C-005/27_x000D_
C07C-005/41_x000D_
C07C-006/12_x000D_
C07C-015/02_x000D_
C10G-003/00_x000D_
C10G-029/20_x000D_
C10G-045/64_x000D_
C10G-047/16_x000D_
C10G-047/20_x000D_
C10G-071/00</t>
  </si>
  <si>
    <t>CN1152263</t>
  </si>
  <si>
    <t>US5656149</t>
  </si>
  <si>
    <t>KR19970704514</t>
  </si>
  <si>
    <t>B01J-029/00</t>
  </si>
  <si>
    <t>KR19977004514</t>
  </si>
  <si>
    <t>JPH10502608</t>
  </si>
  <si>
    <t>IN0829/MAS/1995</t>
  </si>
  <si>
    <t>RU2153397</t>
  </si>
  <si>
    <t>CHEVRON RESEARCH &amp; TECHNOLOGY ([US])</t>
  </si>
  <si>
    <t>B01J-020/18_x000D_
B01J-029/035_x000D_
B01J-029/04_x000D_
B01J-029/70_x000D_
B01J-029/86_x000D_
B01J-029/87_x000D_
B01J-029/88_x000D_
B01J-029/89_x000D_
C01B-037/02_x000D_
C01B-039/04_x000D_
C01B-039/06_x000D_
C01B-039/12_x000D_
C01B-039/46_x000D_
C01B-039/48_x000D_
C07B-061/00_x000D_
C07C-001/20_x000D_
C07C-002/66_x000D_
C07C-005/27_x000D_
C07C-009/22_x000D_
C07C-015/02_x000D_
C10G-035/095_x000D_
C10G-045/64_x000D_
C10G-047/16_x000D_
C10G-047/20</t>
  </si>
  <si>
    <t>EP0618879</t>
  </si>
  <si>
    <t>AU5101793</t>
  </si>
  <si>
    <t>US5316753</t>
  </si>
  <si>
    <t>KR19947003315</t>
  </si>
  <si>
    <t>C01B-033/26</t>
  </si>
  <si>
    <t>KR100279195</t>
  </si>
  <si>
    <t>US5391287</t>
  </si>
  <si>
    <t>JPH07504151</t>
  </si>
  <si>
    <t>JP3499870</t>
  </si>
  <si>
    <t>TOVARISHCHESTVO S OGRANICHENNO ([RU])</t>
  </si>
  <si>
    <t>B01J-029/89_x000D_
B01J-021/06_x000D_
C10G-035/095</t>
  </si>
  <si>
    <t>SU2019290</t>
  </si>
  <si>
    <t>C10G-011/05_x000D_
B01J-029/04_x000D_
B01J-029/70_x000D_
B01J-029/74_x000D_
B01J-029/76_x000D_
C01B-035/10_x000D_
C01B-039/48_x000D_
C07C-002/66_x000D_
C07C-005/27_x000D_
C10G-029/20_x000D_
C10G-035/095_x000D_
C10G-045/64</t>
  </si>
  <si>
    <t>C01B-033/40_x000D_
B01J-029/04_x000D_
B01J-029/70_x000D_
B01J-029/86_x000D_
B01J-029/87_x000D_
C01B-033/12_x000D_
C01B-035/00_x000D_
C01B-035/12_x000D_
C01B-039/04_x000D_
C01B-039/12_x000D_
C07B-061/00_x000D_
C07C-002/12_x000D_
C07C-002/66_x000D_
C07C-005/27_x000D_
C07C-006/12_x000D_
C07C-211/62</t>
  </si>
  <si>
    <t>WO9100844</t>
  </si>
  <si>
    <t>BRPI9007513</t>
  </si>
  <si>
    <t>BR9007513</t>
  </si>
  <si>
    <t>EP0483222</t>
  </si>
  <si>
    <t>AU5965490</t>
  </si>
  <si>
    <t>NZ234403</t>
  </si>
  <si>
    <t>KR19927003444</t>
  </si>
  <si>
    <t>C01B-033/00</t>
  </si>
  <si>
    <t>JPH05500352</t>
  </si>
  <si>
    <t>ZA9005368</t>
  </si>
  <si>
    <t>C01B-039/04_x000D_
B01J-029/04_x000D_
B01J-029/70_x000D_
B01J-029/80_x000D_
B01J-029/86_x000D_
B01J-029/87_x000D_
B01J-029/88_x000D_
B01J-029/89_x000D_
B01J-037/00_x000D_
C01B-039/06_x000D_
C01B-039/34_x000D_
C01B-039/48_x000D_
C07B-061/00_x000D_
C07C-002/00_x000D_
C07C-002/66_x000D_
C07C-002/86_x000D_
C07C-004/06_x000D_
C07C-004/18_x000D_
C07C-005/22_x000D_
C07C-005/27_x000D_
C07C-006/12_x000D_
C10G-011/05_x000D_
C10G-035/095_x000D_
C10G-047/16</t>
  </si>
  <si>
    <t>NO912444</t>
  </si>
  <si>
    <t>IFP ENERGIES NOUVELLES ([FR])</t>
  </si>
  <si>
    <t>NO307749</t>
  </si>
  <si>
    <t>AU7836891</t>
  </si>
  <si>
    <t>AU641018</t>
  </si>
  <si>
    <t>KR19920000619</t>
  </si>
  <si>
    <t>KR100195902</t>
  </si>
  <si>
    <t>CN1058196</t>
  </si>
  <si>
    <t>CN1033850</t>
  </si>
  <si>
    <t>US5108579</t>
  </si>
  <si>
    <t>JPH0597429</t>
  </si>
  <si>
    <t>JP3347752</t>
  </si>
  <si>
    <t>CA2044959</t>
  </si>
  <si>
    <t>ICI - IMPERIAL CHEMICAL INDUSTRIES ([GB])</t>
  </si>
  <si>
    <t>EP0463768</t>
  </si>
  <si>
    <t>ZA9104540</t>
  </si>
  <si>
    <t>IN184830</t>
  </si>
  <si>
    <t>AT144755</t>
  </si>
  <si>
    <t>DK0463768</t>
  </si>
  <si>
    <t>GR3021837</t>
  </si>
  <si>
    <t>ES2095911</t>
  </si>
  <si>
    <t>IFP ENERGIES NOUVELLES</t>
  </si>
  <si>
    <t>DE69122911</t>
  </si>
  <si>
    <t>RU2092241</t>
  </si>
  <si>
    <t>SU2092241</t>
  </si>
  <si>
    <t>CA2044960</t>
  </si>
  <si>
    <t>CASCI JOHN LEONELLO ([GB])_x000D_
SHANNON MERVYN DAVID ([GB])_x000D_
LAKE IVAN JAMES SAMUEL ([GB])</t>
  </si>
  <si>
    <t>EP0462745</t>
  </si>
  <si>
    <t>AU7836991</t>
  </si>
  <si>
    <t>AU639110</t>
  </si>
  <si>
    <t>CN1058195</t>
  </si>
  <si>
    <t>CN1034325</t>
  </si>
  <si>
    <t>US5385718</t>
  </si>
  <si>
    <t>JPH0748122</t>
  </si>
  <si>
    <t>JP3391805</t>
  </si>
  <si>
    <t>US5446234</t>
  </si>
  <si>
    <t>C07C-002/66_x000D_
B01J-029/70_x000D_
B01J-029/72_x000D_
B01J-029/74_x000D_
C01B-039/02_x000D_
C01B-039/06_x000D_
C01B-039/48_x000D_
C07B-061/00_x000D_
C07C-002/76_x000D_
C07C-002/86_x000D_
C07C-004/06_x000D_
C07C-004/18_x000D_
C07C-005/22_x000D_
C07C-005/27_x000D_
C07C-006/12_x000D_
C07C-009/18_x000D_
C07C-015/073_x000D_
C07C-015/08_x000D_
C07C-209/14_x000D_
C07C-209/16_x000D_
C10G-011/05_x000D_
C10G-035/095_x000D_
C10G-045/12_x000D_
C10G-047/16_x000D_
C10G-049/08</t>
  </si>
  <si>
    <t>US5464799</t>
  </si>
  <si>
    <t>CN1147422</t>
  </si>
  <si>
    <t>CN1073888</t>
  </si>
  <si>
    <t>ZA9104542</t>
  </si>
  <si>
    <t>IN180874</t>
  </si>
  <si>
    <t>AT133922</t>
  </si>
  <si>
    <t>DE69116937</t>
  </si>
  <si>
    <t>ES2085965</t>
  </si>
  <si>
    <t>DK0462745</t>
  </si>
  <si>
    <t>GR3019845</t>
  </si>
  <si>
    <t>WO9012778</t>
  </si>
  <si>
    <t>EP0422188</t>
  </si>
  <si>
    <t>AU5529890</t>
  </si>
  <si>
    <t>JPH03505603</t>
  </si>
  <si>
    <t>WO9012854</t>
  </si>
  <si>
    <t>EP0424511</t>
  </si>
  <si>
    <t>AU5556090</t>
  </si>
  <si>
    <t>AU621486</t>
  </si>
  <si>
    <t>JPH03505608</t>
  </si>
  <si>
    <t>US5167937</t>
  </si>
  <si>
    <t>C07C-041/06_x000D_
C10G-003/00_x000D_
C10L-001/02</t>
  </si>
  <si>
    <t>B01J-020/18_x000D_
B01J_x000D_
B01J-021/00_x000D_
B01J-021/06_x000D_
B01J-029/04_x000D_
B01J-029/06_x000D_
B01J-029/70_x000D_
B01J-029/89_x000D_
B01J-039/14_x000D_
C01B_x000D_
C01B-033/40_x000D_
C01B-039/00_x000D_
C01B-039/02_x000D_
C01B-039/06_x000D_
C02F-001/42_x000D_
C07B-061/00_x000D_
C07C-005/25_x000D_
C07C-005/27_x000D_
C07C-009/00_x000D_
C07C-011/02_x000D_
C10G_x000D_
C10G-011/05_x000D_
C10G-035/095_x000D_
C10G-047/20</t>
  </si>
  <si>
    <t>EP0405978</t>
  </si>
  <si>
    <t>B01J-029/04_x000D_
B01J-029/89_x000D_
B01J-039/14_x000D_
C01B-039/06_x000D_
C10G-011/05_x000D_
C10G-035/095</t>
  </si>
  <si>
    <t>BR9002548</t>
  </si>
  <si>
    <t>BRPI9002548</t>
  </si>
  <si>
    <t>AR246198</t>
  </si>
  <si>
    <t>AU5510990</t>
  </si>
  <si>
    <t>AU633567</t>
  </si>
  <si>
    <t>JPH0369510</t>
  </si>
  <si>
    <t>JP3030056</t>
  </si>
  <si>
    <t>US5244650</t>
  </si>
  <si>
    <t>ZA9002718</t>
  </si>
  <si>
    <t>MX172049</t>
  </si>
  <si>
    <t>AT89494</t>
  </si>
  <si>
    <t>DE69001644</t>
  </si>
  <si>
    <t>DK0405978</t>
  </si>
  <si>
    <t>ES2040566</t>
  </si>
  <si>
    <t>MIZRAHI SADI ([US])_x000D_
TABAK SAMUEL A ([US])_x000D_
SORENSEN CHARLES M ([US])</t>
  </si>
  <si>
    <t>EP0454304</t>
  </si>
  <si>
    <t>AU7391091</t>
  </si>
  <si>
    <t>US5080691</t>
  </si>
  <si>
    <t>JPH04225093</t>
  </si>
  <si>
    <t>US4975179</t>
  </si>
  <si>
    <t>AU6097390</t>
  </si>
  <si>
    <t>AU635060</t>
  </si>
  <si>
    <t>JPH03109490</t>
  </si>
  <si>
    <t>NZ234880</t>
  </si>
  <si>
    <t>CA2023449</t>
  </si>
  <si>
    <t>EP0414449</t>
  </si>
  <si>
    <t>DE69003634</t>
  </si>
  <si>
    <t>US4981491</t>
  </si>
  <si>
    <t>C10L-001/182_x000D_
C10G-003/00_x000D_
C10L-001/02</t>
  </si>
  <si>
    <t>AU5990390</t>
  </si>
  <si>
    <t>JPH03205490</t>
  </si>
  <si>
    <t>NZ234637</t>
  </si>
  <si>
    <t>CA2022308</t>
  </si>
  <si>
    <t>HARANDI MOHSEN N ([US])_x000D_
OWEN HARTLEY ([US])</t>
  </si>
  <si>
    <t>B01J-019/00_x000D_
C07C-041/06_x000D_
C07C-043/04</t>
  </si>
  <si>
    <t>EP0410690</t>
  </si>
  <si>
    <t>US5013329</t>
  </si>
  <si>
    <t>AU7437591</t>
  </si>
  <si>
    <t>AU633719</t>
  </si>
  <si>
    <t>JPH05132677</t>
  </si>
  <si>
    <t>CA2040152</t>
  </si>
  <si>
    <t>BELL WELDON K ([US])_x000D_
HARANDI MOHSEN N ([US])_x000D_
HAAG WERNER O ([US])_x000D_
OWEN HARTLEY ([US])</t>
  </si>
  <si>
    <t>EP0509162</t>
  </si>
  <si>
    <t>DE69102419</t>
  </si>
  <si>
    <t>NO895175</t>
  </si>
  <si>
    <t>NO303677</t>
  </si>
  <si>
    <t>DK654789</t>
  </si>
  <si>
    <t>DK173894</t>
  </si>
  <si>
    <t>CA2006542</t>
  </si>
  <si>
    <t>CASCI JOHN LEONELLO ([GB])_x000D_
LAKE IVAN JAMES SAMUEL ([GB])_x000D_
MABERLY TIMOTHY ROBIN ([GB])</t>
  </si>
  <si>
    <t>EP0378916</t>
  </si>
  <si>
    <t>AU4714689</t>
  </si>
  <si>
    <t>AU622964</t>
  </si>
  <si>
    <t>KR19900009135</t>
  </si>
  <si>
    <t>KR100144466</t>
  </si>
  <si>
    <t>KR0144466</t>
  </si>
  <si>
    <t>CN1044052</t>
  </si>
  <si>
    <t>CN1027048</t>
  </si>
  <si>
    <t>JPH02222727</t>
  </si>
  <si>
    <t>JP2924911</t>
  </si>
  <si>
    <t>US5041402</t>
  </si>
  <si>
    <t>US5345021</t>
  </si>
  <si>
    <t>C07C-002/66_x000D_
C07C-002/70_x000D_
B01J-029/04_x000D_
B01J-029/06_x000D_
B01J-029/076_x000D_
B01J-029/70_x000D_
B01J-029/74_x000D_
B01J-029/76_x000D_
B01J-029/80_x000D_
B01J-029/89_x000D_
C01B-033/40_x000D_
C01B-039/00_x000D_
C01B-039/02_x000D_
C01B-039/04_x000D_
C01B-039/10_x000D_
C01B-039/12_x000D_
C01B-039/24_x000D_
C01B-039/26_x000D_
C01B-039/46_x000D_
C07B-061/00_x000D_
C07C-001/24_x000D_
C07C-002/00_x000D_
C07C-002/84_x000D_
C07C-002/86_x000D_
C07C-004/06_x000D_
C07C-004/18_x000D_
C07C-005/27_x000D_
C07C-006/12_x000D_
C07C-009/00_x000D_
C07C-011/02_x000D_
C07C-015/02_x000D_
C07C-041/06_x000D_
C07C-043/04_x000D_
C07C-209/16_x000D_
C10G-011/05_x000D_
C10G-045/64_x000D_
C10G-050/00</t>
  </si>
  <si>
    <t>ZA8909697</t>
  </si>
  <si>
    <t>IN178832</t>
  </si>
  <si>
    <t>AT82526</t>
  </si>
  <si>
    <t>B01J-029/04_x000D_
B01J-029/06</t>
  </si>
  <si>
    <t>DE68903560</t>
  </si>
  <si>
    <t>GR3006777</t>
  </si>
  <si>
    <t>ES2044151</t>
  </si>
  <si>
    <t>RU2067024</t>
  </si>
  <si>
    <t>SU2067024</t>
  </si>
  <si>
    <t>C10G-035/14_x000D_
B01J-029/90_x000D_
C07C-002/00_x000D_
C07C-002/12_x000D_
C10G-050/00_x000D_
C10G-050/02</t>
  </si>
  <si>
    <t>EP0375286</t>
  </si>
  <si>
    <t>AU4693289</t>
  </si>
  <si>
    <t>AU633531</t>
  </si>
  <si>
    <t>US4939314</t>
  </si>
  <si>
    <t>C07C-002/12_x000D_
C10G-035/14_x000D_
B01J-029/90_x000D_
C07C-002/00_x000D_
C10G-050/00_x000D_
C10G-050/02</t>
  </si>
  <si>
    <t>JPH02222489</t>
  </si>
  <si>
    <t>DE68915258</t>
  </si>
  <si>
    <t>US4814535</t>
  </si>
  <si>
    <t>AU2697688</t>
  </si>
  <si>
    <t>AU617730</t>
  </si>
  <si>
    <t>NZ227218</t>
  </si>
  <si>
    <t>DD283415</t>
  </si>
  <si>
    <t>A5</t>
  </si>
  <si>
    <t>US4814536</t>
  </si>
  <si>
    <t>AU2697588</t>
  </si>
  <si>
    <t>AU618044</t>
  </si>
  <si>
    <t>NZ227217</t>
  </si>
  <si>
    <t>AR240055</t>
  </si>
  <si>
    <t>DD289554</t>
  </si>
  <si>
    <t>US4709114</t>
  </si>
  <si>
    <t>B01J-029/70_x000D_
C01B-039/48_x000D_
C07C-001/20_x000D_
C07C-002/66_x000D_
C07C-005/27_x000D_
C07C-006/12</t>
  </si>
  <si>
    <t>CA1286321</t>
  </si>
  <si>
    <t>C07C-001/20_x000D_
C07C-011/02_x000D_
C07C-015/02</t>
  </si>
  <si>
    <t>US4590321</t>
  </si>
  <si>
    <t>C07C-001/20_x000D_
C07C-002/00_x000D_
B01J-029/00_x000D_
B01J-029/40_x000D_
C10G-035/095</t>
  </si>
  <si>
    <t>JPS61285287</t>
  </si>
  <si>
    <t>AU5527386</t>
  </si>
  <si>
    <t>B01J-029/40_x000D_
C07C-001/20_x000D_
C07C-002/00</t>
  </si>
  <si>
    <t>AU595508</t>
  </si>
  <si>
    <t>US4665251</t>
  </si>
  <si>
    <t>C07C-001/20_x000D_
C07C-002/00_x000D_
B01J-029/40</t>
  </si>
  <si>
    <t>CA1262363</t>
  </si>
  <si>
    <t>EP0205300</t>
  </si>
  <si>
    <t>ZA8602537</t>
  </si>
  <si>
    <t>DE3680034</t>
  </si>
  <si>
    <t>B01J-029/88_x000D_
C01B-039/36_x000D_
C10G-002/00_x000D_
C10G-003/00</t>
  </si>
  <si>
    <t>US4708857</t>
  </si>
  <si>
    <t>CENTRE DE RECHERCHE INDUSTRIELLE DU QUEBEC ([CA])</t>
  </si>
  <si>
    <t>C01B-035/10_x000D_
B01J-029/88_x000D_
C10G-002/00_x000D_
C10G-003/00</t>
  </si>
  <si>
    <t>DE3485493</t>
  </si>
  <si>
    <t>C10G-045/68_x000D_
B01J-021/00_x000D_
B01J-021/16_x000D_
B01J-029/87_x000D_
B01J-029/88_x000D_
C07B-061/00_x000D_
C07C-001/00_x000D_
C07C-002/00_x000D_
C07C-002/76_x000D_
C07C-015/02_x000D_
C07C-067/00_x000D_
C10G-035/06_x000D_
C10G-050/00_x000D_
C10G-057/02</t>
  </si>
  <si>
    <t>AU565365</t>
  </si>
  <si>
    <t>JPS6053592</t>
  </si>
  <si>
    <t>JPH0645788</t>
  </si>
  <si>
    <t>JP1919897</t>
  </si>
  <si>
    <t>US4579988</t>
  </si>
  <si>
    <t>SHELL</t>
  </si>
  <si>
    <t>C07C-002/00_x000D_
C10G-045/68_x000D_
B01J-021/00_x000D_
B01J-021/16_x000D_
B01J-029/87_x000D_
B01J-029/88_x000D_
C07B-061/00_x000D_
C07C-001/00_x000D_
C07C-002/76_x000D_
C07C-015/02_x000D_
C07C-067/00_x000D_
C10G-035/06_x000D_
C10G-050/00_x000D_
C10G-057/02</t>
  </si>
  <si>
    <t>CA1231104</t>
  </si>
  <si>
    <t>SHELL CANADA</t>
  </si>
  <si>
    <t>EP0134058</t>
  </si>
  <si>
    <t>ZA8406063</t>
  </si>
  <si>
    <t>DE3471473</t>
  </si>
  <si>
    <t>SHELL INTERNATIONALE RESEARCH ([NL])</t>
  </si>
  <si>
    <t>NO164841</t>
  </si>
  <si>
    <t>NZ208878</t>
  </si>
  <si>
    <t>EP0131975</t>
  </si>
  <si>
    <t>ES534244</t>
  </si>
  <si>
    <t>A0</t>
  </si>
  <si>
    <t>ES8702479</t>
  </si>
  <si>
    <t>AT36725</t>
  </si>
  <si>
    <t>B01J-037/04_x000D_
C10G-035/095</t>
  </si>
  <si>
    <t>DE3473611</t>
  </si>
  <si>
    <t>CHEVRON RESEARCH ([US])</t>
  </si>
  <si>
    <t>C10G-011/00_x000D_
B01J-029/06_x000D_
B01J-029/40_x000D_
B01J-035/02_x000D_
C07B-061/00_x000D_
C07C-001/00_x000D_
C07C-001/20_x000D_
C07C-002/12_x000D_
C07C-002/66_x000D_
C07C-005/08_x000D_
C07C-005/27_x000D_
C07C-006/12_x000D_
C07C-015/02_x000D_
C07C-015/073_x000D_
C07C-015/08_x000D_
C07C-067/00_x000D_
C10C-003/00_x000D_
C10G-003/00_x000D_
C10G-011/05_x000D_
C10G-045/64</t>
  </si>
  <si>
    <t>JPS58214346</t>
  </si>
  <si>
    <t>JPH0420665</t>
  </si>
  <si>
    <t>JP1887840</t>
  </si>
  <si>
    <t>US4441990</t>
  </si>
  <si>
    <t>DE3368533</t>
  </si>
  <si>
    <t>RESEARCH ASS PETROLEUM ALTERNAT DEVELOPMENT</t>
  </si>
  <si>
    <t>B01J-029/04_x000D_
B01J-029/06_x000D_
C01B-033/20_x000D_
C07C-001/04_x000D_
C07C-001/20_x000D_
C07C-002/66_x000D_
C07C-005/22_x000D_
C07C-005/27_x000D_
C07C-006/12_x000D_
C07C-009/14_x000D_
C07C-015/02</t>
  </si>
  <si>
    <t>GB2122591</t>
  </si>
  <si>
    <t>JPS58191786</t>
  </si>
  <si>
    <t>C07C-001/04_x000D_
B01J-021/00_x000D_
B01J-021/16_x000D_
B01J-029/80_x000D_
B01J-029/88_x000D_
B01J-029/89_x000D_
C07C-001/00_x000D_
C07C-015/00_x000D_
C07C-067/00_x000D_
C10G-002/00_x000D_
C10G-003/00</t>
  </si>
  <si>
    <t>JPS624438</t>
  </si>
  <si>
    <t>JP1395281</t>
  </si>
  <si>
    <t>AU1418583</t>
  </si>
  <si>
    <t>AU562665</t>
  </si>
  <si>
    <t>JPS58192836</t>
  </si>
  <si>
    <t>SHINNENRYOYU KAIHATSU GIJUTSU</t>
  </si>
  <si>
    <t>C07C-001/20_x000D_
B01J-029/00_x000D_
B01J-029/04_x000D_
C07B-061/00_x000D_
C07C-001/00_x000D_
C07C-001/24_x000D_
C07C-015/00_x000D_
C07C-067/00_x000D_
C10G-003/00</t>
  </si>
  <si>
    <t>JPS58194737</t>
  </si>
  <si>
    <t>C07C-001/20_x000D_
B01J-029/00_x000D_
B01J-029/88_x000D_
B01J-029/89_x000D_
C01B-039/04_x000D_
C07C-001/00_x000D_
C07C-002/12_x000D_
C07C-002/66_x000D_
C07C-006/12_x000D_
C07C-015/02_x000D_
C07C-015/073_x000D_
C07C-015/08_x000D_
C07C-067/00_x000D_
C10G-003/00</t>
  </si>
  <si>
    <t>JPS624327</t>
  </si>
  <si>
    <t>CA1210749</t>
  </si>
  <si>
    <t>US4698449</t>
  </si>
  <si>
    <t>COSMO OIL ([JP])_x000D_
MITSUBISHI HEAVY INDUSTRIES ([JP])</t>
  </si>
  <si>
    <t>C07C-001/04_x000D_
B01J-029/04_x000D_
B01J-029/06_x000D_
C01B-033/20_x000D_
C07C-001/20_x000D_
C07C-002/66_x000D_
C07C-005/22_x000D_
C07C-005/27_x000D_
C07C-006/12_x000D_
C07C-009/14_x000D_
C07C-015/02</t>
  </si>
  <si>
    <t>DE3316320</t>
  </si>
  <si>
    <t>RESEARCH ASSOCIATION FOR PETROLEUM ALTERNATIVES DEVELOPMENT TOKIO TOKYO</t>
  </si>
  <si>
    <t>LEUNA WERKE ([DD])</t>
  </si>
  <si>
    <t>CS8300697</t>
  </si>
  <si>
    <t>NETTE WOLFGANG ([DD])_x000D_
NITZSCHE REINHARD ([DD])_x000D_
BAETZ ROBERT ([DD])_x000D_
BECKER KARL ([DD])_x000D_
HEGENBARTH WALTER ([DD])_x000D_
ONDERKA ERIKA ([DD])_x000D_
PRAG MANFRED ([DD])_x000D_
SCHNEIDER WOLFGANG ([DD])_x000D_
SCHOENFELDER DIETER ([DD])</t>
  </si>
  <si>
    <t>US4429176</t>
  </si>
  <si>
    <t>C07C-001/00_x000D_
C07C-002/76_x000D_
B01J-029/40_x000D_
B01J-037/10_x000D_
C07B-061/00_x000D_
C07C-002/00_x000D_
C07C-002/42_x000D_
C07C-005/27_x000D_
C07C-006/12_x000D_
C07C-015/02_x000D_
C07C-015/08_x000D_
C07C-067/00</t>
  </si>
  <si>
    <t>US4522929</t>
  </si>
  <si>
    <t>B01J-037/10_x000D_
B01J-029/40_x000D_
C07C-002/00_x000D_
C07C-005/27</t>
  </si>
  <si>
    <t>AU2294483</t>
  </si>
  <si>
    <t>C07C-002/76_x000D_
B01J-029/40_x000D_
B01J-037/10_x000D_
C07B-061/00_x000D_
C07C-001/00_x000D_
C07C-002/00_x000D_
C07C-002/42_x000D_
C07C-005/27_x000D_
C07C-006/12_x000D_
C07C-015/02_x000D_
C07C-015/08_x000D_
C07C-067/00</t>
  </si>
  <si>
    <t>AU566588</t>
  </si>
  <si>
    <t>JPS60153944</t>
  </si>
  <si>
    <t>JPH0512024</t>
  </si>
  <si>
    <t>JP1804076</t>
  </si>
  <si>
    <t>CA1207734</t>
  </si>
  <si>
    <t>US4663492</t>
  </si>
  <si>
    <t>B01J-029/40_x000D_
B01J-037/10_x000D_
C07C-005/27</t>
  </si>
  <si>
    <t>EP0148540</t>
  </si>
  <si>
    <t>DE3477746</t>
  </si>
  <si>
    <t>C07C-005/27_x000D_
C07C-015/08</t>
  </si>
  <si>
    <t>BASF ([DE])</t>
  </si>
  <si>
    <t>B01J-029/86_x000D_
C01B-035/12_x000D_
C01B-039/36_x000D_
C07C-001/20_x000D_
C07C-015/00</t>
  </si>
  <si>
    <t>EP0091508</t>
  </si>
  <si>
    <t>DE3272178</t>
  </si>
  <si>
    <t>B01J-029/04_x000D_
C01B-035/12_x000D_
C07C-001/20</t>
  </si>
  <si>
    <t>BP ([GB])</t>
  </si>
  <si>
    <t>NO813481</t>
  </si>
  <si>
    <t>NO163236</t>
  </si>
  <si>
    <t>AU7635381</t>
  </si>
  <si>
    <t>BP</t>
  </si>
  <si>
    <t>AU544220</t>
  </si>
  <si>
    <t>JPS5796086</t>
  </si>
  <si>
    <t>BURITEITSUSHU PITOROORIAMU</t>
  </si>
  <si>
    <t>JPH0148958</t>
  </si>
  <si>
    <t>JP1563226</t>
  </si>
  <si>
    <t>CA1158586</t>
  </si>
  <si>
    <t>US4444652</t>
  </si>
  <si>
    <t>EP0050499</t>
  </si>
  <si>
    <t>ZA8107004</t>
  </si>
  <si>
    <t>IN157106</t>
  </si>
  <si>
    <t>DE3169580</t>
  </si>
  <si>
    <t>AU8867482</t>
  </si>
  <si>
    <t>CA1175073</t>
  </si>
  <si>
    <t>DE3236093</t>
  </si>
  <si>
    <t>TOYO ENGINEERING ([JP])</t>
  </si>
  <si>
    <t>AU542052</t>
  </si>
  <si>
    <t>GB2077709</t>
  </si>
  <si>
    <t>B01J-029/70_x000D_
B01J-031/02_x000D_
C01B-037/02_x000D_
C01B-039/48_x000D_
C07C-001/20</t>
  </si>
  <si>
    <t>NZ197291</t>
  </si>
  <si>
    <t>US4741891</t>
  </si>
  <si>
    <t>C01B-035/10_x000D_
B01J-029/70_x000D_
B01J-031/02_x000D_
C01B-035/00_x000D_
C01B-037/02_x000D_
C01B-039/48_x000D_
C01G-017/00_x000D_
C01G-049/00_x000D_
C07C-001/20_x000D_
C07C-001/24_x000D_
C07C-011/06_x000D_
C07C-015/00</t>
  </si>
  <si>
    <t>US4836996</t>
  </si>
  <si>
    <t>C01B-035/00_x000D_
C01G-017/00_x000D_
C01G-049/00_x000D_
B01J-029/70_x000D_
B01J-031/02_x000D_
C01B-035/10_x000D_
C01B-037/02_x000D_
C01B-039/48_x000D_
C07C-001/20_x000D_
C07C-001/24_x000D_
C07C-011/06_x000D_
C07C-015/00</t>
  </si>
  <si>
    <t>US4876412</t>
  </si>
  <si>
    <t>US5098685</t>
  </si>
  <si>
    <t>C07C-001/20_x000D_
B01J-029/00_x000D_
B01J-029/70_x000D_
B01J-029/88_x000D_
B01J-029/89_x000D_
C01B-039/04_x000D_
C01B-039/06_x000D_
C07B-061/00_x000D_
C07C-001/00_x000D_
C07C-002/42_x000D_
C07C-002/66_x000D_
C07C-002/76_x000D_
C07C-002/86_x000D_
C07C-006/12_x000D_
C07C-015/02_x000D_
C07C-067/00</t>
  </si>
  <si>
    <t>JPH0249246</t>
  </si>
  <si>
    <t>C07C-001/20_x000D_
B01J-029/00_x000D_
B01J-029/04_x000D_
B01J-029/88_x000D_
B01J-029/89_x000D_
C01B-033/20_x000D_
C01B-039/04_x000D_
C01B-039/06_x000D_
C01B-039/08_x000D_
C07B-061/00_x000D_
C07C-001/00_x000D_
C07C-002/42_x000D_
C07C-002/66_x000D_
C07C-002/86_x000D_
C07C-006/12_x000D_
C07C-015/02_x000D_
C07C-067/00</t>
  </si>
  <si>
    <t>JPH0249245</t>
  </si>
  <si>
    <t>AU535752</t>
  </si>
  <si>
    <t>GB2075357</t>
  </si>
  <si>
    <t>JPS574231</t>
  </si>
  <si>
    <t>CA1154737</t>
  </si>
  <si>
    <t>EP0039996</t>
  </si>
  <si>
    <t>DE3161305</t>
  </si>
  <si>
    <t>COAL INDUSTRY ([GB])</t>
  </si>
  <si>
    <t>AU543699</t>
  </si>
  <si>
    <t>NL8002582</t>
  </si>
  <si>
    <t>JPS572222</t>
  </si>
  <si>
    <t>SHELL INTERNATIONALE RESEARCH MAATSCHAPPIJ</t>
  </si>
  <si>
    <t>JPH0113453</t>
  </si>
  <si>
    <t>BR8102713</t>
  </si>
  <si>
    <t>NZ196997</t>
  </si>
  <si>
    <t>CA1157484</t>
  </si>
  <si>
    <t>EP0039964</t>
  </si>
  <si>
    <t>ZA8102936</t>
  </si>
  <si>
    <t>DE3162594</t>
  </si>
  <si>
    <t>BAYER ([DE])</t>
  </si>
  <si>
    <t>DE3014637</t>
  </si>
  <si>
    <t>JPS56160317</t>
  </si>
  <si>
    <t>DE3014636</t>
  </si>
  <si>
    <t>JPS56161837</t>
  </si>
  <si>
    <t>US4268420</t>
  </si>
  <si>
    <t>US4292458</t>
  </si>
  <si>
    <t>C07C-001/20_x000D_
B01J-029/86_x000D_
C07C-005/27_x000D_
C07C-009/12</t>
  </si>
  <si>
    <t>US4292457</t>
  </si>
  <si>
    <t>B01J-029/86_x000D_
C07C-002/66_x000D_
C07C-005/27</t>
  </si>
  <si>
    <t>SNAM PROGETTI ([IT])</t>
  </si>
  <si>
    <t>IL57583</t>
  </si>
  <si>
    <t>DK243279</t>
  </si>
  <si>
    <t>DK155176</t>
  </si>
  <si>
    <t>NO854781</t>
  </si>
  <si>
    <t>NL7904908</t>
  </si>
  <si>
    <t>NL188787</t>
  </si>
  <si>
    <t>NO792058</t>
  </si>
  <si>
    <t>GB2023562</t>
  </si>
  <si>
    <t>AU4823379</t>
  </si>
  <si>
    <t>AU531124</t>
  </si>
  <si>
    <t>PH14502</t>
  </si>
  <si>
    <t>RO78794</t>
  </si>
  <si>
    <t>CA1131206</t>
  </si>
  <si>
    <t>EG13897</t>
  </si>
  <si>
    <t>YU148579</t>
  </si>
  <si>
    <t>YU40370</t>
  </si>
  <si>
    <t>ATA438179</t>
  </si>
  <si>
    <t>AT374770</t>
  </si>
  <si>
    <t>TR21702</t>
  </si>
  <si>
    <t>LU81416</t>
  </si>
  <si>
    <t>DE2924870</t>
  </si>
  <si>
    <t>FR2429041</t>
  </si>
  <si>
    <t>PL216528</t>
  </si>
  <si>
    <t>PL118729</t>
  </si>
  <si>
    <t>ES482160</t>
  </si>
  <si>
    <t>IE791168</t>
  </si>
  <si>
    <t>L</t>
  </si>
  <si>
    <t>IE48184</t>
  </si>
  <si>
    <t>SE7905453</t>
  </si>
  <si>
    <t>SE439437</t>
  </si>
  <si>
    <t>SE8403138</t>
  </si>
  <si>
    <t>DD144397</t>
  </si>
  <si>
    <t>DD151877</t>
  </si>
  <si>
    <t>CH645076</t>
  </si>
  <si>
    <t>IN151533</t>
  </si>
  <si>
    <t>GR72245</t>
  </si>
  <si>
    <t>C01B-033/00_x000D_
B01J-020/10_x000D_
B01J-021/08_x000D_
B01J-029/04_x000D_
B01J-029/86_x000D_
C01B-033/02_x000D_
C01B-033/12_x000D_
C01B-033/20_x000D_
C01B-035/10_x000D_
C01B-035/12_x000D_
C01B-039/00_x000D_
C01B-039/04_x000D_
C01B-039/08_x000D_
C01B-039/12_x000D_
C07B-061/00_x000D_
C07C-001/00_x000D_
C07C-001/20_x000D_
C07C-002/66_x000D_
C07C-002/86_x000D_
C07C-015/067_x000D_
C07C-027/00_x000D_
C07C-029/10_x000D_
C07C-029/128_x000D_
C07C-031/04_x000D_
C07C-067/00</t>
  </si>
  <si>
    <t>IL57582</t>
  </si>
  <si>
    <t>DK240379</t>
  </si>
  <si>
    <t>DK149839</t>
  </si>
  <si>
    <t>NL7904909</t>
  </si>
  <si>
    <t>NL190144</t>
  </si>
  <si>
    <t>NO792059</t>
  </si>
  <si>
    <t>NO156125</t>
  </si>
  <si>
    <t>AU4787479</t>
  </si>
  <si>
    <t>AU531123</t>
  </si>
  <si>
    <t>GB2024790</t>
  </si>
  <si>
    <t>GB2078704</t>
  </si>
  <si>
    <t>YU148479</t>
  </si>
  <si>
    <t>EG13934</t>
  </si>
  <si>
    <t>PH15865</t>
  </si>
  <si>
    <t>RO78795</t>
  </si>
  <si>
    <t>CA1155824</t>
  </si>
  <si>
    <t>TR21215</t>
  </si>
  <si>
    <t>DK593084</t>
  </si>
  <si>
    <t>DK164813</t>
  </si>
  <si>
    <t>DK166245</t>
  </si>
  <si>
    <t>ATA438279</t>
  </si>
  <si>
    <t>AT381483</t>
  </si>
  <si>
    <t>US4656016</t>
  </si>
  <si>
    <t>US4666692</t>
  </si>
  <si>
    <t>JPH01275417</t>
  </si>
  <si>
    <t>JPH0217482</t>
  </si>
  <si>
    <t>JP1597452</t>
  </si>
  <si>
    <t>JPH0230612</t>
  </si>
  <si>
    <t>JPH0223481</t>
  </si>
  <si>
    <t>JP1601551</t>
  </si>
  <si>
    <t>DK3692</t>
  </si>
  <si>
    <t>DK165174</t>
  </si>
  <si>
    <t>DK3592</t>
  </si>
  <si>
    <t>DK165173</t>
  </si>
  <si>
    <t>LU81415</t>
  </si>
  <si>
    <t>DE2924915</t>
  </si>
  <si>
    <t>FR2429182</t>
  </si>
  <si>
    <t>PL216527</t>
  </si>
  <si>
    <t>PL118686</t>
  </si>
  <si>
    <t>ES482161</t>
  </si>
  <si>
    <t>ES8101921</t>
  </si>
  <si>
    <t>AR225417</t>
  </si>
  <si>
    <t>IE791169</t>
  </si>
  <si>
    <t>IE48198</t>
  </si>
  <si>
    <t>SE7905452</t>
  </si>
  <si>
    <t>SE445521</t>
  </si>
  <si>
    <t>SE8403805</t>
  </si>
  <si>
    <t>SE462845</t>
  </si>
  <si>
    <t>SE8803722</t>
  </si>
  <si>
    <t>SE464249</t>
  </si>
  <si>
    <t>SE8803721</t>
  </si>
  <si>
    <t>SE464248</t>
  </si>
  <si>
    <t>DD144398</t>
  </si>
  <si>
    <t>CH643803</t>
  </si>
  <si>
    <t>GR66589</t>
  </si>
  <si>
    <t>IN151534</t>
  </si>
  <si>
    <t>HU181955</t>
  </si>
  <si>
    <t>BG39638</t>
  </si>
  <si>
    <t>US4197214</t>
  </si>
  <si>
    <t>C10G-011/00_x000D_
B01J-029/06_x000D_
B01J-029/90_x000D_
B01J-038/12_x000D_
C01B-039/20_x000D_
C01B-039/26_x000D_
C01B-039/30_x000D_
C01B-039/36_x000D_
C01B-039/38_x000D_
C01B-039/42_x000D_
C01B-039/44_x000D_
C10G-002/00_x000D_
C10G-003/00</t>
  </si>
  <si>
    <t>JPS5551440</t>
  </si>
  <si>
    <t>JPS624175</t>
  </si>
  <si>
    <t>AU5118179</t>
  </si>
  <si>
    <t>AU531633</t>
  </si>
  <si>
    <t>NZ191568</t>
  </si>
  <si>
    <t>CA1129393</t>
  </si>
  <si>
    <t>CHEN NAI Y_x000D_
REAGAN WILLIAM J_x000D_
WEEKMAN VERN W</t>
  </si>
  <si>
    <t>EP0009917</t>
  </si>
  <si>
    <t>ZA7905395</t>
  </si>
  <si>
    <t>DE2961703</t>
  </si>
  <si>
    <t>C10G-011/04_x000D_
B01J-029/04_x000D_
B01J-029/87_x000D_
B01J-029/88_x000D_
C10G-011/00_x000D_
C10G-011/05_x000D_
C10G-035/06_x000D_
C10L-001/06</t>
  </si>
  <si>
    <t>IT1121519</t>
  </si>
  <si>
    <t>NL7805841</t>
  </si>
  <si>
    <t>JPS54156013</t>
  </si>
  <si>
    <t>JPS6320877</t>
  </si>
  <si>
    <t>JP1474447</t>
  </si>
  <si>
    <t>GB2023167</t>
  </si>
  <si>
    <t>CA1142118</t>
  </si>
  <si>
    <t>DE2921601</t>
  </si>
  <si>
    <t>FR2427375</t>
  </si>
  <si>
    <t>C10G-035/06_x000D_
B01J-029/04_x000D_
B01J-029/87_x000D_
B01J-029/88_x000D_
C10G-035/095_x000D_
C10G-059/02</t>
  </si>
  <si>
    <t>IT1115233</t>
  </si>
  <si>
    <t>NL7805671</t>
  </si>
  <si>
    <t>JPS54153805</t>
  </si>
  <si>
    <t>JPS6158112</t>
  </si>
  <si>
    <t>JP1389381</t>
  </si>
  <si>
    <t>GB2021636</t>
  </si>
  <si>
    <t>US4244807</t>
  </si>
  <si>
    <t>CA1138364</t>
  </si>
  <si>
    <t>DE2920956</t>
  </si>
  <si>
    <t>FR2426729</t>
  </si>
  <si>
    <t>alive-1</t>
  </si>
  <si>
    <t>коэффициент</t>
  </si>
  <si>
    <t>тип</t>
  </si>
  <si>
    <t>признак</t>
  </si>
  <si>
    <t>Названия строк</t>
  </si>
  <si>
    <t>(пусто)</t>
  </si>
  <si>
    <t>Общий итог</t>
  </si>
  <si>
    <t>Названия столбцов</t>
  </si>
  <si>
    <t>D</t>
  </si>
  <si>
    <t>Среднее по полю признак</t>
  </si>
  <si>
    <t>ДЛЯ ПАТЕНТОВ СЕМЕЙСТВ</t>
  </si>
  <si>
    <t>год (формула)</t>
  </si>
  <si>
    <t>год (значения)</t>
  </si>
  <si>
    <t xml:space="preserve">счет </t>
  </si>
  <si>
    <t>коэффициент (вручную)</t>
  </si>
  <si>
    <t>значение новизны</t>
  </si>
  <si>
    <t>C07C-002/12</t>
  </si>
  <si>
    <t>C07C-041/06</t>
  </si>
  <si>
    <t>C10L-001/02</t>
  </si>
  <si>
    <t>B01J-021/00</t>
  </si>
  <si>
    <t>B01J-021/06</t>
  </si>
  <si>
    <t>B01J-021/12</t>
  </si>
  <si>
    <t>B01J-023/00</t>
  </si>
  <si>
    <t>B01J-023/755</t>
  </si>
  <si>
    <t>B01J-023/83</t>
  </si>
  <si>
    <t>B01J-035/00</t>
  </si>
  <si>
    <t>B01J-035/02</t>
  </si>
  <si>
    <t>B01J-037/02</t>
  </si>
  <si>
    <t>B01J-037/04</t>
  </si>
  <si>
    <t>B01J-037/08</t>
  </si>
  <si>
    <t>C01B-003/32</t>
  </si>
  <si>
    <t>C01B-003/40</t>
  </si>
  <si>
    <t>B01J</t>
  </si>
  <si>
    <t>C01G-035/06</t>
  </si>
  <si>
    <t>C07C</t>
  </si>
  <si>
    <t>C10G</t>
  </si>
  <si>
    <t>C10G-029/20</t>
  </si>
  <si>
    <t>C10L</t>
  </si>
  <si>
    <t>C10L-001/04</t>
  </si>
  <si>
    <t>C10L-001/06</t>
  </si>
  <si>
    <t>C10L-001/16</t>
  </si>
  <si>
    <t>B01J-029/40</t>
  </si>
  <si>
    <t>B01J-037/28</t>
  </si>
  <si>
    <t>B01J-008/00</t>
  </si>
  <si>
    <t>C07C-009/14</t>
  </si>
  <si>
    <t>C07C-009/22</t>
  </si>
  <si>
    <t>B01J-029/46</t>
  </si>
  <si>
    <t>C07C-029/151</t>
  </si>
  <si>
    <t>C07C-031/04</t>
  </si>
  <si>
    <t>C07C-015/02</t>
  </si>
  <si>
    <t>C07C-015/06</t>
  </si>
  <si>
    <t>C02F-001/04</t>
  </si>
  <si>
    <t>C07C-001/04</t>
  </si>
  <si>
    <t>C10G-002/00</t>
  </si>
  <si>
    <t>B01J-023/10</t>
  </si>
  <si>
    <t>C01B</t>
  </si>
  <si>
    <t>C07C-015/00</t>
  </si>
  <si>
    <t>B01J-029/48</t>
  </si>
  <si>
    <t>C07C-009/04</t>
  </si>
  <si>
    <t>B01J-013/02</t>
  </si>
  <si>
    <t>B01J-029/85</t>
  </si>
  <si>
    <t>B01J-029/89</t>
  </si>
  <si>
    <t>B01J-035/08</t>
  </si>
  <si>
    <t>B01J-035/10</t>
  </si>
  <si>
    <t>C07C-011/02</t>
  </si>
  <si>
    <t>C07C-011/04</t>
  </si>
  <si>
    <t>C07C-011/06</t>
  </si>
  <si>
    <t>C07C-011/08</t>
  </si>
  <si>
    <t>C07C-037/60</t>
  </si>
  <si>
    <t>C07C-039/04</t>
  </si>
  <si>
    <t>C07C-039/08</t>
  </si>
  <si>
    <t>C07C-249/04</t>
  </si>
  <si>
    <t>C07C-251/44</t>
  </si>
  <si>
    <t>B01J-029/04</t>
  </si>
  <si>
    <t>C01B-033/20</t>
  </si>
  <si>
    <t>C01B-039/08</t>
  </si>
  <si>
    <t>C01B-039/46</t>
  </si>
  <si>
    <t>C10G-035/00</t>
  </si>
  <si>
    <t>C10G-045/12</t>
  </si>
  <si>
    <t>B01D-003/10</t>
  </si>
  <si>
    <t>B01D-003/14</t>
  </si>
  <si>
    <t>C10G-007/00</t>
  </si>
  <si>
    <t>C10G-007/06</t>
  </si>
  <si>
    <t>C10G-009/36</t>
  </si>
  <si>
    <t>C10G-021/00</t>
  </si>
  <si>
    <t>C10G-047/00</t>
  </si>
  <si>
    <t>C10G-063/06</t>
  </si>
  <si>
    <t>C10G-067/00</t>
  </si>
  <si>
    <t>C10G-069/00</t>
  </si>
  <si>
    <t>C10G-069/06</t>
  </si>
  <si>
    <t>C10G-069/08</t>
  </si>
  <si>
    <t>C10G-069/14</t>
  </si>
  <si>
    <t>C07C-029/04</t>
  </si>
  <si>
    <t>C07C-031/12</t>
  </si>
  <si>
    <t>C10G-011/02</t>
  </si>
  <si>
    <t>B01J-008/28</t>
  </si>
  <si>
    <t>C07C-015/04</t>
  </si>
  <si>
    <t>C07C-004/06</t>
  </si>
  <si>
    <t>C07C-011/12</t>
  </si>
  <si>
    <t>C07C-002/82</t>
  </si>
  <si>
    <t>C07C-002/08</t>
  </si>
  <si>
    <t>C07C-007/00</t>
  </si>
  <si>
    <t>C07C-007/04</t>
  </si>
  <si>
    <t>C01B-039/36</t>
  </si>
  <si>
    <t>C07C-015/14</t>
  </si>
  <si>
    <t>B01J-029/74</t>
  </si>
  <si>
    <t>B01J-029/76</t>
  </si>
  <si>
    <t>C07C-015/067</t>
  </si>
  <si>
    <t>B01J-027/18</t>
  </si>
  <si>
    <t>B01J-029/84</t>
  </si>
  <si>
    <t>B01J-031/02</t>
  </si>
  <si>
    <t>C01B-039/54</t>
  </si>
  <si>
    <t>C10G-011/05</t>
  </si>
  <si>
    <t>B01J-027/182</t>
  </si>
  <si>
    <t>B01J-020/04</t>
  </si>
  <si>
    <t>B01J-020/30</t>
  </si>
  <si>
    <t>B01J-037/00</t>
  </si>
  <si>
    <t>B01J-037/06</t>
  </si>
  <si>
    <t>B01J-037/10</t>
  </si>
  <si>
    <t>B01J-039/02</t>
  </si>
  <si>
    <t>B01J-039/12</t>
  </si>
  <si>
    <t>B01J-008/24</t>
  </si>
  <si>
    <t>B01J-021/08</t>
  </si>
  <si>
    <t>C07B-061/00</t>
  </si>
  <si>
    <t>C07C-002/42</t>
  </si>
  <si>
    <t>C07C-061/00</t>
  </si>
  <si>
    <t>C07C-029/153</t>
  </si>
  <si>
    <t>C07C-029/156</t>
  </si>
  <si>
    <t>B01J-029/42</t>
  </si>
  <si>
    <t>B01J-037/30</t>
  </si>
  <si>
    <t>C01B-039/38</t>
  </si>
  <si>
    <t>B01J-008/04</t>
  </si>
  <si>
    <t>B01J-019/24</t>
  </si>
  <si>
    <t>C07C-001/06</t>
  </si>
  <si>
    <t>C07C-029/152</t>
  </si>
  <si>
    <t>C07C-041/09</t>
  </si>
  <si>
    <t>C07C-041/14</t>
  </si>
  <si>
    <t>B01J-023/06</t>
  </si>
  <si>
    <t>B01J-027/14</t>
  </si>
  <si>
    <t>C07C-015/073</t>
  </si>
  <si>
    <t>C01B-039/40</t>
  </si>
  <si>
    <t>C01B-039/24</t>
  </si>
  <si>
    <t>C07C-005/333</t>
  </si>
  <si>
    <t>C07C-005/393</t>
  </si>
  <si>
    <t>C07C-005/41</t>
  </si>
  <si>
    <t>C07C-015/24</t>
  </si>
  <si>
    <t>C07C-009/08</t>
  </si>
  <si>
    <t>C07C-009/10</t>
  </si>
  <si>
    <t>C07C-029/141</t>
  </si>
  <si>
    <t>C07C-002/76</t>
  </si>
  <si>
    <t>B01J-008/16</t>
  </si>
  <si>
    <t>B01J-019/00</t>
  </si>
  <si>
    <t>C10G-011/00</t>
  </si>
  <si>
    <t>C10G-011/14</t>
  </si>
  <si>
    <t>C10G-011/18</t>
  </si>
  <si>
    <t>B01J-008/26</t>
  </si>
  <si>
    <t>B01J-029/44</t>
  </si>
  <si>
    <t>B01J-029/90</t>
  </si>
  <si>
    <t>C07C-006/06</t>
  </si>
  <si>
    <t>C10G-035/24</t>
  </si>
  <si>
    <t>B01J-031/26</t>
  </si>
  <si>
    <t>C07C-002/70</t>
  </si>
  <si>
    <t>C07C-005/27</t>
  </si>
  <si>
    <t>C07C-002/88</t>
  </si>
  <si>
    <t>B01D-003/34</t>
  </si>
  <si>
    <t>B01D-005/00</t>
  </si>
  <si>
    <t>B01D-009/00</t>
  </si>
  <si>
    <t>B01D-053/00</t>
  </si>
  <si>
    <t>B01D-053/04</t>
  </si>
  <si>
    <t>B01D-053/22</t>
  </si>
  <si>
    <t>B01J-008/06</t>
  </si>
  <si>
    <t>B01J-019/02</t>
  </si>
  <si>
    <t>C01B-033/035</t>
  </si>
  <si>
    <t>C01B-033/10</t>
  </si>
  <si>
    <t>C01B-035/06</t>
  </si>
  <si>
    <t>C01B-035/10</t>
  </si>
  <si>
    <t>C01B-035/18</t>
  </si>
  <si>
    <t>C10G-065/04</t>
  </si>
  <si>
    <t>C10G-045/68</t>
  </si>
  <si>
    <t>C10G-063/02</t>
  </si>
  <si>
    <t>C07C-004/00</t>
  </si>
  <si>
    <t>B01J-029/78</t>
  </si>
  <si>
    <t>C01B-003/38</t>
  </si>
  <si>
    <t>B01J-021/04</t>
  </si>
  <si>
    <t>B01J-021/10</t>
  </si>
  <si>
    <t>B01J-029/06</t>
  </si>
  <si>
    <t>C01C-001/20</t>
  </si>
  <si>
    <t>B01J-029/18</t>
  </si>
  <si>
    <t>C07C-006/12</t>
  </si>
  <si>
    <t>C10G-029/02</t>
  </si>
  <si>
    <t>C07C-001/00</t>
  </si>
  <si>
    <t>C07C-004/18</t>
  </si>
  <si>
    <t>C07C-005/00</t>
  </si>
  <si>
    <t>C10G-001/00</t>
  </si>
  <si>
    <t>C10G-047/16</t>
  </si>
  <si>
    <t>B01J-029/076</t>
  </si>
  <si>
    <t>B01J-029/08</t>
  </si>
  <si>
    <t>C07C-001/22</t>
  </si>
  <si>
    <t>C07C-002/68</t>
  </si>
  <si>
    <t>C12P-007/06</t>
  </si>
  <si>
    <t>C07C-006/00</t>
  </si>
  <si>
    <t>B01J-029/87</t>
  </si>
  <si>
    <t>B01D-015/08</t>
  </si>
  <si>
    <t>B01J-020/18</t>
  </si>
  <si>
    <t>B01J-029/86</t>
  </si>
  <si>
    <t>B01J-029/88</t>
  </si>
  <si>
    <t>B01J-043/00</t>
  </si>
  <si>
    <t>C01B-039/48</t>
  </si>
  <si>
    <t>C07C-001/02</t>
  </si>
  <si>
    <t>C07C-002/02</t>
  </si>
  <si>
    <t>C07C-002/58</t>
  </si>
  <si>
    <t>C07C-004/12</t>
  </si>
  <si>
    <t>C07C-005/13</t>
  </si>
  <si>
    <t>C07C-005/22</t>
  </si>
  <si>
    <t>C07C-007/12</t>
  </si>
  <si>
    <t>C07C-007/13</t>
  </si>
  <si>
    <t>C10G-011/04</t>
  </si>
  <si>
    <t>C10G-029/00</t>
  </si>
  <si>
    <t>C10G-045/00</t>
  </si>
  <si>
    <t>C10G-047/20</t>
  </si>
  <si>
    <t>C01B-003/26</t>
  </si>
  <si>
    <t>C07C-002/00</t>
  </si>
  <si>
    <t>B01J-037/03</t>
  </si>
  <si>
    <t>C07C-015/085</t>
  </si>
  <si>
    <t>C10G-005/00</t>
  </si>
  <si>
    <t>C10G-057/00</t>
  </si>
  <si>
    <t>C10G-069/12</t>
  </si>
  <si>
    <t>C10G-029/22</t>
  </si>
  <si>
    <t>C07C-002/84</t>
  </si>
  <si>
    <t>C10G-011/10</t>
  </si>
  <si>
    <t>B01J-029/03</t>
  </si>
  <si>
    <t>B01J-029/16</t>
  </si>
  <si>
    <t>B01J-029/26</t>
  </si>
  <si>
    <t>C10L-001/08</t>
  </si>
  <si>
    <t>C10L-003/12</t>
  </si>
  <si>
    <t>C01B-003/52</t>
  </si>
  <si>
    <t>C07C-007/11</t>
  </si>
  <si>
    <t>B01J-031/06</t>
  </si>
  <si>
    <t>B01J-031/32</t>
  </si>
  <si>
    <t>B01J-031/34</t>
  </si>
  <si>
    <t>C10G-055/06</t>
  </si>
  <si>
    <t>B01J-029/65</t>
  </si>
  <si>
    <t>C01B-031/02</t>
  </si>
  <si>
    <t>C01B-033/36</t>
  </si>
  <si>
    <t>C01B-039/20</t>
  </si>
  <si>
    <t>C01B-039/42</t>
  </si>
  <si>
    <t>C01B-039/44</t>
  </si>
  <si>
    <t>C09B-062/02</t>
  </si>
  <si>
    <t>C10G-025/03</t>
  </si>
  <si>
    <t>C10G-045/54</t>
  </si>
  <si>
    <t>C10G-045/64</t>
  </si>
  <si>
    <t>B01J-038/32</t>
  </si>
  <si>
    <t>B01J-029/72</t>
  </si>
  <si>
    <t>C07C-005/02</t>
  </si>
  <si>
    <t>C07C-005/10</t>
  </si>
  <si>
    <t>C07C-005/52</t>
  </si>
  <si>
    <t>C10G-049/08</t>
  </si>
  <si>
    <t>B01D-053/94</t>
  </si>
  <si>
    <t>B01J-029/064</t>
  </si>
  <si>
    <t>C01F-007/00</t>
  </si>
  <si>
    <t>C07C-009/00</t>
  </si>
  <si>
    <t>C07C-209/14</t>
  </si>
  <si>
    <t>C07C-209/16</t>
  </si>
  <si>
    <t>C07C-211/04</t>
  </si>
  <si>
    <t>C08F-004/02</t>
  </si>
  <si>
    <t>C08F-010/00</t>
  </si>
  <si>
    <t>C10G-049/02</t>
  </si>
  <si>
    <t>C10G-073/00</t>
  </si>
  <si>
    <t>B01J-029/12</t>
  </si>
  <si>
    <t>C07C-004/04</t>
  </si>
  <si>
    <t>C07C-004/08</t>
  </si>
  <si>
    <t>C07C-006/04</t>
  </si>
  <si>
    <t>B01J-029/22</t>
  </si>
  <si>
    <t>B01J-029/60</t>
  </si>
  <si>
    <t>C10G-047/02</t>
  </si>
  <si>
    <t>C07C-043/04</t>
  </si>
  <si>
    <t>B01J-021/02</t>
  </si>
  <si>
    <t>B01J-029/068</t>
  </si>
  <si>
    <t>B01J-029/62</t>
  </si>
  <si>
    <t>C10G-047/14</t>
  </si>
  <si>
    <t>C01B-037/00</t>
  </si>
  <si>
    <t>C01B-037/02</t>
  </si>
  <si>
    <t>C01B-039/12</t>
  </si>
  <si>
    <t>C10G-071/00</t>
  </si>
  <si>
    <t>B01J-029/035</t>
  </si>
  <si>
    <t>C01B-039/06</t>
  </si>
  <si>
    <t>C01B-033/12</t>
  </si>
  <si>
    <t>C01B-033/40</t>
  </si>
  <si>
    <t>C01B-035/00</t>
  </si>
  <si>
    <t>C01B-035/12</t>
  </si>
  <si>
    <t>C07C-211/62</t>
  </si>
  <si>
    <t>C01B-039/34</t>
  </si>
  <si>
    <t>C07C-009/18</t>
  </si>
  <si>
    <t>C10L-001/18</t>
  </si>
  <si>
    <t>C10L-010/10</t>
  </si>
  <si>
    <t>B01J-039/14</t>
  </si>
  <si>
    <t>C02F-001/42</t>
  </si>
  <si>
    <t>C07C-005/25</t>
  </si>
  <si>
    <t>C10G-057/02</t>
  </si>
  <si>
    <t>C10G-059/04</t>
  </si>
  <si>
    <t>C10G-063/00</t>
  </si>
  <si>
    <t>C10L-001/182</t>
  </si>
  <si>
    <t>B01J-031/10</t>
  </si>
  <si>
    <t>C10L-001/185</t>
  </si>
  <si>
    <t>C01B-039/10</t>
  </si>
  <si>
    <t>C01B-039/26</t>
  </si>
  <si>
    <t>C10G-035/14</t>
  </si>
  <si>
    <t>C10G-050/02</t>
  </si>
  <si>
    <t>B01J-021/16</t>
  </si>
  <si>
    <t>C07C-067/00</t>
  </si>
  <si>
    <t>C07C-005/08</t>
  </si>
  <si>
    <t>C10C-003/00</t>
  </si>
  <si>
    <t>C01G-017/00</t>
  </si>
  <si>
    <t>C01G-049/00</t>
  </si>
  <si>
    <t>C07C-001/207</t>
  </si>
  <si>
    <t>B01J-023/745</t>
  </si>
  <si>
    <t>C07C-009/12</t>
  </si>
  <si>
    <t>C07C-002/54</t>
  </si>
  <si>
    <t>B01J-020/10</t>
  </si>
  <si>
    <t>C01B-033/02</t>
  </si>
  <si>
    <t>C07C-027/00</t>
  </si>
  <si>
    <t>C07C-029/10</t>
  </si>
  <si>
    <t>C07C-029/128</t>
  </si>
  <si>
    <t>B01J-038/12</t>
  </si>
  <si>
    <t>C01B-039/30</t>
  </si>
  <si>
    <t>класс МПК</t>
  </si>
  <si>
    <t>C10J</t>
  </si>
  <si>
    <t>C01G</t>
  </si>
  <si>
    <t>C02F</t>
  </si>
  <si>
    <t>B01D</t>
  </si>
  <si>
    <t>C07B</t>
  </si>
  <si>
    <t>C01C</t>
  </si>
  <si>
    <t>C12P</t>
  </si>
  <si>
    <t>C09B</t>
  </si>
  <si>
    <t>C01F</t>
  </si>
  <si>
    <t>C08F</t>
  </si>
  <si>
    <t>C10C</t>
  </si>
  <si>
    <t>число классов мпк</t>
  </si>
  <si>
    <t>число вхождений мпк</t>
  </si>
  <si>
    <t>коэффициент междисциплинарности</t>
  </si>
  <si>
    <t>страна</t>
  </si>
  <si>
    <t>AR</t>
  </si>
  <si>
    <t>AT</t>
  </si>
  <si>
    <t>AU</t>
  </si>
  <si>
    <t>BG</t>
  </si>
  <si>
    <t>BR</t>
  </si>
  <si>
    <t>BRPI</t>
  </si>
  <si>
    <t>CA</t>
  </si>
  <si>
    <t>CH</t>
  </si>
  <si>
    <t>CN</t>
  </si>
  <si>
    <t>CS</t>
  </si>
  <si>
    <t>DD</t>
  </si>
  <si>
    <t>DE</t>
  </si>
  <si>
    <t>DK</t>
  </si>
  <si>
    <t>EA</t>
  </si>
  <si>
    <t>EG</t>
  </si>
  <si>
    <t>EP</t>
  </si>
  <si>
    <t>ES</t>
  </si>
  <si>
    <t>FR</t>
  </si>
  <si>
    <t>GB</t>
  </si>
  <si>
    <t>GR</t>
  </si>
  <si>
    <t>HK</t>
  </si>
  <si>
    <t>HU</t>
  </si>
  <si>
    <t>IE</t>
  </si>
  <si>
    <t>IL</t>
  </si>
  <si>
    <t>IN</t>
  </si>
  <si>
    <t>IT</t>
  </si>
  <si>
    <t>JP</t>
  </si>
  <si>
    <t>KR</t>
  </si>
  <si>
    <t>LU</t>
  </si>
  <si>
    <t>MX</t>
  </si>
  <si>
    <t>MY</t>
  </si>
  <si>
    <t>NL</t>
  </si>
  <si>
    <t>NO</t>
  </si>
  <si>
    <t>NZ</t>
  </si>
  <si>
    <t>PH</t>
  </si>
  <si>
    <t>PL</t>
  </si>
  <si>
    <t>PT</t>
  </si>
  <si>
    <t>RO</t>
  </si>
  <si>
    <t>RU</t>
  </si>
  <si>
    <t>SE</t>
  </si>
  <si>
    <t>SG</t>
  </si>
  <si>
    <t>SU</t>
  </si>
  <si>
    <t>TH</t>
  </si>
  <si>
    <t>TR</t>
  </si>
  <si>
    <t>TW</t>
  </si>
  <si>
    <t>US</t>
  </si>
  <si>
    <t>WO</t>
  </si>
  <si>
    <t>YU</t>
  </si>
  <si>
    <t>ZA</t>
  </si>
  <si>
    <t>ЧИСЛО СТРАН</t>
  </si>
  <si>
    <t>счет</t>
  </si>
  <si>
    <t xml:space="preserve">коэффициент </t>
  </si>
  <si>
    <t xml:space="preserve">коэффициенты </t>
  </si>
  <si>
    <t>1_x000D_2</t>
  </si>
  <si>
    <t>Значение</t>
  </si>
  <si>
    <t>Число</t>
  </si>
  <si>
    <t>Assignee standartization</t>
  </si>
  <si>
    <t>Earliest publication country</t>
  </si>
  <si>
    <t>Lexis Alternative</t>
  </si>
  <si>
    <t>Novelty</t>
  </si>
  <si>
    <t>Family Patent</t>
  </si>
  <si>
    <t>Total</t>
  </si>
  <si>
    <t>Family members</t>
  </si>
  <si>
    <t>Kind codes</t>
  </si>
  <si>
    <t>Coefficient</t>
  </si>
  <si>
    <t>Basic publication number</t>
  </si>
  <si>
    <t>INPADOC family ID</t>
  </si>
  <si>
    <t>Citing patents by owner</t>
  </si>
  <si>
    <t>Competitive Impact™</t>
  </si>
  <si>
    <t>Current owners</t>
  </si>
  <si>
    <t>Legal Status</t>
  </si>
  <si>
    <t>IPC Level 3 - Subclasses</t>
  </si>
  <si>
    <t>Market Coverage™</t>
  </si>
  <si>
    <t>IPC Level 3 - Total no. of assigned IPC subclasses</t>
  </si>
  <si>
    <t>Patent Asset Index™</t>
  </si>
  <si>
    <t>Priority date</t>
  </si>
  <si>
    <t>Technology Relevance™</t>
  </si>
  <si>
    <t>Total number of citations received</t>
  </si>
  <si>
    <t>Patent family (link)</t>
  </si>
  <si>
    <t>Documents (links)</t>
  </si>
  <si>
    <t>AU5147401.A</t>
  </si>
  <si>
    <t>AU5147401.A; EP1272446.A1; WO0177046.A1</t>
  </si>
  <si>
    <t>Tsinghua University (China) (CN101823929.A); Exxon Mobil (US7414166.B2); Sinopec Group (CN104892346.A)</t>
  </si>
  <si>
    <t>Exxon Mobil</t>
  </si>
  <si>
    <t>Inactive</t>
  </si>
  <si>
    <t>C07C ;</t>
  </si>
  <si>
    <t>AU9116801.A</t>
  </si>
  <si>
    <t>AU9116801.A; US6506954.B1; WO0232837.A1</t>
  </si>
  <si>
    <t>Exxon Mobil (US2015175897.A1, US9790139.B2, US8981171.B2, US9095831.B2, WO2018057125.A2, US7935857.B2, US7744746.B2, US9416072.B1, US9802877.B2, US7323612.B2, US6613951.B1, US7084319.B2); Saudi Arabia Government (US2009036723.A1, US2005209492.A1, US2008009406.A1, US2011082025.A1, US2008275280.A1, US2005197245.A1, US2005027151.A1, US2010113850.A1, US2005154242.A1, US2005277795.A1, US7205376.B2); SABIC (in: Saudi Arabia Government) (US2009036723.A1, US2005209492.A1, US2008009406.A1, US2011082025.A1, US2008275280.A1, US2005197245.A1, US2005027151.A1, US2010113850.A1, US2005154242.A1, US2005277795.A1, US7205376.B2); Honeywell (WO2007102919.A2, US8052938.B2, US10358394.B2); UOP (in: Honeywell) (WO2007102919.A2, US8052938.B2, US10358394.B2); SYN ENERGY TECHNOLOGY (WO2008106841.A1); Total (US8957274.B2); SK Hynix (US2006263706.A1); Abbott Laboratories (US2005238686.A1); Dow Inc (WO2012005864.A1)</t>
  </si>
  <si>
    <t>CA1175073.A</t>
  </si>
  <si>
    <t>AU8867482.A; CA1175073.A; DE3236093.A1; JPS5857494.A</t>
  </si>
  <si>
    <t>JXTG Holdings (JP2011184572.A); Toyo Engineering (JPS61191517.A); Total (FR2556237.A1)</t>
  </si>
  <si>
    <t>Toyo Engineering</t>
  </si>
  <si>
    <t>B01J ;C07C ;C10G ;</t>
  </si>
  <si>
    <t>CA1286321.C</t>
  </si>
  <si>
    <t>CN101244969.A</t>
  </si>
  <si>
    <t>CN101244969.A; CN101244969.B</t>
  </si>
  <si>
    <t>Sinopec Group (US9339801.B2, CN105985209.A, EP3015445.A1, CN105461497.A, US9783468.B2, CN104557416.A, CN105985210.A, CN102274704.A); Chinese Academy of Sciences (WO2013091337.A1, CN101780417.A, US9994496.B2); Tsinghua University (China) (CN103657744.A, CN103464193.A, CN106732822.A, CN101792362.A); China Huadian Corp (CN103657744.A, CN103464193.A); Exxon Mobil (US9790145.B2, US10131588.B2, US9957206.B2, US9828308.B2, US10167361.B2); KRICT (WO2019017748.A1); China National Offshore Oil (CN101780417.A); Shell (CN104245894.A, CN104245638.A); University of Zaragoza (WO2009153381.A1)</t>
  </si>
  <si>
    <t>Tsinghua University (China)</t>
  </si>
  <si>
    <t>In force</t>
  </si>
  <si>
    <t>B01J ;C07C ;</t>
  </si>
  <si>
    <t>CN101607858.A</t>
  </si>
  <si>
    <t>CN101607858.A; CN101607858.B</t>
  </si>
  <si>
    <t>Chinese Academy of Sciences (WO2013091337.A1, CN105272798.A, CN104710266.A, CN104710265.A, WO2015184598.A1, WO2015184600.A1, CN103130598.A, CN105294374.A, CN104710267.A); Sinopec Group (CN104557361.A, CN102190546.A, CN103058807.A, CN104557416.A, CN104557362.A, CN104557368.A, CN102372537.A, CN103030497.A); China National Offshore Oil (CN103936541.A, CN104355960.A, CN103864562.A); JIANGSU COAL CHEMICAL ENGINEERING RES AND DESIGN I (CN103449956.A); Tsinghua University (China) (CN104177210.A, CN103755514.A); China Huadian Corp (CN103755514.A); WEIYUE WANG (CN101880212.A); HU QIFANG (CN105175215.A); BEIJING RISUN CHEMICAL TECHNOLOGY INST (CN103341363.A); BEIJING RISUN CHEMICALS TECHNOLOGY RES (CN103449976.A); COMPASS AEROSPACE SATELLITE APPLICATION TECH GROUP (CN106111180.A)</t>
  </si>
  <si>
    <t>China National Offshore Oil;Chinese Academy of Sciences</t>
  </si>
  <si>
    <t>CN101823929.A</t>
  </si>
  <si>
    <t>CN101823929.A; CN101823929.B</t>
  </si>
  <si>
    <t>Exxon Mobil (US9895682.B2, WO2015094698.A1, US10196325.B2); Sinopec Group (CN104045505.A, CN104250183.A, CN104557415.A, CN105622306.A, CN106608783.A, CN104892346.A, CN104549441.A, US9783468.B2, CN104557416.A, CN106608785.A, CN104557364.A, CN106608784.A, CN106608807.A, CN108017488.A, CN106608781.A, CN104099121.A, CN106608782.A, CN106608800.A, CN104098418.A, RU2665477.C2); China National Offshore Oil (CN103936541.A, CN103864561.A); Tsinghua University (China) (CN102126915.A, CN102134178.A, CN103755514.A); China Huadian Corp (CN103755514.A); China National Petroleum Corp (CN104844402.A); SHANDONG ORIENT HONGYE CHEMICAL (CN102093155.A); Beijing Institute of Petrochemical Technology (CN105418345.A); Shanghai Huayi Group (CN103588612.A); LI XIAOYAN (CN102775261.A)</t>
  </si>
  <si>
    <t>C01B ;C07C ;</t>
  </si>
  <si>
    <t>CN101954291.A</t>
  </si>
  <si>
    <t>CN101954291.A; CN101954291.B</t>
  </si>
  <si>
    <t>Sinopec Group (CN104437595.A, CN104549444.A, CN104107710.A, CN104107707.A); Heilongjiang University (CN102795638.A); Dalian University of Technology (CN104607235.A); DALIAN LIGONG QIWANGDA CHEMICAL TECHNOLOGY CO LTD (CN104607235.A); ChemChina (CN103241746.A); DONGGUAN JIUNENG DIMETHYL ETHER PATENT APPLIC TECH (CN103820181.A); Chinese Academy of Sciences (CN103372456.A); Unitary Enterprises Russia (RU2495017.C1)</t>
  </si>
  <si>
    <t>Huazhong Univ. of Sci. &amp; Tech.</t>
  </si>
  <si>
    <t>CN102126915.A</t>
  </si>
  <si>
    <t>CN102126915.A; CN102126915.B</t>
  </si>
  <si>
    <t>Zhejiang University (CN103664482.A); Chinese Academy of Sciences (CN104907091.A, CN104710266.A); Tsinghua University (China) (CN102910647.A, CN103406140.A, CN104174430.A); China Huadian Corp (CN103406140.A); Shaanxi Coal and Chemical Industry (CN103160331.A); ZHEJIANG SAINON CHEMICAL (CN103157508.A); Sinopec Group (CN104557432.A)</t>
  </si>
  <si>
    <t>CN102199446.A</t>
  </si>
  <si>
    <t>HEBEI REFINING AND CHEMICAL HONGTIAN PETROCHEMICAL (CN104910957.A); TIANJIN FUSHENG DYESTUFF FACTORY (CN104910957.A); Sinopec Group (CN104557419.A); HEBEI XIYAO NEW ENERGY TECH (CN106833730.A); SHENZHEN XINLUTIAN TECH (CN107963954.A); ZHAO JINLING (CN104289226.A); Chinese Academy of Sciences (CN105312079.A)</t>
  </si>
  <si>
    <t>China National Offshore Oil</t>
  </si>
  <si>
    <t>C07C ;C10G ;</t>
  </si>
  <si>
    <t>CN102218341.A</t>
  </si>
  <si>
    <t>CN102218341.A; CN102218341.B</t>
  </si>
  <si>
    <t>Chinese Academy of Sciences (WO2013091337.A1); Datang Power (CN105536863.A); Sinopec Group (CN105195211.A); SUN YU KUN (CN102600889.A); YUKUN SUN (CN102600889.A); SHANDONG ORIENT HONGYE CHEMICAL (CN106190217.A); Honeywell (WO2015148179.A1); UOP (in: Honeywell) (WO2015148179.A1)</t>
  </si>
  <si>
    <t>Sinopec Group</t>
  </si>
  <si>
    <t>B01J ;C10G ;</t>
  </si>
  <si>
    <t>CN102371176.A</t>
  </si>
  <si>
    <t>CN102371176.A; CN102371176.B</t>
  </si>
  <si>
    <t>Tsinghua University (China) (CN103007985.A); Sinopec Group (CN104437594.A, CN105665001.A)</t>
  </si>
  <si>
    <t>CN102371177.A</t>
  </si>
  <si>
    <t>CN102371177.A; CN102371177.B</t>
  </si>
  <si>
    <t>Sinopec Group (CN104549444.A, CN104549440.A, CN103418426.A, CN104549441.A); BASF (WO2018197470.A1); China University of Petroleum (Huadong) (CN105254462.A); BEIJING DONGFANGHONGSHENG NEW ENERGY APPLIED TECHN (CN105254462.A)</t>
  </si>
  <si>
    <t>CN102371178.A</t>
  </si>
  <si>
    <t>CN102371178.A; CN102371178.B</t>
  </si>
  <si>
    <t>Zhejiang University (CN105949019.A); Sinopec Group (CN104549474.A)</t>
  </si>
  <si>
    <t>CN102372535.A</t>
  </si>
  <si>
    <t>CN102372535.A; CN102372535.B</t>
  </si>
  <si>
    <t>Sinopec Group (CN104549479.A, CN104437595.A); BASF (WO2018197470.A1); Chinese Academy of Sciences (CN105712817.A)</t>
  </si>
  <si>
    <t>CN102372536.A</t>
  </si>
  <si>
    <t>CN102372536.A; CN102372536.B</t>
  </si>
  <si>
    <t>Sinopec Group (CN104549444.A, CN104549441.A)</t>
  </si>
  <si>
    <t>CN102372537.A</t>
  </si>
  <si>
    <t>Sinopec Group (CN103664440.A, CN106607077.A, CN104107710.A); Zhejiang University (CN103694077.A)</t>
  </si>
  <si>
    <t>CN102372550.A</t>
  </si>
  <si>
    <t>CN102746875.A</t>
  </si>
  <si>
    <t>CN102746875.A; CN102746875.B</t>
  </si>
  <si>
    <t>C10G ;</t>
  </si>
  <si>
    <t>CN102746877.A</t>
  </si>
  <si>
    <t>CN102746877.A; CN102746877.B</t>
  </si>
  <si>
    <t>HEBEI REFINING AND CHEMICAL HONGTIAN PETROCHEMICAL (CN104910957.A); TIANJIN FUSHENG DYESTUFF FACTORY (CN104910957.A); SHENZHEN XINLUTIAN TECH (CN107964417.A, CN107964415.A, CN107964416.A); NINGBO HAIYUE NEW MATERIAL CO LTD (CN105080601.A); MAISEN ENERGY TECHNOLOGY (CN105038838.A); China National Offshore Oil (CN103865562.A)</t>
  </si>
  <si>
    <t>CN102775261.A</t>
  </si>
  <si>
    <t>Exxon Mobil (CN106795439.A); Chinese Academy of Sciences (CN105016954.A); China National Petroleum Corp (CN105732251.A); Sinopec Group (CN105254461.A)</t>
  </si>
  <si>
    <t>&lt;unknown&gt; -1;LI XIAOYAN</t>
  </si>
  <si>
    <t>CN102910647.A</t>
  </si>
  <si>
    <t>CN102910647.A; CN102910647.B</t>
  </si>
  <si>
    <t>Chinese Academy of Sciences (CN104907091.A); Tsinghua University (China) (CN105964293.A); Sinopec Group (CN104557417.A); SHEN YIMING (CN106986735.A); ECUST (CN103191776.A)</t>
  </si>
  <si>
    <t>B01J ;C01B ;C07C ;</t>
  </si>
  <si>
    <t>CN103007985.A</t>
  </si>
  <si>
    <t>CN103007985.A; CN103007985.B</t>
  </si>
  <si>
    <t>Exxon Mobil (CN105814010.A); Tsinghua University (China) (CN105964293.A, CN103406140.A, CN105195213.A, CN104174430.A); Sinopec Group (CN104437594.A, CN104557417.A, CN104437597.A, CN104557364.A, CN104557432.A); China National Petroleum Corp (CN105983433.A); China Huadian Corp (CN103406140.A, CN105195213.A); China National Offshore Oil (CN103864562.A); Zhejiang University (CN104152175.A)</t>
  </si>
  <si>
    <t>CN103030497.A</t>
  </si>
  <si>
    <t>HEBI BAOMA TECH GROUP (CN105399592.A); HEBI BAOFA NENGYUANKEJI GUFEN YOUXIANGONGSI (CN105399592.A); Sinopec Group (CN106608780.A, CN108017490.A, CN108017489.A); Tsinghua University (China) (CN104177210.A); China University of Petroleum (Huadong) (CN105254462.A); BEIJING DONGFANGHONGSHENG NEW ENERGY APPLIED TECHN (CN105254462.A); China National Offshore Oil (CN103864561.A); Chinese Academy of Sciences (CN104710267.A)</t>
  </si>
  <si>
    <t>CN103055928.A</t>
  </si>
  <si>
    <t>Sinopec Group (CN104437595.A, CN104549444.A, CN104437596.A, CN104557416.A, CN104923285.A, CN106607079.A, CN105665001.A); Shanghai Huayi Group (CN105503509.A); COMPASS AEROSPACE SATELLITE APPLICATION TECH GROUP (CN106111180.A); Shanghai Institue of Technology (CN104492476.A)</t>
  </si>
  <si>
    <t>CN103058807.A</t>
  </si>
  <si>
    <t>CN103058807.A; CN103058807.B</t>
  </si>
  <si>
    <t>Chinese Academy of Sciences (WO2018076910.A1); Southeast University (CN104841473.A); Sinopec Group (CN107721794.A)</t>
  </si>
  <si>
    <t>CN103394366.A</t>
  </si>
  <si>
    <t>CN103394366.A; CN103394366.B</t>
  </si>
  <si>
    <t>Exxon Mobil (CN105814010.A); Tsinghua University (China) (CN104174430.A); Sinopec Group (CN105983454.A)</t>
  </si>
  <si>
    <t>China Huadian Corp;Tsinghua University (China)</t>
  </si>
  <si>
    <t>CN1034325.A</t>
  </si>
  <si>
    <t>&lt;unknown&gt; -1;GUANGSHENG HE;HE GUANGSHENG</t>
  </si>
  <si>
    <t>B01D ;B21D ;</t>
  </si>
  <si>
    <t>CN103464193.A</t>
  </si>
  <si>
    <t>CN103464193.A; CN103464193.B</t>
  </si>
  <si>
    <t>Zhejiang University (CN104557401.A); Sinopec Group (CN107721793.A); ITIC MEDCHEM (CN106117037.A); TANGSHAN REALM IND AND COMMERCE (CN106000452.A)</t>
  </si>
  <si>
    <t>CN103664440.A</t>
  </si>
  <si>
    <t>CN103664440.A; CN103664440.B</t>
  </si>
  <si>
    <t>Chinese Academy of Sciences (CN106423263.A); Xiamen University (CN106866328.A); Zhejiang University (CN105949019.A); Sinopec Group (CN106607078.A)</t>
  </si>
  <si>
    <t>CN103694078.A</t>
  </si>
  <si>
    <t>CN103694078.A; CN103694078.B</t>
  </si>
  <si>
    <t>China National Petroleum Corp (CN106431808.A)</t>
  </si>
  <si>
    <t>Nankai University</t>
  </si>
  <si>
    <t>CN103755514.A</t>
  </si>
  <si>
    <t>CN103755514.A; CN103755514.B</t>
  </si>
  <si>
    <t>Sinopec Group (CN105622306.A, US9783468.B2, CN106608781.A)</t>
  </si>
  <si>
    <t>CN103864565.A</t>
  </si>
  <si>
    <t>CN103864565.A; CN103864565.B</t>
  </si>
  <si>
    <t>Sinopec Group (CN106608783.A, CN105130728.A, CN106608785.A, CN106608786.A, CN106608781.A, CN106608794.A, CN106608782.A, CN106608800.A); Tsinghua University (China) (CN104326859.A); China Huadian Corp (CN104326859.A)</t>
  </si>
  <si>
    <t>CN104107708.A</t>
  </si>
  <si>
    <t>CN104107708.A; CN104107708.B</t>
  </si>
  <si>
    <t>CN104130796.A</t>
  </si>
  <si>
    <t>SICHUAN SHENGFA CLEAN ENERGY (CN104830381.A)</t>
  </si>
  <si>
    <t>&lt;unknown&gt; -1;ZHANG YONGKUI</t>
  </si>
  <si>
    <t>CN104174427.A</t>
  </si>
  <si>
    <t>CN104174427.A; CN104174427.B</t>
  </si>
  <si>
    <t>CN104250183.A</t>
  </si>
  <si>
    <t>CN104250183.A; CN104250183.B</t>
  </si>
  <si>
    <t>Guizhou University (CN105854931.A, CN105688981.A, CN105772065.A, CN105772063.A)</t>
  </si>
  <si>
    <t>CN104342198.A</t>
  </si>
  <si>
    <t>CN104342198.A; CN104342198.B</t>
  </si>
  <si>
    <t>CN104437595.A</t>
  </si>
  <si>
    <t>CN104437595.A; CN104437595.B</t>
  </si>
  <si>
    <t>Sinopec Group (CN106607076.A, CN106607079.A); REZEL CATALYSTS (CN107010639.A)</t>
  </si>
  <si>
    <t>CN104437596.A</t>
  </si>
  <si>
    <t>CN104437596.A; CN104437596.B</t>
  </si>
  <si>
    <t>SHEN YIMING (CN106986735.A); China National Offshore Oil (CN105435839.A)</t>
  </si>
  <si>
    <t>CN104447157.A</t>
  </si>
  <si>
    <t>CN104447157.A; CN104447157.B</t>
  </si>
  <si>
    <t>SHANXI FEISHI TECH (CN105439790.A)</t>
  </si>
  <si>
    <t>China Nat. Chem. Eng. Group;SHANXI FEISHI TECHNOLOGY</t>
  </si>
  <si>
    <t>CN104496743.A</t>
  </si>
  <si>
    <t>CN104496743.A; CN104496743.B</t>
  </si>
  <si>
    <t>Chinese Academy of Sciences (WO2018049919.A1, CN106542947.A); SHENZHEN XINLUTIAN TECH (CN107963955.A, CN107963954.A, CN107963953.A, CN107963956.A); SHANXI FEISHI TECH (CN105439790.A); SHANXI FEISHI TECHNOLOGY (CN105294375.A)</t>
  </si>
  <si>
    <t>CN104549408.A</t>
  </si>
  <si>
    <t>CN104549408.A; CN104549408.B</t>
  </si>
  <si>
    <t>Tsinghua University (China) (WO2017197548.A1); China Huadian Corp (WO2017197548.A1); Sinopec Group (CN106669804.A)</t>
  </si>
  <si>
    <t>CN104549440.A</t>
  </si>
  <si>
    <t>Chinese Academy of Sciences (CN106423263.A); Sinopec Group (CN106607076.A, CN106607078.A, CN106607077.A)</t>
  </si>
  <si>
    <t>Pending</t>
  </si>
  <si>
    <t>CN104549441.A</t>
  </si>
  <si>
    <t>BASF (WO2018197470.A1); Sinopec Group (CN106607077.A)</t>
  </si>
  <si>
    <t>CN104549454.A</t>
  </si>
  <si>
    <t>CN104549454.A; CN104549454.B</t>
  </si>
  <si>
    <t>CN104549470.A</t>
  </si>
  <si>
    <t>CN104549470.A; CN104549470.B</t>
  </si>
  <si>
    <t>Sinopec Group (CN106607077.A, CN108014842.A); Chinese Academy of Sciences (CN106466625.A)</t>
  </si>
  <si>
    <t>CN104549479.A</t>
  </si>
  <si>
    <t>CN104549479.A; CN104549479.B</t>
  </si>
  <si>
    <t>Sinopec Group (CN106582791.A, CN106607088.A, CN106466636.A, CN106466628.A, CN106466634.A, CN106466635.A, CN106466631.A); BASF (WO2018197471.A1)</t>
  </si>
  <si>
    <t>CN104549480.A</t>
  </si>
  <si>
    <t>CN104549480.A; CN104549480.B</t>
  </si>
  <si>
    <t>Sinopec Group (CN106466637.A, CN106466634.A, CN106466630.A, CN106466635.A); ZHUO RUNSHENG (CN106890672.A)</t>
  </si>
  <si>
    <t>CN104549481.A</t>
  </si>
  <si>
    <t>CN104549481.A; CN104549481.B</t>
  </si>
  <si>
    <t>CN104549483.A</t>
  </si>
  <si>
    <t>CN104549483.A; CN104549483.B</t>
  </si>
  <si>
    <t>Sinopec Group (CN106466626.A, CN106607088.A, CN108014842.A, CN106466637.A, CN106466630.A, CN106466627.A); China Energy Investment (CN105312082.A)</t>
  </si>
  <si>
    <t>CN104549484.A</t>
  </si>
  <si>
    <t>CN104557364.A</t>
  </si>
  <si>
    <t>CN104557364.A; CN104557364.B</t>
  </si>
  <si>
    <t>Sinopec Group (CN106608778.A)</t>
  </si>
  <si>
    <t>CN104557369.A</t>
  </si>
  <si>
    <t>CN104557369.A; CN104557369.B</t>
  </si>
  <si>
    <t>Sinopec Group (CN106607076.A); Tsinghua University (China) (CN105195213.A); China Huadian Corp (CN105195213.A)</t>
  </si>
  <si>
    <t>CN104557416.A</t>
  </si>
  <si>
    <t>CN104557416.A; CN104557416.B</t>
  </si>
  <si>
    <t>Haldor Topsoe (US10239801.B2); Sinopec Group (CN106607077.A)</t>
  </si>
  <si>
    <t>CN104557419.A</t>
  </si>
  <si>
    <t>China National Petroleum Corp (CN106431808.A); Sinopec Group (CN106466631.A)</t>
  </si>
  <si>
    <t>CN104557427.A</t>
  </si>
  <si>
    <t>CN104557427.A; CN104557427.B</t>
  </si>
  <si>
    <t>Sinopec Group (CN106256810.A)</t>
  </si>
  <si>
    <t>CN104557432.A</t>
  </si>
  <si>
    <t>Haldor Topsoe (US10239801.B2)</t>
  </si>
  <si>
    <t>CN104801332.A</t>
  </si>
  <si>
    <t>CN104801332.A; CN104801332.B</t>
  </si>
  <si>
    <t>Chinese Academy of Sciences (CN106607080.A)</t>
  </si>
  <si>
    <t>Chinese Academy of Sciences</t>
  </si>
  <si>
    <t>CN104907091.A</t>
  </si>
  <si>
    <t>CN104907091.A; CN104907091.B</t>
  </si>
  <si>
    <t>Chinese Academy of Sciences (CN106607080.A); CHINA CATALYST NEW MAT (CN106582788.A); Datang Power (CN105498829.A)</t>
  </si>
  <si>
    <t>CN104910957.A</t>
  </si>
  <si>
    <t>CN104910957.A; CN104910957.B</t>
  </si>
  <si>
    <t>HEBEI XIYAO NEW ENERGY TECH (CN106833730.A, CN106669791.A); SHANGHAI NOVEL CHEMICAL TECH (CN106582789.A)</t>
  </si>
  <si>
    <t>HEBEI REFINING AND CHEMICAL HONGTIAN PETROCHEMICAL;TIANJIN FUSHENG DYESTUFF FACTORY</t>
  </si>
  <si>
    <t>CN105013524.A</t>
  </si>
  <si>
    <t>CN105013524.A; CN105013524.B</t>
  </si>
  <si>
    <t>CN105195211.A</t>
  </si>
  <si>
    <t>CN105195211.A; CN105195211.B</t>
  </si>
  <si>
    <t>SHANDONG ORIENT HONGYE CHEMICAL (CN106190217.A)</t>
  </si>
  <si>
    <t>CN105195213.A</t>
  </si>
  <si>
    <t>CN105195213.A; CN105195213.B</t>
  </si>
  <si>
    <t>Tsinghua University (China) (WO2017197548.A1); China Huadian Corp (WO2017197548.A1)</t>
  </si>
  <si>
    <t>CN105195226.A</t>
  </si>
  <si>
    <t>CN105195226.A; CN105195226.B</t>
  </si>
  <si>
    <t>Tianjin University (CN107376987.A); WISON ENGINEERING (CHINA) CO., LTD. (CN107376987.A)</t>
  </si>
  <si>
    <t>CN105254461.A</t>
  </si>
  <si>
    <t>B01J ;C07C ;C10L ;</t>
  </si>
  <si>
    <t>CN105254462.A</t>
  </si>
  <si>
    <t>CN105254462.A; CN105254462.B</t>
  </si>
  <si>
    <t>BEIJING DONGFANGHONGSHENG NEW ENERGY APPLIED TECHN;China University of Petroleum (Huadong)</t>
  </si>
  <si>
    <t>CN105289703.A</t>
  </si>
  <si>
    <t>CN105289703.A; CN105289703.B</t>
  </si>
  <si>
    <t>Northwest University (China);SHANANXI PROVINCE INSTITUTE OF ENERGY RESOURCE &amp; C</t>
  </si>
  <si>
    <t>CN105435839.A</t>
  </si>
  <si>
    <t>CN105435839.A; CN105435839.B</t>
  </si>
  <si>
    <t>CN105457568.A</t>
  </si>
  <si>
    <t>CN105457568.A; CN105457568.B</t>
  </si>
  <si>
    <t>CN105457569.A</t>
  </si>
  <si>
    <t>CN105457569.A; CN105457569.B</t>
  </si>
  <si>
    <t>CN105457570.A</t>
  </si>
  <si>
    <t>CN105457570.A; CN105457570.B</t>
  </si>
  <si>
    <t>CN105460952.A</t>
  </si>
  <si>
    <t>CN105460952.A; CN105460952.B</t>
  </si>
  <si>
    <t>China Energy Investment</t>
  </si>
  <si>
    <t>CN105461497.A</t>
  </si>
  <si>
    <t>CN105461497.A; CN105461497.B</t>
  </si>
  <si>
    <t>Shanghai Jiao Tong University (CN105949021.A)</t>
  </si>
  <si>
    <t>CN105728018.A</t>
  </si>
  <si>
    <t>CN105728018.A; CN105728018.B</t>
  </si>
  <si>
    <t>China National Petroleum Corp (CN107777700.A); Fuzhou University (CN107777700.A); YANG QUAN COAL IND GROUP (CN108187728.A); HEBEI XIYAO NEW ENERGY TECH (CN106669791.A)</t>
  </si>
  <si>
    <t>China National Petroleum Corp</t>
  </si>
  <si>
    <t>CN105732251.A</t>
  </si>
  <si>
    <t>CN105732251.A; CN105732251.B</t>
  </si>
  <si>
    <t>Xiamen University (CN106866328.A); Chinese Academy of Sciences (CN106542947.A)</t>
  </si>
  <si>
    <t>CN105749958.A</t>
  </si>
  <si>
    <t>Chinese Academy of Sciences (CN106631676.A)</t>
  </si>
  <si>
    <t>CN105949019.A</t>
  </si>
  <si>
    <t>Xiamen University (CN106866328.A)</t>
  </si>
  <si>
    <t>Zhejiang University</t>
  </si>
  <si>
    <t>CN106000452.A</t>
  </si>
  <si>
    <t>CN106000452.A; CN106000452.B</t>
  </si>
  <si>
    <t>TANGSHAN REALM IND AND COMMERCE</t>
  </si>
  <si>
    <t>CN106082264.A</t>
  </si>
  <si>
    <t>CN106336339.A</t>
  </si>
  <si>
    <t>CN106336339.A; CN106336339.B</t>
  </si>
  <si>
    <t>CN106431808.A</t>
  </si>
  <si>
    <t>CN106466627.A</t>
  </si>
  <si>
    <t>CN106466628.A</t>
  </si>
  <si>
    <t>CN106466630.A</t>
  </si>
  <si>
    <t>CN106466632.A</t>
  </si>
  <si>
    <t>CN106466634.A</t>
  </si>
  <si>
    <t>CN106466635.A</t>
  </si>
  <si>
    <t>CN106466637.A</t>
  </si>
  <si>
    <t>CN106540737.A</t>
  </si>
  <si>
    <t>Tianjin University (CN107381593.A)</t>
  </si>
  <si>
    <t>CN106582789.A</t>
  </si>
  <si>
    <t>CN106582789.A; CN106582789.B</t>
  </si>
  <si>
    <t>SHANGHAI NOVEL CHEMICAL TECH</t>
  </si>
  <si>
    <t>CN106582797.A</t>
  </si>
  <si>
    <t>SHANGHAI NEW UNITY ENERGY TECH;Xiamen University</t>
  </si>
  <si>
    <t>CN106607078.A</t>
  </si>
  <si>
    <t>CN106607078.A; CN106607078.B</t>
  </si>
  <si>
    <t>CN106607079.A</t>
  </si>
  <si>
    <t>CN106607083.A</t>
  </si>
  <si>
    <t>CN106607083.A; CN106607083.B</t>
  </si>
  <si>
    <t>Chinese Academy of Sciences (WO2018076909.A1)</t>
  </si>
  <si>
    <t>CN106607086.A</t>
  </si>
  <si>
    <t>CN106607088.A</t>
  </si>
  <si>
    <t>CN106607088.A; CN106607088.B</t>
  </si>
  <si>
    <t>CN106608780.A</t>
  </si>
  <si>
    <t>CN106608780.A; CN106608780.B</t>
  </si>
  <si>
    <t>CN106608781.A</t>
  </si>
  <si>
    <t>CN106608786.A</t>
  </si>
  <si>
    <t>CN106608786.A; CN106608786.B</t>
  </si>
  <si>
    <t>CN106622344.A</t>
  </si>
  <si>
    <t>CN106694029.A</t>
  </si>
  <si>
    <t>CN107010639.A</t>
  </si>
  <si>
    <t>REZEL CATALYSTS</t>
  </si>
  <si>
    <t>CN107243359.A</t>
  </si>
  <si>
    <t>China Huaneng Group</t>
  </si>
  <si>
    <t>CN107262142.A</t>
  </si>
  <si>
    <t>CN107398294.A</t>
  </si>
  <si>
    <t>CN107413376.A</t>
  </si>
  <si>
    <t>CN107540492.A</t>
  </si>
  <si>
    <t>CN107540493.A</t>
  </si>
  <si>
    <t>CN107540494.A</t>
  </si>
  <si>
    <t>CN107540495.A</t>
  </si>
  <si>
    <t>CN107540496.A</t>
  </si>
  <si>
    <t>CN107540498.A</t>
  </si>
  <si>
    <t>CN107540499.A</t>
  </si>
  <si>
    <t>CN107573966.A</t>
  </si>
  <si>
    <t>CN107794080.A</t>
  </si>
  <si>
    <t>CN107876083.A</t>
  </si>
  <si>
    <t>CN107963638.A</t>
  </si>
  <si>
    <t>CN108014841.A</t>
  </si>
  <si>
    <t>CN108017487.A</t>
  </si>
  <si>
    <t>Sinopec Group (CN108017483.A)</t>
  </si>
  <si>
    <t>CN108017491.A</t>
  </si>
  <si>
    <t>CN108017494.A</t>
  </si>
  <si>
    <t>CN108236966.A</t>
  </si>
  <si>
    <t>BEIDOU AEROSPACE SCIENCE AND TECH GROUP</t>
  </si>
  <si>
    <t>CN108404970.A</t>
  </si>
  <si>
    <t>CN1144135.A</t>
  </si>
  <si>
    <t>CN1058195.C; CN1144135.A</t>
  </si>
  <si>
    <t>HANGZHOU DALISHEN MEDICAL DEVICE (WO2007093088.A1); LI JI AN (CN103656876.A)</t>
  </si>
  <si>
    <t>&lt;unknown&gt; -1;RENZHAO WU;WU RENZHAO</t>
  </si>
  <si>
    <t>A61N ;</t>
  </si>
  <si>
    <t>CN1177508.A</t>
  </si>
  <si>
    <t>CN1058196.C; CN1177508.A</t>
  </si>
  <si>
    <t>Huawei (US8089956.B2); YANG FUYUN (CN104477739.A); BAI JIN BAI HONGWEI (CN102000403.A)</t>
  </si>
  <si>
    <t>&lt;unknown&gt; -1;HUANG XINCONG</t>
  </si>
  <si>
    <t>A62C ;</t>
  </si>
  <si>
    <t>CN1187625.A</t>
  </si>
  <si>
    <t>CN1152263.C; CN1187625.A</t>
  </si>
  <si>
    <t>ZIJINSHAN ASTRONOMICAL OBSERVA</t>
  </si>
  <si>
    <t>G01R ;G01S ;G01T ;</t>
  </si>
  <si>
    <t>CN1322672.A</t>
  </si>
  <si>
    <t>CN1147422.C; CN1322672.A</t>
  </si>
  <si>
    <t>STATE RES CT OF CHEMICAL FERTI</t>
  </si>
  <si>
    <t>B01J ;C01B ;</t>
  </si>
  <si>
    <t>CN1705647.A</t>
  </si>
  <si>
    <t>AT390416.T; AU2003298596.A1; AU2003298596.B2; BR0315381.A; CA2502269.A1; CA2502269.C; CL2004000437.A1; CN100383129.C; CN1705647.A; CY1108146.T1; DE60320008.D1; DE60320008.T2; DK1556362.T3; ECSP055732.A; EP1556362.A2; EP1556362.A4; EP1556362.B1; ES2301879.T3; HK1086265.A1; HRP20050343.A2; IS7753.A; JP2006510608.A; JP4352001.B2; KR20050067418.A; MA27548.A1; MXPA05004063.A; NO20052380.L; NO333815.B1; NZ538897.A; PL216527.B1; PL375992.A1; PT1556362.E; RU2005115092.A; RU2301803.C2; SI1556362.T1; TW200530202.A; TWI249529.B; UA78612.C2; US2004254167.A1; US7101871.B2; WO2004037169.A2; WO2004037169.A3; ZA200502162.B</t>
  </si>
  <si>
    <t>Boehringer Ingelheim (US9751855.B2, US10080754.B2, US9815837.B2, US10092571.B2, US9603851.B2, US10202383.B2, US10155000.B2, US10195203.B2, US9713618.B2, US10034877.B2); Merck &amp; Co (US9527855.B2, WO2007078726.A3, US7884104.B2, JP2008503491.A, WO2005011581.A3, US9315508.B2, US9862725.B2, US8980929.B2, WO2008137105.A1, US9156848.B2, US9073930.B2, US8691832.B2, US9051329.B2, US7625888.B2, WO2006065826.A3, US2009124601.A1, WO2010056717.A1, WO2011011506.A1, WO2011011508.A1); Novartis (EP2191824.A1, EP3023095.A1, EP2839832.A2, EP3087975.A1); Vivoryon Therapeutics (WO2011029920.A1, WO2008055945.A1, EP2865670.A1, WO2012123563.A1, EP3461819.A1, WO2011107530.A2, WO2011131748.A2, US7728146.B2); DONG-A ST CO., LTD. (WO2008130151.A1); Sanofi (WO2008017381.A1, WO2011157827.A1, WO2012010413.A1, WO2013045413.A1, WO2012120053.A1, WO2012120055.A1, WO2012120052.A1, WO2012120056.A1, WO2012120054.A1, WO2010068601.A1, WO2013037390.A1); PANACEA BIOTECH LTD (JP2011510068.A, WO2012035549.A2); Eli Lilly (US8133907.B2, US8106090.B2, US8076514.B2); Jiangsu Hengrui Medicine (JP2011528671.A); Arena Pharma (WO2012040279.A1, EP2116235.A1, WO2007120702.A2, WO2011127051.A1, WO2012135570.A1, WO2012145361.A1, WO2012145603.A1, WO2012145604.A1, WO2012170702.A1, WO2013055910.A1, WO2014074668.A1); ChemChina (US8980929.B2); Syngenta (in: ChemChina) (US8980929.B2); Inserm (WO2014064215.A1, WO2016151018.A1); RP MANAGEMENT LLC (WO2007072083.A1); Daiichi Sankyo (US8507714.B2); University of Montpellier (WO2014064215.A1); China Resources National (CN105367506.A, CN105330657.A); University Toulouse III - Paul Sabatier (WO2016151018.A1); CHU de Toulouse (WO2016151018.A1); GORDONOV NATALIA (WO2010068601.A1); ZAKRYTOE AKTIONERNOE OBSCHESTVO MASTERCLONE (WO2009035368.A1); Sun Pharma (WO2007077508.A3)</t>
  </si>
  <si>
    <t>Merck &amp; Co</t>
  </si>
  <si>
    <t>A61K ;A61P ;C07D ;C07K ;</t>
  </si>
  <si>
    <t>CN206570276.U</t>
  </si>
  <si>
    <t>HEBEI XIYAO NEW ENERGY TECH</t>
  </si>
  <si>
    <t>CN206751740.U</t>
  </si>
  <si>
    <t>SHANDONG DAQI CHEMICAL SCIENCE TECH;SHANDONG DAQI PETROCHEMICAL DESIGN</t>
  </si>
  <si>
    <t>DE3221936.A1</t>
  </si>
  <si>
    <t>Exxon Mobil (EP0323736.A2)</t>
  </si>
  <si>
    <t>Chevron</t>
  </si>
  <si>
    <t>EA199900341.A1</t>
  </si>
  <si>
    <t>EA003249.B1; EA199900341.A1; RU2163624.C2</t>
  </si>
  <si>
    <t>Battelle (US9938467.B2, US9278892.B2); University of Tennessee (US9938467.B2, US9278892.B2); Phillips 66 (RU2476412.C2); Chevron (RU2476412.C2); Unitary Enterprises Russia (RU2597269.C1, RU2470004.C1); HORIZONT ANGELOV (WO03091362.A1); KUZNETSOV (WO03091362.A1)</t>
  </si>
  <si>
    <t>NINTS TSEOSIT OB EDINENNOGO;Russian Academy of Sciences;SCIENT ENGINEERING CT ZEOCIT</t>
  </si>
  <si>
    <t>EP0009917.A1</t>
  </si>
  <si>
    <t>AU5118179.A; AU531633.B2; CA1129393.A; DE2961703.D1; EP0009917.A1; EP0009917.B1; JPS5551440.A; JPS624175.B2; NZ191568.A; US4197214.A; ZA7905395.B</t>
  </si>
  <si>
    <t>Toyota Motor (US9005558.B2); Zhejiang University of Technology (CN104961139.A); Total (US5030786.A); Exxon Mobil (EP0040914.A1, US4590321.A, US4590322.A, US4590323.A, US6123834.A, US6245219.B1, US4804801.A, US4665251.A); DuPont (US4393265.A)</t>
  </si>
  <si>
    <t>Exxon Mobil;WEEKMAN VERN W</t>
  </si>
  <si>
    <t>B01J ;C01B ;C10G ;</t>
  </si>
  <si>
    <t>EP0037982.A1</t>
  </si>
  <si>
    <t>DE3014637.A1; EP0037982.A1; JPS56160317.A</t>
  </si>
  <si>
    <t>Exxon Mobil (EP0308558.A1); Honeywell (JP2014524878.A); BASF (EP0102544.A3); Yaskawa Electric (JPS62221709.A); UOP (in: Honeywell) (JP2014524878.A)</t>
  </si>
  <si>
    <t>Bayer</t>
  </si>
  <si>
    <t>EP0037983.A1</t>
  </si>
  <si>
    <t>DE3014636.A1; EP0037983.A1; JPS56161837.A</t>
  </si>
  <si>
    <t>Total (FR2567868.A1)</t>
  </si>
  <si>
    <t>B01J ;C01B ;C07B ;C07C ;</t>
  </si>
  <si>
    <t>EP0039964.A1</t>
  </si>
  <si>
    <t>AU543699.B2; AU7010381.A; BR8102713.A; CA1157484.A; DE3162594.D1; EP0039964.A1; EP0039964.B1; JPH0113453.B2; JPS572222.A; NL8002582.A; NZ196997.A; ZA8102936.B</t>
  </si>
  <si>
    <t>RES USA LLC (US9938217.B2, US10189763.B2, US9981896.B2); Kansas State University (WO2014018653.A1); Shell (EP0111951.A1, JPS59170019.A, EP0173381.A1)</t>
  </si>
  <si>
    <t>Shell</t>
  </si>
  <si>
    <t>B01J ;C07B ;C07C ;C10G ;</t>
  </si>
  <si>
    <t>EP0039996.A1</t>
  </si>
  <si>
    <t>AU535752.B2; AU6980581.A; CA1154737.A; DE3161305.D1; EP0039996.A1; EP0039996.B1; GB2075357.A; JPS574231.A</t>
  </si>
  <si>
    <t>Virent Energy Systems (JP2010535703.A); RES USA LLC (US9938217.B2, US10189763.B2, US9981896.B2); GURADOOR S L (WO2013030413.A1); Exxon Mobil (US5516740.A, EP0542528.A1, EP0228270.A2); Air Liquide (US5411577.A); COAL INDUSTRY PATENTS LTD (EP0068603.A3, EP0072612.A3, EP0112064.A1)</t>
  </si>
  <si>
    <t>COAL INDUSTRY PATENTS LTD</t>
  </si>
  <si>
    <t>EP0050499.A2</t>
  </si>
  <si>
    <t>AU544220.B2; AU7635381.A; CA1158586.A; DE3169580.D1; DK458881.A; EP0050499.A2; EP0050499.A3; EP0050499.B1; IN157106.B; JPH0148958.B2; JPS5796086.A; NO163236.B; NO163236.C; NO813481.L; US4444652.A; ZA8107004.B</t>
  </si>
  <si>
    <t>CSIR (India) (US4950385.A); JXTG Holdings (JP2007270063.A)</t>
  </si>
  <si>
    <t>EP0091508.A2</t>
  </si>
  <si>
    <t>DE3143045.A1; DE3272178.D1; EP0091508.A2; EP0091508.A3; EP0091508.B1</t>
  </si>
  <si>
    <t>ECOLITH ZEOLITHE (EP0423530.A1); KOHMIX (AU634962.B2); BASF (EP0219804.A3)</t>
  </si>
  <si>
    <t>EP0092663.A2</t>
  </si>
  <si>
    <t>DE3380388.D1; EP0092663.A2; EP0092663.A3; EP0092663.B1; JPH0230612.B2; JPS58191521.A; US4439690.A</t>
  </si>
  <si>
    <t>Fujitsu (US4779011.A); NEC (US5155379.A); Philips (EP0219907.A1); Renesas (EP0871296.A3, US5051619.A); IBM (US4564772.A, US4570082.A, US6065107.A); Intersil (in: Renesas) (US5051619.A); Renesas (w/o Intersil) (EP0871296.A3)</t>
  </si>
  <si>
    <t>IBM</t>
  </si>
  <si>
    <t>H03K ;</t>
  </si>
  <si>
    <t>EP0095851.A1</t>
  </si>
  <si>
    <t>DE3368533.D1; EP0095851.A1; EP0095851.B1; JPH0420665.B2; JPS58214346.A; US4441990.A</t>
  </si>
  <si>
    <t>Exxon Mobil (US7868215.B2, WO2019055220.A1, WO2007139629.A1, US9249067.B2, US8110715.B2, US6538162.B2, WO2008070297.A3, WO9952842.A1, US5397455.A, US4550217.A, US6506954.B1, US6538167.B1, EP0220933.A1, US4711710.A); Johnson Matthey (US8563460.B2, US8557728.B2, US8557729.B2); Clariant (JP4843024.B2, US9409160.B2, JP2008540101.A, US2016158735.A1, US5330958.A, US5939351.A, US5905054.A); Sued-Chemie (in: Clariant) (JP4843024.B2, US9409160.B2, JP2008540101.A, US5330958.A, US5939351.A, US5905054.A); Saint Gobain (WO2012091898.A2, DE10392798.B4); Saudi Arabia Government (JP2008540101.A); SABIC (in: Saudi Arabia Government) (JP2008540101.A); Honeywell (US2009093662.A1, US7629283.B2, US5043509.A); UOP (in: Honeywell) (US2009093662.A1, US7629283.B2, US5043509.A); BASF (WO2005037427.A1, US6518220.B2); COMBS GLENN A (US2004043900.A1); CROSFIELD CHEMICALS (US4517077.A); Evonik (US4861937.A); Haldor Topsoe (US6667271.B2); Phillips 66 (US6034020.A); 3M (US4663024.A); Huntsman (US5168090.A); DYSON REFACTORIES LIMITED (GB2193907.A, GB2197597.B); JXTG Holdings (WO9919065.A1)</t>
  </si>
  <si>
    <t>B01J ;C07B ;C07C ;C10C ;C10G ;</t>
  </si>
  <si>
    <t>EP0131975.A2</t>
  </si>
  <si>
    <t>AT36725.T; DE3473611.D1; EP0131975.A2; EP0131975.A3; EP0131975.B1; ES534244.A0; ES8702479.A1; NO164841.B; NO164841.C; NO842857.L; NZ208878.A</t>
  </si>
  <si>
    <t>AMIANTE INST (EP0262049.A2); GOLDEN FLEECE (WO03043737.A1); INST L AMIANTE L (EP0262049.A2); RANSUCHI DE RAMIANTOU (EP0262049.A2); OOO RUNO ZOLOTOE (WO03043737.A1); ZOLOTOE O (WO03043737.A1); OOO RUN (WO03043737.A1); Shell (US5143596.A, EP0420326.A1); L INSTITUT DE L AMIANTE (EP0262049.A2); CSIR (India) (EP0382960.A1)</t>
  </si>
  <si>
    <t>EP0134058.A2</t>
  </si>
  <si>
    <t>AU3162484.A; AU565365.B2; CA1231104.A; DE3471473.D1; EP0134058.A2; EP0134058.A3; EP0134058.B1; JPH0645788.B2; JPS6053592.A; US4579988.A; ZA8406063.B</t>
  </si>
  <si>
    <t>SHAPING MEMORIES (US6668461.B2); Idemitsu Kosan (US5321179.A); Eni (LT3553.B); Shell (JPS6055081.A); Exxon Mobil (US4918256.A); Honeywell (AU576638.B2, JPH03182592.A, US4795844.A, US4806700.A, US4946579.A, US4919907.A, US5064793.A, US4995963.A, US5035868.A); Chiyoda Corp (US5073673.A); Fiskars (US6668461.B2); BP (US4654454.A); Saipem (LT3553.B); UOP (in: Honeywell) (AU576638.B2, JPH03182592.A, US4795844.A, US4806700.A, US4946579.A, US4919907.A, US5064793.A, US4995963.A, US5035868.A)</t>
  </si>
  <si>
    <t>EP0148038.A2</t>
  </si>
  <si>
    <t>DE3485493.D1; EP0148038.A2; EP0148038.A3; EP0148038.B1; US4708857.A</t>
  </si>
  <si>
    <t>Chevron (WO03006365.A3); Exxon Mobil (US5437855.A, WO9511196.A1); BP (US4855270.A); Georgia Institute of Tech. (US4952385.A)</t>
  </si>
  <si>
    <t>CRIQ</t>
  </si>
  <si>
    <t>EP0148540.A1</t>
  </si>
  <si>
    <t>AU2294483.A; AU566588.B2; CA1207734.A; DE3477746.D1; EP0148540.A1; EP0148540.B1; JPH0512024.B2; JPS60153944.A; US4429176.A</t>
  </si>
  <si>
    <t>Exxon Mobil (US7425659.B2, US2013123557.A1, US6909026.B2, US7790939.B2, US9199892.B2, US9795949.B2, WO2014182434.A1, US4812223.A, US4480145.A, US4579993.A, US6010617.A, US5063038.A, US5488193.A, US4663492.A, US4594146.A, US7396969.B2); JGC (WO2008026638.A1); Sinopec Group (JP2011005488.A); TechnipFMC (US9199892.B2); Asahi Kasei (US5789331.A); Bayer (AU694967.B2); Eastman Chemical (AU694967.B2); BASF (US7816295.B2); Meidensha (JP2008229519.A); Phillips 66 (US6090272.A); Russian Academy of Sciences (AU694967.B2); W. R. Grace (US5157183.A, AU584424.B2, US5236880.A); Monsanto (in: Bayer) (AU694967.B2); ASCEND PERFORMANCE MATERIALS LLC (US5756861.A)</t>
  </si>
  <si>
    <t>B01J ;C07B ;C07C ;</t>
  </si>
  <si>
    <t>EP0205300.A2</t>
  </si>
  <si>
    <t>AU5527386.A; AU595508.B2; CA1262363.A; DE3680034.D1; EP0205300.A2; EP0205300.A3; EP0205300.B1; US4665251.A</t>
  </si>
  <si>
    <t>Saudi Arabia Government (US7713898.B2, US7279608.B2, US7576026.B2, US9481617.B2, US8062987.B2, US7674942.B2, US7196237.B2, US7084318.B2, US8846559.B2, US9278342.B2, US9475737.B2, US7244869.B2, US10207255.B2, US7446069.B2); SABIC (in: Saudi Arabia Government) (US7713898.B2, US7279608.B2, US7576026.B2, US9481617.B2, US8062987.B2, US7674942.B2, US7196237.B2, US7084318.B2, US8846559.B2, US9278342.B2, US9475737.B2, US7244869.B2, US10207255.B2, US7446069.B2); Exxon Mobil (US9895682.B2, US9790139.B2, WO2013059176.A1, US2016176776.A1, US4854939.A, US4918256.A, US4929790.A, US4929791.A); Shell (US8835706.B2, US9144790.B2, US8946107.B2, US8871990.B2, US2009156870.A1); 3M (US2007249749.A1); China National Offshore Oil (CN105749958.A); ECOLITH ZEOLITHE (US5178846.A); Honeywell (US5026937.A); Siemens (WO0225148.A1); Phillips 66 (US6395949.B1, US6235955.B1, US6040257.A, US6417421.B1); UOP (in: Honeywell) (US5026937.A)</t>
  </si>
  <si>
    <t>EP0311945.A1</t>
  </si>
  <si>
    <t>BR8805193.A; CN1033850.A; EP0311945.A1; IT1222876.B; IT8722229.D0; JPH01156547.A</t>
  </si>
  <si>
    <t>XU XIANGZHONG (CN104805571.A); QINGDAO KSHUO TEXTILE MACHINERY (CN102251337.A)</t>
  </si>
  <si>
    <t>ITEMA SPA</t>
  </si>
  <si>
    <t>D03D ;</t>
  </si>
  <si>
    <t>EP0320158.A1</t>
  </si>
  <si>
    <t>DE3872678.D1; EP0320158.A1; EP0320158.B1; NZ226970.A; US4788365.A; ZA8808909.B</t>
  </si>
  <si>
    <t>Honeywell (US8052938.B2, US8178740.B2); UOP (in: Honeywell) (US8052938.B2, US8178740.B2); Air Liquide (WO2011006594.A1); THE HONGKONG AND CHINA GAS COMPANY LIMITED (CN103242884.A); NANJING GOODCHINA CHEMICAL TECHNOLOGIES (CN103242884.A); TIANJIN FUSHENG DYE FACTORY (CN103242884.A); China Nat. Chem. Eng. Group (CN105154126.A); SHANXI WHARTON (CN104560239.A); LI XIAOYAN (CN102775261.A); MILLENNIUM FUELS USA (USRE37142.E, USRE37089.E); Total (US2012264989.A1); Exxon Mobil (EP0320180.A3, US5420360.A, US4899002.A, US5382705.A, WO9012854.A1, EP0424154.A1, US4990712.A, EP0469285.A1, US5106389.A, US5166455.A, US4885421.A, US5177279.A, US5047070.A, US5146032.A, WO9014326.A1); BP (US5191142.A)</t>
  </si>
  <si>
    <t>C07C ;C10L ;</t>
  </si>
  <si>
    <t>EP0372133.A1</t>
  </si>
  <si>
    <t>AT84502.T; AU2736188.A; AU623357.B2; BR8900091.A; CA1330431.C; DE3877582.D1; DE3877582.T2; EP0372133.A1; EP0372133.B1; ES2042770.T3; GR3007042.T3; IN171379.B; IN177327.B; JP2693534.B2; JPH02184516.A; US4853202.A; US5011591.A; ZA8809455.B</t>
  </si>
  <si>
    <t>Government of Abu Dhabi (US9993798.B2, US8846996.B2, WO2016059518.A1); BASF (EP2048115.A2, US7442233.B2, US8262929.B2, US6521020.B2, WO2013087405.A2, US6508863.B1, WO9725143.A1, AU623358.B2, WO0023186.A1, US5733451.A, WO9532151.A1, WO9535144.A1, US5244650.A, WO9118833.A1, EP0457988.A1, US6395067.B1, US6340433.B1, US6486086.B1, US5346535.A, WO9832695.A1, US5989316.A, US5508457.A, WO9932404.A1, WO9300152.A1, US2007172412.A1, US2007243129.A1); University of Alberta (US8282709.B2, US8552246.B2, US8017825.B2, US8545608.B2, US9764306.B2); Exxon Mobil (WO2017201159.A1, WO2016133589.A1, US6653518.B2); Georgia Institute of Tech. (WO2017201159.A1, WO2016133589.A1); ITRI (US9180400.B2); GIELEN VINCENT STEFAN DAVID (US2010119657.A1); China National Petroleum Corp (US9382124.B2); China University of Petroleum (Beijing) (US9382124.B2); BETTERGY (US10286364.B2, US9649601.B2); Beijing University of Technology (CN103212436.A, CN103949283.A); Waseda University (JP2016003151.A); NIPPON CHEMICAL INDUSTRIAL CO LTD (JP2016003151.A); CHOI JUNG KYU (US9120680.B2); JEONG HAE KWON (US9120680.B2); TSAPATSIS MICHAEL (US9120680.B2); DADACHOV MAZAKHIR (US2006171877.A1); INRAD (US5712461.A); LEVY EHUD (US5133871.A); Arkema (US5508457.A); Total (US5508457.A); Eni (EP0867497.A1, WO2011038911.A1); Honeywell (US6479427.B1, US5885925.A, US5858243.A, US5935552.A); Toyota Motor (US2002107142.A1); DAELIM INDUSTRIAL CO.,LTD. (EP0728699.A1); KRICT (US6566300.B2); PQ Corporation (US2003152510.A1); AIST Japan (US5958369.A); UOP (in: Honeywell) (US5858243.A, US5935552.A); Bank of America (WO9952885.A1); Biodesix (US8703106.B2); MUNTERS AKTIEBOLAG (US5505769.A)</t>
  </si>
  <si>
    <t>EP0375286.A1</t>
  </si>
  <si>
    <t>AU4693289.A; AU633531.B2; CA2005452.A1; DE68915258.D1; DE68915258.T2; EP0375286.A1; EP0375286.B1; JPH02222489.A; US4939314.A</t>
  </si>
  <si>
    <t>Exxon Mobil (WO2018111544.A1, US7880046.B2, US7667086.B2, US7259287.B2, US7678953.B2, US7692049.B2, US7741526.B2, US7531705.B2, US8481796.B2, US7678954.B2, WO03099747.A1, WO2006128649.A1, EP0716887.A1, US5043517.A, WO2006128650.A1); GTC TECHNOLOGY US, LLC (US2009247796.A1, US8232441.B2, US2011015458.A1); Sinopec Group (US7172685.B2); GTC TECHNOLOGY LP (US2008200740.A1); Phillips 66 (US7956227.B2); CEF (PTY) LTD. (WO2006091986.A1); Honeywell (US8513149.B2); Boehringer Ingelheim (US6610624.B2); UOP (in: Honeywell) (US8513149.B2); Neste Oil (WO2004080591.A1)</t>
  </si>
  <si>
    <t>EP0378916.A1</t>
  </si>
  <si>
    <t>AT82526.T; AU4714689.A; AU622964.B2; CA2006542.A1; CA2006542.C; CN1027048.C; CN1044052.A; DE68903560.D1; DE68903560.T2; DK173894.B1; DK654789.A; DK654789.D0; EP0378916.A1; EP0378916.B1; ES2044151.T3; GB8829923.D0; GR3006777.T3; IN178832.B; IN189323.B; JP2924911.B2; JPH02222727.A; KR0144466.B1; NO303677.B1; NO895175.D0; NO895175.L; RU2067024.C1; US5041402.A; US5345021.A; ZA8909697.B</t>
  </si>
  <si>
    <t>Saudi Arabia Government (US7713898.B2, US7279608.B2, US7576026.B2, US8062987.B2, US7674942.B2, US7196237.B2, US7084318.B2, US8846559.B2, US9278342.B2, US7244869.B2, US7446069.B2); SABIC (in: Saudi Arabia Government) (US7713898.B2, US7279608.B2, US7576026.B2, US8062987.B2, US7674942.B2, US7196237.B2, US7084318.B2, US8846559.B2, US9278342.B2, US7244869.B2, US7446069.B2); IFP (in: France Government) (US6864400.B2, JP2001146418.A, JP2001139325.A, US7851665.B2, JP2009197234.A, FR2752568.A1, FR2758566.A1, US6036846.A, US6126912.A, FR2775293.A1, US6106698.A, US5446234.A, FR2765237.A1, US5178748.A, US2005256355.A1, US7691355.B2); Government of France (US6864400.B2, JP2001146418.A, JP2001139325.A, US7851665.B2, JP2009197234.A, FR2752568.A1, FR2758566.A1, US6036846.A, US6126912.A, FR2775293.A1, US6106698.A, US5446234.A, FR2765237.A1, US5178748.A, US2005256355.A1, US7691355.B2); Honeywell (US6972348.B2, US7271303.B1, US7169368.B1, US7273828.B1, US6111158.A, US7544849.B2, US7307034.B2); UOP (in: Honeywell) (US6972348.B2, US7271303.B1, US7169368.B1, US7273828.B1, US6111158.A, US7544849.B2, US7307034.B2); LG Electronics (US2005189838.A1); Sinopec Group (RU2471553.C2, JP2012096983.A, CN108238615.A, CN108238612.A, CN102211780.A); OIL &amp; NATURAL GAS CORPORATION LIMITED (WO2017051260.A1); Bosch (US9257869.B2); Bosch (w/o BSH) (US9257869.B2); Chinese Academy of Sciences (CN105772067.A); Chevron (US7682599.B2, US5641393.A); SHANDONG CHENG TAI CHEMICAL (CN106000457.A); Eni (US7419930.B2, US2011163006.A1); Exxon Mobil (AU636464.B2, AU644626.B2, US5254787.A); Toyota Motor (WO9913981.A1); BASF (US6350914.B1); BP (US2005197518.A1); McDermott (JP2012515081.A); Teva Pharma (US2007259810.A1)</t>
  </si>
  <si>
    <t>Government of France;IFP (in: France Government)</t>
  </si>
  <si>
    <t>B01J ;C01B ;C07B ;C07C ;C10G ;</t>
  </si>
  <si>
    <t>EP0405978.A1</t>
  </si>
  <si>
    <t>AR246198.A1; AT89494.T; AU5510990.A; AU633567.B2; BR9002548.A; CA2014666.A1; CA2014666.C; DE69001644.D1; DE69001644.T2; DK0405978.T3; EP0405978.A1; EP0405978.B1; ES2040566.T3; JP3030056.B2; JPH0369510.A; MX172049.B; US5244650.A; ZA9002718.B</t>
  </si>
  <si>
    <t>BASF (EP2048115.A2, US7442233.B2, US8119550.B2, US7786317.B2, US8211822.B2, US7081237.B2, US8134018.B2, US7223876.B2, US7692031.B2, US7026493.B2, US7378536.B2, US7973183.B2, WO2004069507.A1, US6521020.B2, WO2011020815.A1, WO2004098769.A1, US6508863.B1, WO0194290.A1, EP0543247.A1, WO9747613.A1, US6008389.A, US5906954.A, US6087514.A, US5453263.A, EP0531364.A1, US6395067.B1, US6340433.B1, US6486086.B1, WO9303820.A1, US6068682.A, US7408074.B2, US7833498.B2, US7863468.B2); DuPont (US7786317.B2, US8134018.B2, US7223876.B2, US7692031.B2, US7973183.B2, US7863468.B2); University of Alberta (US8282709.B2, WO2010099595.A1, US8017825.B2, US8545608.B2); Exxon Mobil (WO2017201159.A1, WO2016133589.A1, US6653518.B2); Georgia Institute of Tech. (WO2017201159.A1, WO2016133589.A1); ZEOEN (US9416018.B2); China National Petroleum Corp (CN102923729.A); China University of Petroleum (Beijing) (CN102923729.A); Samsung SDI (US7842645.B2); UNIVERSITY OF PUERTO RICO (US8440166.B1); Nanjing University (CN106362682.A); BIOTECH PHARMACEUTICALS (US6177604.B1); Eni (EP0867497.A1); Nippon Shokubai (US5663480.A); PQ Corporation (US2003152510.A1); Government of the United Kingdom (WO9958243.A3); UNIVERSITY OF WOLVERHAMPTON (WO9526317.A1)</t>
  </si>
  <si>
    <t>B01J ;C01B ;C02F ;C07B ;C07C ;C10G ;</t>
  </si>
  <si>
    <t>EP0410690.A1</t>
  </si>
  <si>
    <t>AU5990390.A; CA2022308.A1; EP0410690.A1; JPH03205490.A; NZ234637.A; US4981491.A</t>
  </si>
  <si>
    <t>SANGI CO.,LTD. (WO2009034719.A1); WHITE DOG LABS (US9790523.B2); Haldor Topsoe (WO2018007484.A1); Exxon Mobil (US7626067.B2, US5113024.A, US5300126.A, US5130101.A, US5176719.A, US7161051.B2, US7151198.B2); ALDOUS (US8648226.B2); Honeywell (WO2008106428.A1); UOP (in: Honeywell) (WO2008106428.A1); CHONGQING HENGYU HUADUN NEW ENERGY DEV (CN105329834.A); MILLENNIUM FUELS USA (USRE37142.E, USRE37089.E); McDermott (WO9533704.A1); Phillips 66 (US5586051.A); Chevron (US5413717.A)</t>
  </si>
  <si>
    <t>B01J ;C07C ;C10G ;C10L ;</t>
  </si>
  <si>
    <t>EP0414449.A1</t>
  </si>
  <si>
    <t>AU6097390.A; AU635060.B2; CA2023449.A1; DE69003634.D1; DE69003634.T2; EP0414449.A1; EP0414449.B1; JPH03109490.A; NZ234880.A; US4975179.A</t>
  </si>
  <si>
    <t>Honeywell (US10118878.B2, WO2011090873.A3, WO2011090877.A3, WO2011090872.A3, US5273644.A, WO2015164083.A1); UOP (in: Honeywell) (US10118878.B2, WO2011090873.A3, WO2011090877.A3, WO2011090872.A3, US5273644.A, WO2015164083.A1); Exxon Mobil (US8395006.B2, WO9420438.A1, WO9532933.A1, US5336820.A, US6315890.B1, US6602403.B1, US6455750.B1, US6803494.B1, US5865988.A); HEBEI REFINING AND CHEMICAL HONGTIAN PETROCHEMICAL (CN104910957.A); TIANJIN FUSHENG DYESTUFF FACTORY (CN104910957.A); Sinopec Group (CN103374395.A); Saudi Arabia Government (WO2017001284.A1); SABIC (in: Saudi Arabia Government) (WO2017001284.A1); Mexican Institute of Petroleum (US8354019.B2); Ineos (US2006247479.A1); McDermott (US6002058.A, US5866736.A); CPC CORPORATION (US7790943.B2); AMT INTERNATIONAL, INC. (US7790943.B2); Chevron (US5210348.A, US5082990.A); Quarterhill (US6768191.B2)</t>
  </si>
  <si>
    <t>C10G ;C10L ;</t>
  </si>
  <si>
    <t>EP0414800.A1</t>
  </si>
  <si>
    <t>AU3688589.A; AU625062.B2; EP0414800.A1; EP0414800.A4; JPH03504136.A; US4886925.A; WO8911463.A1; ZA8903236.B</t>
  </si>
  <si>
    <t>Exxon Mobil (WO9425417.A1, WO9302025.A1, EP0639171.A1, WO9516763.A1, US5523511.A, US5164071.A, WO9012854.A1, AU641432.B2, EP0469285.A1, US5095159.A, US5449851.A, US5166455.A, US5321194.A, US5475175.A, US5434327.A, US5130101.A, WO9012778.A1, US5146029.A); Honeywell (US5414183.A, AU611261.B2); BP (US5523511.A); UOP (in: Honeywell) (US5414183.A, AU611261.B2); IFP (in: France Government) (GB2278354.B, FR2730501.A1, FR2730502.A1, US5962750.A); Government of France (GB2278354.B, FR2730501.A1, FR2730502.A1, US5962750.A)</t>
  </si>
  <si>
    <t>C07C ;C10G ;C10L ;</t>
  </si>
  <si>
    <t>EP0422188.A1</t>
  </si>
  <si>
    <t>AU5529890.A; CA2031212.A1; EP0422188.A1; JPH03505603.A; WO9012778.A1</t>
  </si>
  <si>
    <t>PROFEMME (US6179786.B1); EDEN RESEARCH PLC (US6419636.B1)</t>
  </si>
  <si>
    <t>C07B ;C07C ;C10G ;C10L ;</t>
  </si>
  <si>
    <t>EP0424511.A1</t>
  </si>
  <si>
    <t>AU5556090.A; AU621486.B2; CA2030797.A1; EP0424511.A1; JPH03505608.A; WO9012854.A1</t>
  </si>
  <si>
    <t>MILLENNIUM FUELS USA (USRE37142.E, USRE37089.E); TIANJIN FUSHENG DYE PLANT (CN102343279.A)</t>
  </si>
  <si>
    <t>EP0454304.A1</t>
  </si>
  <si>
    <t>AU7391091.A; CA2039224.A1; EP0454304.A1; JPH04225093.A; US5080691.A</t>
  </si>
  <si>
    <t>Saudi Arabia Government (WO2015123026.A1, US9593059.B2); ARAMCO (in: Saudi Arabia Government) (WO2015123026.A1, US9593059.B2); IFP (in: France Government) (US5633416.A, US5962750.A); Government of France (US5633416.A, US5962750.A); Chevron (US5413717.A)</t>
  </si>
  <si>
    <t>EP0462745.A2</t>
  </si>
  <si>
    <t>AT133922.T; AU639110.B2; AU7836991.A; CA2044960.A1; CA2044960.C; CN1034325.C; CN1058195.A; CN1073888.C; CN1147422.A; DE69116937.D1; DE69116937.T2; DK0462745.T3; EP0462745.A2; EP0462745.A3; EP0462745.B1; ES2085965.T3; GB9013859.D0; GR3019845.T3; IN180874.B; JP3391805.B2; JPH0748122.A; US5385718.A; US5446234.A; US5464799.A; ZA9104542.B</t>
  </si>
  <si>
    <t>Saudi Arabia Government (US7713898.B2, US7279608.B2, US7576026.B2, US8062987.B2, US7674942.B2, US7196237.B2, US7084318.B2, US8846559.B2, US7244869.B2, US7446069.B2); SABIC (in: Saudi Arabia Government) (US7713898.B2, US7279608.B2, US7576026.B2, US8062987.B2, US7674942.B2, US7196237.B2, US7084318.B2, US8846559.B2, US7244869.B2, US7446069.B2); IFP (in: France Government) (JP2000185913.A, JP2001113174.A, JP2001146418.A, JP2001139325.A, US7851665.B2, US7033559.B2, US6350370.B1, FR2775483.A1, US6106698.A, US6123831.A, FR2765208.A1); Government of France (JP2000185913.A, JP2001113174.A, JP2001146418.A, JP2001139325.A, US7851665.B2, US7033559.B2, US6350370.B1, FR2775483.A1, US6106698.A, US6123831.A, FR2765208.A1); McDermott (US7470645.B2, US5877363.A, US5763714.A, US5866736.A); REACTION 35 (US2007251382.A1, US2010099930.A1, US2010105972.A1, US2008269534.A1, US2008314758.A1, US2010270167.A1, US2011034741.A1); MCHC Group (US9919297.B2); Mitsubishi Chemical Corp (in: MCHC Group) (US9919297.B2); Sinopec Group (WO2008122203.A1, US8609064.B2, CN102671696.A, CN102442678.A); GROUPE RONDOT (US2010099930.A1); GTC TECHNOLOGY LP (US2009005620.A1, US2011218374.A1); Honeywell (JP2016506298.A, US6111158.A, JP2010526139.A); UOP (in: Honeywell) (JP2016506298.A, US6111158.A, JP2010526139.A); GTC TECHNOLOGY US, LLC (US2011071326.A1); TAIYUAN DACHENG HUANNENG CHEMICAL TECHNOLOGY (CN101928008.A); University of Tokyo (JP2016084265.A); UNIZEO CO LTD (JP2016084265.A); Eni (US5910299.A, WO2009147496.A3); Exxon Mobil (US6471938.B1); BASF (US5874621.A, WO0136094.A3); Air Liquide (US6221492.B1); Chevron (US6540903.B2, US7063828.B2)</t>
  </si>
  <si>
    <t>EP0463768.A2</t>
  </si>
  <si>
    <t>AT144755.T; AU641018.B2; AU7836891.A; CA2044959.A1; CA2044959.C; CN1033850.C; CN1058196.A; DE69122911.D1; DE69122911.T2; DK0463768.T3; EP0463768.A2; EP0463768.A3; EP0463768.B1; ES2095911.T3; GB9013916.D0; GR3021837.T3; IN184830.B; JP3347752.B2; JPH0597429.A; KR100195902.B1; NO307749.B1; NO912444.D0; NO912444.L; RU2092241.C1; US5108579.A; ZA9104540.B</t>
  </si>
  <si>
    <t>Saudi Arabia Government (US7713898.B2, US7279608.B2, US7576026.B2, US8062987.B2, US7674942.B2, US7196237.B2, US7084318.B2, US8846559.B2, US9278342.B2, US7244869.B2, US7446069.B2); SABIC (in: Saudi Arabia Government) (US7713898.B2, US7279608.B2, US7576026.B2, US8062987.B2, US7674942.B2, US7196237.B2, US7084318.B2, US8846559.B2, US9278342.B2, US7244869.B2, US7446069.B2); Exxon Mobil (WO2019022908.A1, US6471941.B1, WO2013126140.A1, WO0246099.A1, US5998686.A, US6471938.B1); IFP (in: France Government) (US6337063.B1, WO2017174566.A1, JP2015502854.A, FR2738244.A1, US6027707.A, WO9822213.A1, WO9823706.A1, US6077420.A, EP0855435.A1, EP0925822.B1, FR2775293.A1, US6106698.A, FR2779072.A1, FR2785278.A1, US5464799.A); Government of France (US6337063.B1, WO2017174566.A1, JP2015502854.A, FR2738244.A1, US6027707.A, WO9822213.A1, WO9823706.A1, US6077420.A, EP0855435.A1, EP0925822.B1, FR2775293.A1, US6106698.A, FR2779072.A1, FR2785278.A1, US5464799.A); Honeywell (WO0236491.A1, US6613302.B1, WO0236489.A1, US5338527.A); UOP (in: Honeywell) (WO0236491.A1, US6613302.B1, WO0236489.A1, US5338527.A); Sinopec Group (JP2012096983.A); AkzoNobel (WO9716375.A1); AIST Japan (US6471940.B1); JAPAN CHEMICAL INNOVATION AND INSPECTION INSTITUTE (US6471940.B1); Chevron (EP0769984.A4, US5965104.A); W. R. Grace (US5389358.A)</t>
  </si>
  <si>
    <t>EP0483222.A1</t>
  </si>
  <si>
    <t>AU5965490.A; BR9007513.A; CA2062799.A1; EP0483222.A1; EP0483222.A4; JPH05500352.A; NZ234403.A; WO9100844.A1; ZA9005368.B</t>
  </si>
  <si>
    <t>MCHC Group (JP2008266286.A); Mitsubishi Chemical Corp (in: MCHC Group) (JP2008266286.A); Exxon Mobil (US8562941.B2); Chevron (WO9400534.A1, EP0599852.A1)</t>
  </si>
  <si>
    <t>EP0509162.A1</t>
  </si>
  <si>
    <t>AU633719.B2; AU7437591.A; CA2040152.A1; DE69102419.D1; DE69102419.T2; EP0509162.A1; EP0509162.B1; JPH05132677.A; US5013329.A</t>
  </si>
  <si>
    <t>OCTANE INTERNATIONAL (US6039772.A); ORR C W (WO9523836.A1); Ineos (US5141525.A); Shell (US2015307411.A1); Exxon Mobil (US5348707.A, US5188725.A, US5338436.A, US5475175.A, US5166454.A, US5176719.A); LyondellBasell (US5136108.A); Bank of America (US5198590.A)</t>
  </si>
  <si>
    <t>B01J ;C07B ;C10G ;C10L ;</t>
  </si>
  <si>
    <t>EP0539121.A1</t>
  </si>
  <si>
    <t>AT140636.T; CA2081030.A1; CA2081030.C; CN1032407.C; CN1073888.A; CZ319392.A3; DE69212426.D1; DE69212426.T2; EP0539121.A1; EP0539121.B1; ES2090529.T3; HU9203273.D0; HUT65105.A; JPH05220323.A; JPH0824814.B2; KR930007489.A; KR960012561.B1; PL170883.B1; PL296337.A1; RU2081679.C1; SK319392.A3; US5194076.A</t>
  </si>
  <si>
    <t>Babcock &amp; Wilcox (US6946011.B2, US5651948.A, US5643344.A, US5814288.A); AECOM (WO2019040786.A3); Haldor Topsoe (US7198763.B2); DAEWOO ENGINEERING &amp; CONSTRUCTION CO.,LTD. (US5935299.A); NEBRASKA PUBLIC POWER DISTRICT (US5681536.A)</t>
  </si>
  <si>
    <t>Babcock &amp; Wilcox</t>
  </si>
  <si>
    <t>B01D ;F23J ;</t>
  </si>
  <si>
    <t>EP0604640.A1</t>
  </si>
  <si>
    <t>AU4652193.A; AU6678396.A; EP0604640.A1; JPH07501042.A; US5254514.A; US5641393.A; WO9400534.A1; WO9706103.A1</t>
  </si>
  <si>
    <t>Chevron (US6616911.B2, US6806087.B2, US6649662.B2, US8142757.B2, US6441263.B1, US8212099.B2, US9259720.B2, WO2016048406.A1, US9272270.B2, US5952536.A, WO9521793.A1, US5770175.A, US6566569.B1, US6455595.B1, US5958370.A, US5558851.A, WO9521792.A1, WO2007019457.A2); Shell (US6949181.B2); Honeywell (US8466080.B2, US6111158.A); UOP (in: Honeywell) (US8466080.B2, US6111158.A); IFP (in: France Government) (FR3074428.A1, US6117307.A); Government of France (FR3074428.A1, US6117307.A); Exxon Mobil (WO2014100218.A1, US6471938.B1); Toray (US6462248.B1); Albemarle (JP2008189539.A); BASF (US5739405.A, US6350914.B1); Caltech (US5512267.A); Phillips 66 (WO9903949.A1)</t>
  </si>
  <si>
    <t>EP0618879.A1</t>
  </si>
  <si>
    <t>AU5101793.A; EP0618879.A1; EP0618879.A4; JP3499870.B2; JPH07504151.A; US5316753.A; US5391287.A; WO9408899.A1</t>
  </si>
  <si>
    <t>Chevron (WO2016003503.A1, EP3363878.A1, WO2016003502.A1, WO2016003504.A1, US8007763.B2, WO2010114996.A2, US8007764.B2, US8177961.B2, WO2015187211.A1, WO2018004876.A1, WO2016064451.A1, WO2019125397.A1, US8545798.B2, US8057782.B2, US6806087.B2, US6649662.B2, US8540963.B2, WO2014007874.A1, WO2011056470.A3, WO2015187212.A1, US6441263.B1, US7569207.B2, WO2016039806.A1, US7597874.B1, US6475463.B1, WO2014123609.A1, US9822012.B2, US7622032.B2, US6900365.B2, US8097764.B2, WO2015038192.A1, WO2007079038.A2, US7357904.B2, US7011811.B2, WO2013154670.A1, US7348295.B2, US8440156.B2, US7390395.B2, US10253270.B2, WO2015050753.A1, US7713512.B2, WO2016186761.A1, US9738838.B2, WO2015053823.A1, US7422732.B2, WO2013154669.A1, US9783461.B2, WO2016186760.A1, WO2015038193.A1, WO2015187213.A1, US8557221.B2, WO2015179228.A1, US8546628.B2, WO2015179226.A1, US8545804.B2, JP2009521395.A, US8697018.B2, WO2015187216.A1, WO2016039808.A1, WO2015073780.A1, WO2015187214.A1, US7083714.B2, US7473807.B2, US7527778.B2, US7432402.B2, US6103215.A, WO9829337.A1, US5952536.A, US6051129.A, US6187725.B1, US6110879.A, WO9522507.A1, WO9601688.A1, US6566569.B1, US6455595.B1, US5958370.A, US5939044.A, US2005042159.A1, US2007029229.A1, US2007029230.A1, US7762059.B2, US2007149778.A1, US2007286782.A1, US2007286800.A1, US7465835.B2, US7749473.B2, US7750196.B2, EP2223894.A1, WO2013154671.A1, WO2014123610.A1, WO2016065035.A1); Johnson Matthey (US2012301378.A1); Caltech (US10293330.B2, US8562942.B2, US9908783.B2, US9604197.B2, US9700879.B2); HRD Corp (US8371741.B2, US9669381.B2, US9227196.B2); LG Electronics (US2007104172.A1); Phillips 66 (US6900365.B2, US8097764.B2, US6420295.B1); BAY CITY CAPITAL FUND IV (US2007029230.A1); NORTHWEST ALUMINUM TECHNOLOGIES (US2007278107.A1); Showa Denko (JP2002137918.A); Ecolab (US6372805.B1); PQ Corporation (US2003152510.A1); AIST Japan (JP2002137918.A); University of Texas System (US5648058.A, US5830429.A); Polytechnic University of Valencia (WO9854091.A1, WO0037360.A1, WO0230820.A1, EP1825901.A1); Saudi Arabia Government (US5855767.A); Government of Spain (WO9854091.A1, WO0037360.A1, WO0230820.A1, EP1825901.A1); Mitsui E&amp;S Holdings (US5554286.A); ARAMCO (in: Saudi Arabia Government) (US5855767.A)</t>
  </si>
  <si>
    <t>EP0723326.A2</t>
  </si>
  <si>
    <t>CN1044052.C; CN1134620.A; DE69620929.D1; DE69620929.T2; EP0723326.A2; EP0723326.A3; EP0723326.B1; JP3303155.B2; JPH08195225.A; US5861733.A</t>
  </si>
  <si>
    <t>Coolpad (WO2017147960.A1); Chamiraux Management (EP1096639.A4); Xiaomi (EP2894758.A1); GUANGZHOU FULLRIVER BATTERY NEW TECHNOLOGY CO LTD (US9054396.B2); Infineon (US9564771.B2); OPPO Electronics (WO2017201735.A1); HP Inc. (EP1164681.A2); Texas Instruments (US8421416.B2); Bosch (WO2011124411.A3, WO2009056383.A1, CN101453137.A); Bosch (w/o BSH) (WO2011124411.A3, WO2009056383.A1, CN101453137.A); Maxell Holdings (WO2014141875.A1); HANGZHOU SINOCOM HIGH TECH (CN103227351.A); Government of the United States (US7573235.B2); P&amp;G (US9124118.B2); Nokia (WO2014030029.A1); BELTON ELECTRONICS SHENZHEN (US2011127969.A1); CULP NORMAN L (CN104641531.A); CULP NORMAN (CN104641531.A); Mitsubishi Electric (JP6239171.B1); VTC Industrieholding GmbH &amp; Co. KG (JP2005354893.A); Foxconn (US7400126.B2); Panasonic (USRE40223.E); AsusTek (US2010259228.A1); Sony (EP0798841.A3); Ricoh (JP2003087990.A, JP2003092843.A); Xenogenic Development (US6127810.A); Sharp (in: Foxconn) (US7400126.B2); Beijing Wuzi University (CN102624054.A); BAISHUN SONGTAO (TIANJIN) POWER BATTERY TECHNOLOGY (CN103078383.A)</t>
  </si>
  <si>
    <t>Kyocera</t>
  </si>
  <si>
    <t>H01M ;H02J ;</t>
  </si>
  <si>
    <t>EP0769984.A1</t>
  </si>
  <si>
    <t>AU2869495.A; BR9508391.A; CN1152263.A; EP0769984.A1; EP0769984.A4; JPH10502608.A; KR970704514.A; RU2153397.C2; US5591421.A; US5656149.A; WO9601688.A1</t>
  </si>
  <si>
    <t>Exxon Mobil (US6049018.A, JP2015501276.A, US6063262.A, US6419819.B1); Umicore (US9878313.B2); Chevron (WO2018111390.A1, JP2013529589.A, US6806087.B2, US6649662.B2, JP2013533197.A, US6441263.B1, US6086848.A, WO9829336.A1, US6566569.B1, US6455595.B1, US5965104.A, US7063828.B2, EP2223894.A1); Haldor Topsoe (US10336673.B2); Caltech (RU2686907.C1); Shell (US6949181.B2); Callaway Golf (US7628188.B2); Mitsui Mining &amp; Smelting (WO2014112601.A1); University of Tokyo (WO2014112601.A1); PETROLEOS DE VENEZUELA (US8022003.B2); Sinopec Group (CN105460948.A); KRICT (KR101513193.B1); Roche (US5866341.A); Phillips 66 (WO0015338.A1); Polytechnic University of Valencia (US6409986.B1, US6652831.B1); Government of Spain (US6409986.B1, US6652831.B1); Chugai Pharmaceutical (in: Roche) (US5866341.A)</t>
  </si>
  <si>
    <t>B01J ;C01B ;C07C ;C10G ;</t>
  </si>
  <si>
    <t>EP0913452.A1</t>
  </si>
  <si>
    <t>AT230007.T; AU4366497.A; AU743806.B2; CA2219690.A1; CA2219690.C; DE69718001.D1; DE69718001.T2; EP0913452.A1; EP0913452.B1; ES2188874.T3; JPH11172261.A; RU2180346.C2; US5683573.A</t>
  </si>
  <si>
    <t>Phillips 66 (US9421530.B2, US9943837.B2, US9421529.B2, US9387467.B2); Chevron (US9421530.B2, US9943837.B2, US9421529.B2, US9387467.B2); Chiyoda Corp (WO2008018522.A1); JXTG Holdings (WO2008018522.A1); Honeywell (WO2013089856.A1, US9206362.B2, WO2010011415.A1, US5935415.A, SG87026.A1); UOP (in: Honeywell) (WO2013089856.A1, US9206362.B2, WO2010011415.A1, US5935415.A, SG87026.A1); Exxon Mobil (US6500996.B1, US7517824.B2)</t>
  </si>
  <si>
    <t>Honeywell;UOP (in: Honeywell)</t>
  </si>
  <si>
    <t>EP0964903.A1</t>
  </si>
  <si>
    <t>AU6654298.A; CA2281563.A1; CN1251123.A; DE69819305.D1; EP0964903.A1; EP0964903.B1; KR20000071153.A; US6245219.B1; WO9836037.A1</t>
  </si>
  <si>
    <t>Saudi Arabia Government (US9481617.B2, US9221723.B2, WO2016054316.A1, US9192925.B2, US9475737.B2, US9657238.B2, US10207255.B2, US2011132804.A1); SABIC (in: Saudi Arabia Government) (US9481617.B2, US9221723.B2, US9192925.B2, US9475737.B2, US10207255.B2, US2011132804.A1); Exxon Mobil (US9714386.B2, US9809758.B2); Sinopec Group (US6677263.B2); ARAMCO (in: Saudi Arabia Government) (WO2016054316.A1, US9657238.B2); OIL &amp; NATURAL GAS CORPORATION LIMITED (EP3126047.A4); XINJIANG HENGSHENG ENERGY TECH (CN105778986.A); Qisda (US2006139404.A1); Russian Academy of Sciences (WO02086023.A1)</t>
  </si>
  <si>
    <t>EP1294378.A2</t>
  </si>
  <si>
    <t>AR030696.A1; AR066036.A2; AT374772.T; AT445606.T; AU2001274938.B2; AU2001274938.C1; AU7493801.A; BR0111116.A; BR0111116.B1; CA2411468.A1; CA2411468.C; CN100423721.C; CN101342169.A; CN101343250.A; CN101343250.B; CN101343251.A; CN101343251.B; CN1444477.A; CY1109435.T1; CY1109730.T1; CZ20023852.A3; CZ303176.B6; DE122010000037.I1; DE60130760.D1; DE60130760.T2; DE60139354.D1; DE60140224.D1; DK1294378.T3; DK1864981.T3; DK1889838.T3; EP1294378.A2; EP1294378.A4; EP1294378.B1; EP1864981.A1; EP1864981.B1; EP1864981.B8; EP1889838.A1; EP1889838.B1; ES2294000.T3; ES2328179.T3; ES2334843.T3; HK1055561.A1; HK1113057.A1; HK1117825.A1; HU0302257.A2; HU0302257.A3; HU0800310.D0; HU0800710.A2; HU0800710.D0; HU227476.B1; HU230387.B1; HU230487.B1; IL152988.A; IL152988.D0; IL193617.A; IL193617.D0; IL193618.D0; IL193619.D0; JP2003534257.A; JP2006137764.A; JP3813875.B2; JP4546919.B2; KR100798568.B1; KR100847172.B1; KR20030060773.A; KR20070087255.A; LU91681.I2; LU91681.I9; MXPA02011621.A; MY136707.A; NO20025566.D0; NO20025566.L; NO2010017.I1; NO2010017.I2; NO324246.B1; NZ522474.A; NZ533308.A; PL216528.B1; PL218617.B1; PL359270.A1; PL393259.A1; PT1294378.E; PT1864981.E; PT1889838.E; SI1294378.T1; SI1864981.T1; SI1889838.T1; TWI305207.B; US2004019190.A1; US2007129338.A1; US2007179192.A1; US2008090787.A1; US2008090996.A1; US2008214640.A1; US2009155203.A1; US2009176746.A1; US2009176973.A1; US7160870.B2; US7332481.B2; US7335649.B2; US7439342.B2; US7452874.B2; US7473686.B2; US7648971.B2; US7674887.B2; US7790704.B2; WO0189457.A2; WO0189457.A3</t>
  </si>
  <si>
    <t>Novartis (WO03098992.A3, WO2013086436.A1, US8828430.B2, WO2008101141.A2, US2014100258.A1, WO2010129738.A1, WO2010138656.A1, EP2348858.A4, WO2012030886.A1, US8637563.B2, US2010004302.A1, US2015093356.A1, US2011300630.A1); Scripps Research Institute (US9580426.B2, WO2012102937.A2); CHDI Foundation (US9981918.B2, US10258621.B2); AstraZeneca (EP1663973.A1); BASF (WO2011067246.A1, WO2017182323.A1, WO2018162519.A1); WILLIAM MITCHELL LTD (US9981918.B2); University of Montreal (WO2013110198.A1); FLEXUSPINE INC (US2005273174.A1); DMG Mori Seiki (US2005273174.A1); Jiangsu Hengrui Medicine (WO2009092276.A1, WO2010142137.A1); Ligand Pharma (WO2006047344.A1, US7371739.B2, WO2005118551.A3, US8680150.B2, WO2013074459.A1, US9962370.B2); Nissan Chemical (US8134013.B2, US7968542.B2, WO2007142308.A1, US8026368.B2, US7960425.B2, US7851503.B2, US8053453.B2, US8552031.B2); Fred Hutchinson Cancer Res. (WO2013086436.A1); Teva Pharma (WO2019071111.A1, WO2010114943.A1, WO2013049605.A1, WO2017042839.A1); Partners Healthcare (WO2018005417.A1); Hetero Drugs (US9770437.B2, US10336706.B2); AET Alfred E. Tiefenbacher (WO2019086725.A3); Glenmark Pharmaceuticals (WO2013072921.A3); Dana-Farber (US9303024.B2); STATEGICS (WO2008070583.A3); Intelligent Energy (US2008286865.A1); University of Rochester (US2014234322.A1); MCHC Group (US7659409.B2); Mitsubishi Chemical Corp (in: MCHC Group) (US7659409.B2); China National Pharma Group (CN105085276.A, CN105085287.A, CN104628647.A); FORLIGHTS DETECTION TECHNOLOGIES SUZHOU (CN104829593.A); ZHEREN PHARMACEUTICAL NANJING (WO2015139536.A1); SUZHOU MIRACPHARMA TECHNOLOGY CO LTD (WO2015139536.A1); Glaxosmithkline (WO2009048953.A1, EP1370252.A1, WO03103686.A1, WO2005041867.A3, US7674792.B2, WO2008134338.A1, US2012252855.A1, WO2009151862.A1, US2011160130.A1, US2011184035.A1, WO2012121957.A1, WO2012121958.A3, WO2016055935.A1); University of Pennsylvania (WO2009048953.A1); QILU PHARMACEUTICAL CO LTD (WO2013152683.A1); BEIJING LABWORLD BIOMEDICAL TECHNOLOGY CO LTD (CN104725318.A); Cadila Healthcare (WO2015111085.A3); Roche (WO2012168162.A1); GALCHIMIA SL (WO2014177517.A1); Insight Risk Management (WO2012102937.A2); Esteve Farma (WO2014177517.A1); Dr. Reddy´s Laboratories (US7622486.B2); Dipharma Francis (ITMI20131782.A1); CELLERANT THERAPEUTICS INC (JP2014523741.A); Northwest University (China) (CN101805291.A); Asahikawa Medical University (WO2013175759.A1)</t>
  </si>
  <si>
    <t>Novartis</t>
  </si>
  <si>
    <t>A61K ;A61P ;C07C ;C07D ;C07F ;C09B ;C12N ;</t>
  </si>
  <si>
    <t>EP1390261.A2</t>
  </si>
  <si>
    <t>AT381483.T; BR0209350.A; CN100448746.C; CN1639004.A; DE60224179.D1; DE60224179.T2; EP1390261.A2; EP1390261.B1; ES2298364.T3; ITBO20010300.A1; ITBO20010300.D0; JP2005507829.A; JP4064826.B2; US6755223.B1; WO02092430.A2; WO02092430.A3</t>
  </si>
  <si>
    <t>Uhlmann Group (US9399532.B2, US8403009.B2); Gerresheimer AG (WO2007062694.A1); CIXI RUITIAN MACHINERY EQUIPMENT (CN104290939.A); Bosch (US7185791.B2); Bosch (w/o BSH) (US7185791.B2)</t>
  </si>
  <si>
    <t>IMA S.p.A.</t>
  </si>
  <si>
    <t>B65B ;G01F ;</t>
  </si>
  <si>
    <t>EP1729943.A1</t>
  </si>
  <si>
    <t>AT373553.T; AT374770.T; BRPI0418685.A; BRPI0418685.B1; CN100484738.C; CN1942297.A; DE602004009108.D1; DE602004009108.T2; EP1729943.A1; EP1729943.B1; ES2294490.T3; US2007202248.A1; WO2005095078.A1</t>
  </si>
  <si>
    <t>University of Chicago (WO2018088993.A1); Bekaert (WO2008148407.A1); ZHANGJIAGANG CITY JUNMA STEEL CORD (CN103966417.A); Nanjing Institute of Technology (CN103966417.A); Luxembourg Inst. of Sci. &amp; Tech. (WO2015150665.A1); Shimano (US2014109716.A1); Bridgestone (JP2008261073.A)</t>
  </si>
  <si>
    <t>Bekaert</t>
  </si>
  <si>
    <t>B05D ;B29B ;C07D ;C23C ;</t>
  </si>
  <si>
    <t>EP2051806.A2</t>
  </si>
  <si>
    <t>BRPI0713674.A2; CN101489675.A; CN101489675.B; EP2051806.A2; EP2051806.B1; JP2009544568.A; JP5571950.B2; KR101044495.B1; KR20090014224.A; TW200831187.A; TWI365105.B; US2008027256.A1; US2012226084.A1; US8110176.B2; US8529752.B2; WO2008016456.A2; WO2008016456.A3; ZA200810099.B</t>
  </si>
  <si>
    <t>Exxon Mobil (US8329956.B2, US10239052.B2, US7910779.B2, US7910778.B2, US8519194.B2, US8822363.B2, US8084648.B2, WO2017213749.A1, WO2018160327.A1, WO2018140149.A1, WO2018183009.A1, WO2018183012.A1, US7906685.B2, US8636976.B2, US9321043.B2, US9545622.B2, US9108893.B2, US8623777.B2, US8212096.B2, US8106243.B2, US8217213.B2, WO2009079136.A1, US9458067.B2, US8703635.B2, EP2334601.B1, WO2014182434.A1, US9144792.B2, WO2014182440.A1, WO2014182442.A1); BASF (US2015329368.A1); TechnipFMC (US8623777.B2); KAIST (JP2012530680.A)</t>
  </si>
  <si>
    <t>EP2058290.A1</t>
  </si>
  <si>
    <t>EP2058290.A1; EP2058290.A4; KR20090059108.A; TW200825036.A; US2010179365.A1; WO2008029631.A1</t>
  </si>
  <si>
    <t>Sinopec Group (US9221724.B2, US9212105.B2); Air Liquide (WO2012126670.A1, WO2013045169.A1); MCHC Group (CN102471180.A, JP2008074764.A); Mitsubishi Chemical Corp (in: MCHC Group) (CN102471180.A, JP2008074764.A); JGC (CN102471180.A); McDermott (WO2014077997.A1); NIPPON GAS GOSEI CO., LTD. (WO2012015060.A1); KRICT (KR20150131615.A)</t>
  </si>
  <si>
    <t>EP2061861.A2</t>
  </si>
  <si>
    <t>AU2007279207.A1; AU2007279207.B2; AU2007279207.C1; AU2011265318.A1; AU2011265318.B2; AU2011265320.A1; AU2011265320.B2; BRPI0714928.A2; CA2657528.A1; CA2657528.C; CN101506333.A; CN101506333.B; CN102732293.A; CN102732293.B; CN103725315.A; CN103725315.B; EP2061861.A2; EP2061861.B1; EP2383326.A2; EP2383326.A3; EP2383326.B1; ES2664980.T3; ES2665037.T3; JP2009544739.A; JP2013216910.A; JP5702535.B2; JP5762477.B2; KR101454494.B1; KR20090040455.A; MX2009000972.A; MY158681.A; MY159545.A; PL2061861.T3; RU2009107177.A; RU2476412.C2; TW200815580.A; TWI443184.B; US2008027255.A1; US2011184217.A1; US2011190559.A1; US7932425.B2; US8362310.B2; US8569555.B2; WO2008014428.A2; WO2008014428.A3; ZA200900285.B</t>
  </si>
  <si>
    <t>Phillips 66 (WO2013134055.A1, WO2018118604.A1, WO2018118607.A1, WO2018213553.A1, WO2018204338.A1, WO2018213466.A1, WO2018049033.A1, WO2019136059.A1, WO2019136057.A1, US9943837.B2, US10233396.B1, US9718042.B2, WO2014052299.A1); Chevron (WO2013134055.A1, WO2018118604.A1, WO2018118607.A1, WO2018213553.A1, WO2018204338.A1, WO2018213466.A1, WO2018049033.A1, WO2019136059.A1, WO2019136057.A1, US9943837.B2, US10233396.B1, US9718042.B2, WO2014052299.A1); Masco (US9919939.B2); University of Groningen (US2017247617.A1); Exxon Mobil (WO2013052260.A3)</t>
  </si>
  <si>
    <t>Chevron;Phillips 66</t>
  </si>
  <si>
    <t>EP2408880.A2</t>
  </si>
  <si>
    <t>AU2010223041.A1; AU2010223041.B2; BRPI1009400.A2; BRPI1009400.B1; CA2754816.A1; CA2754816.C; CN102625823.A; CN102625823.B; EP2408880.A2; JP2012520376.A; JP5636382.B2; KR101474599.B1; KR20120002586.A; MX2011009373.A; RU2011139641.A; RU2515525.C2; US2010300930.A1; US8395006.B2; WO2010104581.A2; WO2010104581.A3; ZA201106630.B</t>
  </si>
  <si>
    <t>Honeywell (WO2011090873.A3, WO2011090877.A3, WO2011090872.A3, US8609916.B2, US8609915.B2); UOP (in: Honeywell) (WO2011090873.A3, WO2011090877.A3, WO2011090872.A3, US8609916.B2, US8609915.B2); Exxon Mobil (US9199891.B2, WO2012108861.A1, JP2014524509.A, US9200215.B2, US9238599.B2, WO2014109766.A1); TechnipFMC (US9199891.B2, WO2012108861.A1, JP2014524509.A, US9200215.B2, WO2014109766.A1); HEBEI REFINING AND CHEMICAL HONGTIAN PETROCHEMICAL (CN104910957.A); TIANJIN FUSHENG DYESTUFF FACTORY (CN104910957.A); Reliance Industries (US8722952.B2); CSIR (India) (US8722952.B2); LIN MIN XIAN (US10041635.B2); LAM MAN YIN (US10041635.B2); Sinopec Group (CN103540343.A)</t>
  </si>
  <si>
    <t>EP2467454.A1</t>
  </si>
  <si>
    <t>CA2771808.A1; EP2467454.A1; EP2467454.A4; US2012273728.A1; US2015069300.A1; WO2011020194.A1</t>
  </si>
  <si>
    <t>DEEP ISOLATION (US10002683.B2); BASF (US9475037.B2, WO2013068904.A1); Linde (US10010876.B2); Qatar University (WO2019069169.A1); Haldor Topsoe (EP2963717.A1)</t>
  </si>
  <si>
    <t>University of Calgary</t>
  </si>
  <si>
    <t>B01J ;C01B ;C10G ;C10J ;</t>
  </si>
  <si>
    <t>EP2660228.A1</t>
  </si>
  <si>
    <t>AU2011349906.B2; BR112013016481.A2; BR112013016481.B1; CN102531821.A; CN102531821.B; DK2660228.T3; EP2660228.A1; EP2660228.A4; EP2660228.B1; JP2014510706.A; JP5756867.B2; KR101550202.B1; KR20130106872.A; MY163178.A; SG191805.A1; US2014051900.A1; US9284235.B2; WO2012088852.A1; ZA201305273.B</t>
  </si>
  <si>
    <t>Saudi Arabia Government (US10144003.B2, EP3305748.A4); ARAMCO (in: Saudi Arabia Government) (US10144003.B2); Tsinghua University (China) (CN103007985.A, CN104174430.A); BASF (WO2018197470.A1); HEFEI SHENZHEN CATALYTIC CLEANER (CN105944749.A); EXELUS (US10179753.B2); China University of Petroleum (Beijing) (CN106140266.A); Sinopec Group (CN104557419.A, CN104557377.A, CN102875304.A, CN104151121.A); LIU PING (CN105838415.A); KRICT (WO2016018097.A1); Exxon Mobil (WO2015050939.A1); China National Petroleum Corp (CN106431808.A); Chinese Academy of Sciences (EP3305748.A4); SABIC (in: Saudi Arabia Government) (EP3305748.A4)</t>
  </si>
  <si>
    <t>EP2673245.A1</t>
  </si>
  <si>
    <t>AU2011358597.A1; AU2011358597.B2; CN103562161.A; CN103562161.B; EP2673245.A1; JP2014513152.A; KR20140037039.A; MX2013008353.A; MX358098.B; TW201245432.A; US2013331627.A1; US9834493.B2; WO2012108861.A1</t>
  </si>
  <si>
    <t>Exxon Mobil (US9199891.B2, US9200215.B2); TechnipFMC (US9199891.B2, US9200215.B2); Saudi Arabia Government (US10144685.B2); SABIC (in: Saudi Arabia Government) (US10144685.B2); Sinopec Group (CN106554811.A)</t>
  </si>
  <si>
    <t>Exxon Mobil;TechnipFMC</t>
  </si>
  <si>
    <t>EP2673247.A1</t>
  </si>
  <si>
    <t>AU2011358570.A1; AU2011358570.B2; CN103402952.A; CN103402952.B; EP2673247.A1; JP2014513151.A; KR20140037040.A; MX2013008351.A; MX337780.B; TW201247598.A; US2013324776.A1; US9199891.B2; WO2012108926.A1; ZA201305320.B</t>
  </si>
  <si>
    <t>Exxon Mobil (WO2017188934.A1, US9834493.B2, WO2016085908.A1, US9200215.B2); TechnipFMC (WO2017188934.A1, US9834493.B2, WO2016085908.A1, US9200215.B2)</t>
  </si>
  <si>
    <t>C07B ;C07C ;C10G ;</t>
  </si>
  <si>
    <t>EP2802533.A2</t>
  </si>
  <si>
    <t>BR112014015231.A2; BR112014015231.A8; CA2858408.A1; CN104379505.A; EP2802533.A2; EP2802533.A4; EP2802533.B1; JP2015523943.A; JP6134335.B2; KR101617564.B1; KR20140113977.A; MX2014007632.A; MX349355.B; SG11201402970R.A; US2013164212.A1; US2013164213.A1; US2013165720.A1; US2014066674.A1; US2014171719.A1; US2015025287.A1; US8642823.B2; US8846998.B2; US8940952.B2; US8946497.B1; US8992885.B2; WO2013096069.A2; WO2013096069.A3</t>
  </si>
  <si>
    <t>Honeywell (US10272420.B2, US8623321.B1, WO2016100105.A3, US8912378.B2, US8889939.B2, US8907151.B2, US8921634.B2, WO2015088905.A1); UOP (in: Honeywell) (US10272420.B2, US8623321.B1, WO2016100105.A3, US8912378.B2, US8889939.B2, US8907151.B2, US8921634.B2, WO2015088905.A1); Chevron (US9187334.B2); Sinopec Group (CN107973306.A); China University of Petroleum (Huadong) (CN106140268.A)</t>
  </si>
  <si>
    <t>B01D ;B01J ;C01B ;C07C ;C10G ;</t>
  </si>
  <si>
    <t>EP2964380.A1</t>
  </si>
  <si>
    <t>BR112015021621.A2; CA2903389.A1; CN105050713.A; CN105050713.B; EP2964380.A1; EP2964380.A4; HK1215227.A1; MX2015011706.A; US2014256010.A1; US2014322781.A1; US9278892.B2; US9434658.B2; WO2014137991.A1</t>
  </si>
  <si>
    <t>ECO OIL MILJOBRANSLEN I SVERIGE (WO2017111691.A1)</t>
  </si>
  <si>
    <t>Battelle;University of Tennessee</t>
  </si>
  <si>
    <t>B01J ;C07C ;C10G ;C12P ;</t>
  </si>
  <si>
    <t>EP3016738.A1</t>
  </si>
  <si>
    <t>CN105517708.A; CN105517708.B; EP3016738.A1; EP3016738.B1; JP2016527076.A; JP6436495.B2; KR20160027199.A; US10239051.B2; US2016136625.A1; US2019168194.A1; WO2015001004.A1</t>
  </si>
  <si>
    <t>Johnson Matthey (WO2016016622.A1); OIL &amp; NATURAL GAS CORPORATION LIMITED (WO2017051260.A1, WO2017051261.A1); Phillips 66 (US2016176777.A1)</t>
  </si>
  <si>
    <t>CNRS;Total</t>
  </si>
  <si>
    <t>EP3098213.A1</t>
  </si>
  <si>
    <t>CN106029613.A; EA201600532.A1; EP3098213.A1; EP3098213.A4; RU2544241.C1; US2017001922.A1; WO2015112056.A1</t>
  </si>
  <si>
    <t>Exxon Mobil (WO2018106357.A1); Gazprom (RU2630307.C1)</t>
  </si>
  <si>
    <t>EP3100784.A1</t>
  </si>
  <si>
    <t>AU2014380443.A1; AU2014380443.B2; CA2945839.A1; CN106163661.A; EA031119.B1; EA201600533.A1; EP3100784.A1; EP3100784.A4; RU2544017.C1; US10131592.B2; US2017007992.A1; US2019100477.A1; WO2015115932.A1</t>
  </si>
  <si>
    <t>Exxon Mobil (US9845272.B2, US9988325.B2); WOLFDIETER KLEIN CONSULTING OEL UND GASTECHNOLOGIE (EP3318619.A1); BARIL CHUK MIKHAJLO (RU2671568.C1)</t>
  </si>
  <si>
    <t>B01J ;C01C ;C07C ;C10G ;</t>
  </si>
  <si>
    <t>EP3124576.A1</t>
  </si>
  <si>
    <t>EA201600667.A1; EP3124576.A1; EP3124576.A4; EP3124576.B1; RU2550354.C1; US2017145317.A1; WO2015147700.A1</t>
  </si>
  <si>
    <t>Haldor Topsoe (WO2018007487.A1, WO2018007488.A1); NGT GLOBAL (US10131592.B2); Exxon Mobil (RU2678980.C1)</t>
  </si>
  <si>
    <t>EP3190098.A2</t>
  </si>
  <si>
    <t>CA2958104.A1; CN107001182.A; EA032256.B1; EA201700105.A1; EP3190098.A2; EP3190098.A4; RU2558955.C1; US2017233311.A1; WO2016024883.A2; WO2016024883.A3</t>
  </si>
  <si>
    <t>EP3426753.A1</t>
  </si>
  <si>
    <t>AU2016396601.A1; BR112018067668.A2; CA3016531.A1; CN108779399.A; EA201891760.A1; EP3426753.A1; JP2019512574.A; WO2017155425.A1</t>
  </si>
  <si>
    <t>LIMITED LIABILITY NEW GAS TECH SYNTHESIS NGT SYNTH;NEW GAS TECHNOLOGIES SYNTHESIS LLC</t>
  </si>
  <si>
    <t>B01J ;C10G ;C10L ;</t>
  </si>
  <si>
    <t>EP3426754.A1</t>
  </si>
  <si>
    <t>AU2017230031.A1; BR112018067640.A2; CN109072093.A; EP3426754.A1; WO2017155424.A1; WO2017155431.A1</t>
  </si>
  <si>
    <t>NEW GAS TECHNOLOGIES SYNTHESIS LLC;NGT GLOBAL</t>
  </si>
  <si>
    <t>GB2023167.A</t>
  </si>
  <si>
    <t>CA1142118.A; DE2921601.A1; DE2921601.C2; FR2427375.A1; FR2427375.B1; GB2023167.A; GB2023167.B; IT1121519.B; IT7923055.D0; JPS54156013.A; JPS6320877.B2; NL7805841.A</t>
  </si>
  <si>
    <t>JGC (JP5628027.B2); Exxon Mobil (JPS61157579.A); Honeywell (EP0122063.A1, JPS6019039.A); BP (JPS61501926.A); UOP (in: Honeywell) (EP0122063.A1, JPS6019039.A)</t>
  </si>
  <si>
    <t>GB2023562.A</t>
  </si>
  <si>
    <t>AT374770.B; ATA438179.A; AU4823379.A; AU531124.B2; CA1131206.A; CH645076.A5; DD144397.A5; DD151877.A5; DE2924870.A1; DE2924870.C2; DK155176.B; DK155176.C; DK243279.A; EG13897.A; ES482160.A1; FR2429041.A1; FR2429041.B1; GB2023562.A; GB2023562.B; GR72245.B; IE48184.B1; IE791168.L; IL57583.A; IL57583.D0; IN151533.B; LU81416.A1; NL188787.B; NL188787.C; NL7904908.A; NO792058.L; NO854781.L; PH14502.A; PL118729.B1; PL216528.A1; PT69798.A; RO78794.A; SE439437.B; SE7905453.L; SE8403138.D0; SE8403138.L; TR21702.A; YU148579.A; YU40370.B</t>
  </si>
  <si>
    <t>Saudi Arabia Government (US7247593.B2); SABIC (in: Saudi Arabia Government) (US7247593.B2); IFP (in: France Government) (FR2860224.A1); Government of France (FR2860224.A1); Asahi Kasei (US5268162.A); Solvay (US5371307.A); Eni (FR2506756.A1); Exxon Mobil (EP0054385.A1, US4482774.A, US6013239.A, EP0306181.A3, US4968650.A); AkzoNobel (EP0077624.A2); Denka (EP0042225.A1); BP (EP0050525.A1, US4585641.A, WO8403879.A1); Saipem (FR2506756.A1); Electricity of France (EDF) (FR2520343.A1); Sanofi (US4522800.A, EP0111700.A1, US4935561.A); DELTECH CORPORATION (US4732747.A)</t>
  </si>
  <si>
    <t>Saipem</t>
  </si>
  <si>
    <t>JP2008056593.A</t>
  </si>
  <si>
    <t>CN101506127.A; JP2008056593.A</t>
  </si>
  <si>
    <t>Air Liquide (CN103649020.A, CN103827059.A); Sinopec Group (CN102875307.A); NIPPON GAS GOSEI CO., LTD. (CN103153918.A); MCHC Group (JP2015189720.A); JGC (JP2015189720.A); Mitsubishi Chemical Corp (in: MCHC Group) (JP2015189720.A)</t>
  </si>
  <si>
    <t>JP2008127542.A</t>
  </si>
  <si>
    <t>JP2008127542.A; JP4846540.B2</t>
  </si>
  <si>
    <t>JXTG Holdings (WO2011090124.A1, JP2012207171.A); Cosmo Oil (WO2011021459.A1, JP2010001463.A, JP2011052150.A); Shell (US8895789.B2, WO2010066881.A1, US8876920.B2)</t>
  </si>
  <si>
    <t>Cosmo Oil</t>
  </si>
  <si>
    <t>JP2010208948.A</t>
  </si>
  <si>
    <t>JP2010208948.A; JP5294928.B2</t>
  </si>
  <si>
    <t>Asahi Kasei (WO2017187873.A1); MCHC Group (JP2011079815.A); Honeywell (WO2016094752.A3); UOP (in: Honeywell) (WO2016094752.A3); Mitsubishi Chemical Corp (in: MCHC Group) (JP2011079815.A)</t>
  </si>
  <si>
    <t>Mitsui Chemicals</t>
  </si>
  <si>
    <t>JPH02144576.A</t>
  </si>
  <si>
    <t>JPH02144576.A; JPH0748122.B2</t>
  </si>
  <si>
    <t>NEC (JPH0990741.A)</t>
  </si>
  <si>
    <t>Canon</t>
  </si>
  <si>
    <t>G03G ;</t>
  </si>
  <si>
    <t>JPH0217482.A</t>
  </si>
  <si>
    <t>JP2656307.B2; JPH0217482.A</t>
  </si>
  <si>
    <t>Obayashi (JP2014044083.A, JP2014044088.A, JP2014044090.A); Nihon University (JP2014044083.A); Nisshinbo (JP2011107084.A); Brother (JP2010197361.A)</t>
  </si>
  <si>
    <t>Toshiba</t>
  </si>
  <si>
    <t>G01B ;G01H ;G01S ;</t>
  </si>
  <si>
    <t>JPH0223481.A</t>
  </si>
  <si>
    <t>Ashimori Industry (US7520034.B2); Nidec (JPH05265739.A); SPHERE 3D CORP (JPH05204653.A)</t>
  </si>
  <si>
    <t>Panasonic</t>
  </si>
  <si>
    <t>G06F ;G06K ;</t>
  </si>
  <si>
    <t>JPH0249245.A</t>
  </si>
  <si>
    <t>G11B ;</t>
  </si>
  <si>
    <t>JPH0249246.A</t>
  </si>
  <si>
    <t>Panasonic (US6636688.B1)</t>
  </si>
  <si>
    <t>NEC</t>
  </si>
  <si>
    <t>G11B ;H04N ;</t>
  </si>
  <si>
    <t>JPH0420665.A</t>
  </si>
  <si>
    <t>JP2527253.B2; JPH0420665.A</t>
  </si>
  <si>
    <t>ZHANGJIAGANG SHENGGANG ENVIRONMENT FIREPROOF CONST (CN105201232.A); Panasonic (US6085537.A)</t>
  </si>
  <si>
    <t>Toyota Motor</t>
  </si>
  <si>
    <t>E04H ;</t>
  </si>
  <si>
    <t>JPH0512024.A</t>
  </si>
  <si>
    <t>G05B ;G06F ;G06N ;</t>
  </si>
  <si>
    <t>JPH0645788.A</t>
  </si>
  <si>
    <t>JP3239450.B2; JPH0645788.A</t>
  </si>
  <si>
    <t>B23P ;H05K ;</t>
  </si>
  <si>
    <t>JPS51132907.A</t>
  </si>
  <si>
    <t>JPS51132907.A; JPS572222.B2</t>
  </si>
  <si>
    <t>H04M ;H04Q ;</t>
  </si>
  <si>
    <t>JPS5261135.A</t>
  </si>
  <si>
    <t>JPS5261135.A; JPS5551440.B2</t>
  </si>
  <si>
    <t>NISSHIN KASEI CO LTD;Yamaha Corp</t>
  </si>
  <si>
    <t>C25D ;</t>
  </si>
  <si>
    <t>JPS55148082.A</t>
  </si>
  <si>
    <t>JPS55148082.A; JPS574231.B2</t>
  </si>
  <si>
    <t>Yamaichi Electronics (JPH01170682.U)</t>
  </si>
  <si>
    <t>KOKUZEICHO JAPAN</t>
  </si>
  <si>
    <t>C12M ;C12N ;C12R ;</t>
  </si>
  <si>
    <t>JPS57196718.A</t>
  </si>
  <si>
    <t>JPH0249245.B2; JPS57196718.A</t>
  </si>
  <si>
    <t>Shaanxi University of Science &amp; Technology (CN105967749.A)</t>
  </si>
  <si>
    <t>SHINNENRYOYU KAIHATSU GIJUTSU;SHINNENRYOYU KAIHATSUGIJUTSU KENKYUKUMIAI</t>
  </si>
  <si>
    <t>JPS57196719.A</t>
  </si>
  <si>
    <t>JPH0249246.B2; JPS57196719.A</t>
  </si>
  <si>
    <t>Chiyoda Corp (JPS62153231.A)</t>
  </si>
  <si>
    <t>JPS5881757.A</t>
  </si>
  <si>
    <t>JPS5881757.A; JPS6053592.B2</t>
  </si>
  <si>
    <t>ASSOC CT NAZIONAL E STUDI TARTUFO (ITAL20100002.A1); ASSOCIAZIONE PER IL CT NAZ STUDI TARTUFO (ITAL20100002.A1); Riken Vitamin (JP2015042151.A); HUAIHAI INSTITUTE OF TECHNOLOGY (CN103315280.A)</t>
  </si>
  <si>
    <t>Toyo Seikan</t>
  </si>
  <si>
    <t>A23L ;C12N ;</t>
  </si>
  <si>
    <t>JPS61162182.A</t>
  </si>
  <si>
    <t>JPH0369510.B2; JPS61162182.A</t>
  </si>
  <si>
    <t>KAO (US5316691.A)</t>
  </si>
  <si>
    <t>AIST Japan</t>
  </si>
  <si>
    <t>C12N ;C12R ;</t>
  </si>
  <si>
    <t>JPS6158112.A</t>
  </si>
  <si>
    <t>Mitsubishi Electric</t>
  </si>
  <si>
    <t>H01B ;</t>
  </si>
  <si>
    <t>JPS624175.A</t>
  </si>
  <si>
    <t>Toyota Motor (US9005558.B2); CARLIN COMBUSTION TECHNOLOGIES (JPH01236162.A)</t>
  </si>
  <si>
    <t>B26F ;B41J ;B41L ;B65H ;G03G ;</t>
  </si>
  <si>
    <t>JPS624327.A</t>
  </si>
  <si>
    <t>NIPPON SILICONE (JPH03233936.A); Siltronic (US4954189.A); Mitsubishi Materials (JPH03233936.A); Vishay Intertechnology (US5635414.A); Sumco Corp (JPH03233936.A); GENERAL INSTRUMENT (US5635414.A)</t>
  </si>
  <si>
    <t>H01L ;</t>
  </si>
  <si>
    <t>JPS624438.A</t>
  </si>
  <si>
    <t>LES LABORATORIES BROTHER (JP2000051343.A); Philip Morris (US4998542.A); AIST Japan (JPH0780309.A); Altria Group (US4998542.A)</t>
  </si>
  <si>
    <t>MCHC Group;Mitsubishi Chemical Corp (in: MCHC Group)</t>
  </si>
  <si>
    <t>A23L ;A61K ;B01J ;</t>
  </si>
  <si>
    <t>JPS6320877.A</t>
  </si>
  <si>
    <t>JFE Holdings</t>
  </si>
  <si>
    <t>RU2004135451.A</t>
  </si>
  <si>
    <t>EA008568.B1; EA200501139.A1; RU2004135451.A; RU2304608.C2</t>
  </si>
  <si>
    <t>Phillips 66 (RU2476412.C2); Chevron (RU2476412.C2)</t>
  </si>
  <si>
    <t>JOINT STOCK SIBERIAN T;SIB T KOMPANIJA TSEOSIT AOZT</t>
  </si>
  <si>
    <t>RU2009101606.A</t>
  </si>
  <si>
    <t>RU2009101606.A; RU2478007.C2</t>
  </si>
  <si>
    <t>NPP KHIM T TS AOZT;Russian Academy of Sciences</t>
  </si>
  <si>
    <t>RU2009140666.A</t>
  </si>
  <si>
    <t>RU2009140666.A; RU2425091.C1</t>
  </si>
  <si>
    <t>NGT GLOBAL (WO2015147700.A1); Battelle (WO2014137991.A1); University of Tennessee (WO2014137991.A1); ANDREEV OLEG PETROVICH (RU2676086.C1); OOO NOVYE GAZOVYE T SINTEZ (RU2477656.C1)</t>
  </si>
  <si>
    <t>RU2019290.C1</t>
  </si>
  <si>
    <t>OOO NOVYE GAZOVYE T SINTEZ (RU2477656.C1)</t>
  </si>
  <si>
    <t>TOVARISHCHESTVO S OGRANICHENNO (unclear)</t>
  </si>
  <si>
    <t>RU2098173.C1</t>
  </si>
  <si>
    <t>Mitsubishi Heavy (US9284234.B2)</t>
  </si>
  <si>
    <t>TSEOKONSALT INZH TEKHN V FORME TOVAR</t>
  </si>
  <si>
    <t>RU2103322.C1</t>
  </si>
  <si>
    <t>NGT GLOBAL (WO2017155431.A1); NEW GAS TECHNOLOGIES SYNTHESIS LLC (WO2017155431.A1)</t>
  </si>
  <si>
    <t>CHESKIKH I ADSORBTSIONNYKH PRO;KT I KATALITI;TSEOSIT SO RAN H</t>
  </si>
  <si>
    <t>RU2114811.C1</t>
  </si>
  <si>
    <t>Unitary Enterprises Russia (RU2663906.C1)</t>
  </si>
  <si>
    <t>RU2163623.C1</t>
  </si>
  <si>
    <t>Phillips 66 (RU2476412.C2); Chevron (RU2476412.C2); NGT GLOBAL (WO2015115932.A1)</t>
  </si>
  <si>
    <t>&lt;unknown&gt; -1;KOLESNIKOV SERGEJ IVANOVICH</t>
  </si>
  <si>
    <t>RU2208624.C2</t>
  </si>
  <si>
    <t>Phillips 66 (RU2476412.C2); Chevron (RU2476412.C2); Unitary Enterprises Russia (RU2681948.C1); SIB T KOMPANIJA TSEOSIT AOZT (EA008568.B1); JOINT STOCK SIBERIAN T (EA008568.B1)</t>
  </si>
  <si>
    <t>NINTS TSEOSIT OB EDINENNOGO;Russian Academy of Sciences</t>
  </si>
  <si>
    <t>RU2209811.C1</t>
  </si>
  <si>
    <t>N I AOOT;OAO NII "JARSINTEZ"</t>
  </si>
  <si>
    <t>RU2238298.C1</t>
  </si>
  <si>
    <t>&lt;unknown&gt; -1</t>
  </si>
  <si>
    <t>RU2284343.C1</t>
  </si>
  <si>
    <t>NEW GAS TECHNOLOGIES SYNTHESIS LLC (WO2017155425.A1); LIMITED LIABILITY NEW GAS TECH SYNTHESIS NGT SYNTH (WO2017155425.A1)</t>
  </si>
  <si>
    <t>&lt;unknown&gt; -1;DOLINSKIJ SERGEJ EHRIKOVICH;LISHCHINER IOSIF IZRAILEVICH;MALOVA OL GA VASIL EVNA</t>
  </si>
  <si>
    <t>RU2417249.C1</t>
  </si>
  <si>
    <t>Honeywell (WO2017213865.A1, WO2013089850.A1, WO2013089851.A1); UOP (in: Honeywell) (WO2017213865.A1, WO2013089850.A1, WO2013089851.A1); NGT GLOBAL (WO2015147700.A1, WO2017155431.A1); NEW GAS TECHNOLOGIES SYNTHESIS LLC (WO2017155431.A1)</t>
  </si>
  <si>
    <t>RU2429910.C1</t>
  </si>
  <si>
    <t>NGT GLOBAL (WO2015115932.A1, WO2017155431.A1); HEBEI REFINING AND CHEMICAL HONGTIAN PETROCHEMICAL (CN104910957.A); TIANJIN FUSHENG DYESTUFF FACTORY (CN104910957.A); NEW GAS TECHNOLOGIES SYNTHESIS LLC (WO2017155431.A1); Rosneftegaz (RU2635110.C1)</t>
  </si>
  <si>
    <t>TARASOV ANDREJ LEONIDOVICH;VILENSKIJ LEONID MIKHAJLOVICH</t>
  </si>
  <si>
    <t>RU2477656.C1</t>
  </si>
  <si>
    <t>OOO NOVYE GAZOVYE T SINTEZ</t>
  </si>
  <si>
    <t>RU2544510.C1</t>
  </si>
  <si>
    <t>C02F ;C07C ;C10G ;</t>
  </si>
  <si>
    <t>RU2567534.C1</t>
  </si>
  <si>
    <t>BELYAEV ANDREJ YUREVICH (RU2658826.C1)</t>
  </si>
  <si>
    <t>RU2594564.C1</t>
  </si>
  <si>
    <t>Chinese Academy of Sciences (CN106542947.A)</t>
  </si>
  <si>
    <t>Unitary Enterprises Russia</t>
  </si>
  <si>
    <t>RU2610277.C1</t>
  </si>
  <si>
    <t>RU2658832.C1</t>
  </si>
  <si>
    <t>Katalizator JSC (RU2667920.C1)</t>
  </si>
  <si>
    <t>&lt;unknown&gt; -1;BARIL CHUK MIKHAJLO</t>
  </si>
  <si>
    <t>RU2671568.C1</t>
  </si>
  <si>
    <t>RU94024425.A</t>
  </si>
  <si>
    <t>RU2087522.C1; RU94024425.A</t>
  </si>
  <si>
    <t>GROZNENSK NEFTYANOJ NII;GROZNENSKIJ NEFTJANOJ NII</t>
  </si>
  <si>
    <t>US2008027259.A1</t>
  </si>
  <si>
    <t>US2008027259.A1; US2011190114.A1; US2011237826.A1; US2012269718.A1; US7959899.B2; US8262904.B2; US8636976.B2</t>
  </si>
  <si>
    <t>Exxon Mobil (US8329956.B2, US7910779.B2, US7910778.B2, US8529752.B2, WO2010014406.A1, US8519194.B2, US8822363.B2, US8704025.B2, US8084648.B2, WO2017213749.A1, WO2018160327.A1, WO2018140149.A1, WO2018183009.A1, WO2018183012.A1, US7906685.B2, US9321043.B2, US9545622.B2, US9108893.B2, US8623777.B2, WO2010014401.A1, US8106243.B2, WO2010014402.A1, WO2009079136.A1, WO2010014404.A1, US9458067.B2, US8703635.B2, WO2010021795.A1, WO2014182434.A1, US9144792.B2, WO2014182440.A1, WO2014182442.A1); Chevron (US7682600.B2); TechnipFMC (US8623777.B2); IFP (in: France Government) (US8444952.B2); Government of France (US8444952.B2)</t>
  </si>
  <si>
    <t>US2009211943.A1</t>
  </si>
  <si>
    <t>CN101952397.A; CN101952397.B; US2009211943.A1; US8143466.B2; WO2009108655.A2; WO2009108655.A3; ZA201005778.B</t>
  </si>
  <si>
    <t>Eni (WO2011077240.A1, WO2011077242.A1); Reliance Industries (WO2014024206.A1); CSIR (India) (WO2014024206.A1); Sinopec Group (CN102417829.A, CN103725312.A, CN102051199.A); McDermott (WO2012054260.A3); Honeywell (US8481797.B2); UOP (in: Honeywell) (US8481797.B2)</t>
  </si>
  <si>
    <t>McDermott</t>
  </si>
  <si>
    <t>US2010041932.A1</t>
  </si>
  <si>
    <t>AU2009273843.A1; CA2731837.A1; CN102131579.A; EP2313193.A2; RU2011106922.A; US2010041932.A1; US8450545.B2; WO2010011958.A2; WO2010011958.A3</t>
  </si>
  <si>
    <t>Chinese Academy of Sciences (US9968922.B2); Haldor Topsoe (US2015094510.A1, WO2017093320.A1); Exxon Mobil (WO2017087174.A1); COOL PLANET BIOFUELS INC (US2016237356.A1, US2017009142.A1, WO2017011381.A1); Taiyuan University of Technology (CN105833896.A); Gazprom (RU2644781.C2)</t>
  </si>
  <si>
    <t>Phillips 66</t>
  </si>
  <si>
    <t>US2010121122.A1</t>
  </si>
  <si>
    <t>AU2007258049.A1; AU2007258049.B2; CA2653928.A1; CA2653928.C; CN101489932.A; CN101489932.B; EP2038220.A2; EP2038220.A4; JP2009539747.A; JP5295953.B2; KR101385396.B1; KR20090021376.A; US2007284284.A1; US2010121122.A1; US2010121124.A1; US7651603.B2; US7906698.B2; US8177961.B2; WO2007146622.A2; WO2007146622.A3; WO2007146622.A8; ZA200900041.B</t>
  </si>
  <si>
    <t>Chevron (EP2367761.A4, EP2585405.A4, WO2017151246.A1, EP2585404.A4, WO2016064452.A1, CN105531230.A, CN103648614.A, US8557221.B2, WO2015179228.A1, WO2011163009.A3, WO2013095705.A1, WO2011163016.A3); Exxon Mobil (JP2014524406.A, US10294438.B2, US10301557.B2, US10301550.B2); RES USA LLC (US9938217.B2, US10189763.B2, US9981896.B2); Air Liquide (WO2014124844.A1, WO2014124845.A1, WO2016202464.A1); Honeywell (JP2015509082.A); UOP (in: Honeywell) (JP2015509082.A); Sinopec Group (CN105642335.A); INNOVATIVE ENERGY SOLUTIONS (US9480963.B2); Xiamen University (CN106582797.A); SHANGHAI NEW UNITY ENERGY TECH (CN106582797.A); JXTG Holdings (US10329218.B2); HEDLUND JONAS (WO2014140296.A1); HOLMGREN ALLAN (WO2014140296.A1); ZHOU HAN (WO2014140296.A1); Saudi Arabia Government (WO2016191141.A1); SABIC (in: Saudi Arabia Government) (WO2016191141.A1)</t>
  </si>
  <si>
    <t>B01D ;B01J ;C01B ;C01F ;C07B ;C07C ;C08F ;C10G ;</t>
  </si>
  <si>
    <t>US2010298598.A1</t>
  </si>
  <si>
    <t>US2010298598.A1; US2013157840.A1; US8398955.B2; US9321043.B2; WO2009055216.A2; WO2009055216.A3</t>
  </si>
  <si>
    <t>Honeywell (US8992885.B2, US8633344.B2, US8609921.B1, US8623321.B1, US8618343.B1, US8609919.B1, US9005573.B2, US8912378.B2, US8609910.B1, US8609911.B1, US8889939.B2, US8907151.B2, US8921634.B2); UOP (in: Honeywell) (US8992885.B2, US8633344.B2, US8609921.B1, US8623321.B1, US8618343.B1, US8609919.B1, US9005573.B2, US8912378.B2, US8609910.B1, US8609911.B1, US8889939.B2, US8907151.B2, US8921634.B2); China University of Petroleum (Huadong) (CN103848437.A); China National Petroleum Corp (CN103848433.A, CN107519922.A); BASF (US9433934.B2, US10335777.B2); Chinese Academy of Sciences (CN104338554.A, WO2016107514.A1); DALIAN HETEROGENEOUS CATALYST CO LTD (CN102627296.A); Mitsui Mining &amp; Smelting (US9840423.B2); University of Tokyo (US9840423.B2); Exxon Mobil (US9144792.B2, KR20140045582.A); BP (WO2016107514.A1); Sinopec Group (CN103058210.A); UNIV SHANXI DATONG (CN104891527.A); East China Normal University (CN102659133.A); Nanjing University (CN102070155.A)</t>
  </si>
  <si>
    <t>B01J ;C01B ;C07C ;C09B ;C10G ;</t>
  </si>
  <si>
    <t>US2011036756.A1</t>
  </si>
  <si>
    <t>US2011036756.A1; US2015065338.A1; US2018029024.A1; US8906971.B2</t>
  </si>
  <si>
    <t>Siam Cement (US10329220.B2); PIONEER ENERGY INC. (US9296665.B2); Chinese Academy of Sciences (CN106964395.A); SYNEFUELS CHINA TECH (CN105562079.A)</t>
  </si>
  <si>
    <t>Mississippi State University</t>
  </si>
  <si>
    <t>US2011152594.A1</t>
  </si>
  <si>
    <t>CA2781892.A1; CA2781892.C; CN102725379.A; CN102725379.B; IN4844DEN2012.A; KR20120123305.A; RU2012126402.A; US2011152594.A1; US9090525.B2; WO2011071755.A2; WO2011071755.A3</t>
  </si>
  <si>
    <t>Exxon Mobil (WO2018136242.A1, WO2018106396.A1, WO2018106397.A1, WO2018111542.A1, WO2019099248.A1, WO2017074898.A1); PIONEER ENERGY INC. (US9296665.B2); ECOCATALYTIC (WO2013082110.A1); China National Offshore Oil (CN103865564.A, CN103865562.A); THE HONGKONG AND CHINA GAS COMPANY LIMITED (CN103242884.A); NANJING GOODCHINA CHEMICAL TECHNOLOGIES (CN103242884.A); TIANJIN FUSHENG DYE FACTORY (CN103242884.A); KBR Inc (US9745519.B2); Wuhan Kelin (CN105936835.A); Chinese Academy of Sciences (CN105312079.A)</t>
  </si>
  <si>
    <t>US2013158323.A1</t>
  </si>
  <si>
    <t>CN104053504.A; CN104053504.B; EP2794101.A1; IN4591DEN2014.A; KR20140113963.A; US2013158323.A1; US9388092.B2; WO2013091824.A1</t>
  </si>
  <si>
    <t>Exxon Mobil (WO2015094679.A1, WO2015094698.A1, US10196325.B2); LI YU HUA (CN104607237.A, CN104607238.A); Sinopec Group (CN106316737.A)</t>
  </si>
  <si>
    <t>SABIC (in: Saudi Arabia Government);Saudi Arabia Government</t>
  </si>
  <si>
    <t>US2014018592.A1</t>
  </si>
  <si>
    <t>AU2013206818.A1; AU2013206818.B2; BR102013017946.A2; CN103537315.A; CN103537315.B; RU2013132371.A; RU2607633.C2; US2014018592.A1; US9339801.B2; ZA201305248.B</t>
  </si>
  <si>
    <t>Exxon Mobil (US9895682.B2, US9790139.B2); Haldor Topsoe (WO2018007485.A1, WO2018007487.A1); Shell (WO2018022699.A1); Southeast University (CN104841473.A); Chinese Academy of Sciences (CN104801332.A, CN106607080.A); BEIJING HUIERSANJI GREEN CHEM TECH (CN104437601.A); Xiamen University (CN106866328.A); Tsinghua University (China) (CN105195213.A); China Huadian Corp (CN105195213.A); Zhejiang University (CN104152175.A); Datang Power (CN105498829.A); China National Offshore Oil (CN105435839.A); ChemChina (CN105148979.A)</t>
  </si>
  <si>
    <t>US2015175498.A1</t>
  </si>
  <si>
    <t>US2015175498.A1; US2015175499.A1; US2015175501.A1; US9783460.B2; US9790139.B2; WO2015094696.A1; WO2015094697.A1; WO2015094698.A1</t>
  </si>
  <si>
    <t>Exxon Mobil (US10240094.B2, WO2018217337.A1, WO2018106396.A1, WO2018106397.A1, US10059641.B2, US10196325.B2, WO2017131862.A1, WO2016160081.A1, WO2017146914.A1); Chinese Academy of Sciences (WO2018196362.A1, WO2018196361.A1); Sinopec Group (US9783468.B2); Georgia Institute of Tech. (WO2017146914.A1)</t>
  </si>
  <si>
    <t>US2015265996.A1</t>
  </si>
  <si>
    <t>CN106163628.A; CN106163628.B; KR101928159.B1; KR20160126061.A; TW201536680.A; TWI555705.B; US10010853.B2; US2015265996.A1; US2015266744.A1; US9669378.B2; WO2015142942.A2; WO2015142942.A3</t>
  </si>
  <si>
    <t>JIANGXI RUI HE FINE CHEMICAL (CN106829989.A)</t>
  </si>
  <si>
    <t>MCHC Group</t>
  </si>
  <si>
    <t>B01D ;B01J ;C01B ;C10G ;</t>
  </si>
  <si>
    <t>US2016186074.A1</t>
  </si>
  <si>
    <t>US2016186074.A1; US9732283.B2</t>
  </si>
  <si>
    <t>Phillips 66 (US2016340594.A1)</t>
  </si>
  <si>
    <t>US2017226427.A1</t>
  </si>
  <si>
    <t>US2017226427.A1; WO2017139491.A1</t>
  </si>
  <si>
    <t>Israel Corp</t>
  </si>
  <si>
    <t>US2017252732.A1</t>
  </si>
  <si>
    <t>CN108698029.A; US2017252732.A1; WO2017151875.A1</t>
  </si>
  <si>
    <t>US2017252733.A1</t>
  </si>
  <si>
    <t>CN108698030.A; US2017252733.A1; WO2017151845.A1</t>
  </si>
  <si>
    <t>US2017252734.A1</t>
  </si>
  <si>
    <t>CN108698031.A; US2017252734.A1; WO2017151864.A1</t>
  </si>
  <si>
    <t>US2017341064.A1</t>
  </si>
  <si>
    <t>CN108602052.A; US10159964.B2; US2017341064.A1; US2019105642.A1; WO2017204993.A1</t>
  </si>
  <si>
    <t>B01J ;C01B ;C10G ;C10K ;</t>
  </si>
  <si>
    <t>US2018002610.A1</t>
  </si>
  <si>
    <t>AU2016208485.A1; AU2016208486.A1; BR112017014356.A2; BR112017015408.A2; CA2973638.A1; CA2973639.A1; CN107206365.A; CN107635952.A; EA201791631.A1; EA201791636.A1; MX2017009128.A; MX2017009129.A; US10150718.B2; US10336673.B2; US2018002610.A1; US2018022673.A1; WO2016116611.A1; WO2016116612.A1</t>
  </si>
  <si>
    <t>Battelle (WO2017214524.A1); University of Tennessee (WO2017214524.A1); Haldor Topsoe (WO2017093320.A1); Sinopec Group (CN106608784.A)</t>
  </si>
  <si>
    <t>Haldor Topsoe</t>
  </si>
  <si>
    <t>US2018044260.A1</t>
  </si>
  <si>
    <t>CN107428628.A; SG11201707462T.A; US10059638.B2; US2018044260.A1; WO2016160081.A1</t>
  </si>
  <si>
    <t>US2018155638.A1</t>
  </si>
  <si>
    <t>US2018155638.A1; WO2018094336.A1</t>
  </si>
  <si>
    <t>ARAMCO (in: Saudi Arabia Government);Saudi Arabia Government</t>
  </si>
  <si>
    <t>B01D ;C10G ;</t>
  </si>
  <si>
    <t>US2018155642.A1</t>
  </si>
  <si>
    <t>US2018273442.A1</t>
  </si>
  <si>
    <t>US2018273442.A1; WO2018182948.A1</t>
  </si>
  <si>
    <t>US2018304240.A1</t>
  </si>
  <si>
    <t>BR112018010896.A2; BR112018010901.A2; BR112018010929.A2; CA3006021.A1; CA3006025.A1; CA3006031.A1; CN108290801.A; CN108290802.A; CN108290803.A; EA201891328.A1; EA201891329.A1; EA201891330.A1; MX2018006166.A; MX2018006167.A; MX2018006170.A; US2018304240.A1; US2019076830.A1; WO2017093335.A1; WO2017093338.A1; WO2017093342.A1</t>
  </si>
  <si>
    <t>US2018361368.A1</t>
  </si>
  <si>
    <t>CN108602054.A; US2018361368.A1; WO2017205243.A1</t>
  </si>
  <si>
    <t>US2019091671.A1</t>
  </si>
  <si>
    <t>CN108472635.A; US2019091671.A1; WO2017205112.A1</t>
  </si>
  <si>
    <t>US2019091672.A1</t>
  </si>
  <si>
    <t>CN108495711.A; US2019091672.A1; WO2017205023.A1</t>
  </si>
  <si>
    <t>US3954452.A</t>
  </si>
  <si>
    <t>AU473591.B2; AU6602174.A; BE811536.A; CA1033577.A; DE2408695.A1; DE2408695.B2; ES424003.A1; FI50715.B; FI50715.C; GB1466182.A; IT1008939.B; JPS5025426.A; JPS5857494.B2; NL183531.B; NL183531.C; NL7402594.A; NO136847.B; NO136847.C; US3954452.A</t>
  </si>
  <si>
    <t>Outotec (WO2008113884.A1, WO2011113997.A1); INSTITUT NATIONAL DE RECHERCHE CHIMIQUE APPLIQUEE (FR2557090.A1); Eni (EP0134053.A2); Mitsui Mining &amp; Smelting (JPS60255907.A)</t>
  </si>
  <si>
    <t>Outokumpu</t>
  </si>
  <si>
    <t>B01J ;C22B ;C25C ;</t>
  </si>
  <si>
    <t>US3965205.A</t>
  </si>
  <si>
    <t>REACTION 35 (US8053616.B2, US7883568.B2, US8921625.B2, US7964764.B2, US7847139.B2, US7998438.B2, US8415512.B2); GTC TECHNOLOGY US, LLC (US8173851.B2, US8232441.B2, US8815050.B2, US9193641.B2, US8436220.B2, US9206093.B2, US8829256.B2, US8282810.B2, US2009312586.A1, US2011015458.A1, US8642822.B2); Exxon Mobil (WO2011071755.A2, WO2017074898.A1, US5012029.A, US5015798.A, US4090949.A, US4543435.A, US4111792.A, US4338475.A, US4579999.A, WO2011075523.A2); Honeywell (US8748681.B2, US8575410.B2, US4524234.A); UOP (in: Honeywell) (US8748681.B2, US8575410.B2, US4524234.A); GTC TECHNOLOGY LP (US8008535.B2, US7674941.B2, US9133078.B2, US8802908.B2); GROUPE RONDOT (US8921625.B2); Idemitsu Kosan (JPS59136386.A); Orica (WO8201866.A1); CSIRO (WO8201866.A1)</t>
  </si>
  <si>
    <t>US4111328.A</t>
  </si>
  <si>
    <t>AT367947.B; ATA250876.A; AU1253276.A; BE842274.A; CA1041926.A; CH610173.A5; DE2523292.A1; DE2523292.B2; DK155176.A; FI63315.B; FI63315.C; FI761338.A; FR2312917.A1; FR2312917.B1; GB1511952.A; GR58251.B; IL49304.A; IL49304.D0; IN144313.B; IT1060644.B; JPS51143869.A; JPS6237559.B2; LU74504.A1; NL170586.B; NL170586.C; NL7605432.A; NO761679.L; PT65132.A; PT65132.B; SE406688.B; SE7605914.A; TR19410.A; US4111328.A; YU120576.A; ZA7601894.B</t>
  </si>
  <si>
    <t>ABB (US6229087.B1, US6903272.B2, US7759574.B2); ZHAO LIFENG (US8842437.B2); XYBER TECHNOLOGIES, LLC (US9351424.B2); XYBER TECH (US9351424.B2); UACJ Corp (WO2006068240.A1); Wistron (US8009431.B2); Samsung SDI (US10079372.B2); TECHNOLOGY ADVANCEMENT GROUP (US8537540.B2); Alphabet (US8430256.B2, US2010056231.A1); PACKAGING ENGINEERING (US8028849.B2); HP Inc. (US8432676.B2); BACACIER 3 S (US9523205.B2); Fronius International (AT502498.B1); DRESEARCH DIGITAL MEDIA SYSTEMS GMBH (EP2315325.A1); DRES DIGITAL MEDIA SYSTEMS (EP2315325.A1); YI MYOUNG ENC (KR100933288.B1); Atkore (BE1017114.A5); BV Beteiligung (SEW Eurodrive) (DE102011115111.B4); Continental (DE102014206655.A1); BARLIAN (inventor) (DE3212315.A1); HOUK (US5874692.A); KING YOUNG TECHNOLOGY (US2009267465.A1); MONNET DIDIER (FR2598585.A1); MISSION INTERNATIONAL (GB2212331.A); REINHARDT RUDOLF (US4710853.A); ROSE ELEKTROTECH (US4884715.A); ROSE ELEKTROTECHNIK GMGH (US4884715.A); SIMON WOLF (US6045202.A); TECH S (US4791531.A); FOULETIER JEAN MICHEL (FR2598585.A1); ROSE ELEKTROTECHNIC (US4884715.A); ROSE ELEKTROTECHNIK (US4884715.A); RUDOLF REINHARDT (US4710853.A); Foxconn (US2011122576.A1); Daimler (EP0217160.A1, US6213327.B1); BAE Systems (GB2167906.A); Mitsubishi Electric (US5089935.A); Hindalco Industries (US6126034.A); Siemens (US4587086.A, EP0167478.A1); HEILAND BERND DIPL ING DR 4410 WARENDORF DE (DE3420630.A1); NASH WILLIAM L (US5509560.A); Avaya Holdings (EP0217160.A1); Friedhelm Loh (Rittal) (EP0262450.A2); IBM (US5595316.A); KRAFTWERK UNION AG (US4587086.A); Fanuc (WO8503836.A1); Dell Technologies (US6234591.B1); FUNKWERK SYSTEMS (DE102011086033.B4); EMC (in: Dell Technologies) (US6234591.B1); PACE INC (US4471898.A); nVent (JPS58145192.A)</t>
  </si>
  <si>
    <t>Siemens</t>
  </si>
  <si>
    <t>B65D ;H05K ;</t>
  </si>
  <si>
    <t>US4244807.A</t>
  </si>
  <si>
    <t>CA1138364.A; DE2920956.A1; DE2920956.C2; FR2426729.A1; FR2426729.B1; GB2021636.A; GB2021636.B; IT1115233.B; IT7922934.D0; JPS54153805.A; JPS6158112.B2; NL7805671.A; US4244807.A</t>
  </si>
  <si>
    <t>Honeywell (US10118878.B2); UOP (in: Honeywell) (US10118878.B2); AKTSIONERNOE OBSCHESTVO OTKRYT (WO9500605.A1); NEIDIFFER (US5055625.A); Shell (EP0066903.A1, EP0192289.A3, EP0131975.A2); Exxon Mobil (US4554396.A, AU576025.B2); Chevron (US4370219.A); DuPont (US4572870.A)</t>
  </si>
  <si>
    <t>US4268420.A</t>
  </si>
  <si>
    <t>Honeywell (US7525008.B2, US4816538.A, US4923592.A, US6872866.B1); UOP (in: Honeywell) (US7525008.B2, US4816538.A, US4923592.A, US6872866.B1); BP (WO2014150863.A1, US6124517.A, US6160174.A, US6160186.A, US4899010.A, US5159115.A, US4503282.A, US4499325.A, US4433190.A, US4499326.A, US4507400.A, US4584089.A, US4725570.A, US5324702.A, US4654456.A, US4619821.A, US5191142.A, EP0234679.A1, US5346874.A, US6680419.B2, US6518472.B1, US4476011.A, EP0068796.A1, US4431857.A, US4400573.A, US4451685.A, US4584415.A, US6080905.A, US5053211.A); Clariant (US9221038.B2); Sued-Chemie (in: Clariant) (US9221038.B2); SILVER POINT FINANCE (US4675410.A); Exxon Mobil (US4661467.A, US4482774.A, US4788169.A, US4431518.A, EP0181096.A1, EP0234759.A1, US4756822.A, US4784747.A, US4788378.A, US4788370.A, US4784749.A, US4672049.A); BASF (EP0074075.A1, US4554142.A, US4616098.A, US4929759.A, US4891451.A); AkzoNobel (US4528171.A, EP0065364.A1); University of Texas System (US5430218.A); Weizmann Institute (US4593137.A); LyondellBasell (US4331641.A); Chevron (US5430218.A, WO9111501.A1, US2010160700.A1, WO2016081033.A1, WO2016081034.A1)</t>
  </si>
  <si>
    <t>US4292457.A</t>
  </si>
  <si>
    <t>Eni (WO2010092466.A1, EP0432814.A1); SILVER POINT FINANCE (US4675410.A); Idemitsu Kosan (JPS59213441.A, JPS59115749.A, US4721825.A, EP0171822.A1, US4491678.A); Total (FR2527199.A1); BASF (US4554142.A, US4929759.A); BP (US6124517.A, US6160174.A, US6160186.A, US4652691.A, US6680419.B2, US4891467.A, US6080905.A); Saipem (EP0432814.A1); Weizmann Institute (US4593137.A); Polytechnic University of Valencia (US2003045763.A1, US7439411.B2); Government of Spain (US2003045763.A1, US7439411.B2); DuPont (US4665256.A)</t>
  </si>
  <si>
    <t>US4292458.A</t>
  </si>
  <si>
    <t>Eni (WO2012175601.A1); SILVER POINT FINANCE (US4675410.A); Idemitsu Kosan (EP0113473.A1); Exxon Mobil (US5962762.A); BASF (US4433188.A, US4554142.A, US4616098.A, US4486617.A, US4503281.A, US4929759.A); BP (US6124517.A, US6160174.A, US6160186.A, US4496785.A, US6680419.B2, US6080905.A); McDermott (US7371910.B2); AIST Japan (US4767886.A); CRIQ (US4519998.A)</t>
  </si>
  <si>
    <t>US4323481.A</t>
  </si>
  <si>
    <t>Umicore (US8865120.B2); Shell (EP0547645.A1); Exxon Mobil (EP0186480.A3, US5174980.A, US5190736.A); Honeywell (US4888167.A); CSIR (India) (US5885546.A); UOP (in: Honeywell) (US4888167.A); IFP (in: France Government) (US5908967.A); Government of France (US5908967.A); Government of Spain (EP2133309.A4); DuPont (US5004841.A, US5243116.A, US5198595.A)</t>
  </si>
  <si>
    <t>US4327236.A</t>
  </si>
  <si>
    <t>BP (WO2014150875.A1, US4431527.A, US4431516.A, US4431517.A, US4460698.A, US4563266.A, US4560469.A, US4740651.A, US4431857.A, WO2012097050.A1); Exxon Mobil (US4482774.A, EP0188913.A2, US4788378.A, US4788370.A, US4784749.A, US4358361.A, AU581484.B2, US4652360.A, US4699708.A); Honeywell (US4913799.A, US4855036.A, US4880760.A, US4960504.A, US4867861.A, US5084159.A, US4803184.A, US4857495.A, US4829040.A, US4914067.A); BASF (US4929759.A); University of Texas System (US5430218.A); UOP (in: Honeywell) (US4913799.A, US4855036.A, US4880760.A, US4960504.A, US4867861.A, US5084159.A, US4803184.A, US4857495.A, US4829040.A, US4914067.A); Chevron (US5430218.A, WO9111501.A1, US2010160700.A1, WO2016081033.A1, WO2016081034.A1); Dow Inc (US4960504.A)</t>
  </si>
  <si>
    <t>US4404414.A</t>
  </si>
  <si>
    <t>Battelle (US9938467.B2, US9694352.B2, US9944861.B2, US9403156.B2, US9434658.B2); University of Tennessee (US9938467.B2, US9694352.B2, US9944861.B2, US9403156.B2, US9434658.B2); Air Liquide (US7015369.B2, US9359272.B2, WO2013167510.A1); Exxon Mobil (US7195741.B2, WO2017204975.A1, WO2013059164.A3, US8415518.B2, US4826507.A, WO9012777.A1, US4814535.A, US4814536.A, US4886925.A, US5019663.A, US4542252.A, US4684757.A, US4985203.A, US4746761.A, US4788369.A, US4957709.A, US4538014.A, US4538015.A, US4538016.A, US5177279.A); Sinopec Group (US8304582.B2, US7692056.B2); CHEMIEANLAGENBAU CHEMNITZ GMBH (WO2011061198.A1); TOO TECHNO TRADING (WO2011061198.A1); SAPR NEFTEKHIM LLC (WO2011061198.A1); Mitsubishi Heavy (US9873642.B2); Casale (US7943102.B2); STARCHEM TECHNOLOGIES INC. (US8143320.B2, WO9615082.A1); STARCHEM TECH (US8143320.B2); Schlumberger (US8591861.B2); China Nat. Chem. Eng. Group (CN105154128.A); VAN DIJK TECHNOLOGIES (WO9915482.A1); Siemens (US4608818.A, US4663931.A, US4676063.A); KRAFTWERK UNION AG (US4676063.A); GE (US5019663.A)</t>
  </si>
  <si>
    <t>US4522929.A</t>
  </si>
  <si>
    <t>Exxon Mobil (US7425659.B2, US6909026.B2, US7790939.B2, US9199892.B2, US9795949.B2, WO2014182434.A1, US4812223.A, US5689025.A, US5367099.A, US5495059.A, US5382737.A, US5365004.A, US5406015.A, US5726114.A, US4916097.A, US5849968.A, US5625104.A, US5773679.A, US6010617.A, US5063038.A, US5488193.A, US4663492.A, US5698756.A, US6576582.B1, US7081553.B2, US7081554.B2, US7396969.B2, US5530170.A, US5659098.A); Total (US8883668.B2); Saudi Arabia Government (US7576026.B2); SABIC (in: Saudi Arabia Government) (US7576026.B2); TechnipFMC (US9199892.B2); Asahi Kasei (US5789331.A); Phillips 66 (US6114268.A); W. R. Grace (US5157183.A, US5236880.A)</t>
  </si>
  <si>
    <t>US4572993.A</t>
  </si>
  <si>
    <t>DE3445346.A1; DE3445346.C2; DK166245.C; DK592084.A; DK592084.D0; FI77762.B; FI77762.C; FI844803.A0; FI844803.L; FR2556542.A1; FR2556542.B1; GB2152337.A; GB2152337.B; GB8333067.D0; GB8430936.D0; HK25993.A; IT1178751.B; IT8423973.D0; JP2561068.B2; JPS60153267.A; SE460245.B; SE8406174.D0; SE8406174.L; US4572993.A</t>
  </si>
  <si>
    <t>Technicolor (DE3913371.A1, US4780648.A, US6268706.B1, US5034667.A, US4692852.A, US4737691.A)</t>
  </si>
  <si>
    <t>Technicolor</t>
  </si>
  <si>
    <t>H04N ;</t>
  </si>
  <si>
    <t>US4590321.A</t>
  </si>
  <si>
    <t>JPS61285287.A; US4590321.A; ZA8602537.B</t>
  </si>
  <si>
    <t>Saudi Arabia Government (US8450548.B2, US7713898.B2, US7279608.B2, US7576026.B2, US8062987.B2, US7674942.B2, US7196237.B2, US7084318.B2, US8846559.B2, US9278342.B2, US7244869.B2, US7446069.B2, WO2013170939.A1); SABIC (in: Saudi Arabia Government) (US8450548.B2, US7713898.B2, US7279608.B2, US7576026.B2, US8062987.B2, US7674942.B2, US7196237.B2, US7084318.B2, US8846559.B2, US9278342.B2, US7244869.B2, US7446069.B2, WO2013170939.A1); Exxon Mobil (US9895682.B2, US9790139.B2, WO2013059176.A1, US5574199.A, US4936976.A, US6222087.B1, US6835863.B2, US4665251.A, US4645864.A); Chinese Academy of Sciences (WO2018076910.A1); Sinopec Group (CN104250183.A, CN102649677.A, US5951963.A); Japan Petroleum Energy Center (JP2009233600.A); JXTG Holdings (JP2009233600.A); Eni (US7241931.B2); Johnson Matthey (EP1076598.A1); Honeywell (US5026937.A); Phillips 66 (US6417421.B1); UOP (in: Honeywell) (US5026937.A); Concordia University (US4975402.A); Northwest University (China) (CN105289703.A); SHANANXI PROVINCE INSTITUTE OF ENERGY RESOURCE &amp; C (CN105289703.A)</t>
  </si>
  <si>
    <t>US4656016.A</t>
  </si>
  <si>
    <t>AR225417.A1; AT381483.B; ATA438279.A; AU4787479.A; AU531123.B2; BG39638.A3; CA1155824.A; CH643803.A5; DD144398.A5; DE2924915.A1; DE2924915.C2; DE2953858.C2; DK149839.B; DK149839.C; DK164813.B; DK164813.C; DK165173.B; DK165173.C; DK165174.B; DK165174.C; DK166245.B; DK240379.A; DK3592.A; DK3592.D0; DK3692.A; DK3692.D0; DK593084.A; DK593084.D0; EG13934.A; ES482161.A0; ES8101921.A1; FR2429182.A1; FR2429182.B1; GB2024790.A; GB2024790.B; GB2078704.A; GB2078704.B; GR66589.B; HU181955.B; IE48198.B1; IE791169.L; IL57582.A; IL57582.D0; IN151534.B; JPH01275417.A; JPH0217482.B2; JPH0223481.B2; JPH0230612.A; LU81415.A1; NL190144.B; NL190144.C; NL192292.B; NL192292.C; NL7904909.A; NL9300562.A; NO156125.B; NO156125.C; NO792059.L; PH15865.A; PL118686.B1; PL216527.A1; PT69799.A; RO78795.A; RO78795.B; SE445521.B; SE462845.B; SE464248.B; SE464249.B; SE7905452.L; SE8403805.D0; SE8403805.L; SE8803721.D0; SE8803721.L; SE8803722.D0; SE8803722.L; TR21215.A; US4656016.A; US4666692.A; YU148479.A</t>
  </si>
  <si>
    <t>Ecolab (US2005234136.A1, WO9916708.A1); Bank of America (US7595410.B2, US7531675.B1, US7767835.B2, WO2010151302.A1, US7470801.B1, US5695736.A, US5688484.A, US7057056.B1, US7357909.B2, US7671222.B2, US7696367.B2, WO2011075302.A1); BASF (US7081237.B2, US6884743.B2, EP0091508.A3, US5409682.A, US5401486.A, US5011591.A, US4938939.A); Dow Inc (US7138534.B2, WO8504853.A1); University System of Ohio (US6521808.B1); DORF KETAL CHEMICALS PRIVATE LIMITED (US8518861.B2, US8252731.B2); Eni (US7148381.B2, EP0290068.A1, EP0293950.A1, US4859785.A, EP0203632.A3, GB2120226.A, US5409876.A, EP0265018.A2, US5290533.A, FR2471950.A1, US5789336.A); Evonik (WO2014053360.A1, EP0033843.A1, EP0072054.A1, WO2014053363.A1); IFP (in: France Government) (US6667423.B2, WO8607045.A1, US5013537.A, US6028239.A); Government of France (US6667423.B2, WO8607045.A1, US5013537.A, US6028239.A); ASAOKA MAKIKO (US5064629.A); MAKIKO ASAOKA (US5064629.A); Ineos (US6001328.A); Idemitsu Kosan (EP0113473.A1); McBride (US5401488.A); Total (US4400570.A); Solvay (US6627175.B2, US5254746.A, US5082641.A); Shell (US7193093.B2, US7348465.B2); British Technology Group (EP0027736.A1); Exxon Mobil (US4482774.A, US6002057.A, US6063976.A, US4902663.A, US4828812.A, US5304694.A, EP0164208.A2, EP0164939.A3, US5063037.A, US4985223.A, US4933161.A, US5192728.A, US4961836.A, US5030337.A, US4652360.A, US4699708.A, US4576805.A, US5110568.A, US5185137.A, US5185136.A, US5185138.A); Honeywell (US4648958.A, US4684617.A, US4741892.A, US4793984.A, US4892720.A, US4788380.A, US4686029.A, US4782166.A, US4776946.A, US4842720.A, US4828813.A, US4956164.A, US5032368.A, US4940570.A, US4759919.A, US4738837.A, US4735806.A, US4913888.A, US4737353.A, US5186918.A, US5401488.A); Tokuyama Corp (GB2141700.A); BP (EP0038682.A1, EP0050525.A1, EP0124998.A3, US5043308.A, US5159115.A, US4705675.A, US4681747.A, EP0184461.A2, US4855270.A, EP0068796.A1, US5053211.A); Saipem (US5143886.A, GB2120226.A, US5409876.A, EP0265018.A2, US5290533.A, FR2429195.A1, FR2471950.A1); Verizon (US4940571.A, US4943425.A); PQ Corporation (US2003152510.A1); CNRS (WO8607045.A1); Etex (US4849195.A); Government of the United States (US5100587.A); UOP (in: Honeywell) (US4648958.A, US4684617.A, US4741892.A, US4793984.A, US4892720.A, US4788380.A, US4686029.A, US4782166.A, US4776946.A, US4842720.A, US4828813.A, US4956164.A, US5032368.A, US4940570.A, US4759919.A, US4738837.A, US4735806.A, US4913888.A, US4737353.A, US5186918.A, US5401488.A); ADVANCE KK (EP0269385.A2); LyondellBasell (FR2473490.A1, US5412122.A, US5474754.A, EP0709339.A1, US5977009.A, US6329537.B1, US5214168.A, US4376757.A, US4462971.A); TE Connectivity (WO9003955.A1, US5070050.A); ADVANCE CO., LTD. (EP0269385.A2); Government of the United Kingdom (GB2151601.A, GB2151602.A, US4971729.A); DELTECH CORPORATION (US4732747.A); Chevron (US5395512.A, EP0592392.A4, US4518703.A, US5968474.A); CRIQ (US4519998.A, US4708857.A, US4623526.A); DuPont (US4937216.A)</t>
  </si>
  <si>
    <t>US4663492.A</t>
  </si>
  <si>
    <t>Exxon Mobil (US7425659.B2, US6909026.B2, US9199892.B2, US9795949.B2, US9238599.B2, WO2014182434.A1, US6010617.A, US5063038.A, US5488193.A, US7396969.B2); Virent Energy Systems (US9878966.B2, US9873643.B2); JGC (US8673803.B2); TechnipFMC (US9199892.B2); Asahi Kasei (US5789331.A)</t>
  </si>
  <si>
    <t>US4698449.A</t>
  </si>
  <si>
    <t>AU1418583.A; AU562665.B2; CA1210749.A; DE3316320.A1; DE3316320.C2; GB2122591.A; GB2122591.B; GB8312144.D0; JPS58191786.A; JPS58192836.A; JPS58194737.A; JPS624327.B2; JPS624438.B2; US4698449.A</t>
  </si>
  <si>
    <t>RES USA LLC (US9938217.B2, US10189763.B2, US9981896.B2); Shell (US2012115967.A1, JPS6323746.A); CENOVUS ENERGY INC (WO2016123711.A1); PC CUPS (WO2016123711.A1); Chemours (US7888538.B1); TENRYU CHEMICAL INDUSTRY LT (AU655902.B2); SHINNENRYOYU KAIHATSU GIJUTSU (JPS60179494.A); Idemitsu Kosan (JPS60144387.A); Foxconn (US5172901.A, US5071111.A, US5149079.A); Solvay (US5888291.A); Exxon Mobil (US5278345.A); BP (WO8607350.A1); CSIR (India) (US5141908.A, US5262045.A); Government of the United Kingdom (WO8607350.A1); Sharp (in: Foxconn) (US5172901.A, US5071111.A, US5149079.A); Linde (US5464467.A)</t>
  </si>
  <si>
    <t>Mitsubishi Heavy</t>
  </si>
  <si>
    <t>US4709114.A</t>
  </si>
  <si>
    <t>Exxon Mobil (US4804800.A, US4973781.A); Xerox (US5037201.A, US5050990.A)</t>
  </si>
  <si>
    <t>US4741891.A</t>
  </si>
  <si>
    <t>AU542052.B2; AU7131481.A; GB2077709.A; GB2077709.B; NZ197291.A; US4741891.A; US4836996.A; US4876412.A; US5098685.A</t>
  </si>
  <si>
    <t>Exxon Mobil (US7301065.B2, WO02096803.A1, US7271123.B2, US7214844.B2, US5961951.A, US4482531.A, US4490342.A, EP0142317.A3, US4539193.A, US4851605.A, US4619820.A, US4637923.A, US4568654.A, US4902406.A, US4840780.A, US4559213.A, US4585639.A); Shell (WO2012055759.A1, WO2018109015.A1, WO2013127592.A1, US10076747.B2); SK Innovation (US9782760.B2, WO2011129534.A2, EP3239276.A1); IFP (in: France Government) (US6337063.B1, US7622099.B2, US6984309.B2, EP1346010.A1, FR2772642.A1, US5464799.A, US5108579.A, EP0923987.A1, US6057486.A); Government of France (US6337063.B1, US7622099.B2, US6984309.B2, EP1346010.A1, FR2772642.A1, US5464799.A, US5108579.A, EP0923987.A1, US6057486.A); VALUE PRIVATSTIFTUNG (US8173101.B2); ENGINEERING (unclear) (US4851605.A); BP (EP0168167.A1); Blackstone Group (US4585638.A); JXTG Holdings (US4994254.A); CRIQ (US4708857.A); TEIJIN PETROCHEMICAL INDUSTRIES LTD (US4557919.A)</t>
  </si>
  <si>
    <t>AkzoNobel</t>
  </si>
  <si>
    <t>B01J ;C01B ;C01G ;C07C ;</t>
  </si>
  <si>
    <t>US4814535.A</t>
  </si>
  <si>
    <t>AU2697688.A; AU617730.B2; DD283415.A5; NZ227218.A; US4814535.A</t>
  </si>
  <si>
    <t>Exxon Mobil (US7323147.B2, US7214843.B2, US5151393.A, US6899046.B2, US7074979.B2); Chevron (US6331573.B1); CHEMIEANLAGENBAU CHEMNITZ GMBH (WO2011061198.A1); TOO TECHNO TRADING (WO2011061198.A1); SAPR NEFTEKHIM LLC (WO2011061198.A1); Mitsubishi Heavy (US9873642.B2); Phillips 66 (US8450545.B2); REACTION 35 (US2009127163.A1)</t>
  </si>
  <si>
    <t>US4814536.A</t>
  </si>
  <si>
    <t>AR240055.A1; AU2697588.A; AU618044.B2; DD289554.A5; NZ227217.A; US4814536.A</t>
  </si>
  <si>
    <t>Exxon Mobil (US7323147.B2, US7214843.B2, US5095159.A, US6899046.B2, US7074979.B2); WM ENGINEERING CONSULTING (DE102011011686.A1); VERTIMASS (EP3307853.A4); BP (US2011281961.A1); STARCHEM TECHNOLOGIES INC. (US5602289.A); REACTION 35 (US2009127163.A1)</t>
  </si>
  <si>
    <t>US4854939.A</t>
  </si>
  <si>
    <t>US4854939.A; US5001292.A</t>
  </si>
  <si>
    <t>Virent Energy Systems (US9217114.B2, US9206366.B2, US8350108.B2, US8231857.B2, US8834587.B2, US2011009614.A1); Shell (US9206366.B2, US9493719.B2, US9388344.B2, US9447349.B2, US9428704.B2); Michigan State University (US8217193.B2, US8349032.B2); BIOPLASTIC POLYMERS AND COMPOSITES LLC (US8217193.B2, US8349032.B2); BARIL CHUK MIKHAJLO (RU2671568.C1); NRG TECH LP (US6017371.A); NRG TECHNOLOGIES (US6017371.A); Vodafone (US5670703.A); Eni (US7419930.B2); Exxon Mobil (US5420360.A, US4925455.A, AU637239.B2, US5106389.A, US5095159.A, US5188725.A, US5489719.A, US5475175.A, US5100534.A); Fortum (WO0179146.A1); LyondellBasell (US5136108.A); Maire Tecnimont (US5670703.A); Bank of America (US5198590.A)</t>
  </si>
  <si>
    <t>US4885421.A</t>
  </si>
  <si>
    <t>Virent Energy Systems (US9217114.B2, US9206366.B2, US8350108.B2, US8231857.B2, US8834587.B2); Shell (US9206366.B2, US9493719.B2, US9388344.B2, US9447349.B2, US9428704.B2); Tsinghua University (China) (CN101823929.A); Exxon Mobil (WO2004009518.A1); Honeywell (US8052945.B2); UOP (in: Honeywell) (US8052945.B2); WESSENDORF (DE19544413.A1)</t>
  </si>
  <si>
    <t>US4957709.A</t>
  </si>
  <si>
    <t>Exxon Mobil (US5348707.A); LyondellBasell (US5136108.A); Bank of America (US5198590.A)</t>
  </si>
  <si>
    <t>US5095159.A</t>
  </si>
  <si>
    <t>Virent Energy Systems (US9217114.B2, US9206366.B2, US8350108.B2, US8231857.B2, US8834587.B2, US2011009614.A1); Shell (US9206366.B2, US9493719.B2, US9388344.B2, US9447349.B2, US9428704.B2); JXTG Holdings (EP1721953.A1)</t>
  </si>
  <si>
    <t>US5167937.A</t>
  </si>
  <si>
    <t>Exxon Mobil (US7247764.B2, US7323147.B2, US7238846.B2, US7214843.B2, US6899046.B2); Siemens (US7989507.B2); WHITE DOG LABS (US9790523.B2); Government of the United States (US5868997.A); MRIGlobal (US5868997.A); Phillips 66 (US5447607.A)</t>
  </si>
  <si>
    <t>US5202014.A</t>
  </si>
  <si>
    <t>Chevron (US6755900.B2, US6806087.B2, US6649662.B2, US6441263.B1, WO2013022496.A1, US5656149.A, US5641393.A, US6566569.B1, US6455595.B1, US6005154.A, WO2015042096.A1); Exxon Mobil (US8048294.B2, US7635462.B2, US6063262.A, US5573746.A, US6419819.B1); IFP (in: France Government) (US6942847.B2, US8372376.B2); Government of France (US6942847.B2, US8372376.B2); Honeywell (US6613302.B1, US6388159.B1); UOP (in: Honeywell) (US6613302.B1, US6388159.B1); PACIFIC INDUSTRIAL DEVELOPMENT (WO2014052691.A1); Ericsson (US8379674.B2); MEDAL (US6500233.B1); Reliance Industries (US6087289.A, US6090738.A, US6030916.A); Northeastern University (Boston) (US5849652.A)</t>
  </si>
  <si>
    <t>US5407654.A</t>
  </si>
  <si>
    <t>US5407654.A; US5578195.A; US5696043.A; US5711869.A</t>
  </si>
  <si>
    <t>Saudi Arabia Government (US2015148572.A1); ARAMCO (in: Saudi Arabia Government) (US2015148572.A1); Swiss Krono Group (US2011059239.A1); FRAMEWORK THERAPEUTICS (US2005106267.A1); FRAMEWORKS THERAPEUTICS (US2005106267.A1); CANADUS TECHNOLOGIES LLC (US7109366.B2); Government of Brazil (EP1942089.A1); Petrobras (in: Government of Brazil) (EP1942089.A1); Honeywell (WO2012170147.A3); UOP (in: Honeywell) (WO2012170147.A3); Haldor Topsoe (EP1302528.A1); FUJI CHEMICAL INDUSTRY (unclear) (US5767179.A); Reliance Industries (US6087289.A, US6090738.A, US6030916.A); Total (EP2130586.A1)</t>
  </si>
  <si>
    <t>Clariant;Sued-Chemie (in: Clariant)</t>
  </si>
  <si>
    <t>US5880051.A</t>
  </si>
  <si>
    <t>US5880051.A; US6066251.A</t>
  </si>
  <si>
    <t>Honeywell (US6503866.B1, US6514904.B1, US6132595.A); UOP (in: Honeywell) (US6503866.B1, US6514904.B1, US6132595.A); Phillips 66 (US2017128920.A1); Chevron (US2017128920.A1); Katalizator JSC (RU2672882.C1); Saudi Arabia Government (US2010179358.A1); SABIC (in: Saudi Arabia Government) (US2010179358.A1)</t>
  </si>
  <si>
    <t>US6207605.B1</t>
  </si>
  <si>
    <t>NO305308.B1; NO973534.D0; NO973534.L; US6207605.B1</t>
  </si>
  <si>
    <t>Asahi Kasei (US2010234657.A1); BURYLIS STOCK (US2007246400.A1)</t>
  </si>
  <si>
    <t>Asahi Kasei</t>
  </si>
  <si>
    <t>US8569557.B1</t>
  </si>
  <si>
    <t>US2014206918.A1; US8569557.B1; US8696886.B1; US8933287.B2</t>
  </si>
  <si>
    <t>Honeywell (US8911704.B2, US10159964.B2, WO2017205114.A1, WO2019023153.A1, US10159965.B2); UOP (in: Honeywell) (US8911704.B2, US10159964.B2, WO2017205114.A1, WO2019023153.A1, US10159965.B2)</t>
  </si>
  <si>
    <t>C01B ;C07C ;C10G ;</t>
  </si>
  <si>
    <t>US8569558.B1</t>
  </si>
  <si>
    <t>US2014206919.A1; US8569558.B1; US8697927.B1; US8916738.B2</t>
  </si>
  <si>
    <t>Honeywell (US8936776.B2, WO2014085281.A1, US10159964.B2, WO2017205114.A1, US10159965.B2); UOP (in: Honeywell) (US8936776.B2, WO2014085281.A1, US10159964.B2, WO2017205114.A1, US10159965.B2)</t>
  </si>
  <si>
    <t>WO03089135.A1</t>
  </si>
  <si>
    <t>AU2002306421.A1; AU2002306421.A8; WO03089135.A1</t>
  </si>
  <si>
    <t>Saudi Arabia Government (US8450548.B2); SABIC (in: Saudi Arabia Government) (US8450548.B2); Nankai University (CN103694078.A)</t>
  </si>
  <si>
    <t>AVTONOMNAYA NEKOMMERCHESKAYA O;ZAKRITOE AKCHIONERNOE OBSCHEST</t>
  </si>
  <si>
    <t>B01J ;</t>
  </si>
  <si>
    <t>WO2017187873.A1</t>
  </si>
  <si>
    <t>CN109071377.A; JPWO2017187873.A1; TW201739509.A; TWI625163.B; WO2017187873.A1</t>
  </si>
  <si>
    <t>BASF (WO2018197470.A1)</t>
  </si>
  <si>
    <t>WO2018094353.A1</t>
  </si>
  <si>
    <t>WO2018094353.A1; WO2018094353.A9</t>
  </si>
  <si>
    <t>Independent Claims</t>
  </si>
  <si>
    <t>Forward citation</t>
  </si>
  <si>
    <t>Country coverage</t>
  </si>
  <si>
    <t>PCT publications</t>
  </si>
  <si>
    <t>Assignee-Leader (Coefficient) (leader = 1;
not a leader = 0)</t>
  </si>
  <si>
    <t>Soundness</t>
  </si>
  <si>
    <t>Breadth</t>
  </si>
  <si>
    <t>Focus of leading companies</t>
  </si>
  <si>
    <t>Focus of leading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</si>
</sst>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
    <numFmt numFmtId="166" formatCode="###0.0"/>
    <numFmt numFmtId="167" formatCode="dd\.mm\.yyyy"/>
  </numFmts>
  <fonts count="9" x14ac:knownFonts="1">
    <font>
      <sz val="11"/>
      <color indexed="8"/>
      <name val="Calibri"/>
      <family val="2"/>
      <scheme val="minor"/>
    </font>
    <font>
      <b/>
      <sz val="11"/>
      <name val="Calibri"/>
    </font>
    <font>
      <sz val="11"/>
      <color indexed="8"/>
      <name val="Calibri"/>
      <family val="2"/>
      <scheme val="minor"/>
    </font>
    <font>
      <b/>
      <sz val="11"/>
      <color indexed="8"/>
      <name val="Calibri"/>
      <family val="2"/>
      <charset val="204"/>
      <scheme val="minor"/>
    </font>
    <font>
      <sz val="11"/>
      <color rgb="FF000000"/>
      <name val="Calibri"/>
      <family val="2"/>
      <charset val="204"/>
      <scheme val="minor"/>
    </font>
    <font>
      <b/>
      <sz val="11"/>
      <color rgb="FF000000"/>
      <name val="Calibri"/>
      <family val="2"/>
    </font>
    <font>
      <b/>
      <sz val="11"/>
      <color rgb="FF000000"/>
      <name val="Calibri"/>
      <family val="2"/>
      <charset val="204"/>
    </font>
    <font>
      <u/>
      <sz val="11"/>
      <color rgb="FF00008B"/>
      <name val="Calibri"/>
      <family val="2"/>
    </font>
    <font>
      <b/>
      <sz val="11"/>
      <name val="Calibri"/>
      <family val="2"/>
      <charset val="204"/>
    </font>
  </fonts>
  <fills count="8">
    <fill>
      <patternFill patternType="none"/>
    </fill>
    <fill>
      <patternFill patternType="gray125"/>
    </fill>
    <fill>
      <patternFill patternType="solid">
        <fgColor indexed="41"/>
      </patternFill>
    </fill>
    <fill>
      <patternFill patternType="solid">
        <fgColor indexed="43"/>
      </patternFill>
    </fill>
    <fill>
      <patternFill patternType="none">
        <fgColor indexed="30"/>
      </patternFill>
    </fill>
    <fill>
      <patternFill patternType="solid">
        <fgColor rgb="FFCCFFFF"/>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4" borderId="0"/>
  </cellStyleXfs>
  <cellXfs count="41">
    <xf numFmtId="0" fontId="0" fillId="0" borderId="0" xfId="0"/>
    <xf numFmtId="0" fontId="1" fillId="2" borderId="0" xfId="0" applyFont="1" applyFill="1"/>
    <xf numFmtId="0" fontId="0" fillId="0" borderId="0" xfId="0" applyAlignment="1">
      <alignment vertical="top" wrapText="1"/>
    </xf>
    <xf numFmtId="0" fontId="1" fillId="3" borderId="0" xfId="1" applyFont="1" applyFill="1"/>
    <xf numFmtId="0" fontId="2" fillId="4" borderId="0" xfId="1"/>
    <xf numFmtId="0" fontId="2" fillId="4" borderId="0" xfId="1" applyAlignment="1">
      <alignment vertical="top" wrapText="1"/>
    </xf>
    <xf numFmtId="0" fontId="0" fillId="0" borderId="0" xfId="0"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3" fillId="5" borderId="0" xfId="0" applyFont="1" applyFill="1" applyAlignment="1">
      <alignment vertical="center"/>
    </xf>
    <xf numFmtId="0" fontId="4" fillId="0" borderId="0" xfId="0" applyFont="1" applyAlignment="1">
      <alignment vertical="center" wrapText="1"/>
    </xf>
    <xf numFmtId="164" fontId="0" fillId="0" borderId="0" xfId="0" applyNumberFormat="1"/>
    <xf numFmtId="1" fontId="0" fillId="0" borderId="0" xfId="0" applyNumberFormat="1"/>
    <xf numFmtId="49" fontId="0" fillId="0" borderId="0" xfId="0" applyNumberFormat="1"/>
    <xf numFmtId="0" fontId="0" fillId="4" borderId="0" xfId="0" applyNumberFormat="1" applyFill="1" applyAlignment="1" applyProtection="1"/>
    <xf numFmtId="0" fontId="6" fillId="4" borderId="0" xfId="0" applyNumberFormat="1" applyFont="1" applyFill="1" applyAlignment="1" applyProtection="1"/>
    <xf numFmtId="0" fontId="5" fillId="4" borderId="0" xfId="0" applyNumberFormat="1" applyFont="1" applyFill="1" applyAlignment="1" applyProtection="1"/>
    <xf numFmtId="165" fontId="5" fillId="4" borderId="0" xfId="0" applyNumberFormat="1" applyFont="1" applyFill="1" applyAlignment="1" applyProtection="1">
      <alignment vertical="top" wrapText="1"/>
    </xf>
    <xf numFmtId="1" fontId="5" fillId="4" borderId="0" xfId="0" applyNumberFormat="1" applyFont="1" applyFill="1" applyAlignment="1" applyProtection="1">
      <alignment vertical="top" wrapText="1"/>
    </xf>
    <xf numFmtId="1" fontId="0" fillId="4" borderId="0" xfId="0" applyNumberFormat="1" applyFill="1" applyAlignment="1" applyProtection="1">
      <alignment vertical="top" wrapText="1"/>
    </xf>
    <xf numFmtId="165" fontId="0" fillId="4" borderId="0" xfId="0" applyNumberFormat="1" applyFill="1" applyAlignment="1" applyProtection="1">
      <alignment vertical="top" wrapText="1"/>
    </xf>
    <xf numFmtId="166" fontId="0" fillId="4" borderId="0" xfId="0" applyNumberFormat="1" applyFill="1" applyAlignment="1" applyProtection="1">
      <alignment vertical="top" wrapText="1"/>
    </xf>
    <xf numFmtId="167" fontId="0" fillId="4" borderId="0" xfId="0" applyNumberFormat="1" applyFill="1" applyAlignment="1" applyProtection="1">
      <alignment vertical="top" wrapText="1"/>
    </xf>
    <xf numFmtId="1" fontId="7" fillId="4" borderId="0" xfId="0" applyNumberFormat="1" applyFont="1" applyFill="1" applyAlignment="1" applyProtection="1">
      <alignment vertical="top" wrapText="1"/>
    </xf>
    <xf numFmtId="0" fontId="7" fillId="4" borderId="0" xfId="0" applyNumberFormat="1" applyFont="1" applyFill="1" applyAlignment="1" applyProtection="1">
      <alignment vertical="top"/>
    </xf>
    <xf numFmtId="0" fontId="3" fillId="0" borderId="0" xfId="0" applyFont="1" applyAlignment="1">
      <alignment wrapText="1"/>
    </xf>
    <xf numFmtId="0" fontId="8" fillId="2" borderId="0" xfId="0" applyFont="1" applyFill="1"/>
    <xf numFmtId="0" fontId="3" fillId="0" borderId="0" xfId="0" applyFont="1" applyAlignment="1">
      <alignment horizontal="center" vertical="center" wrapText="1"/>
    </xf>
    <xf numFmtId="0" fontId="3" fillId="6" borderId="2" xfId="0" applyFont="1" applyFill="1" applyBorder="1" applyAlignment="1">
      <alignment horizontal="center" vertical="center" wrapText="1"/>
    </xf>
    <xf numFmtId="0" fontId="0" fillId="7" borderId="0" xfId="0" applyFill="1"/>
    <xf numFmtId="0" fontId="0" fillId="7" borderId="0" xfId="0" applyFill="1" applyAlignment="1">
      <alignment vertical="top" wrapText="1"/>
    </xf>
    <xf numFmtId="0" fontId="0" fillId="7" borderId="0" xfId="0" applyFill="1" applyAlignment="1">
      <alignment wrapText="1"/>
    </xf>
    <xf numFmtId="0" fontId="0" fillId="7" borderId="0" xfId="0" applyNumberFormat="1" applyFill="1" applyAlignment="1" applyProtection="1"/>
    <xf numFmtId="1" fontId="0" fillId="7" borderId="0" xfId="0" applyNumberFormat="1" applyFill="1" applyAlignment="1" applyProtection="1">
      <alignment vertical="top" wrapText="1"/>
    </xf>
    <xf numFmtId="166" fontId="0" fillId="7" borderId="0" xfId="0" applyNumberFormat="1" applyFill="1" applyAlignment="1" applyProtection="1">
      <alignment vertical="top" wrapText="1"/>
    </xf>
    <xf numFmtId="167" fontId="0" fillId="7" borderId="0" xfId="0" applyNumberFormat="1" applyFill="1" applyAlignment="1" applyProtection="1">
      <alignment vertical="top" wrapText="1"/>
    </xf>
    <xf numFmtId="165" fontId="0" fillId="7" borderId="0" xfId="0" applyNumberFormat="1" applyFill="1" applyAlignment="1" applyProtection="1">
      <alignment vertical="top" wrapText="1"/>
    </xf>
    <xf numFmtId="1" fontId="7" fillId="7" borderId="0" xfId="0" applyNumberFormat="1" applyFont="1" applyFill="1" applyAlignment="1" applyProtection="1">
      <alignment vertical="top" wrapText="1"/>
    </xf>
    <xf numFmtId="0" fontId="7" fillId="7" borderId="0" xfId="0" applyNumberFormat="1" applyFont="1" applyFill="1" applyAlignment="1" applyProtection="1">
      <alignment vertical="top"/>
    </xf>
  </cellXfs>
  <cellStyles count="2">
    <cellStyle name="Normal" xfId="0" builtinId="0"/>
    <cellStyle name="Обычный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Зеленкина Наталия Викторовна" refreshedDate="43577.657567939816" createdVersion="4" refreshedVersion="4" minRefreshableVersion="3" recordCount="1177" xr:uid="{00000000-000A-0000-FFFF-FFFF00000000}">
  <cacheSource type="worksheet">
    <worksheetSource ref="B1:D1048576" sheet="Patent availability"/>
  </cacheSource>
  <cacheFields count="3">
    <cacheField name="Earliest publication number" numFmtId="0">
      <sharedItems containsBlank="1" count="256">
        <s v="US03965205"/>
        <s v="US04404414"/>
        <s v="US04788365"/>
        <s v="CA2771808"/>
        <s v="CA2754816"/>
        <s v="RU2417249"/>
        <s v="RU2009140666"/>
        <s v="WO8911463"/>
        <s v="AU2009273843"/>
        <s v="CA2781892"/>
        <s v="EA199900341"/>
        <s v="RU2610277"/>
        <s v="RU2558955"/>
        <s v="RU2544510"/>
        <s v="RU2477656"/>
        <s v="WO03089135"/>
        <s v="ZA200810099"/>
        <s v="RU2671568"/>
        <s v="US20180273442"/>
        <s v="CN108404970"/>
        <s v="ZA8809455"/>
        <s v="RU2658832"/>
        <s v="CN108236966"/>
        <s v="WO2018094336"/>
        <s v="WO2018094353"/>
        <s v="CN108017487"/>
        <s v="CN108014841"/>
        <s v="CN108017494"/>
        <s v="CN108017491"/>
        <s v="CN107963638"/>
        <s v="CN107876083"/>
        <s v="CN107794080"/>
        <s v="CN107573966"/>
        <s v="CN107540499"/>
        <s v="CN107540498"/>
        <s v="CN107540496"/>
        <s v="CN107540495"/>
        <s v="CN107540494"/>
        <s v="CN107540493"/>
        <s v="CN107540492"/>
        <s v="CN206751740"/>
        <s v="CN107413376"/>
        <s v="WO2017205243"/>
        <s v="WO2017205112"/>
        <s v="WO2017205023"/>
        <s v="CN107398294"/>
        <s v="US20170341064"/>
        <s v="WO2017187873"/>
        <s v="CN206570276"/>
        <s v="CN107262142"/>
        <s v="CN107243359"/>
        <s v="CA3016531"/>
        <s v="WO2017155424"/>
        <s v="US20170252734"/>
        <s v="US20170252733"/>
        <s v="US20170252732"/>
        <s v="CN107010639"/>
        <s v="US20170226427"/>
        <s v="CA3006021"/>
        <s v="CN106694029"/>
        <s v="CN106622344"/>
        <s v="CN106608786"/>
        <s v="CN106608781"/>
        <s v="CN106608780"/>
        <s v="CN106607088"/>
        <s v="CN106607079"/>
        <s v="CN106607078"/>
        <s v="CN106607086"/>
        <s v="CN106607083"/>
        <s v="CN106582789"/>
        <s v="CN106582797"/>
        <s v="CN106540737"/>
        <s v="CN106466637"/>
        <s v="CN106466635"/>
        <s v="CN106466634"/>
        <s v="CN106466632"/>
        <s v="CN106466628"/>
        <s v="CN106466630"/>
        <s v="CN106466627"/>
        <s v="CN106431808"/>
        <s v="CN106336339"/>
        <s v="CN106082264"/>
        <s v="CN106000452"/>
        <s v="WO2016160081"/>
        <s v="CN105949019"/>
        <s v="RU2594564"/>
        <s v="CA2973638"/>
        <s v="CN105749958"/>
        <s v="CN105732251"/>
        <s v="CN105728018"/>
        <s v="US20160186074"/>
        <s v="CN105457570"/>
        <s v="CN105461497"/>
        <s v="CN105457569"/>
        <s v="CN105457568"/>
        <s v="CN105460952"/>
        <s v="CN105435839"/>
        <s v="CN105289703"/>
        <s v="CN103725315"/>
        <s v="CN105254462"/>
        <s v="CN105254461"/>
        <s v="CN105195213"/>
        <s v="CN105195226"/>
        <s v="CN105195211"/>
        <s v="RU2567534"/>
        <s v="CN105013524"/>
        <s v="US20150266744"/>
        <s v="CN104910957"/>
        <s v="CN104907091"/>
        <s v="CN104801332"/>
        <s v="RU2550354"/>
        <s v="WO2015094696"/>
        <s v="CN104557432"/>
        <s v="CN104557369"/>
        <s v="CN104549484"/>
        <s v="CN104557419"/>
        <s v="CN104549483"/>
        <s v="CN104557416"/>
        <s v="CN104549470"/>
        <s v="CN104549481"/>
        <s v="CN104549454"/>
        <s v="CN104557427"/>
        <s v="CN104549408"/>
        <s v="CN104549480"/>
        <s v="CN104549479"/>
        <s v="CN104557364"/>
        <s v="CN104549441"/>
        <s v="CN104549440"/>
        <s v="CN104496743"/>
        <s v="RU2544241"/>
        <s v="CN104447157"/>
        <s v="CN104437596"/>
        <s v="CN104437595"/>
        <s v="RU2544017"/>
        <s v="CN104342198"/>
        <s v="CN104250183"/>
        <s v="WO2015001004"/>
        <s v="CN104174427"/>
        <s v="CN104130796"/>
        <s v="CN104107708"/>
        <s v="US20140256010"/>
        <s v="CN103864565"/>
        <s v="CN103694078"/>
        <s v="RU138334"/>
        <s v="CN103755514"/>
        <s v="CN103464193"/>
        <s v="CN103394366"/>
        <s v="CN103007985"/>
        <s v="US20130158323"/>
        <s v="CA2858408"/>
        <s v="US08569558"/>
        <s v="US08569557"/>
        <s v="CN103664440"/>
        <s v="CN102775261"/>
        <s v="US20140018592"/>
        <s v="WO2012108926"/>
        <s v="CN103058807"/>
        <s v="CN103055928"/>
        <s v="CN103030497"/>
        <s v="CN102910647"/>
        <s v="CN102746877"/>
        <s v="CN102746875"/>
        <s v="WO2012108861"/>
        <s v="CN102126915"/>
        <s v="CN102531821"/>
        <s v="CN101954291"/>
        <s v="CN102371177"/>
        <s v="CN102371178"/>
        <s v="CN102371176"/>
        <s v="CN102372550"/>
        <s v="CN102372536"/>
        <s v="CN102372535"/>
        <s v="CN102372537"/>
        <s v="US20110036756"/>
        <s v="RU2429910"/>
        <s v="CN101823929"/>
        <s v="CN102218341"/>
        <s v="CN102199446"/>
        <s v="CN101607858"/>
        <s v="JP2010208948"/>
        <s v="US20090211943"/>
        <s v="RU2009101606"/>
        <s v="WO2009055216"/>
        <s v="CN101244969"/>
        <s v="US20080027256"/>
        <s v="US20080027259"/>
        <s v="US20070284284"/>
        <s v="JP2008127542"/>
        <s v="JP2008056593"/>
        <s v="RU2284343"/>
        <s v="RU2004135451"/>
        <s v="RU2238298"/>
        <s v="RU2209811"/>
        <s v="WO200232837"/>
        <s v="RU2208624"/>
        <s v="WO200177046"/>
        <s v="RU2163623"/>
        <s v="NO973534"/>
        <s v="US06245219"/>
        <s v="RU2114811"/>
        <s v="US05880051"/>
        <s v="US05683573"/>
        <s v="RU2098173"/>
        <s v="RU2103322"/>
        <s v="US05641393"/>
        <s v="US05578195"/>
        <s v="RU94024425"/>
        <s v="WO9601688"/>
        <s v="WO9408899"/>
        <s v="RU2019290"/>
        <s v="US05202014"/>
        <s v="US05095159"/>
        <s v="CA2062799"/>
        <s v="GB9013916"/>
        <s v="GB9013859"/>
        <s v="CA2031212"/>
        <s v="CA2030797"/>
        <s v="CA2014666"/>
        <s v="CA2039224"/>
        <s v="US04975179"/>
        <s v="US04981491"/>
        <s v="US05013329"/>
        <s v="GB8829923"/>
        <s v="CA2005452"/>
        <s v="US04814535"/>
        <s v="US04814536"/>
        <s v="US04854939"/>
        <s v="US04709114"/>
        <s v="US04590321"/>
        <s v="EP0148038"/>
        <s v="AU3162484"/>
        <s v="NO842857"/>
        <s v="DE3221936"/>
        <s v="EP0095851"/>
        <s v="GB8312144"/>
        <s v="DD211037"/>
        <s v="US04429176"/>
        <s v="DE3143045"/>
        <s v="DK458881"/>
        <s v="JPS5857494"/>
        <s v="AU7131481"/>
        <s v="JPS57196719"/>
        <s v="JPS57196718"/>
        <s v="US04323481"/>
        <s v="US04327236"/>
        <s v="AU6980581"/>
        <s v="AU7010381"/>
        <s v="EP0037982"/>
        <s v="EP0037983"/>
        <s v="US04268420"/>
        <s v="PT69798"/>
        <s v="PT69799"/>
        <s v="US04197214"/>
        <s v="IT7923055"/>
        <s v="IT7922934"/>
        <m/>
      </sharedItems>
    </cacheField>
    <cacheField name="тип" numFmtId="0">
      <sharedItems containsBlank="1" count="8">
        <s v="A"/>
        <s v="B"/>
        <s v="D"/>
        <s v="C"/>
        <s v="T"/>
        <s v="U"/>
        <s v="L"/>
        <m/>
      </sharedItems>
    </cacheField>
    <cacheField name="признак"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7">
  <r>
    <x v="0"/>
    <x v="0"/>
    <n v="1"/>
  </r>
  <r>
    <x v="1"/>
    <x v="0"/>
    <n v="1"/>
  </r>
  <r>
    <x v="2"/>
    <x v="0"/>
    <n v="1"/>
  </r>
  <r>
    <x v="2"/>
    <x v="0"/>
    <n v="1"/>
  </r>
  <r>
    <x v="2"/>
    <x v="0"/>
    <n v="1"/>
  </r>
  <r>
    <x v="2"/>
    <x v="0"/>
    <n v="1"/>
  </r>
  <r>
    <x v="2"/>
    <x v="1"/>
    <n v="1"/>
  </r>
  <r>
    <x v="2"/>
    <x v="1"/>
    <n v="1"/>
  </r>
  <r>
    <x v="2"/>
    <x v="2"/>
    <n v="1"/>
  </r>
  <r>
    <x v="3"/>
    <x v="0"/>
    <n v="1"/>
  </r>
  <r>
    <x v="3"/>
    <x v="0"/>
    <n v="1"/>
  </r>
  <r>
    <x v="3"/>
    <x v="0"/>
    <n v="1"/>
  </r>
  <r>
    <x v="3"/>
    <x v="0"/>
    <n v="1"/>
  </r>
  <r>
    <x v="3"/>
    <x v="0"/>
    <n v="1"/>
  </r>
  <r>
    <x v="3"/>
    <x v="0"/>
    <n v="1"/>
  </r>
  <r>
    <x v="4"/>
    <x v="0"/>
    <n v="1"/>
  </r>
  <r>
    <x v="4"/>
    <x v="0"/>
    <n v="1"/>
  </r>
  <r>
    <x v="4"/>
    <x v="0"/>
    <n v="1"/>
  </r>
  <r>
    <x v="4"/>
    <x v="0"/>
    <n v="1"/>
  </r>
  <r>
    <x v="4"/>
    <x v="0"/>
    <n v="1"/>
  </r>
  <r>
    <x v="4"/>
    <x v="0"/>
    <n v="1"/>
  </r>
  <r>
    <x v="4"/>
    <x v="1"/>
    <n v="1"/>
  </r>
  <r>
    <x v="4"/>
    <x v="1"/>
    <n v="1"/>
  </r>
  <r>
    <x v="4"/>
    <x v="0"/>
    <n v="1"/>
  </r>
  <r>
    <x v="4"/>
    <x v="3"/>
    <n v="1"/>
  </r>
  <r>
    <x v="4"/>
    <x v="0"/>
    <n v="1"/>
  </r>
  <r>
    <x v="4"/>
    <x v="1"/>
    <n v="1"/>
  </r>
  <r>
    <x v="4"/>
    <x v="0"/>
    <n v="1"/>
  </r>
  <r>
    <x v="4"/>
    <x v="1"/>
    <n v="1"/>
  </r>
  <r>
    <x v="4"/>
    <x v="0"/>
    <n v="1"/>
  </r>
  <r>
    <x v="4"/>
    <x v="0"/>
    <n v="1"/>
  </r>
  <r>
    <x v="4"/>
    <x v="1"/>
    <n v="1"/>
  </r>
  <r>
    <x v="4"/>
    <x v="0"/>
    <n v="1"/>
  </r>
  <r>
    <x v="4"/>
    <x v="1"/>
    <n v="1"/>
  </r>
  <r>
    <x v="4"/>
    <x v="0"/>
    <n v="1"/>
  </r>
  <r>
    <x v="4"/>
    <x v="1"/>
    <n v="1"/>
  </r>
  <r>
    <x v="4"/>
    <x v="0"/>
    <n v="1"/>
  </r>
  <r>
    <x v="4"/>
    <x v="1"/>
    <n v="1"/>
  </r>
  <r>
    <x v="4"/>
    <x v="0"/>
    <n v="1"/>
  </r>
  <r>
    <x v="4"/>
    <x v="0"/>
    <n v="1"/>
  </r>
  <r>
    <x v="4"/>
    <x v="3"/>
    <n v="1"/>
  </r>
  <r>
    <x v="4"/>
    <x v="1"/>
    <n v="1"/>
  </r>
  <r>
    <x v="5"/>
    <x v="3"/>
    <n v="1"/>
  </r>
  <r>
    <x v="6"/>
    <x v="0"/>
    <n v="1"/>
  </r>
  <r>
    <x v="6"/>
    <x v="3"/>
    <n v="1"/>
  </r>
  <r>
    <x v="7"/>
    <x v="0"/>
    <n v="1"/>
  </r>
  <r>
    <x v="7"/>
    <x v="0"/>
    <n v="1"/>
  </r>
  <r>
    <x v="7"/>
    <x v="0"/>
    <n v="1"/>
  </r>
  <r>
    <x v="7"/>
    <x v="0"/>
    <n v="1"/>
  </r>
  <r>
    <x v="7"/>
    <x v="1"/>
    <n v="1"/>
  </r>
  <r>
    <x v="7"/>
    <x v="0"/>
    <n v="1"/>
  </r>
  <r>
    <x v="7"/>
    <x v="0"/>
    <n v="1"/>
  </r>
  <r>
    <x v="7"/>
    <x v="0"/>
    <n v="1"/>
  </r>
  <r>
    <x v="7"/>
    <x v="1"/>
    <n v="1"/>
  </r>
  <r>
    <x v="8"/>
    <x v="0"/>
    <n v="1"/>
  </r>
  <r>
    <x v="8"/>
    <x v="0"/>
    <n v="1"/>
  </r>
  <r>
    <x v="8"/>
    <x v="0"/>
    <n v="1"/>
  </r>
  <r>
    <x v="8"/>
    <x v="0"/>
    <n v="1"/>
  </r>
  <r>
    <x v="8"/>
    <x v="0"/>
    <n v="1"/>
  </r>
  <r>
    <x v="8"/>
    <x v="0"/>
    <n v="1"/>
  </r>
  <r>
    <x v="8"/>
    <x v="1"/>
    <n v="1"/>
  </r>
  <r>
    <x v="8"/>
    <x v="0"/>
    <n v="1"/>
  </r>
  <r>
    <x v="8"/>
    <x v="0"/>
    <n v="1"/>
  </r>
  <r>
    <x v="8"/>
    <x v="0"/>
    <n v="1"/>
  </r>
  <r>
    <x v="9"/>
    <x v="0"/>
    <n v="1"/>
  </r>
  <r>
    <x v="9"/>
    <x v="0"/>
    <n v="1"/>
  </r>
  <r>
    <x v="9"/>
    <x v="0"/>
    <n v="1"/>
  </r>
  <r>
    <x v="9"/>
    <x v="3"/>
    <n v="1"/>
  </r>
  <r>
    <x v="9"/>
    <x v="0"/>
    <n v="1"/>
  </r>
  <r>
    <x v="9"/>
    <x v="1"/>
    <n v="1"/>
  </r>
  <r>
    <x v="9"/>
    <x v="0"/>
    <n v="1"/>
  </r>
  <r>
    <x v="9"/>
    <x v="1"/>
    <n v="1"/>
  </r>
  <r>
    <x v="9"/>
    <x v="0"/>
    <n v="1"/>
  </r>
  <r>
    <x v="9"/>
    <x v="0"/>
    <n v="1"/>
  </r>
  <r>
    <x v="9"/>
    <x v="0"/>
    <n v="1"/>
  </r>
  <r>
    <x v="9"/>
    <x v="0"/>
    <n v="1"/>
  </r>
  <r>
    <x v="10"/>
    <x v="0"/>
    <n v="1"/>
  </r>
  <r>
    <x v="10"/>
    <x v="1"/>
    <n v="1"/>
  </r>
  <r>
    <x v="10"/>
    <x v="3"/>
    <n v="1"/>
  </r>
  <r>
    <x v="11"/>
    <x v="3"/>
    <n v="1"/>
  </r>
  <r>
    <x v="12"/>
    <x v="3"/>
    <n v="1"/>
  </r>
  <r>
    <x v="12"/>
    <x v="0"/>
    <n v="1"/>
  </r>
  <r>
    <x v="12"/>
    <x v="0"/>
    <n v="1"/>
  </r>
  <r>
    <x v="12"/>
    <x v="0"/>
    <n v="1"/>
  </r>
  <r>
    <x v="12"/>
    <x v="0"/>
    <n v="1"/>
  </r>
  <r>
    <x v="12"/>
    <x v="0"/>
    <n v="1"/>
  </r>
  <r>
    <x v="12"/>
    <x v="0"/>
    <n v="1"/>
  </r>
  <r>
    <x v="12"/>
    <x v="0"/>
    <n v="1"/>
  </r>
  <r>
    <x v="12"/>
    <x v="0"/>
    <n v="1"/>
  </r>
  <r>
    <x v="12"/>
    <x v="0"/>
    <n v="1"/>
  </r>
  <r>
    <x v="13"/>
    <x v="3"/>
    <n v="1"/>
  </r>
  <r>
    <x v="14"/>
    <x v="3"/>
    <n v="1"/>
  </r>
  <r>
    <x v="15"/>
    <x v="0"/>
    <n v="1"/>
  </r>
  <r>
    <x v="15"/>
    <x v="0"/>
    <n v="1"/>
  </r>
  <r>
    <x v="15"/>
    <x v="0"/>
    <n v="1"/>
  </r>
  <r>
    <x v="16"/>
    <x v="1"/>
    <n v="1"/>
  </r>
  <r>
    <x v="17"/>
    <x v="3"/>
    <n v="1"/>
  </r>
  <r>
    <x v="18"/>
    <x v="0"/>
    <n v="1"/>
  </r>
  <r>
    <x v="19"/>
    <x v="0"/>
    <n v="1"/>
  </r>
  <r>
    <x v="20"/>
    <x v="1"/>
    <n v="1"/>
  </r>
  <r>
    <x v="20"/>
    <x v="1"/>
    <n v="1"/>
  </r>
  <r>
    <x v="20"/>
    <x v="0"/>
    <n v="1"/>
  </r>
  <r>
    <x v="20"/>
    <x v="1"/>
    <n v="1"/>
  </r>
  <r>
    <x v="20"/>
    <x v="0"/>
    <n v="1"/>
  </r>
  <r>
    <x v="20"/>
    <x v="0"/>
    <n v="1"/>
  </r>
  <r>
    <x v="20"/>
    <x v="1"/>
    <n v="1"/>
  </r>
  <r>
    <x v="20"/>
    <x v="0"/>
    <n v="1"/>
  </r>
  <r>
    <x v="20"/>
    <x v="1"/>
    <n v="1"/>
  </r>
  <r>
    <x v="20"/>
    <x v="0"/>
    <n v="1"/>
  </r>
  <r>
    <x v="20"/>
    <x v="1"/>
    <n v="1"/>
  </r>
  <r>
    <x v="20"/>
    <x v="0"/>
    <n v="1"/>
  </r>
  <r>
    <x v="20"/>
    <x v="4"/>
    <n v="1"/>
  </r>
  <r>
    <x v="20"/>
    <x v="2"/>
    <n v="1"/>
  </r>
  <r>
    <x v="20"/>
    <x v="4"/>
    <n v="1"/>
  </r>
  <r>
    <x v="20"/>
    <x v="4"/>
    <n v="1"/>
  </r>
  <r>
    <x v="20"/>
    <x v="4"/>
    <n v="1"/>
  </r>
  <r>
    <x v="20"/>
    <x v="3"/>
    <n v="1"/>
  </r>
  <r>
    <x v="21"/>
    <x v="3"/>
    <n v="1"/>
  </r>
  <r>
    <x v="22"/>
    <x v="0"/>
    <n v="1"/>
  </r>
  <r>
    <x v="23"/>
    <x v="0"/>
    <n v="1"/>
  </r>
  <r>
    <x v="23"/>
    <x v="0"/>
    <n v="1"/>
  </r>
  <r>
    <x v="24"/>
    <x v="0"/>
    <n v="1"/>
  </r>
  <r>
    <x v="24"/>
    <x v="0"/>
    <n v="1"/>
  </r>
  <r>
    <x v="24"/>
    <x v="0"/>
    <n v="1"/>
  </r>
  <r>
    <x v="25"/>
    <x v="0"/>
    <n v="1"/>
  </r>
  <r>
    <x v="26"/>
    <x v="0"/>
    <n v="1"/>
  </r>
  <r>
    <x v="27"/>
    <x v="0"/>
    <n v="1"/>
  </r>
  <r>
    <x v="28"/>
    <x v="0"/>
    <n v="1"/>
  </r>
  <r>
    <x v="29"/>
    <x v="0"/>
    <n v="1"/>
  </r>
  <r>
    <x v="30"/>
    <x v="0"/>
    <n v="1"/>
  </r>
  <r>
    <x v="31"/>
    <x v="0"/>
    <n v="1"/>
  </r>
  <r>
    <x v="32"/>
    <x v="0"/>
    <n v="1"/>
  </r>
  <r>
    <x v="33"/>
    <x v="0"/>
    <n v="1"/>
  </r>
  <r>
    <x v="34"/>
    <x v="0"/>
    <n v="1"/>
  </r>
  <r>
    <x v="35"/>
    <x v="0"/>
    <n v="1"/>
  </r>
  <r>
    <x v="36"/>
    <x v="0"/>
    <n v="1"/>
  </r>
  <r>
    <x v="37"/>
    <x v="0"/>
    <n v="1"/>
  </r>
  <r>
    <x v="38"/>
    <x v="0"/>
    <n v="1"/>
  </r>
  <r>
    <x v="39"/>
    <x v="0"/>
    <n v="1"/>
  </r>
  <r>
    <x v="40"/>
    <x v="5"/>
    <n v="1"/>
  </r>
  <r>
    <x v="41"/>
    <x v="0"/>
    <n v="1"/>
  </r>
  <r>
    <x v="42"/>
    <x v="0"/>
    <n v="1"/>
  </r>
  <r>
    <x v="42"/>
    <x v="0"/>
    <n v="1"/>
  </r>
  <r>
    <x v="43"/>
    <x v="0"/>
    <n v="1"/>
  </r>
  <r>
    <x v="43"/>
    <x v="0"/>
    <n v="1"/>
  </r>
  <r>
    <x v="44"/>
    <x v="0"/>
    <n v="1"/>
  </r>
  <r>
    <x v="44"/>
    <x v="0"/>
    <n v="1"/>
  </r>
  <r>
    <x v="45"/>
    <x v="0"/>
    <n v="1"/>
  </r>
  <r>
    <x v="46"/>
    <x v="0"/>
    <n v="1"/>
  </r>
  <r>
    <x v="46"/>
    <x v="0"/>
    <n v="1"/>
  </r>
  <r>
    <x v="46"/>
    <x v="0"/>
    <n v="1"/>
  </r>
  <r>
    <x v="47"/>
    <x v="0"/>
    <n v="1"/>
  </r>
  <r>
    <x v="47"/>
    <x v="0"/>
    <n v="1"/>
  </r>
  <r>
    <x v="47"/>
    <x v="0"/>
    <n v="1"/>
  </r>
  <r>
    <x v="47"/>
    <x v="1"/>
    <n v="1"/>
  </r>
  <r>
    <x v="48"/>
    <x v="5"/>
    <n v="1"/>
  </r>
  <r>
    <x v="49"/>
    <x v="0"/>
    <n v="1"/>
  </r>
  <r>
    <x v="50"/>
    <x v="0"/>
    <n v="1"/>
  </r>
  <r>
    <x v="51"/>
    <x v="0"/>
    <n v="1"/>
  </r>
  <r>
    <x v="51"/>
    <x v="0"/>
    <n v="1"/>
  </r>
  <r>
    <x v="51"/>
    <x v="0"/>
    <n v="1"/>
  </r>
  <r>
    <x v="51"/>
    <x v="0"/>
    <n v="1"/>
  </r>
  <r>
    <x v="51"/>
    <x v="0"/>
    <n v="1"/>
  </r>
  <r>
    <x v="52"/>
    <x v="0"/>
    <n v="1"/>
  </r>
  <r>
    <x v="52"/>
    <x v="0"/>
    <n v="1"/>
  </r>
  <r>
    <x v="52"/>
    <x v="0"/>
    <n v="1"/>
  </r>
  <r>
    <x v="52"/>
    <x v="0"/>
    <n v="1"/>
  </r>
  <r>
    <x v="53"/>
    <x v="0"/>
    <n v="1"/>
  </r>
  <r>
    <x v="53"/>
    <x v="0"/>
    <n v="1"/>
  </r>
  <r>
    <x v="53"/>
    <x v="0"/>
    <n v="1"/>
  </r>
  <r>
    <x v="54"/>
    <x v="0"/>
    <n v="1"/>
  </r>
  <r>
    <x v="54"/>
    <x v="0"/>
    <n v="1"/>
  </r>
  <r>
    <x v="54"/>
    <x v="0"/>
    <n v="1"/>
  </r>
  <r>
    <x v="55"/>
    <x v="0"/>
    <n v="1"/>
  </r>
  <r>
    <x v="55"/>
    <x v="0"/>
    <n v="1"/>
  </r>
  <r>
    <x v="55"/>
    <x v="0"/>
    <n v="1"/>
  </r>
  <r>
    <x v="56"/>
    <x v="0"/>
    <n v="1"/>
  </r>
  <r>
    <x v="57"/>
    <x v="0"/>
    <n v="1"/>
  </r>
  <r>
    <x v="57"/>
    <x v="0"/>
    <n v="1"/>
  </r>
  <r>
    <x v="58"/>
    <x v="0"/>
    <n v="1"/>
  </r>
  <r>
    <x v="58"/>
    <x v="0"/>
    <n v="1"/>
  </r>
  <r>
    <x v="58"/>
    <x v="0"/>
    <n v="1"/>
  </r>
  <r>
    <x v="58"/>
    <x v="0"/>
    <n v="1"/>
  </r>
  <r>
    <x v="58"/>
    <x v="0"/>
    <n v="1"/>
  </r>
  <r>
    <x v="58"/>
    <x v="0"/>
    <n v="1"/>
  </r>
  <r>
    <x v="58"/>
    <x v="0"/>
    <n v="1"/>
  </r>
  <r>
    <x v="58"/>
    <x v="0"/>
    <n v="1"/>
  </r>
  <r>
    <x v="58"/>
    <x v="0"/>
    <n v="1"/>
  </r>
  <r>
    <x v="58"/>
    <x v="0"/>
    <n v="1"/>
  </r>
  <r>
    <x v="58"/>
    <x v="0"/>
    <n v="1"/>
  </r>
  <r>
    <x v="58"/>
    <x v="0"/>
    <n v="1"/>
  </r>
  <r>
    <x v="58"/>
    <x v="0"/>
    <n v="1"/>
  </r>
  <r>
    <x v="58"/>
    <x v="0"/>
    <n v="1"/>
  </r>
  <r>
    <x v="58"/>
    <x v="0"/>
    <n v="1"/>
  </r>
  <r>
    <x v="59"/>
    <x v="0"/>
    <n v="1"/>
  </r>
  <r>
    <x v="60"/>
    <x v="0"/>
    <n v="1"/>
  </r>
  <r>
    <x v="61"/>
    <x v="0"/>
    <n v="1"/>
  </r>
  <r>
    <x v="62"/>
    <x v="0"/>
    <n v="1"/>
  </r>
  <r>
    <x v="63"/>
    <x v="0"/>
    <n v="1"/>
  </r>
  <r>
    <x v="64"/>
    <x v="0"/>
    <n v="1"/>
  </r>
  <r>
    <x v="65"/>
    <x v="0"/>
    <n v="1"/>
  </r>
  <r>
    <x v="66"/>
    <x v="0"/>
    <n v="1"/>
  </r>
  <r>
    <x v="67"/>
    <x v="0"/>
    <n v="1"/>
  </r>
  <r>
    <x v="68"/>
    <x v="0"/>
    <n v="1"/>
  </r>
  <r>
    <x v="69"/>
    <x v="0"/>
    <n v="1"/>
  </r>
  <r>
    <x v="70"/>
    <x v="0"/>
    <n v="1"/>
  </r>
  <r>
    <x v="71"/>
    <x v="0"/>
    <n v="1"/>
  </r>
  <r>
    <x v="72"/>
    <x v="0"/>
    <n v="1"/>
  </r>
  <r>
    <x v="73"/>
    <x v="0"/>
    <n v="1"/>
  </r>
  <r>
    <x v="74"/>
    <x v="0"/>
    <n v="1"/>
  </r>
  <r>
    <x v="75"/>
    <x v="0"/>
    <n v="1"/>
  </r>
  <r>
    <x v="76"/>
    <x v="0"/>
    <n v="1"/>
  </r>
  <r>
    <x v="77"/>
    <x v="0"/>
    <n v="1"/>
  </r>
  <r>
    <x v="78"/>
    <x v="0"/>
    <n v="1"/>
  </r>
  <r>
    <x v="79"/>
    <x v="0"/>
    <n v="1"/>
  </r>
  <r>
    <x v="80"/>
    <x v="0"/>
    <n v="1"/>
  </r>
  <r>
    <x v="81"/>
    <x v="0"/>
    <n v="1"/>
  </r>
  <r>
    <x v="82"/>
    <x v="0"/>
    <n v="1"/>
  </r>
  <r>
    <x v="83"/>
    <x v="0"/>
    <n v="1"/>
  </r>
  <r>
    <x v="83"/>
    <x v="0"/>
    <n v="1"/>
  </r>
  <r>
    <x v="83"/>
    <x v="1"/>
    <n v="1"/>
  </r>
  <r>
    <x v="83"/>
    <x v="0"/>
    <n v="1"/>
  </r>
  <r>
    <x v="83"/>
    <x v="0"/>
    <n v="1"/>
  </r>
  <r>
    <x v="84"/>
    <x v="0"/>
    <n v="1"/>
  </r>
  <r>
    <x v="85"/>
    <x v="3"/>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6"/>
    <x v="0"/>
    <n v="1"/>
  </r>
  <r>
    <x v="87"/>
    <x v="0"/>
    <n v="1"/>
  </r>
  <r>
    <x v="88"/>
    <x v="0"/>
    <n v="1"/>
  </r>
  <r>
    <x v="88"/>
    <x v="1"/>
    <n v="1"/>
  </r>
  <r>
    <x v="89"/>
    <x v="0"/>
    <n v="1"/>
  </r>
  <r>
    <x v="89"/>
    <x v="1"/>
    <n v="1"/>
  </r>
  <r>
    <x v="90"/>
    <x v="0"/>
    <n v="1"/>
  </r>
  <r>
    <x v="90"/>
    <x v="1"/>
    <n v="1"/>
  </r>
  <r>
    <x v="91"/>
    <x v="0"/>
    <n v="1"/>
  </r>
  <r>
    <x v="91"/>
    <x v="1"/>
    <n v="1"/>
  </r>
  <r>
    <x v="92"/>
    <x v="0"/>
    <n v="1"/>
  </r>
  <r>
    <x v="92"/>
    <x v="1"/>
    <n v="1"/>
  </r>
  <r>
    <x v="93"/>
    <x v="0"/>
    <n v="1"/>
  </r>
  <r>
    <x v="93"/>
    <x v="1"/>
    <n v="1"/>
  </r>
  <r>
    <x v="94"/>
    <x v="0"/>
    <n v="1"/>
  </r>
  <r>
    <x v="94"/>
    <x v="1"/>
    <n v="1"/>
  </r>
  <r>
    <x v="95"/>
    <x v="0"/>
    <n v="1"/>
  </r>
  <r>
    <x v="95"/>
    <x v="1"/>
    <n v="1"/>
  </r>
  <r>
    <x v="96"/>
    <x v="0"/>
    <n v="1"/>
  </r>
  <r>
    <x v="96"/>
    <x v="1"/>
    <n v="1"/>
  </r>
  <r>
    <x v="97"/>
    <x v="0"/>
    <n v="1"/>
  </r>
  <r>
    <x v="97"/>
    <x v="1"/>
    <n v="1"/>
  </r>
  <r>
    <x v="98"/>
    <x v="0"/>
    <n v="1"/>
  </r>
  <r>
    <x v="98"/>
    <x v="1"/>
    <n v="1"/>
  </r>
  <r>
    <x v="99"/>
    <x v="0"/>
    <n v="1"/>
  </r>
  <r>
    <x v="99"/>
    <x v="1"/>
    <n v="1"/>
  </r>
  <r>
    <x v="100"/>
    <x v="0"/>
    <n v="1"/>
  </r>
  <r>
    <x v="101"/>
    <x v="0"/>
    <n v="1"/>
  </r>
  <r>
    <x v="101"/>
    <x v="1"/>
    <n v="1"/>
  </r>
  <r>
    <x v="102"/>
    <x v="0"/>
    <n v="1"/>
  </r>
  <r>
    <x v="103"/>
    <x v="0"/>
    <n v="1"/>
  </r>
  <r>
    <x v="103"/>
    <x v="1"/>
    <n v="1"/>
  </r>
  <r>
    <x v="104"/>
    <x v="3"/>
    <n v="1"/>
  </r>
  <r>
    <x v="105"/>
    <x v="0"/>
    <n v="1"/>
  </r>
  <r>
    <x v="105"/>
    <x v="1"/>
    <n v="1"/>
  </r>
  <r>
    <x v="106"/>
    <x v="0"/>
    <n v="1"/>
  </r>
  <r>
    <x v="106"/>
    <x v="1"/>
    <n v="1"/>
  </r>
  <r>
    <x v="106"/>
    <x v="0"/>
    <n v="1"/>
  </r>
  <r>
    <x v="106"/>
    <x v="1"/>
    <n v="1"/>
  </r>
  <r>
    <x v="106"/>
    <x v="0"/>
    <n v="1"/>
  </r>
  <r>
    <x v="106"/>
    <x v="0"/>
    <n v="1"/>
  </r>
  <r>
    <x v="106"/>
    <x v="0"/>
    <n v="1"/>
  </r>
  <r>
    <x v="106"/>
    <x v="1"/>
    <n v="1"/>
  </r>
  <r>
    <x v="106"/>
    <x v="0"/>
    <n v="1"/>
  </r>
  <r>
    <x v="106"/>
    <x v="0"/>
    <n v="1"/>
  </r>
  <r>
    <x v="107"/>
    <x v="0"/>
    <n v="1"/>
  </r>
  <r>
    <x v="107"/>
    <x v="1"/>
    <n v="1"/>
  </r>
  <r>
    <x v="108"/>
    <x v="0"/>
    <n v="1"/>
  </r>
  <r>
    <x v="108"/>
    <x v="1"/>
    <n v="1"/>
  </r>
  <r>
    <x v="109"/>
    <x v="0"/>
    <n v="1"/>
  </r>
  <r>
    <x v="109"/>
    <x v="1"/>
    <n v="1"/>
  </r>
  <r>
    <x v="110"/>
    <x v="3"/>
    <n v="1"/>
  </r>
  <r>
    <x v="110"/>
    <x v="0"/>
    <n v="1"/>
  </r>
  <r>
    <x v="110"/>
    <x v="0"/>
    <n v="1"/>
  </r>
  <r>
    <x v="110"/>
    <x v="0"/>
    <n v="1"/>
  </r>
  <r>
    <x v="110"/>
    <x v="0"/>
    <n v="1"/>
  </r>
  <r>
    <x v="110"/>
    <x v="0"/>
    <n v="1"/>
  </r>
  <r>
    <x v="111"/>
    <x v="0"/>
    <n v="1"/>
  </r>
  <r>
    <x v="111"/>
    <x v="0"/>
    <n v="1"/>
  </r>
  <r>
    <x v="111"/>
    <x v="0"/>
    <n v="1"/>
  </r>
  <r>
    <x v="112"/>
    <x v="0"/>
    <n v="1"/>
  </r>
  <r>
    <x v="113"/>
    <x v="0"/>
    <n v="1"/>
  </r>
  <r>
    <x v="113"/>
    <x v="1"/>
    <n v="1"/>
  </r>
  <r>
    <x v="114"/>
    <x v="0"/>
    <n v="1"/>
  </r>
  <r>
    <x v="115"/>
    <x v="0"/>
    <n v="1"/>
  </r>
  <r>
    <x v="116"/>
    <x v="0"/>
    <n v="1"/>
  </r>
  <r>
    <x v="116"/>
    <x v="1"/>
    <n v="1"/>
  </r>
  <r>
    <x v="117"/>
    <x v="0"/>
    <n v="1"/>
  </r>
  <r>
    <x v="117"/>
    <x v="1"/>
    <n v="1"/>
  </r>
  <r>
    <x v="118"/>
    <x v="0"/>
    <n v="1"/>
  </r>
  <r>
    <x v="118"/>
    <x v="1"/>
    <n v="1"/>
  </r>
  <r>
    <x v="119"/>
    <x v="0"/>
    <n v="1"/>
  </r>
  <r>
    <x v="119"/>
    <x v="1"/>
    <n v="1"/>
  </r>
  <r>
    <x v="120"/>
    <x v="0"/>
    <n v="1"/>
  </r>
  <r>
    <x v="120"/>
    <x v="1"/>
    <n v="1"/>
  </r>
  <r>
    <x v="121"/>
    <x v="0"/>
    <n v="1"/>
  </r>
  <r>
    <x v="121"/>
    <x v="1"/>
    <n v="1"/>
  </r>
  <r>
    <x v="122"/>
    <x v="0"/>
    <n v="1"/>
  </r>
  <r>
    <x v="122"/>
    <x v="1"/>
    <n v="1"/>
  </r>
  <r>
    <x v="123"/>
    <x v="0"/>
    <n v="1"/>
  </r>
  <r>
    <x v="123"/>
    <x v="1"/>
    <n v="1"/>
  </r>
  <r>
    <x v="124"/>
    <x v="0"/>
    <n v="1"/>
  </r>
  <r>
    <x v="124"/>
    <x v="1"/>
    <n v="1"/>
  </r>
  <r>
    <x v="125"/>
    <x v="0"/>
    <n v="1"/>
  </r>
  <r>
    <x v="125"/>
    <x v="1"/>
    <n v="1"/>
  </r>
  <r>
    <x v="126"/>
    <x v="0"/>
    <n v="1"/>
  </r>
  <r>
    <x v="127"/>
    <x v="0"/>
    <n v="1"/>
  </r>
  <r>
    <x v="128"/>
    <x v="0"/>
    <n v="1"/>
  </r>
  <r>
    <x v="128"/>
    <x v="1"/>
    <n v="1"/>
  </r>
  <r>
    <x v="129"/>
    <x v="3"/>
    <n v="1"/>
  </r>
  <r>
    <x v="129"/>
    <x v="0"/>
    <n v="1"/>
  </r>
  <r>
    <x v="129"/>
    <x v="0"/>
    <n v="1"/>
  </r>
  <r>
    <x v="129"/>
    <x v="0"/>
    <n v="1"/>
  </r>
  <r>
    <x v="129"/>
    <x v="0"/>
    <n v="1"/>
  </r>
  <r>
    <x v="129"/>
    <x v="0"/>
    <n v="1"/>
  </r>
  <r>
    <x v="129"/>
    <x v="0"/>
    <n v="1"/>
  </r>
  <r>
    <x v="130"/>
    <x v="0"/>
    <n v="1"/>
  </r>
  <r>
    <x v="130"/>
    <x v="1"/>
    <n v="1"/>
  </r>
  <r>
    <x v="131"/>
    <x v="0"/>
    <n v="1"/>
  </r>
  <r>
    <x v="131"/>
    <x v="1"/>
    <n v="1"/>
  </r>
  <r>
    <x v="132"/>
    <x v="0"/>
    <n v="1"/>
  </r>
  <r>
    <x v="132"/>
    <x v="1"/>
    <n v="1"/>
  </r>
  <r>
    <x v="133"/>
    <x v="3"/>
    <n v="1"/>
  </r>
  <r>
    <x v="133"/>
    <x v="0"/>
    <n v="1"/>
  </r>
  <r>
    <x v="133"/>
    <x v="0"/>
    <n v="1"/>
  </r>
  <r>
    <x v="133"/>
    <x v="0"/>
    <n v="1"/>
  </r>
  <r>
    <x v="133"/>
    <x v="0"/>
    <n v="1"/>
  </r>
  <r>
    <x v="133"/>
    <x v="0"/>
    <n v="1"/>
  </r>
  <r>
    <x v="133"/>
    <x v="1"/>
    <n v="1"/>
  </r>
  <r>
    <x v="133"/>
    <x v="0"/>
    <n v="1"/>
  </r>
  <r>
    <x v="133"/>
    <x v="0"/>
    <n v="1"/>
  </r>
  <r>
    <x v="133"/>
    <x v="0"/>
    <n v="1"/>
  </r>
  <r>
    <x v="133"/>
    <x v="0"/>
    <n v="1"/>
  </r>
  <r>
    <x v="133"/>
    <x v="1"/>
    <n v="1"/>
  </r>
  <r>
    <x v="133"/>
    <x v="0"/>
    <n v="1"/>
  </r>
  <r>
    <x v="133"/>
    <x v="0"/>
    <n v="1"/>
  </r>
  <r>
    <x v="134"/>
    <x v="0"/>
    <n v="1"/>
  </r>
  <r>
    <x v="134"/>
    <x v="1"/>
    <n v="1"/>
  </r>
  <r>
    <x v="135"/>
    <x v="0"/>
    <n v="1"/>
  </r>
  <r>
    <x v="135"/>
    <x v="1"/>
    <n v="1"/>
  </r>
  <r>
    <x v="136"/>
    <x v="0"/>
    <n v="1"/>
  </r>
  <r>
    <x v="136"/>
    <x v="0"/>
    <n v="1"/>
  </r>
  <r>
    <x v="136"/>
    <x v="0"/>
    <n v="1"/>
  </r>
  <r>
    <x v="136"/>
    <x v="0"/>
    <n v="1"/>
  </r>
  <r>
    <x v="136"/>
    <x v="0"/>
    <n v="1"/>
  </r>
  <r>
    <x v="136"/>
    <x v="0"/>
    <n v="1"/>
  </r>
  <r>
    <x v="136"/>
    <x v="0"/>
    <n v="1"/>
  </r>
  <r>
    <x v="136"/>
    <x v="0"/>
    <n v="1"/>
  </r>
  <r>
    <x v="137"/>
    <x v="0"/>
    <n v="1"/>
  </r>
  <r>
    <x v="137"/>
    <x v="1"/>
    <n v="1"/>
  </r>
  <r>
    <x v="138"/>
    <x v="0"/>
    <n v="1"/>
  </r>
  <r>
    <x v="139"/>
    <x v="0"/>
    <n v="1"/>
  </r>
  <r>
    <x v="139"/>
    <x v="1"/>
    <n v="1"/>
  </r>
  <r>
    <x v="140"/>
    <x v="0"/>
    <n v="1"/>
  </r>
  <r>
    <x v="140"/>
    <x v="1"/>
    <n v="1"/>
  </r>
  <r>
    <x v="140"/>
    <x v="0"/>
    <n v="1"/>
  </r>
  <r>
    <x v="140"/>
    <x v="0"/>
    <n v="1"/>
  </r>
  <r>
    <x v="140"/>
    <x v="0"/>
    <n v="1"/>
  </r>
  <r>
    <x v="140"/>
    <x v="1"/>
    <n v="1"/>
  </r>
  <r>
    <x v="140"/>
    <x v="0"/>
    <n v="1"/>
  </r>
  <r>
    <x v="140"/>
    <x v="0"/>
    <n v="1"/>
  </r>
  <r>
    <x v="140"/>
    <x v="0"/>
    <n v="1"/>
  </r>
  <r>
    <x v="140"/>
    <x v="0"/>
    <n v="1"/>
  </r>
  <r>
    <x v="140"/>
    <x v="0"/>
    <n v="1"/>
  </r>
  <r>
    <x v="140"/>
    <x v="0"/>
    <n v="1"/>
  </r>
  <r>
    <x v="140"/>
    <x v="0"/>
    <n v="1"/>
  </r>
  <r>
    <x v="140"/>
    <x v="0"/>
    <n v="1"/>
  </r>
  <r>
    <x v="140"/>
    <x v="0"/>
    <n v="1"/>
  </r>
  <r>
    <x v="141"/>
    <x v="0"/>
    <n v="1"/>
  </r>
  <r>
    <x v="141"/>
    <x v="1"/>
    <n v="1"/>
  </r>
  <r>
    <x v="142"/>
    <x v="0"/>
    <n v="1"/>
  </r>
  <r>
    <x v="142"/>
    <x v="1"/>
    <n v="1"/>
  </r>
  <r>
    <x v="143"/>
    <x v="5"/>
    <n v="1"/>
  </r>
  <r>
    <x v="144"/>
    <x v="0"/>
    <n v="1"/>
  </r>
  <r>
    <x v="144"/>
    <x v="1"/>
    <n v="1"/>
  </r>
  <r>
    <x v="145"/>
    <x v="0"/>
    <n v="1"/>
  </r>
  <r>
    <x v="145"/>
    <x v="1"/>
    <n v="1"/>
  </r>
  <r>
    <x v="146"/>
    <x v="0"/>
    <n v="1"/>
  </r>
  <r>
    <x v="146"/>
    <x v="1"/>
    <n v="1"/>
  </r>
  <r>
    <x v="147"/>
    <x v="0"/>
    <n v="1"/>
  </r>
  <r>
    <x v="147"/>
    <x v="1"/>
    <n v="1"/>
  </r>
  <r>
    <x v="148"/>
    <x v="0"/>
    <n v="1"/>
  </r>
  <r>
    <x v="148"/>
    <x v="1"/>
    <n v="1"/>
  </r>
  <r>
    <x v="148"/>
    <x v="0"/>
    <n v="1"/>
  </r>
  <r>
    <x v="148"/>
    <x v="0"/>
    <n v="1"/>
  </r>
  <r>
    <x v="148"/>
    <x v="0"/>
    <n v="1"/>
  </r>
  <r>
    <x v="148"/>
    <x v="1"/>
    <n v="1"/>
  </r>
  <r>
    <x v="148"/>
    <x v="0"/>
    <n v="1"/>
  </r>
  <r>
    <x v="148"/>
    <x v="0"/>
    <n v="1"/>
  </r>
  <r>
    <x v="149"/>
    <x v="0"/>
    <n v="1"/>
  </r>
  <r>
    <x v="149"/>
    <x v="0"/>
    <n v="1"/>
  </r>
  <r>
    <x v="149"/>
    <x v="1"/>
    <n v="1"/>
  </r>
  <r>
    <x v="149"/>
    <x v="0"/>
    <n v="1"/>
  </r>
  <r>
    <x v="149"/>
    <x v="0"/>
    <n v="1"/>
  </r>
  <r>
    <x v="149"/>
    <x v="1"/>
    <n v="1"/>
  </r>
  <r>
    <x v="149"/>
    <x v="0"/>
    <n v="1"/>
  </r>
  <r>
    <x v="149"/>
    <x v="1"/>
    <n v="1"/>
  </r>
  <r>
    <x v="149"/>
    <x v="0"/>
    <n v="1"/>
  </r>
  <r>
    <x v="149"/>
    <x v="1"/>
    <n v="1"/>
  </r>
  <r>
    <x v="149"/>
    <x v="0"/>
    <n v="1"/>
  </r>
  <r>
    <x v="149"/>
    <x v="1"/>
    <n v="1"/>
  </r>
  <r>
    <x v="149"/>
    <x v="0"/>
    <n v="1"/>
  </r>
  <r>
    <x v="149"/>
    <x v="0"/>
    <n v="1"/>
  </r>
  <r>
    <x v="149"/>
    <x v="0"/>
    <n v="1"/>
  </r>
  <r>
    <x v="149"/>
    <x v="0"/>
    <n v="1"/>
  </r>
  <r>
    <x v="149"/>
    <x v="0"/>
    <n v="1"/>
  </r>
  <r>
    <x v="149"/>
    <x v="0"/>
    <n v="1"/>
  </r>
  <r>
    <x v="149"/>
    <x v="0"/>
    <n v="1"/>
  </r>
  <r>
    <x v="149"/>
    <x v="0"/>
    <n v="1"/>
  </r>
  <r>
    <x v="149"/>
    <x v="0"/>
    <n v="1"/>
  </r>
  <r>
    <x v="149"/>
    <x v="1"/>
    <n v="1"/>
  </r>
  <r>
    <x v="149"/>
    <x v="0"/>
    <n v="1"/>
  </r>
  <r>
    <x v="149"/>
    <x v="1"/>
    <n v="1"/>
  </r>
  <r>
    <x v="149"/>
    <x v="0"/>
    <n v="1"/>
  </r>
  <r>
    <x v="149"/>
    <x v="1"/>
    <n v="1"/>
  </r>
  <r>
    <x v="149"/>
    <x v="0"/>
    <n v="1"/>
  </r>
  <r>
    <x v="149"/>
    <x v="0"/>
    <n v="1"/>
  </r>
  <r>
    <x v="149"/>
    <x v="0"/>
    <n v="1"/>
  </r>
  <r>
    <x v="149"/>
    <x v="1"/>
    <n v="1"/>
  </r>
  <r>
    <x v="150"/>
    <x v="1"/>
    <n v="1"/>
  </r>
  <r>
    <x v="150"/>
    <x v="1"/>
    <n v="1"/>
  </r>
  <r>
    <x v="150"/>
    <x v="0"/>
    <n v="1"/>
  </r>
  <r>
    <x v="150"/>
    <x v="1"/>
    <n v="1"/>
  </r>
  <r>
    <x v="151"/>
    <x v="1"/>
    <n v="1"/>
  </r>
  <r>
    <x v="151"/>
    <x v="1"/>
    <n v="1"/>
  </r>
  <r>
    <x v="151"/>
    <x v="0"/>
    <n v="1"/>
  </r>
  <r>
    <x v="151"/>
    <x v="1"/>
    <n v="1"/>
  </r>
  <r>
    <x v="152"/>
    <x v="0"/>
    <n v="1"/>
  </r>
  <r>
    <x v="152"/>
    <x v="1"/>
    <n v="1"/>
  </r>
  <r>
    <x v="153"/>
    <x v="0"/>
    <n v="1"/>
  </r>
  <r>
    <x v="154"/>
    <x v="0"/>
    <n v="1"/>
  </r>
  <r>
    <x v="154"/>
    <x v="1"/>
    <n v="1"/>
  </r>
  <r>
    <x v="154"/>
    <x v="0"/>
    <n v="1"/>
  </r>
  <r>
    <x v="154"/>
    <x v="1"/>
    <n v="1"/>
  </r>
  <r>
    <x v="154"/>
    <x v="0"/>
    <n v="1"/>
  </r>
  <r>
    <x v="154"/>
    <x v="0"/>
    <n v="1"/>
  </r>
  <r>
    <x v="154"/>
    <x v="0"/>
    <n v="1"/>
  </r>
  <r>
    <x v="154"/>
    <x v="1"/>
    <n v="1"/>
  </r>
  <r>
    <x v="154"/>
    <x v="0"/>
    <n v="1"/>
  </r>
  <r>
    <x v="154"/>
    <x v="3"/>
    <n v="1"/>
  </r>
  <r>
    <x v="154"/>
    <x v="1"/>
    <n v="1"/>
  </r>
  <r>
    <x v="155"/>
    <x v="0"/>
    <n v="1"/>
  </r>
  <r>
    <x v="155"/>
    <x v="0"/>
    <n v="1"/>
  </r>
  <r>
    <x v="155"/>
    <x v="1"/>
    <n v="1"/>
  </r>
  <r>
    <x v="155"/>
    <x v="0"/>
    <n v="1"/>
  </r>
  <r>
    <x v="155"/>
    <x v="1"/>
    <n v="1"/>
  </r>
  <r>
    <x v="155"/>
    <x v="0"/>
    <n v="1"/>
  </r>
  <r>
    <x v="155"/>
    <x v="0"/>
    <n v="1"/>
  </r>
  <r>
    <x v="155"/>
    <x v="0"/>
    <n v="1"/>
  </r>
  <r>
    <x v="155"/>
    <x v="1"/>
    <n v="1"/>
  </r>
  <r>
    <x v="155"/>
    <x v="0"/>
    <n v="1"/>
  </r>
  <r>
    <x v="155"/>
    <x v="1"/>
    <n v="1"/>
  </r>
  <r>
    <x v="155"/>
    <x v="0"/>
    <n v="1"/>
  </r>
  <r>
    <x v="155"/>
    <x v="0"/>
    <n v="1"/>
  </r>
  <r>
    <x v="155"/>
    <x v="0"/>
    <n v="1"/>
  </r>
  <r>
    <x v="156"/>
    <x v="0"/>
    <n v="1"/>
  </r>
  <r>
    <x v="156"/>
    <x v="1"/>
    <n v="1"/>
  </r>
  <r>
    <x v="157"/>
    <x v="0"/>
    <n v="1"/>
  </r>
  <r>
    <x v="158"/>
    <x v="0"/>
    <n v="1"/>
  </r>
  <r>
    <x v="159"/>
    <x v="0"/>
    <n v="1"/>
  </r>
  <r>
    <x v="159"/>
    <x v="1"/>
    <n v="1"/>
  </r>
  <r>
    <x v="160"/>
    <x v="0"/>
    <n v="1"/>
  </r>
  <r>
    <x v="160"/>
    <x v="1"/>
    <n v="1"/>
  </r>
  <r>
    <x v="161"/>
    <x v="0"/>
    <n v="1"/>
  </r>
  <r>
    <x v="161"/>
    <x v="1"/>
    <n v="1"/>
  </r>
  <r>
    <x v="162"/>
    <x v="0"/>
    <n v="1"/>
  </r>
  <r>
    <x v="162"/>
    <x v="0"/>
    <n v="1"/>
  </r>
  <r>
    <x v="162"/>
    <x v="1"/>
    <n v="1"/>
  </r>
  <r>
    <x v="162"/>
    <x v="0"/>
    <n v="1"/>
  </r>
  <r>
    <x v="162"/>
    <x v="1"/>
    <n v="1"/>
  </r>
  <r>
    <x v="162"/>
    <x v="0"/>
    <n v="1"/>
  </r>
  <r>
    <x v="162"/>
    <x v="0"/>
    <n v="1"/>
  </r>
  <r>
    <x v="162"/>
    <x v="0"/>
    <n v="1"/>
  </r>
  <r>
    <x v="162"/>
    <x v="0"/>
    <n v="1"/>
  </r>
  <r>
    <x v="162"/>
    <x v="1"/>
    <n v="1"/>
  </r>
  <r>
    <x v="162"/>
    <x v="0"/>
    <n v="1"/>
  </r>
  <r>
    <x v="162"/>
    <x v="0"/>
    <n v="1"/>
  </r>
  <r>
    <x v="162"/>
    <x v="0"/>
    <n v="1"/>
  </r>
  <r>
    <x v="163"/>
    <x v="0"/>
    <n v="1"/>
  </r>
  <r>
    <x v="163"/>
    <x v="1"/>
    <n v="1"/>
  </r>
  <r>
    <x v="164"/>
    <x v="0"/>
    <n v="1"/>
  </r>
  <r>
    <x v="164"/>
    <x v="1"/>
    <n v="1"/>
  </r>
  <r>
    <x v="164"/>
    <x v="0"/>
    <n v="1"/>
  </r>
  <r>
    <x v="164"/>
    <x v="1"/>
    <n v="1"/>
  </r>
  <r>
    <x v="164"/>
    <x v="0"/>
    <n v="1"/>
  </r>
  <r>
    <x v="164"/>
    <x v="1"/>
    <n v="1"/>
  </r>
  <r>
    <x v="164"/>
    <x v="0"/>
    <n v="1"/>
  </r>
  <r>
    <x v="164"/>
    <x v="1"/>
    <n v="1"/>
  </r>
  <r>
    <x v="164"/>
    <x v="0"/>
    <n v="1"/>
  </r>
  <r>
    <x v="164"/>
    <x v="0"/>
    <n v="1"/>
  </r>
  <r>
    <x v="164"/>
    <x v="0"/>
    <n v="1"/>
  </r>
  <r>
    <x v="164"/>
    <x v="1"/>
    <n v="1"/>
  </r>
  <r>
    <x v="164"/>
    <x v="0"/>
    <n v="1"/>
  </r>
  <r>
    <x v="164"/>
    <x v="0"/>
    <n v="1"/>
  </r>
  <r>
    <x v="164"/>
    <x v="0"/>
    <n v="1"/>
  </r>
  <r>
    <x v="164"/>
    <x v="1"/>
    <n v="1"/>
  </r>
  <r>
    <x v="164"/>
    <x v="0"/>
    <n v="1"/>
  </r>
  <r>
    <x v="164"/>
    <x v="1"/>
    <n v="1"/>
  </r>
  <r>
    <x v="164"/>
    <x v="0"/>
    <n v="1"/>
  </r>
  <r>
    <x v="164"/>
    <x v="0"/>
    <n v="1"/>
  </r>
  <r>
    <x v="164"/>
    <x v="1"/>
    <n v="1"/>
  </r>
  <r>
    <x v="164"/>
    <x v="1"/>
    <n v="1"/>
  </r>
  <r>
    <x v="164"/>
    <x v="4"/>
    <n v="1"/>
  </r>
  <r>
    <x v="165"/>
    <x v="0"/>
    <n v="1"/>
  </r>
  <r>
    <x v="165"/>
    <x v="1"/>
    <n v="1"/>
  </r>
  <r>
    <x v="166"/>
    <x v="0"/>
    <n v="1"/>
  </r>
  <r>
    <x v="166"/>
    <x v="1"/>
    <n v="1"/>
  </r>
  <r>
    <x v="167"/>
    <x v="0"/>
    <n v="1"/>
  </r>
  <r>
    <x v="167"/>
    <x v="1"/>
    <n v="1"/>
  </r>
  <r>
    <x v="168"/>
    <x v="0"/>
    <n v="1"/>
  </r>
  <r>
    <x v="168"/>
    <x v="1"/>
    <n v="1"/>
  </r>
  <r>
    <x v="169"/>
    <x v="0"/>
    <n v="1"/>
  </r>
  <r>
    <x v="170"/>
    <x v="0"/>
    <n v="1"/>
  </r>
  <r>
    <x v="170"/>
    <x v="1"/>
    <n v="1"/>
  </r>
  <r>
    <x v="171"/>
    <x v="0"/>
    <n v="1"/>
  </r>
  <r>
    <x v="171"/>
    <x v="1"/>
    <n v="1"/>
  </r>
  <r>
    <x v="172"/>
    <x v="0"/>
    <n v="1"/>
  </r>
  <r>
    <x v="173"/>
    <x v="0"/>
    <n v="1"/>
  </r>
  <r>
    <x v="173"/>
    <x v="1"/>
    <n v="1"/>
  </r>
  <r>
    <x v="173"/>
    <x v="0"/>
    <n v="1"/>
  </r>
  <r>
    <x v="173"/>
    <x v="0"/>
    <n v="1"/>
  </r>
  <r>
    <x v="174"/>
    <x v="3"/>
    <n v="1"/>
  </r>
  <r>
    <x v="175"/>
    <x v="0"/>
    <n v="1"/>
  </r>
  <r>
    <x v="175"/>
    <x v="1"/>
    <n v="1"/>
  </r>
  <r>
    <x v="176"/>
    <x v="0"/>
    <n v="1"/>
  </r>
  <r>
    <x v="176"/>
    <x v="1"/>
    <n v="1"/>
  </r>
  <r>
    <x v="177"/>
    <x v="0"/>
    <n v="1"/>
  </r>
  <r>
    <x v="178"/>
    <x v="0"/>
    <n v="1"/>
  </r>
  <r>
    <x v="178"/>
    <x v="1"/>
    <n v="1"/>
  </r>
  <r>
    <x v="179"/>
    <x v="0"/>
    <n v="1"/>
  </r>
  <r>
    <x v="179"/>
    <x v="1"/>
    <n v="1"/>
  </r>
  <r>
    <x v="180"/>
    <x v="0"/>
    <n v="1"/>
  </r>
  <r>
    <x v="180"/>
    <x v="1"/>
    <n v="1"/>
  </r>
  <r>
    <x v="180"/>
    <x v="0"/>
    <n v="1"/>
  </r>
  <r>
    <x v="180"/>
    <x v="0"/>
    <n v="1"/>
  </r>
  <r>
    <x v="180"/>
    <x v="0"/>
    <n v="1"/>
  </r>
  <r>
    <x v="180"/>
    <x v="1"/>
    <n v="1"/>
  </r>
  <r>
    <x v="180"/>
    <x v="1"/>
    <n v="1"/>
  </r>
  <r>
    <x v="181"/>
    <x v="0"/>
    <n v="1"/>
  </r>
  <r>
    <x v="181"/>
    <x v="3"/>
    <n v="1"/>
  </r>
  <r>
    <x v="182"/>
    <x v="0"/>
    <n v="1"/>
  </r>
  <r>
    <x v="182"/>
    <x v="0"/>
    <n v="1"/>
  </r>
  <r>
    <x v="182"/>
    <x v="0"/>
    <n v="1"/>
  </r>
  <r>
    <x v="182"/>
    <x v="1"/>
    <n v="1"/>
  </r>
  <r>
    <x v="182"/>
    <x v="0"/>
    <n v="1"/>
  </r>
  <r>
    <x v="182"/>
    <x v="1"/>
    <n v="1"/>
  </r>
  <r>
    <x v="183"/>
    <x v="0"/>
    <n v="1"/>
  </r>
  <r>
    <x v="183"/>
    <x v="1"/>
    <n v="1"/>
  </r>
  <r>
    <x v="184"/>
    <x v="0"/>
    <n v="1"/>
  </r>
  <r>
    <x v="184"/>
    <x v="1"/>
    <n v="1"/>
  </r>
  <r>
    <x v="184"/>
    <x v="0"/>
    <n v="1"/>
  </r>
  <r>
    <x v="184"/>
    <x v="1"/>
    <n v="1"/>
  </r>
  <r>
    <x v="184"/>
    <x v="0"/>
    <n v="1"/>
  </r>
  <r>
    <x v="184"/>
    <x v="0"/>
    <n v="1"/>
  </r>
  <r>
    <x v="184"/>
    <x v="0"/>
    <n v="1"/>
  </r>
  <r>
    <x v="184"/>
    <x v="1"/>
    <n v="1"/>
  </r>
  <r>
    <x v="184"/>
    <x v="0"/>
    <n v="1"/>
  </r>
  <r>
    <x v="184"/>
    <x v="0"/>
    <n v="1"/>
  </r>
  <r>
    <x v="184"/>
    <x v="1"/>
    <n v="1"/>
  </r>
  <r>
    <x v="184"/>
    <x v="0"/>
    <n v="1"/>
  </r>
  <r>
    <x v="184"/>
    <x v="1"/>
    <n v="1"/>
  </r>
  <r>
    <x v="184"/>
    <x v="0"/>
    <n v="1"/>
  </r>
  <r>
    <x v="184"/>
    <x v="1"/>
    <n v="1"/>
  </r>
  <r>
    <x v="184"/>
    <x v="0"/>
    <n v="1"/>
  </r>
  <r>
    <x v="184"/>
    <x v="1"/>
    <n v="1"/>
  </r>
  <r>
    <x v="184"/>
    <x v="0"/>
    <n v="1"/>
  </r>
  <r>
    <x v="184"/>
    <x v="1"/>
    <n v="1"/>
  </r>
  <r>
    <x v="185"/>
    <x v="0"/>
    <n v="1"/>
  </r>
  <r>
    <x v="185"/>
    <x v="1"/>
    <n v="1"/>
  </r>
  <r>
    <x v="185"/>
    <x v="0"/>
    <n v="1"/>
  </r>
  <r>
    <x v="185"/>
    <x v="0"/>
    <n v="1"/>
  </r>
  <r>
    <x v="185"/>
    <x v="1"/>
    <n v="1"/>
  </r>
  <r>
    <x v="185"/>
    <x v="0"/>
    <n v="1"/>
  </r>
  <r>
    <x v="185"/>
    <x v="1"/>
    <n v="1"/>
  </r>
  <r>
    <x v="186"/>
    <x v="0"/>
    <n v="1"/>
  </r>
  <r>
    <x v="186"/>
    <x v="1"/>
    <n v="1"/>
  </r>
  <r>
    <x v="186"/>
    <x v="0"/>
    <n v="1"/>
  </r>
  <r>
    <x v="186"/>
    <x v="3"/>
    <n v="1"/>
  </r>
  <r>
    <x v="186"/>
    <x v="0"/>
    <n v="1"/>
  </r>
  <r>
    <x v="186"/>
    <x v="1"/>
    <n v="1"/>
  </r>
  <r>
    <x v="186"/>
    <x v="0"/>
    <n v="1"/>
  </r>
  <r>
    <x v="186"/>
    <x v="1"/>
    <n v="1"/>
  </r>
  <r>
    <x v="186"/>
    <x v="0"/>
    <n v="1"/>
  </r>
  <r>
    <x v="186"/>
    <x v="0"/>
    <n v="1"/>
  </r>
  <r>
    <x v="186"/>
    <x v="0"/>
    <n v="1"/>
  </r>
  <r>
    <x v="186"/>
    <x v="0"/>
    <n v="1"/>
  </r>
  <r>
    <x v="186"/>
    <x v="0"/>
    <n v="1"/>
  </r>
  <r>
    <x v="186"/>
    <x v="0"/>
    <n v="1"/>
  </r>
  <r>
    <x v="186"/>
    <x v="1"/>
    <n v="1"/>
  </r>
  <r>
    <x v="186"/>
    <x v="0"/>
    <n v="1"/>
  </r>
  <r>
    <x v="186"/>
    <x v="1"/>
    <n v="1"/>
  </r>
  <r>
    <x v="186"/>
    <x v="0"/>
    <n v="1"/>
  </r>
  <r>
    <x v="186"/>
    <x v="1"/>
    <n v="1"/>
  </r>
  <r>
    <x v="186"/>
    <x v="0"/>
    <n v="1"/>
  </r>
  <r>
    <x v="186"/>
    <x v="1"/>
    <n v="1"/>
  </r>
  <r>
    <x v="187"/>
    <x v="0"/>
    <n v="1"/>
  </r>
  <r>
    <x v="187"/>
    <x v="1"/>
    <n v="1"/>
  </r>
  <r>
    <x v="188"/>
    <x v="0"/>
    <n v="1"/>
  </r>
  <r>
    <x v="188"/>
    <x v="0"/>
    <n v="1"/>
  </r>
  <r>
    <x v="188"/>
    <x v="0"/>
    <n v="1"/>
  </r>
  <r>
    <x v="188"/>
    <x v="0"/>
    <n v="1"/>
  </r>
  <r>
    <x v="188"/>
    <x v="0"/>
    <n v="1"/>
  </r>
  <r>
    <x v="188"/>
    <x v="0"/>
    <n v="1"/>
  </r>
  <r>
    <x v="188"/>
    <x v="0"/>
    <n v="1"/>
  </r>
  <r>
    <x v="188"/>
    <x v="0"/>
    <n v="1"/>
  </r>
  <r>
    <x v="188"/>
    <x v="0"/>
    <n v="1"/>
  </r>
  <r>
    <x v="189"/>
    <x v="3"/>
    <n v="1"/>
  </r>
  <r>
    <x v="190"/>
    <x v="0"/>
    <n v="1"/>
  </r>
  <r>
    <x v="190"/>
    <x v="3"/>
    <n v="1"/>
  </r>
  <r>
    <x v="190"/>
    <x v="0"/>
    <n v="1"/>
  </r>
  <r>
    <x v="190"/>
    <x v="1"/>
    <n v="1"/>
  </r>
  <r>
    <x v="191"/>
    <x v="3"/>
    <n v="1"/>
  </r>
  <r>
    <x v="192"/>
    <x v="3"/>
    <n v="1"/>
  </r>
  <r>
    <x v="193"/>
    <x v="0"/>
    <n v="1"/>
  </r>
  <r>
    <x v="193"/>
    <x v="0"/>
    <n v="1"/>
  </r>
  <r>
    <x v="194"/>
    <x v="3"/>
    <n v="1"/>
  </r>
  <r>
    <x v="195"/>
    <x v="0"/>
    <n v="1"/>
  </r>
  <r>
    <x v="195"/>
    <x v="0"/>
    <n v="1"/>
  </r>
  <r>
    <x v="195"/>
    <x v="0"/>
    <n v="1"/>
  </r>
  <r>
    <x v="195"/>
    <x v="1"/>
    <n v="1"/>
  </r>
  <r>
    <x v="196"/>
    <x v="3"/>
    <n v="1"/>
  </r>
  <r>
    <x v="197"/>
    <x v="2"/>
    <n v="1"/>
  </r>
  <r>
    <x v="197"/>
    <x v="0"/>
    <n v="1"/>
  </r>
  <r>
    <x v="197"/>
    <x v="1"/>
    <n v="1"/>
  </r>
  <r>
    <x v="197"/>
    <x v="1"/>
    <n v="1"/>
  </r>
  <r>
    <x v="198"/>
    <x v="1"/>
    <n v="1"/>
  </r>
  <r>
    <x v="199"/>
    <x v="3"/>
    <n v="1"/>
  </r>
  <r>
    <x v="200"/>
    <x v="0"/>
    <n v="1"/>
  </r>
  <r>
    <x v="200"/>
    <x v="0"/>
    <n v="1"/>
  </r>
  <r>
    <x v="201"/>
    <x v="0"/>
    <n v="1"/>
  </r>
  <r>
    <x v="202"/>
    <x v="3"/>
    <n v="1"/>
  </r>
  <r>
    <x v="203"/>
    <x v="3"/>
    <n v="1"/>
  </r>
  <r>
    <x v="204"/>
    <x v="0"/>
    <n v="1"/>
  </r>
  <r>
    <x v="205"/>
    <x v="0"/>
    <n v="1"/>
  </r>
  <r>
    <x v="205"/>
    <x v="0"/>
    <n v="1"/>
  </r>
  <r>
    <x v="205"/>
    <x v="0"/>
    <n v="1"/>
  </r>
  <r>
    <x v="206"/>
    <x v="0"/>
    <n v="1"/>
  </r>
  <r>
    <x v="206"/>
    <x v="0"/>
    <n v="1"/>
  </r>
  <r>
    <x v="206"/>
    <x v="3"/>
    <n v="1"/>
  </r>
  <r>
    <x v="207"/>
    <x v="0"/>
    <n v="1"/>
  </r>
  <r>
    <x v="207"/>
    <x v="0"/>
    <n v="1"/>
  </r>
  <r>
    <x v="207"/>
    <x v="0"/>
    <n v="1"/>
  </r>
  <r>
    <x v="207"/>
    <x v="0"/>
    <n v="1"/>
  </r>
  <r>
    <x v="207"/>
    <x v="0"/>
    <n v="1"/>
  </r>
  <r>
    <x v="207"/>
    <x v="0"/>
    <n v="1"/>
  </r>
  <r>
    <x v="207"/>
    <x v="0"/>
    <n v="1"/>
  </r>
  <r>
    <x v="207"/>
    <x v="0"/>
    <n v="1"/>
  </r>
  <r>
    <x v="207"/>
    <x v="0"/>
    <n v="1"/>
  </r>
  <r>
    <x v="207"/>
    <x v="0"/>
    <n v="1"/>
  </r>
  <r>
    <x v="207"/>
    <x v="0"/>
    <n v="1"/>
  </r>
  <r>
    <x v="207"/>
    <x v="0"/>
    <n v="1"/>
  </r>
  <r>
    <x v="207"/>
    <x v="0"/>
    <n v="1"/>
  </r>
  <r>
    <x v="207"/>
    <x v="3"/>
    <n v="1"/>
  </r>
  <r>
    <x v="208"/>
    <x v="0"/>
    <n v="1"/>
  </r>
  <r>
    <x v="208"/>
    <x v="0"/>
    <n v="1"/>
  </r>
  <r>
    <x v="208"/>
    <x v="0"/>
    <n v="1"/>
  </r>
  <r>
    <x v="208"/>
    <x v="0"/>
    <n v="1"/>
  </r>
  <r>
    <x v="208"/>
    <x v="0"/>
    <n v="1"/>
  </r>
  <r>
    <x v="208"/>
    <x v="0"/>
    <n v="1"/>
  </r>
  <r>
    <x v="208"/>
    <x v="1"/>
    <n v="1"/>
  </r>
  <r>
    <x v="208"/>
    <x v="0"/>
    <n v="1"/>
  </r>
  <r>
    <x v="208"/>
    <x v="0"/>
    <n v="1"/>
  </r>
  <r>
    <x v="208"/>
    <x v="1"/>
    <n v="1"/>
  </r>
  <r>
    <x v="209"/>
    <x v="3"/>
    <n v="1"/>
  </r>
  <r>
    <x v="209"/>
    <x v="3"/>
    <n v="1"/>
  </r>
  <r>
    <x v="210"/>
    <x v="0"/>
    <n v="1"/>
  </r>
  <r>
    <x v="211"/>
    <x v="0"/>
    <n v="1"/>
  </r>
  <r>
    <x v="212"/>
    <x v="0"/>
    <n v="1"/>
  </r>
  <r>
    <x v="212"/>
    <x v="0"/>
    <n v="1"/>
  </r>
  <r>
    <x v="212"/>
    <x v="0"/>
    <n v="1"/>
  </r>
  <r>
    <x v="212"/>
    <x v="0"/>
    <n v="1"/>
  </r>
  <r>
    <x v="212"/>
    <x v="0"/>
    <n v="1"/>
  </r>
  <r>
    <x v="212"/>
    <x v="0"/>
    <n v="1"/>
  </r>
  <r>
    <x v="212"/>
    <x v="0"/>
    <n v="1"/>
  </r>
  <r>
    <x v="212"/>
    <x v="0"/>
    <n v="1"/>
  </r>
  <r>
    <x v="212"/>
    <x v="0"/>
    <n v="1"/>
  </r>
  <r>
    <x v="212"/>
    <x v="0"/>
    <n v="1"/>
  </r>
  <r>
    <x v="212"/>
    <x v="0"/>
    <n v="1"/>
  </r>
  <r>
    <x v="212"/>
    <x v="1"/>
    <n v="1"/>
  </r>
  <r>
    <x v="213"/>
    <x v="2"/>
    <n v="1"/>
  </r>
  <r>
    <x v="213"/>
    <x v="2"/>
    <n v="1"/>
  </r>
  <r>
    <x v="213"/>
    <x v="0"/>
    <n v="1"/>
  </r>
  <r>
    <x v="213"/>
    <x v="1"/>
    <n v="1"/>
  </r>
  <r>
    <x v="213"/>
    <x v="0"/>
    <n v="1"/>
  </r>
  <r>
    <x v="213"/>
    <x v="1"/>
    <n v="1"/>
  </r>
  <r>
    <x v="213"/>
    <x v="0"/>
    <n v="1"/>
  </r>
  <r>
    <x v="213"/>
    <x v="1"/>
    <n v="1"/>
  </r>
  <r>
    <x v="213"/>
    <x v="0"/>
    <n v="1"/>
  </r>
  <r>
    <x v="213"/>
    <x v="3"/>
    <n v="1"/>
  </r>
  <r>
    <x v="213"/>
    <x v="0"/>
    <n v="1"/>
  </r>
  <r>
    <x v="213"/>
    <x v="0"/>
    <n v="1"/>
  </r>
  <r>
    <x v="213"/>
    <x v="1"/>
    <n v="1"/>
  </r>
  <r>
    <x v="213"/>
    <x v="0"/>
    <n v="1"/>
  </r>
  <r>
    <x v="213"/>
    <x v="3"/>
    <n v="1"/>
  </r>
  <r>
    <x v="213"/>
    <x v="0"/>
    <n v="1"/>
  </r>
  <r>
    <x v="213"/>
    <x v="0"/>
    <n v="1"/>
  </r>
  <r>
    <x v="213"/>
    <x v="1"/>
    <n v="1"/>
  </r>
  <r>
    <x v="213"/>
    <x v="1"/>
    <n v="1"/>
  </r>
  <r>
    <x v="213"/>
    <x v="1"/>
    <n v="1"/>
  </r>
  <r>
    <x v="213"/>
    <x v="4"/>
    <n v="1"/>
  </r>
  <r>
    <x v="213"/>
    <x v="4"/>
    <n v="1"/>
  </r>
  <r>
    <x v="213"/>
    <x v="4"/>
    <n v="1"/>
  </r>
  <r>
    <x v="213"/>
    <x v="4"/>
    <n v="1"/>
  </r>
  <r>
    <x v="213"/>
    <x v="2"/>
    <n v="1"/>
  </r>
  <r>
    <x v="213"/>
    <x v="4"/>
    <n v="1"/>
  </r>
  <r>
    <x v="213"/>
    <x v="3"/>
    <n v="1"/>
  </r>
  <r>
    <x v="213"/>
    <x v="3"/>
    <n v="1"/>
  </r>
  <r>
    <x v="214"/>
    <x v="2"/>
    <n v="1"/>
  </r>
  <r>
    <x v="214"/>
    <x v="0"/>
    <n v="1"/>
  </r>
  <r>
    <x v="214"/>
    <x v="3"/>
    <n v="1"/>
  </r>
  <r>
    <x v="214"/>
    <x v="0"/>
    <n v="1"/>
  </r>
  <r>
    <x v="214"/>
    <x v="0"/>
    <n v="1"/>
  </r>
  <r>
    <x v="214"/>
    <x v="1"/>
    <n v="1"/>
  </r>
  <r>
    <x v="214"/>
    <x v="0"/>
    <n v="1"/>
  </r>
  <r>
    <x v="214"/>
    <x v="1"/>
    <n v="1"/>
  </r>
  <r>
    <x v="214"/>
    <x v="0"/>
    <n v="1"/>
  </r>
  <r>
    <x v="214"/>
    <x v="3"/>
    <n v="1"/>
  </r>
  <r>
    <x v="214"/>
    <x v="0"/>
    <n v="1"/>
  </r>
  <r>
    <x v="214"/>
    <x v="0"/>
    <n v="1"/>
  </r>
  <r>
    <x v="214"/>
    <x v="1"/>
    <n v="1"/>
  </r>
  <r>
    <x v="214"/>
    <x v="0"/>
    <n v="1"/>
  </r>
  <r>
    <x v="214"/>
    <x v="0"/>
    <n v="1"/>
  </r>
  <r>
    <x v="214"/>
    <x v="0"/>
    <n v="1"/>
  </r>
  <r>
    <x v="214"/>
    <x v="3"/>
    <n v="1"/>
  </r>
  <r>
    <x v="214"/>
    <x v="1"/>
    <n v="1"/>
  </r>
  <r>
    <x v="214"/>
    <x v="1"/>
    <n v="1"/>
  </r>
  <r>
    <x v="214"/>
    <x v="4"/>
    <n v="1"/>
  </r>
  <r>
    <x v="214"/>
    <x v="2"/>
    <n v="1"/>
  </r>
  <r>
    <x v="214"/>
    <x v="4"/>
    <n v="1"/>
  </r>
  <r>
    <x v="214"/>
    <x v="4"/>
    <n v="1"/>
  </r>
  <r>
    <x v="214"/>
    <x v="4"/>
    <n v="1"/>
  </r>
  <r>
    <x v="214"/>
    <x v="4"/>
    <n v="1"/>
  </r>
  <r>
    <x v="215"/>
    <x v="0"/>
    <n v="1"/>
  </r>
  <r>
    <x v="215"/>
    <x v="0"/>
    <n v="1"/>
  </r>
  <r>
    <x v="215"/>
    <x v="0"/>
    <n v="1"/>
  </r>
  <r>
    <x v="215"/>
    <x v="0"/>
    <n v="1"/>
  </r>
  <r>
    <x v="215"/>
    <x v="0"/>
    <n v="1"/>
  </r>
  <r>
    <x v="216"/>
    <x v="0"/>
    <n v="1"/>
  </r>
  <r>
    <x v="216"/>
    <x v="0"/>
    <n v="1"/>
  </r>
  <r>
    <x v="216"/>
    <x v="0"/>
    <n v="1"/>
  </r>
  <r>
    <x v="216"/>
    <x v="0"/>
    <n v="1"/>
  </r>
  <r>
    <x v="216"/>
    <x v="1"/>
    <n v="1"/>
  </r>
  <r>
    <x v="216"/>
    <x v="0"/>
    <n v="1"/>
  </r>
  <r>
    <x v="216"/>
    <x v="0"/>
    <n v="1"/>
  </r>
  <r>
    <x v="217"/>
    <x v="0"/>
    <n v="1"/>
  </r>
  <r>
    <x v="217"/>
    <x v="3"/>
    <n v="1"/>
  </r>
  <r>
    <x v="217"/>
    <x v="0"/>
    <n v="1"/>
  </r>
  <r>
    <x v="217"/>
    <x v="1"/>
    <n v="1"/>
  </r>
  <r>
    <x v="217"/>
    <x v="0"/>
    <n v="1"/>
  </r>
  <r>
    <x v="217"/>
    <x v="0"/>
    <n v="1"/>
  </r>
  <r>
    <x v="217"/>
    <x v="0"/>
    <n v="1"/>
  </r>
  <r>
    <x v="217"/>
    <x v="0"/>
    <n v="1"/>
  </r>
  <r>
    <x v="217"/>
    <x v="0"/>
    <n v="1"/>
  </r>
  <r>
    <x v="217"/>
    <x v="1"/>
    <n v="1"/>
  </r>
  <r>
    <x v="217"/>
    <x v="0"/>
    <n v="1"/>
  </r>
  <r>
    <x v="217"/>
    <x v="1"/>
    <n v="1"/>
  </r>
  <r>
    <x v="217"/>
    <x v="0"/>
    <n v="1"/>
  </r>
  <r>
    <x v="217"/>
    <x v="1"/>
    <n v="1"/>
  </r>
  <r>
    <x v="217"/>
    <x v="1"/>
    <n v="1"/>
  </r>
  <r>
    <x v="217"/>
    <x v="4"/>
    <n v="1"/>
  </r>
  <r>
    <x v="217"/>
    <x v="2"/>
    <n v="1"/>
  </r>
  <r>
    <x v="217"/>
    <x v="4"/>
    <n v="1"/>
  </r>
  <r>
    <x v="217"/>
    <x v="4"/>
    <n v="1"/>
  </r>
  <r>
    <x v="217"/>
    <x v="4"/>
    <n v="1"/>
  </r>
  <r>
    <x v="218"/>
    <x v="0"/>
    <n v="1"/>
  </r>
  <r>
    <x v="218"/>
    <x v="0"/>
    <n v="1"/>
  </r>
  <r>
    <x v="218"/>
    <x v="0"/>
    <n v="1"/>
  </r>
  <r>
    <x v="218"/>
    <x v="0"/>
    <n v="1"/>
  </r>
  <r>
    <x v="218"/>
    <x v="0"/>
    <n v="1"/>
  </r>
  <r>
    <x v="219"/>
    <x v="0"/>
    <n v="1"/>
  </r>
  <r>
    <x v="219"/>
    <x v="0"/>
    <n v="1"/>
  </r>
  <r>
    <x v="219"/>
    <x v="1"/>
    <n v="1"/>
  </r>
  <r>
    <x v="219"/>
    <x v="0"/>
    <n v="1"/>
  </r>
  <r>
    <x v="219"/>
    <x v="0"/>
    <n v="1"/>
  </r>
  <r>
    <x v="219"/>
    <x v="0"/>
    <n v="1"/>
  </r>
  <r>
    <x v="219"/>
    <x v="0"/>
    <n v="1"/>
  </r>
  <r>
    <x v="219"/>
    <x v="1"/>
    <n v="1"/>
  </r>
  <r>
    <x v="219"/>
    <x v="2"/>
    <n v="1"/>
  </r>
  <r>
    <x v="219"/>
    <x v="4"/>
    <n v="1"/>
  </r>
  <r>
    <x v="220"/>
    <x v="0"/>
    <n v="1"/>
  </r>
  <r>
    <x v="220"/>
    <x v="0"/>
    <n v="1"/>
  </r>
  <r>
    <x v="220"/>
    <x v="0"/>
    <n v="1"/>
  </r>
  <r>
    <x v="220"/>
    <x v="0"/>
    <n v="1"/>
  </r>
  <r>
    <x v="220"/>
    <x v="0"/>
    <n v="1"/>
  </r>
  <r>
    <x v="220"/>
    <x v="0"/>
    <n v="1"/>
  </r>
  <r>
    <x v="221"/>
    <x v="0"/>
    <n v="1"/>
  </r>
  <r>
    <x v="221"/>
    <x v="0"/>
    <n v="1"/>
  </r>
  <r>
    <x v="221"/>
    <x v="1"/>
    <n v="1"/>
  </r>
  <r>
    <x v="221"/>
    <x v="0"/>
    <n v="1"/>
  </r>
  <r>
    <x v="221"/>
    <x v="0"/>
    <n v="1"/>
  </r>
  <r>
    <x v="221"/>
    <x v="0"/>
    <n v="1"/>
  </r>
  <r>
    <x v="221"/>
    <x v="1"/>
    <n v="1"/>
  </r>
  <r>
    <x v="221"/>
    <x v="2"/>
    <n v="1"/>
  </r>
  <r>
    <x v="221"/>
    <x v="4"/>
    <n v="1"/>
  </r>
  <r>
    <x v="222"/>
    <x v="2"/>
    <n v="1"/>
  </r>
  <r>
    <x v="222"/>
    <x v="2"/>
    <n v="1"/>
  </r>
  <r>
    <x v="222"/>
    <x v="0"/>
    <n v="1"/>
  </r>
  <r>
    <x v="222"/>
    <x v="1"/>
    <n v="1"/>
  </r>
  <r>
    <x v="222"/>
    <x v="2"/>
    <n v="1"/>
  </r>
  <r>
    <x v="222"/>
    <x v="0"/>
    <n v="1"/>
  </r>
  <r>
    <x v="222"/>
    <x v="1"/>
    <n v="1"/>
  </r>
  <r>
    <x v="222"/>
    <x v="0"/>
    <n v="1"/>
  </r>
  <r>
    <x v="222"/>
    <x v="3"/>
    <n v="1"/>
  </r>
  <r>
    <x v="222"/>
    <x v="0"/>
    <n v="1"/>
  </r>
  <r>
    <x v="222"/>
    <x v="1"/>
    <n v="1"/>
  </r>
  <r>
    <x v="222"/>
    <x v="0"/>
    <n v="1"/>
  </r>
  <r>
    <x v="222"/>
    <x v="1"/>
    <n v="1"/>
  </r>
  <r>
    <x v="222"/>
    <x v="0"/>
    <n v="1"/>
  </r>
  <r>
    <x v="222"/>
    <x v="2"/>
    <n v="1"/>
  </r>
  <r>
    <x v="222"/>
    <x v="1"/>
    <n v="1"/>
  </r>
  <r>
    <x v="222"/>
    <x v="0"/>
    <n v="1"/>
  </r>
  <r>
    <x v="222"/>
    <x v="3"/>
    <n v="1"/>
  </r>
  <r>
    <x v="222"/>
    <x v="0"/>
    <n v="1"/>
  </r>
  <r>
    <x v="222"/>
    <x v="1"/>
    <n v="1"/>
  </r>
  <r>
    <x v="222"/>
    <x v="0"/>
    <n v="1"/>
  </r>
  <r>
    <x v="222"/>
    <x v="0"/>
    <n v="1"/>
  </r>
  <r>
    <x v="222"/>
    <x v="1"/>
    <n v="1"/>
  </r>
  <r>
    <x v="222"/>
    <x v="1"/>
    <n v="1"/>
  </r>
  <r>
    <x v="222"/>
    <x v="4"/>
    <n v="1"/>
  </r>
  <r>
    <x v="222"/>
    <x v="2"/>
    <n v="1"/>
  </r>
  <r>
    <x v="222"/>
    <x v="4"/>
    <n v="1"/>
  </r>
  <r>
    <x v="222"/>
    <x v="4"/>
    <n v="1"/>
  </r>
  <r>
    <x v="222"/>
    <x v="4"/>
    <n v="1"/>
  </r>
  <r>
    <x v="222"/>
    <x v="3"/>
    <n v="1"/>
  </r>
  <r>
    <x v="222"/>
    <x v="3"/>
    <n v="1"/>
  </r>
  <r>
    <x v="223"/>
    <x v="0"/>
    <n v="1"/>
  </r>
  <r>
    <x v="223"/>
    <x v="0"/>
    <n v="1"/>
  </r>
  <r>
    <x v="223"/>
    <x v="1"/>
    <n v="1"/>
  </r>
  <r>
    <x v="223"/>
    <x v="0"/>
    <n v="1"/>
  </r>
  <r>
    <x v="223"/>
    <x v="1"/>
    <n v="1"/>
  </r>
  <r>
    <x v="223"/>
    <x v="0"/>
    <n v="1"/>
  </r>
  <r>
    <x v="223"/>
    <x v="0"/>
    <n v="1"/>
  </r>
  <r>
    <x v="223"/>
    <x v="2"/>
    <n v="1"/>
  </r>
  <r>
    <x v="223"/>
    <x v="4"/>
    <n v="1"/>
  </r>
  <r>
    <x v="224"/>
    <x v="0"/>
    <n v="1"/>
  </r>
  <r>
    <x v="224"/>
    <x v="0"/>
    <n v="1"/>
  </r>
  <r>
    <x v="224"/>
    <x v="1"/>
    <n v="1"/>
  </r>
  <r>
    <x v="224"/>
    <x v="0"/>
    <n v="1"/>
  </r>
  <r>
    <x v="224"/>
    <x v="0"/>
    <n v="1"/>
  </r>
  <r>
    <x v="225"/>
    <x v="0"/>
    <n v="1"/>
  </r>
  <r>
    <x v="225"/>
    <x v="0"/>
    <n v="1"/>
  </r>
  <r>
    <x v="225"/>
    <x v="1"/>
    <n v="1"/>
  </r>
  <r>
    <x v="225"/>
    <x v="0"/>
    <n v="1"/>
  </r>
  <r>
    <x v="225"/>
    <x v="0"/>
    <n v="1"/>
  </r>
  <r>
    <x v="225"/>
    <x v="0"/>
    <n v="1"/>
  </r>
  <r>
    <x v="226"/>
    <x v="0"/>
    <n v="1"/>
  </r>
  <r>
    <x v="227"/>
    <x v="0"/>
    <n v="1"/>
  </r>
  <r>
    <x v="227"/>
    <x v="3"/>
    <n v="1"/>
  </r>
  <r>
    <x v="228"/>
    <x v="0"/>
    <n v="1"/>
  </r>
  <r>
    <x v="228"/>
    <x v="0"/>
    <n v="1"/>
  </r>
  <r>
    <x v="228"/>
    <x v="0"/>
    <n v="1"/>
  </r>
  <r>
    <x v="228"/>
    <x v="1"/>
    <n v="1"/>
  </r>
  <r>
    <x v="228"/>
    <x v="0"/>
    <n v="1"/>
  </r>
  <r>
    <x v="228"/>
    <x v="0"/>
    <n v="1"/>
  </r>
  <r>
    <x v="228"/>
    <x v="3"/>
    <n v="1"/>
  </r>
  <r>
    <x v="228"/>
    <x v="0"/>
    <n v="1"/>
  </r>
  <r>
    <x v="228"/>
    <x v="0"/>
    <n v="1"/>
  </r>
  <r>
    <x v="228"/>
    <x v="1"/>
    <n v="1"/>
  </r>
  <r>
    <x v="228"/>
    <x v="1"/>
    <n v="1"/>
  </r>
  <r>
    <x v="228"/>
    <x v="2"/>
    <n v="1"/>
  </r>
  <r>
    <x v="229"/>
    <x v="0"/>
    <n v="1"/>
  </r>
  <r>
    <x v="229"/>
    <x v="0"/>
    <n v="1"/>
  </r>
  <r>
    <x v="229"/>
    <x v="1"/>
    <n v="1"/>
  </r>
  <r>
    <x v="229"/>
    <x v="0"/>
    <n v="1"/>
  </r>
  <r>
    <x v="229"/>
    <x v="2"/>
    <n v="1"/>
  </r>
  <r>
    <x v="230"/>
    <x v="0"/>
    <n v="1"/>
  </r>
  <r>
    <x v="230"/>
    <x v="1"/>
    <n v="1"/>
  </r>
  <r>
    <x v="230"/>
    <x v="0"/>
    <n v="1"/>
  </r>
  <r>
    <x v="230"/>
    <x v="1"/>
    <n v="1"/>
  </r>
  <r>
    <x v="230"/>
    <x v="3"/>
    <n v="1"/>
  </r>
  <r>
    <x v="230"/>
    <x v="0"/>
    <n v="1"/>
  </r>
  <r>
    <x v="230"/>
    <x v="0"/>
    <n v="1"/>
  </r>
  <r>
    <x v="230"/>
    <x v="0"/>
    <n v="1"/>
  </r>
  <r>
    <x v="230"/>
    <x v="0"/>
    <n v="1"/>
  </r>
  <r>
    <x v="230"/>
    <x v="1"/>
    <n v="1"/>
  </r>
  <r>
    <x v="230"/>
    <x v="1"/>
    <n v="1"/>
  </r>
  <r>
    <x v="230"/>
    <x v="2"/>
    <n v="1"/>
  </r>
  <r>
    <x v="231"/>
    <x v="0"/>
    <n v="1"/>
  </r>
  <r>
    <x v="231"/>
    <x v="1"/>
    <n v="1"/>
  </r>
  <r>
    <x v="231"/>
    <x v="3"/>
    <n v="1"/>
  </r>
  <r>
    <x v="231"/>
    <x v="0"/>
    <n v="1"/>
  </r>
  <r>
    <x v="231"/>
    <x v="0"/>
    <n v="1"/>
  </r>
  <r>
    <x v="231"/>
    <x v="0"/>
    <n v="1"/>
  </r>
  <r>
    <x v="231"/>
    <x v="1"/>
    <n v="1"/>
  </r>
  <r>
    <x v="231"/>
    <x v="0"/>
    <n v="1"/>
  </r>
  <r>
    <x v="231"/>
    <x v="0"/>
    <n v="1"/>
  </r>
  <r>
    <x v="231"/>
    <x v="4"/>
    <n v="1"/>
  </r>
  <r>
    <x v="231"/>
    <x v="2"/>
    <n v="1"/>
  </r>
  <r>
    <x v="232"/>
    <x v="0"/>
    <n v="1"/>
  </r>
  <r>
    <x v="233"/>
    <x v="0"/>
    <n v="1"/>
  </r>
  <r>
    <x v="233"/>
    <x v="1"/>
    <n v="1"/>
  </r>
  <r>
    <x v="233"/>
    <x v="0"/>
    <n v="1"/>
  </r>
  <r>
    <x v="233"/>
    <x v="1"/>
    <n v="1"/>
  </r>
  <r>
    <x v="233"/>
    <x v="3"/>
    <n v="1"/>
  </r>
  <r>
    <x v="233"/>
    <x v="0"/>
    <n v="1"/>
  </r>
  <r>
    <x v="233"/>
    <x v="2"/>
    <n v="1"/>
  </r>
  <r>
    <x v="234"/>
    <x v="2"/>
    <n v="1"/>
  </r>
  <r>
    <x v="234"/>
    <x v="0"/>
    <n v="1"/>
  </r>
  <r>
    <x v="234"/>
    <x v="1"/>
    <n v="1"/>
  </r>
  <r>
    <x v="234"/>
    <x v="0"/>
    <n v="1"/>
  </r>
  <r>
    <x v="234"/>
    <x v="1"/>
    <n v="1"/>
  </r>
  <r>
    <x v="234"/>
    <x v="3"/>
    <n v="1"/>
  </r>
  <r>
    <x v="234"/>
    <x v="0"/>
    <n v="1"/>
  </r>
  <r>
    <x v="234"/>
    <x v="1"/>
    <n v="1"/>
  </r>
  <r>
    <x v="234"/>
    <x v="0"/>
    <n v="1"/>
  </r>
  <r>
    <x v="234"/>
    <x v="0"/>
    <n v="1"/>
  </r>
  <r>
    <x v="234"/>
    <x v="1"/>
    <n v="1"/>
  </r>
  <r>
    <x v="234"/>
    <x v="0"/>
    <n v="1"/>
  </r>
  <r>
    <x v="234"/>
    <x v="0"/>
    <n v="1"/>
  </r>
  <r>
    <x v="234"/>
    <x v="0"/>
    <n v="1"/>
  </r>
  <r>
    <x v="234"/>
    <x v="3"/>
    <n v="1"/>
  </r>
  <r>
    <x v="235"/>
    <x v="0"/>
    <n v="1"/>
  </r>
  <r>
    <x v="235"/>
    <x v="0"/>
    <n v="1"/>
  </r>
  <r>
    <x v="236"/>
    <x v="0"/>
    <n v="1"/>
  </r>
  <r>
    <x v="236"/>
    <x v="0"/>
    <n v="1"/>
  </r>
  <r>
    <x v="236"/>
    <x v="0"/>
    <n v="1"/>
  </r>
  <r>
    <x v="236"/>
    <x v="1"/>
    <n v="1"/>
  </r>
  <r>
    <x v="236"/>
    <x v="0"/>
    <n v="1"/>
  </r>
  <r>
    <x v="236"/>
    <x v="1"/>
    <n v="1"/>
  </r>
  <r>
    <x v="236"/>
    <x v="3"/>
    <n v="1"/>
  </r>
  <r>
    <x v="236"/>
    <x v="0"/>
    <n v="1"/>
  </r>
  <r>
    <x v="236"/>
    <x v="0"/>
    <n v="1"/>
  </r>
  <r>
    <x v="236"/>
    <x v="0"/>
    <n v="1"/>
  </r>
  <r>
    <x v="236"/>
    <x v="1"/>
    <n v="1"/>
  </r>
  <r>
    <x v="236"/>
    <x v="2"/>
    <n v="1"/>
  </r>
  <r>
    <x v="237"/>
    <x v="0"/>
    <n v="1"/>
  </r>
  <r>
    <x v="237"/>
    <x v="0"/>
    <n v="1"/>
  </r>
  <r>
    <x v="237"/>
    <x v="0"/>
    <n v="1"/>
  </r>
  <r>
    <x v="237"/>
    <x v="1"/>
    <n v="1"/>
  </r>
  <r>
    <x v="237"/>
    <x v="2"/>
    <n v="1"/>
  </r>
  <r>
    <x v="238"/>
    <x v="0"/>
    <n v="1"/>
  </r>
  <r>
    <x v="238"/>
    <x v="0"/>
    <n v="1"/>
  </r>
  <r>
    <x v="238"/>
    <x v="1"/>
    <n v="1"/>
  </r>
  <r>
    <x v="238"/>
    <x v="3"/>
    <n v="1"/>
  </r>
  <r>
    <x v="238"/>
    <x v="0"/>
    <n v="1"/>
  </r>
  <r>
    <x v="238"/>
    <x v="1"/>
    <n v="1"/>
  </r>
  <r>
    <x v="238"/>
    <x v="0"/>
    <n v="1"/>
  </r>
  <r>
    <x v="238"/>
    <x v="1"/>
    <n v="1"/>
  </r>
  <r>
    <x v="238"/>
    <x v="3"/>
    <n v="1"/>
  </r>
  <r>
    <x v="238"/>
    <x v="0"/>
    <n v="1"/>
  </r>
  <r>
    <x v="238"/>
    <x v="0"/>
    <n v="1"/>
  </r>
  <r>
    <x v="238"/>
    <x v="0"/>
    <n v="1"/>
  </r>
  <r>
    <x v="238"/>
    <x v="0"/>
    <n v="1"/>
  </r>
  <r>
    <x v="238"/>
    <x v="1"/>
    <n v="1"/>
  </r>
  <r>
    <x v="238"/>
    <x v="1"/>
    <n v="1"/>
  </r>
  <r>
    <x v="238"/>
    <x v="1"/>
    <n v="1"/>
  </r>
  <r>
    <x v="238"/>
    <x v="2"/>
    <n v="1"/>
  </r>
  <r>
    <x v="239"/>
    <x v="0"/>
    <n v="1"/>
  </r>
  <r>
    <x v="239"/>
    <x v="0"/>
    <n v="1"/>
  </r>
  <r>
    <x v="239"/>
    <x v="0"/>
    <n v="1"/>
  </r>
  <r>
    <x v="239"/>
    <x v="0"/>
    <n v="1"/>
  </r>
  <r>
    <x v="240"/>
    <x v="0"/>
    <n v="1"/>
  </r>
  <r>
    <x v="240"/>
    <x v="1"/>
    <n v="1"/>
  </r>
  <r>
    <x v="240"/>
    <x v="0"/>
    <n v="1"/>
  </r>
  <r>
    <x v="240"/>
    <x v="1"/>
    <n v="1"/>
  </r>
  <r>
    <x v="240"/>
    <x v="0"/>
    <n v="1"/>
  </r>
  <r>
    <x v="240"/>
    <x v="0"/>
    <n v="1"/>
  </r>
  <r>
    <x v="240"/>
    <x v="0"/>
    <n v="1"/>
  </r>
  <r>
    <x v="240"/>
    <x v="0"/>
    <n v="1"/>
  </r>
  <r>
    <x v="240"/>
    <x v="0"/>
    <n v="1"/>
  </r>
  <r>
    <x v="241"/>
    <x v="0"/>
    <n v="1"/>
  </r>
  <r>
    <x v="241"/>
    <x v="1"/>
    <n v="1"/>
  </r>
  <r>
    <x v="242"/>
    <x v="0"/>
    <n v="1"/>
  </r>
  <r>
    <x v="242"/>
    <x v="1"/>
    <n v="1"/>
  </r>
  <r>
    <x v="243"/>
    <x v="0"/>
    <n v="1"/>
  </r>
  <r>
    <x v="244"/>
    <x v="0"/>
    <n v="1"/>
  </r>
  <r>
    <x v="245"/>
    <x v="0"/>
    <n v="1"/>
  </r>
  <r>
    <x v="245"/>
    <x v="1"/>
    <n v="1"/>
  </r>
  <r>
    <x v="245"/>
    <x v="0"/>
    <n v="1"/>
  </r>
  <r>
    <x v="245"/>
    <x v="0"/>
    <n v="1"/>
  </r>
  <r>
    <x v="245"/>
    <x v="0"/>
    <n v="1"/>
  </r>
  <r>
    <x v="245"/>
    <x v="0"/>
    <n v="1"/>
  </r>
  <r>
    <x v="245"/>
    <x v="1"/>
    <n v="1"/>
  </r>
  <r>
    <x v="245"/>
    <x v="2"/>
    <n v="1"/>
  </r>
  <r>
    <x v="246"/>
    <x v="0"/>
    <n v="1"/>
  </r>
  <r>
    <x v="246"/>
    <x v="1"/>
    <n v="1"/>
  </r>
  <r>
    <x v="246"/>
    <x v="0"/>
    <n v="1"/>
  </r>
  <r>
    <x v="246"/>
    <x v="0"/>
    <n v="1"/>
  </r>
  <r>
    <x v="246"/>
    <x v="1"/>
    <n v="1"/>
  </r>
  <r>
    <x v="246"/>
    <x v="0"/>
    <n v="1"/>
  </r>
  <r>
    <x v="246"/>
    <x v="0"/>
    <n v="1"/>
  </r>
  <r>
    <x v="246"/>
    <x v="0"/>
    <n v="1"/>
  </r>
  <r>
    <x v="246"/>
    <x v="0"/>
    <n v="1"/>
  </r>
  <r>
    <x v="246"/>
    <x v="1"/>
    <n v="1"/>
  </r>
  <r>
    <x v="246"/>
    <x v="1"/>
    <n v="1"/>
  </r>
  <r>
    <x v="246"/>
    <x v="2"/>
    <n v="1"/>
  </r>
  <r>
    <x v="247"/>
    <x v="0"/>
    <n v="1"/>
  </r>
  <r>
    <x v="247"/>
    <x v="0"/>
    <n v="1"/>
  </r>
  <r>
    <x v="247"/>
    <x v="0"/>
    <n v="1"/>
  </r>
  <r>
    <x v="248"/>
    <x v="0"/>
    <n v="1"/>
  </r>
  <r>
    <x v="248"/>
    <x v="0"/>
    <n v="1"/>
  </r>
  <r>
    <x v="248"/>
    <x v="0"/>
    <n v="1"/>
  </r>
  <r>
    <x v="249"/>
    <x v="0"/>
    <n v="1"/>
  </r>
  <r>
    <x v="249"/>
    <x v="0"/>
    <n v="1"/>
  </r>
  <r>
    <x v="249"/>
    <x v="0"/>
    <n v="1"/>
  </r>
  <r>
    <x v="250"/>
    <x v="0"/>
    <n v="1"/>
  </r>
  <r>
    <x v="250"/>
    <x v="0"/>
    <n v="1"/>
  </r>
  <r>
    <x v="250"/>
    <x v="1"/>
    <n v="1"/>
  </r>
  <r>
    <x v="250"/>
    <x v="0"/>
    <n v="1"/>
  </r>
  <r>
    <x v="250"/>
    <x v="1"/>
    <n v="1"/>
  </r>
  <r>
    <x v="250"/>
    <x v="3"/>
    <n v="1"/>
  </r>
  <r>
    <x v="250"/>
    <x v="0"/>
    <n v="1"/>
  </r>
  <r>
    <x v="250"/>
    <x v="0"/>
    <n v="1"/>
  </r>
  <r>
    <x v="250"/>
    <x v="1"/>
    <n v="1"/>
  </r>
  <r>
    <x v="250"/>
    <x v="3"/>
    <n v="1"/>
  </r>
  <r>
    <x v="250"/>
    <x v="0"/>
    <n v="1"/>
  </r>
  <r>
    <x v="250"/>
    <x v="0"/>
    <n v="1"/>
  </r>
  <r>
    <x v="250"/>
    <x v="1"/>
    <n v="1"/>
  </r>
  <r>
    <x v="250"/>
    <x v="0"/>
    <n v="1"/>
  </r>
  <r>
    <x v="250"/>
    <x v="1"/>
    <n v="1"/>
  </r>
  <r>
    <x v="250"/>
    <x v="0"/>
    <n v="1"/>
  </r>
  <r>
    <x v="250"/>
    <x v="0"/>
    <n v="1"/>
  </r>
  <r>
    <x v="250"/>
    <x v="0"/>
    <n v="1"/>
  </r>
  <r>
    <x v="250"/>
    <x v="0"/>
    <n v="1"/>
  </r>
  <r>
    <x v="250"/>
    <x v="0"/>
    <n v="1"/>
  </r>
  <r>
    <x v="250"/>
    <x v="1"/>
    <n v="1"/>
  </r>
  <r>
    <x v="250"/>
    <x v="0"/>
    <n v="1"/>
  </r>
  <r>
    <x v="250"/>
    <x v="1"/>
    <n v="1"/>
  </r>
  <r>
    <x v="250"/>
    <x v="0"/>
    <n v="1"/>
  </r>
  <r>
    <x v="250"/>
    <x v="0"/>
    <n v="1"/>
  </r>
  <r>
    <x v="250"/>
    <x v="0"/>
    <n v="1"/>
  </r>
  <r>
    <x v="250"/>
    <x v="3"/>
    <n v="1"/>
  </r>
  <r>
    <x v="250"/>
    <x v="0"/>
    <n v="1"/>
  </r>
  <r>
    <x v="250"/>
    <x v="1"/>
    <n v="1"/>
  </r>
  <r>
    <x v="250"/>
    <x v="0"/>
    <n v="1"/>
  </r>
  <r>
    <x v="250"/>
    <x v="1"/>
    <n v="1"/>
  </r>
  <r>
    <x v="250"/>
    <x v="0"/>
    <n v="1"/>
  </r>
  <r>
    <x v="250"/>
    <x v="6"/>
    <n v="1"/>
  </r>
  <r>
    <x v="250"/>
    <x v="1"/>
    <n v="1"/>
  </r>
  <r>
    <x v="250"/>
    <x v="6"/>
    <n v="1"/>
  </r>
  <r>
    <x v="250"/>
    <x v="1"/>
    <n v="1"/>
  </r>
  <r>
    <x v="250"/>
    <x v="2"/>
    <n v="1"/>
  </r>
  <r>
    <x v="250"/>
    <x v="6"/>
    <n v="1"/>
  </r>
  <r>
    <x v="250"/>
    <x v="0"/>
    <n v="1"/>
  </r>
  <r>
    <x v="250"/>
    <x v="0"/>
    <n v="1"/>
  </r>
  <r>
    <x v="250"/>
    <x v="0"/>
    <n v="1"/>
  </r>
  <r>
    <x v="250"/>
    <x v="1"/>
    <n v="1"/>
  </r>
  <r>
    <x v="250"/>
    <x v="1"/>
    <n v="1"/>
  </r>
  <r>
    <x v="251"/>
    <x v="0"/>
    <n v="1"/>
  </r>
  <r>
    <x v="251"/>
    <x v="0"/>
    <n v="1"/>
  </r>
  <r>
    <x v="251"/>
    <x v="1"/>
    <n v="1"/>
  </r>
  <r>
    <x v="251"/>
    <x v="0"/>
    <n v="1"/>
  </r>
  <r>
    <x v="251"/>
    <x v="1"/>
    <n v="1"/>
  </r>
  <r>
    <x v="251"/>
    <x v="3"/>
    <n v="1"/>
  </r>
  <r>
    <x v="251"/>
    <x v="0"/>
    <n v="1"/>
  </r>
  <r>
    <x v="251"/>
    <x v="1"/>
    <n v="1"/>
  </r>
  <r>
    <x v="251"/>
    <x v="3"/>
    <n v="1"/>
  </r>
  <r>
    <x v="251"/>
    <x v="0"/>
    <n v="1"/>
  </r>
  <r>
    <x v="251"/>
    <x v="1"/>
    <n v="1"/>
  </r>
  <r>
    <x v="251"/>
    <x v="3"/>
    <n v="1"/>
  </r>
  <r>
    <x v="251"/>
    <x v="0"/>
    <n v="1"/>
  </r>
  <r>
    <x v="251"/>
    <x v="1"/>
    <n v="1"/>
  </r>
  <r>
    <x v="251"/>
    <x v="0"/>
    <n v="1"/>
  </r>
  <r>
    <x v="251"/>
    <x v="1"/>
    <n v="1"/>
  </r>
  <r>
    <x v="251"/>
    <x v="0"/>
    <n v="1"/>
  </r>
  <r>
    <x v="251"/>
    <x v="1"/>
    <n v="1"/>
  </r>
  <r>
    <x v="251"/>
    <x v="0"/>
    <n v="1"/>
  </r>
  <r>
    <x v="251"/>
    <x v="0"/>
    <n v="1"/>
  </r>
  <r>
    <x v="251"/>
    <x v="0"/>
    <n v="1"/>
  </r>
  <r>
    <x v="251"/>
    <x v="1"/>
    <n v="1"/>
  </r>
  <r>
    <x v="251"/>
    <x v="0"/>
    <n v="1"/>
  </r>
  <r>
    <x v="251"/>
    <x v="0"/>
    <n v="1"/>
  </r>
  <r>
    <x v="251"/>
    <x v="0"/>
    <n v="1"/>
  </r>
  <r>
    <x v="251"/>
    <x v="0"/>
    <n v="1"/>
  </r>
  <r>
    <x v="251"/>
    <x v="2"/>
    <n v="1"/>
  </r>
  <r>
    <x v="251"/>
    <x v="3"/>
    <n v="1"/>
  </r>
  <r>
    <x v="251"/>
    <x v="1"/>
    <n v="1"/>
  </r>
  <r>
    <x v="251"/>
    <x v="0"/>
    <n v="1"/>
  </r>
  <r>
    <x v="251"/>
    <x v="1"/>
    <n v="1"/>
  </r>
  <r>
    <x v="251"/>
    <x v="0"/>
    <n v="1"/>
  </r>
  <r>
    <x v="251"/>
    <x v="0"/>
    <n v="1"/>
  </r>
  <r>
    <x v="251"/>
    <x v="0"/>
    <n v="1"/>
  </r>
  <r>
    <x v="251"/>
    <x v="1"/>
    <n v="1"/>
  </r>
  <r>
    <x v="251"/>
    <x v="3"/>
    <n v="1"/>
  </r>
  <r>
    <x v="251"/>
    <x v="0"/>
    <n v="1"/>
  </r>
  <r>
    <x v="251"/>
    <x v="1"/>
    <n v="1"/>
  </r>
  <r>
    <x v="251"/>
    <x v="3"/>
    <n v="1"/>
  </r>
  <r>
    <x v="251"/>
    <x v="0"/>
    <n v="1"/>
  </r>
  <r>
    <x v="251"/>
    <x v="2"/>
    <n v="1"/>
  </r>
  <r>
    <x v="251"/>
    <x v="1"/>
    <n v="1"/>
  </r>
  <r>
    <x v="251"/>
    <x v="0"/>
    <n v="1"/>
  </r>
  <r>
    <x v="251"/>
    <x v="2"/>
    <n v="1"/>
  </r>
  <r>
    <x v="251"/>
    <x v="1"/>
    <n v="1"/>
  </r>
  <r>
    <x v="251"/>
    <x v="0"/>
    <n v="1"/>
  </r>
  <r>
    <x v="251"/>
    <x v="0"/>
    <n v="1"/>
  </r>
  <r>
    <x v="251"/>
    <x v="3"/>
    <n v="1"/>
  </r>
  <r>
    <x v="251"/>
    <x v="0"/>
    <n v="1"/>
  </r>
  <r>
    <x v="251"/>
    <x v="1"/>
    <n v="1"/>
  </r>
  <r>
    <x v="251"/>
    <x v="0"/>
    <n v="1"/>
  </r>
  <r>
    <x v="251"/>
    <x v="1"/>
    <n v="1"/>
  </r>
  <r>
    <x v="251"/>
    <x v="0"/>
    <n v="1"/>
  </r>
  <r>
    <x v="251"/>
    <x v="0"/>
    <n v="1"/>
  </r>
  <r>
    <x v="251"/>
    <x v="0"/>
    <n v="1"/>
  </r>
  <r>
    <x v="251"/>
    <x v="6"/>
    <n v="1"/>
  </r>
  <r>
    <x v="251"/>
    <x v="1"/>
    <n v="1"/>
  </r>
  <r>
    <x v="251"/>
    <x v="6"/>
    <n v="1"/>
  </r>
  <r>
    <x v="251"/>
    <x v="1"/>
    <n v="1"/>
  </r>
  <r>
    <x v="251"/>
    <x v="2"/>
    <n v="1"/>
  </r>
  <r>
    <x v="251"/>
    <x v="6"/>
    <n v="1"/>
  </r>
  <r>
    <x v="251"/>
    <x v="1"/>
    <n v="1"/>
  </r>
  <r>
    <x v="251"/>
    <x v="2"/>
    <n v="1"/>
  </r>
  <r>
    <x v="251"/>
    <x v="6"/>
    <n v="1"/>
  </r>
  <r>
    <x v="251"/>
    <x v="1"/>
    <n v="1"/>
  </r>
  <r>
    <x v="251"/>
    <x v="2"/>
    <n v="1"/>
  </r>
  <r>
    <x v="251"/>
    <x v="6"/>
    <n v="1"/>
  </r>
  <r>
    <x v="251"/>
    <x v="1"/>
    <n v="1"/>
  </r>
  <r>
    <x v="251"/>
    <x v="0"/>
    <n v="1"/>
  </r>
  <r>
    <x v="251"/>
    <x v="0"/>
    <n v="1"/>
  </r>
  <r>
    <x v="251"/>
    <x v="1"/>
    <n v="1"/>
  </r>
  <r>
    <x v="251"/>
    <x v="1"/>
    <n v="1"/>
  </r>
  <r>
    <x v="251"/>
    <x v="1"/>
    <n v="1"/>
  </r>
  <r>
    <x v="251"/>
    <x v="0"/>
    <n v="1"/>
  </r>
  <r>
    <x v="251"/>
    <x v="3"/>
    <n v="1"/>
  </r>
  <r>
    <x v="251"/>
    <x v="3"/>
    <n v="1"/>
  </r>
  <r>
    <x v="252"/>
    <x v="0"/>
    <n v="1"/>
  </r>
  <r>
    <x v="252"/>
    <x v="0"/>
    <n v="1"/>
  </r>
  <r>
    <x v="252"/>
    <x v="1"/>
    <n v="1"/>
  </r>
  <r>
    <x v="252"/>
    <x v="0"/>
    <n v="1"/>
  </r>
  <r>
    <x v="252"/>
    <x v="1"/>
    <n v="1"/>
  </r>
  <r>
    <x v="252"/>
    <x v="0"/>
    <n v="1"/>
  </r>
  <r>
    <x v="252"/>
    <x v="0"/>
    <n v="1"/>
  </r>
  <r>
    <x v="252"/>
    <x v="0"/>
    <n v="1"/>
  </r>
  <r>
    <x v="252"/>
    <x v="1"/>
    <n v="1"/>
  </r>
  <r>
    <x v="252"/>
    <x v="1"/>
    <n v="1"/>
  </r>
  <r>
    <x v="252"/>
    <x v="2"/>
    <n v="1"/>
  </r>
  <r>
    <x v="253"/>
    <x v="2"/>
    <n v="1"/>
  </r>
  <r>
    <x v="253"/>
    <x v="1"/>
    <n v="1"/>
  </r>
  <r>
    <x v="253"/>
    <x v="0"/>
    <n v="1"/>
  </r>
  <r>
    <x v="253"/>
    <x v="0"/>
    <n v="1"/>
  </r>
  <r>
    <x v="253"/>
    <x v="1"/>
    <n v="1"/>
  </r>
  <r>
    <x v="253"/>
    <x v="3"/>
    <n v="1"/>
  </r>
  <r>
    <x v="253"/>
    <x v="0"/>
    <n v="1"/>
  </r>
  <r>
    <x v="253"/>
    <x v="1"/>
    <n v="1"/>
  </r>
  <r>
    <x v="253"/>
    <x v="0"/>
    <n v="1"/>
  </r>
  <r>
    <x v="253"/>
    <x v="0"/>
    <n v="1"/>
  </r>
  <r>
    <x v="253"/>
    <x v="3"/>
    <n v="1"/>
  </r>
  <r>
    <x v="253"/>
    <x v="0"/>
    <n v="1"/>
  </r>
  <r>
    <x v="253"/>
    <x v="1"/>
    <n v="1"/>
  </r>
  <r>
    <x v="254"/>
    <x v="2"/>
    <n v="1"/>
  </r>
  <r>
    <x v="254"/>
    <x v="1"/>
    <n v="1"/>
  </r>
  <r>
    <x v="254"/>
    <x v="0"/>
    <n v="1"/>
  </r>
  <r>
    <x v="254"/>
    <x v="0"/>
    <n v="1"/>
  </r>
  <r>
    <x v="254"/>
    <x v="1"/>
    <n v="1"/>
  </r>
  <r>
    <x v="254"/>
    <x v="3"/>
    <n v="1"/>
  </r>
  <r>
    <x v="254"/>
    <x v="0"/>
    <n v="1"/>
  </r>
  <r>
    <x v="254"/>
    <x v="1"/>
    <n v="1"/>
  </r>
  <r>
    <x v="254"/>
    <x v="0"/>
    <n v="1"/>
  </r>
  <r>
    <x v="254"/>
    <x v="0"/>
    <n v="1"/>
  </r>
  <r>
    <x v="254"/>
    <x v="0"/>
    <n v="1"/>
  </r>
  <r>
    <x v="254"/>
    <x v="3"/>
    <n v="1"/>
  </r>
  <r>
    <x v="254"/>
    <x v="0"/>
    <n v="1"/>
  </r>
  <r>
    <x v="254"/>
    <x v="1"/>
    <n v="1"/>
  </r>
  <r>
    <x v="255"/>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СводнаяТаблица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J261" firstHeaderRow="1" firstDataRow="2" firstDataCol="1"/>
  <pivotFields count="3">
    <pivotField axis="axisRow" showAll="0">
      <items count="257">
        <item x="8"/>
        <item x="230"/>
        <item x="245"/>
        <item x="246"/>
        <item x="240"/>
        <item x="223"/>
        <item x="217"/>
        <item x="216"/>
        <item x="215"/>
        <item x="218"/>
        <item x="212"/>
        <item x="4"/>
        <item x="3"/>
        <item x="9"/>
        <item x="149"/>
        <item x="86"/>
        <item x="58"/>
        <item x="51"/>
        <item x="183"/>
        <item x="178"/>
        <item x="175"/>
        <item x="165"/>
        <item x="163"/>
        <item x="177"/>
        <item x="176"/>
        <item x="168"/>
        <item x="166"/>
        <item x="167"/>
        <item x="171"/>
        <item x="170"/>
        <item x="172"/>
        <item x="169"/>
        <item x="164"/>
        <item x="161"/>
        <item x="160"/>
        <item x="153"/>
        <item x="159"/>
        <item x="147"/>
        <item x="158"/>
        <item x="157"/>
        <item x="156"/>
        <item x="146"/>
        <item x="145"/>
        <item x="152"/>
        <item x="142"/>
        <item x="98"/>
        <item x="144"/>
        <item x="141"/>
        <item x="139"/>
        <item x="138"/>
        <item x="137"/>
        <item x="135"/>
        <item x="134"/>
        <item x="132"/>
        <item x="131"/>
        <item x="130"/>
        <item x="128"/>
        <item x="122"/>
        <item x="127"/>
        <item x="126"/>
        <item x="120"/>
        <item x="118"/>
        <item x="124"/>
        <item x="123"/>
        <item x="119"/>
        <item x="116"/>
        <item x="114"/>
        <item x="125"/>
        <item x="113"/>
        <item x="117"/>
        <item x="115"/>
        <item x="121"/>
        <item x="112"/>
        <item x="109"/>
        <item x="108"/>
        <item x="107"/>
        <item x="105"/>
        <item x="103"/>
        <item x="101"/>
        <item x="102"/>
        <item x="100"/>
        <item x="99"/>
        <item x="97"/>
        <item x="96"/>
        <item x="94"/>
        <item x="93"/>
        <item x="91"/>
        <item x="95"/>
        <item x="92"/>
        <item x="89"/>
        <item x="88"/>
        <item x="87"/>
        <item x="84"/>
        <item x="82"/>
        <item x="81"/>
        <item x="80"/>
        <item x="79"/>
        <item x="78"/>
        <item x="76"/>
        <item x="77"/>
        <item x="75"/>
        <item x="74"/>
        <item x="73"/>
        <item x="72"/>
        <item x="71"/>
        <item x="69"/>
        <item x="70"/>
        <item x="66"/>
        <item x="65"/>
        <item x="68"/>
        <item x="67"/>
        <item x="64"/>
        <item x="63"/>
        <item x="62"/>
        <item x="61"/>
        <item x="60"/>
        <item x="59"/>
        <item x="56"/>
        <item x="50"/>
        <item x="49"/>
        <item x="45"/>
        <item x="41"/>
        <item x="39"/>
        <item x="38"/>
        <item x="37"/>
        <item x="36"/>
        <item x="35"/>
        <item x="34"/>
        <item x="33"/>
        <item x="32"/>
        <item x="31"/>
        <item x="30"/>
        <item x="29"/>
        <item x="26"/>
        <item x="25"/>
        <item x="28"/>
        <item x="27"/>
        <item x="22"/>
        <item x="19"/>
        <item x="48"/>
        <item x="40"/>
        <item x="235"/>
        <item x="237"/>
        <item x="232"/>
        <item x="238"/>
        <item x="10"/>
        <item x="247"/>
        <item x="248"/>
        <item x="233"/>
        <item x="229"/>
        <item x="234"/>
        <item x="222"/>
        <item x="214"/>
        <item x="213"/>
        <item x="254"/>
        <item x="253"/>
        <item x="188"/>
        <item x="187"/>
        <item x="179"/>
        <item x="242"/>
        <item x="241"/>
        <item x="239"/>
        <item x="231"/>
        <item x="197"/>
        <item x="250"/>
        <item x="251"/>
        <item x="143"/>
        <item x="190"/>
        <item x="181"/>
        <item x="6"/>
        <item x="209"/>
        <item x="202"/>
        <item x="203"/>
        <item x="199"/>
        <item x="196"/>
        <item x="194"/>
        <item x="192"/>
        <item x="191"/>
        <item x="189"/>
        <item x="5"/>
        <item x="174"/>
        <item x="14"/>
        <item x="133"/>
        <item x="129"/>
        <item x="13"/>
        <item x="110"/>
        <item x="12"/>
        <item x="104"/>
        <item x="85"/>
        <item x="11"/>
        <item x="21"/>
        <item x="17"/>
        <item x="206"/>
        <item x="0"/>
        <item x="252"/>
        <item x="249"/>
        <item x="243"/>
        <item x="244"/>
        <item x="1"/>
        <item x="236"/>
        <item x="228"/>
        <item x="227"/>
        <item x="2"/>
        <item x="224"/>
        <item x="225"/>
        <item x="226"/>
        <item x="219"/>
        <item x="220"/>
        <item x="221"/>
        <item x="211"/>
        <item x="210"/>
        <item x="205"/>
        <item x="204"/>
        <item x="201"/>
        <item x="200"/>
        <item x="198"/>
        <item x="151"/>
        <item x="150"/>
        <item x="186"/>
        <item x="184"/>
        <item x="185"/>
        <item x="180"/>
        <item x="173"/>
        <item x="148"/>
        <item x="154"/>
        <item x="140"/>
        <item x="106"/>
        <item x="90"/>
        <item x="57"/>
        <item x="55"/>
        <item x="54"/>
        <item x="53"/>
        <item x="46"/>
        <item x="18"/>
        <item x="15"/>
        <item x="195"/>
        <item x="193"/>
        <item x="182"/>
        <item x="162"/>
        <item x="155"/>
        <item x="136"/>
        <item x="111"/>
        <item x="83"/>
        <item x="52"/>
        <item x="47"/>
        <item x="44"/>
        <item x="43"/>
        <item x="42"/>
        <item x="23"/>
        <item x="24"/>
        <item x="7"/>
        <item x="208"/>
        <item x="207"/>
        <item x="16"/>
        <item x="20"/>
        <item x="255"/>
        <item t="default"/>
      </items>
    </pivotField>
    <pivotField axis="axisCol" showAll="0">
      <items count="9">
        <item x="0"/>
        <item x="1"/>
        <item x="3"/>
        <item x="2"/>
        <item x="6"/>
        <item x="4"/>
        <item x="5"/>
        <item x="7"/>
        <item t="default"/>
      </items>
    </pivotField>
    <pivotField dataField="1" showAll="0"/>
  </pivotFields>
  <rowFields count="1">
    <field x="0"/>
  </rowFields>
  <rowItems count="2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Fields count="1">
    <field x="1"/>
  </colFields>
  <colItems count="9">
    <i>
      <x/>
    </i>
    <i>
      <x v="1"/>
    </i>
    <i>
      <x v="2"/>
    </i>
    <i>
      <x v="3"/>
    </i>
    <i>
      <x v="4"/>
    </i>
    <i>
      <x v="5"/>
    </i>
    <i>
      <x v="6"/>
    </i>
    <i>
      <x v="7"/>
    </i>
    <i t="grand">
      <x/>
    </i>
  </colItems>
  <dataFields count="1">
    <dataField name="Среднее по полю признак" fld="2" subtotal="average" baseField="0"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O257"/>
  <sheetViews>
    <sheetView tabSelected="1" workbookViewId="0">
      <pane ySplit="1" topLeftCell="A144" activePane="bottomLeft" state="frozen"/>
      <selection pane="bottomLeft" activeCell="B203" sqref="B203"/>
    </sheetView>
  </sheetViews>
  <sheetFormatPr defaultRowHeight="22.5" customHeight="1" x14ac:dyDescent="0.25"/>
  <cols>
    <col min="1" max="1" width="15.85546875" bestFit="1" customWidth="1"/>
    <col min="2" max="2" width="29.7109375" customWidth="1"/>
    <col min="3" max="4" width="13" customWidth="1"/>
    <col min="5" max="5" width="12.5703125" customWidth="1"/>
    <col min="6" max="6" width="16.7109375" customWidth="1"/>
    <col min="7" max="7" width="16.42578125" customWidth="1"/>
    <col min="8" max="8" width="13.5703125" customWidth="1"/>
    <col min="9" max="9" width="16" customWidth="1"/>
    <col min="10" max="10" width="17.140625" customWidth="1"/>
    <col min="12" max="12" width="11" customWidth="1"/>
    <col min="13" max="13" width="11.7109375" customWidth="1"/>
    <col min="14" max="14" width="17.5703125" customWidth="1"/>
    <col min="15" max="15" width="15.42578125" customWidth="1"/>
  </cols>
  <sheetData>
    <row r="1" spans="1:15" s="6" customFormat="1" ht="50.25" customHeight="1" x14ac:dyDescent="0.25">
      <c r="A1" s="29" t="s">
        <v>2</v>
      </c>
      <c r="B1" s="29" t="s">
        <v>2920</v>
      </c>
      <c r="C1" s="30" t="s">
        <v>3812</v>
      </c>
      <c r="D1" s="30" t="s">
        <v>2917</v>
      </c>
      <c r="E1" s="30" t="s">
        <v>3813</v>
      </c>
      <c r="F1" s="30" t="s">
        <v>3814</v>
      </c>
      <c r="G1" s="30" t="s">
        <v>3815</v>
      </c>
      <c r="H1" s="29" t="s">
        <v>2916</v>
      </c>
      <c r="I1" s="29" t="s">
        <v>3811</v>
      </c>
      <c r="J1" s="29" t="s">
        <v>2918</v>
      </c>
      <c r="K1" s="29" t="s">
        <v>2919</v>
      </c>
      <c r="L1" s="29" t="s">
        <v>2921</v>
      </c>
      <c r="M1" s="29" t="s">
        <v>2915</v>
      </c>
      <c r="N1" s="29" t="s">
        <v>4</v>
      </c>
      <c r="O1" s="29" t="s">
        <v>2914</v>
      </c>
    </row>
    <row r="2" spans="1:15" s="7" customFormat="1" ht="22.5" customHeight="1" x14ac:dyDescent="0.25">
      <c r="C2" s="7">
        <v>0.04</v>
      </c>
      <c r="D2" s="7">
        <v>0.2</v>
      </c>
      <c r="E2" s="7">
        <v>0.1</v>
      </c>
      <c r="F2" s="7">
        <v>0.2</v>
      </c>
      <c r="G2" s="7">
        <f>0.01</f>
        <v>0.01</v>
      </c>
      <c r="H2" s="7">
        <v>0.4</v>
      </c>
      <c r="J2" s="7">
        <v>0.05</v>
      </c>
    </row>
    <row r="3" spans="1:15" ht="156.75" customHeight="1" x14ac:dyDescent="0.25">
      <c r="A3" t="s">
        <v>71</v>
      </c>
      <c r="B3" s="2" t="s">
        <v>69</v>
      </c>
      <c r="C3">
        <f>$C$2*Families!J10</f>
        <v>0</v>
      </c>
      <c r="D3">
        <f>$D$2*Novelty!D10</f>
        <v>4.0000000000000008E-2</v>
      </c>
      <c r="E3">
        <f>$E$2*VLOOKUP(A3,Interdisciplinarity!$K$3:$M$258,3,0)</f>
        <v>0.06</v>
      </c>
      <c r="F3">
        <f t="shared" ref="F3:F66" si="0">$F$2*I3</f>
        <v>0</v>
      </c>
      <c r="G3">
        <f t="shared" ref="G3:G66" si="1">IF(M3="US",1,IF(M3="EP",1,IF(M3="WO",1,IF(M3="RU",1,IF(M3="CN",0.8,0)))))*$G$2</f>
        <v>0</v>
      </c>
      <c r="H3">
        <f>$H$2*VLOOKUP(A3,Lexis_Сoefficient!$A$3:$F$257,6,0)</f>
        <v>0.20800000000000002</v>
      </c>
      <c r="I3">
        <v>0</v>
      </c>
      <c r="J3">
        <f>$J$2*VLOOKUP(A3,'Patent availability1'!$L$4:$V$261,11,0)</f>
        <v>0.05</v>
      </c>
      <c r="K3">
        <f t="shared" ref="K3:K66" si="2">SUM(F3:J3)-I3</f>
        <v>0.25800000000000001</v>
      </c>
      <c r="L3" s="2" t="s">
        <v>70</v>
      </c>
      <c r="M3" t="str">
        <f t="shared" ref="M3:M66" si="3">LEFT(A3,2)</f>
        <v>AU</v>
      </c>
      <c r="N3" s="6" t="s">
        <v>73</v>
      </c>
    </row>
    <row r="4" spans="1:15" ht="22.5" customHeight="1" x14ac:dyDescent="0.25">
      <c r="A4" t="s">
        <v>1219</v>
      </c>
      <c r="B4" s="2" t="s">
        <v>1217</v>
      </c>
      <c r="C4">
        <f>$C$2*Families!J232</f>
        <v>0.04</v>
      </c>
      <c r="D4">
        <f>$D$2*Novelty!D232</f>
        <v>1.0000000000000002E-2</v>
      </c>
      <c r="E4">
        <f>$E$2*VLOOKUP(A4,Interdisciplinarity!$K$3:$M$258,3,0)</f>
        <v>8.5000000000000006E-2</v>
      </c>
      <c r="F4">
        <f t="shared" si="0"/>
        <v>0</v>
      </c>
      <c r="G4">
        <f t="shared" si="1"/>
        <v>0</v>
      </c>
      <c r="H4">
        <f>$H$2*VLOOKUP(A4,Lexis_Сoefficient!$A$3:$F$257,6,0)</f>
        <v>0.21600000000000003</v>
      </c>
      <c r="I4">
        <v>0</v>
      </c>
      <c r="J4">
        <f>$J$2*VLOOKUP(A4,'Patent availability1'!$L$4:$V$261,11,0)</f>
        <v>0.05</v>
      </c>
      <c r="K4">
        <f t="shared" si="2"/>
        <v>0.26600000000000001</v>
      </c>
      <c r="L4" s="2" t="s">
        <v>1218</v>
      </c>
      <c r="M4" t="str">
        <f t="shared" si="3"/>
        <v>AU</v>
      </c>
      <c r="N4" s="6" t="s">
        <v>1221</v>
      </c>
    </row>
    <row r="5" spans="1:15" ht="22.5" customHeight="1" x14ac:dyDescent="0.25">
      <c r="A5" t="s">
        <v>1322</v>
      </c>
      <c r="B5" s="2" t="s">
        <v>1320</v>
      </c>
      <c r="C5">
        <f>$C$2*Families!J247</f>
        <v>0.04</v>
      </c>
      <c r="D5">
        <f>$D$2*Novelty!D247</f>
        <v>1.0000000000000002E-2</v>
      </c>
      <c r="E5">
        <f>$E$2*VLOOKUP(A5,Interdisciplinarity!$K$3:$M$258,3,0)</f>
        <v>0.06</v>
      </c>
      <c r="F5">
        <f t="shared" si="0"/>
        <v>0</v>
      </c>
      <c r="G5">
        <f t="shared" si="1"/>
        <v>0</v>
      </c>
      <c r="H5">
        <f>$H$2*VLOOKUP(A5,Lexis_Сoefficient!$A$3:$F$257,6,0)</f>
        <v>0.16800000000000001</v>
      </c>
      <c r="I5">
        <v>0</v>
      </c>
      <c r="J5">
        <f>$J$2*VLOOKUP(A5,'Patent availability1'!$L$4:$V$261,11,0)</f>
        <v>0.05</v>
      </c>
      <c r="K5">
        <f t="shared" si="2"/>
        <v>0.21800000000000003</v>
      </c>
      <c r="L5" s="2" t="s">
        <v>1321</v>
      </c>
      <c r="M5" t="str">
        <f t="shared" si="3"/>
        <v>AU</v>
      </c>
      <c r="N5" s="6" t="s">
        <v>1324</v>
      </c>
    </row>
    <row r="6" spans="1:15" ht="22.5" customHeight="1" x14ac:dyDescent="0.25">
      <c r="A6" t="s">
        <v>1330</v>
      </c>
      <c r="B6" s="2" t="s">
        <v>1328</v>
      </c>
      <c r="C6">
        <f>$C$2*Families!J248</f>
        <v>0.04</v>
      </c>
      <c r="D6">
        <f>$D$2*Novelty!D248</f>
        <v>1.0000000000000002E-2</v>
      </c>
      <c r="E6">
        <f>$E$2*VLOOKUP(A6,Interdisciplinarity!$K$3:$M$258,3,0)</f>
        <v>8.5000000000000006E-2</v>
      </c>
      <c r="F6">
        <f t="shared" si="0"/>
        <v>0</v>
      </c>
      <c r="G6">
        <f t="shared" si="1"/>
        <v>0</v>
      </c>
      <c r="H6">
        <f>$H$2*VLOOKUP(A6,Lexis_Сoefficient!$A$3:$F$257,6,0)</f>
        <v>0.17000000000000004</v>
      </c>
      <c r="I6">
        <v>0</v>
      </c>
      <c r="J6">
        <f>$J$2*VLOOKUP(A6,'Patent availability1'!$L$4:$V$261,11,0)</f>
        <v>0.05</v>
      </c>
      <c r="K6">
        <f t="shared" si="2"/>
        <v>0.22000000000000003</v>
      </c>
      <c r="L6" s="2" t="s">
        <v>1329</v>
      </c>
      <c r="M6" t="str">
        <f t="shared" si="3"/>
        <v>AU</v>
      </c>
      <c r="N6" s="6" t="s">
        <v>1332</v>
      </c>
    </row>
    <row r="7" spans="1:15" ht="22.5" customHeight="1" x14ac:dyDescent="0.25">
      <c r="A7" t="s">
        <v>1294</v>
      </c>
      <c r="B7" s="2" t="s">
        <v>1292</v>
      </c>
      <c r="C7">
        <f>$C$2*Families!J242</f>
        <v>0.04</v>
      </c>
      <c r="D7">
        <f>$D$2*Novelty!D242</f>
        <v>1.0000000000000002E-2</v>
      </c>
      <c r="E7">
        <f>$E$2*VLOOKUP(A7,Interdisciplinarity!$K$3:$M$258,3,0)</f>
        <v>8.5000000000000006E-2</v>
      </c>
      <c r="F7">
        <f t="shared" si="0"/>
        <v>0</v>
      </c>
      <c r="G7">
        <f t="shared" si="1"/>
        <v>0</v>
      </c>
      <c r="H7">
        <f>$H$2*VLOOKUP(A7,Lexis_Сoefficient!$A$3:$F$257,6,0)</f>
        <v>0.20800000000000002</v>
      </c>
      <c r="I7">
        <v>0</v>
      </c>
      <c r="J7">
        <f>$J$2*VLOOKUP(A7,'Patent availability1'!$L$4:$V$261,11,0)</f>
        <v>0.05</v>
      </c>
      <c r="K7">
        <f t="shared" si="2"/>
        <v>0.25800000000000001</v>
      </c>
      <c r="L7" s="2" t="s">
        <v>1293</v>
      </c>
      <c r="M7" t="str">
        <f t="shared" si="3"/>
        <v>AU</v>
      </c>
      <c r="N7" s="6" t="s">
        <v>1296</v>
      </c>
    </row>
    <row r="8" spans="1:15" ht="22.5" customHeight="1" x14ac:dyDescent="0.25">
      <c r="A8" t="s">
        <v>1174</v>
      </c>
      <c r="B8" s="2" t="s">
        <v>1172</v>
      </c>
      <c r="C8">
        <f>$C$2*Families!J225</f>
        <v>0.04</v>
      </c>
      <c r="D8">
        <f>$D$2*Novelty!D225</f>
        <v>1.0000000000000002E-2</v>
      </c>
      <c r="E8">
        <f>$E$2*VLOOKUP(A8,Interdisciplinarity!$K$3:$M$258,3,0)</f>
        <v>0.06</v>
      </c>
      <c r="F8">
        <f t="shared" si="0"/>
        <v>0.2</v>
      </c>
      <c r="G8">
        <f t="shared" si="1"/>
        <v>0</v>
      </c>
      <c r="H8">
        <f>$H$2*VLOOKUP(A8,Lexis_Сoefficient!$A$3:$F$257,6,0)</f>
        <v>0.25600000000000001</v>
      </c>
      <c r="I8">
        <v>1</v>
      </c>
      <c r="J8">
        <f>$J$2*VLOOKUP(A8,'Patent availability1'!$L$4:$V$261,11,0)</f>
        <v>0.05</v>
      </c>
      <c r="K8">
        <f t="shared" si="2"/>
        <v>0.50600000000000001</v>
      </c>
      <c r="L8" s="2" t="s">
        <v>1173</v>
      </c>
      <c r="M8" t="str">
        <f t="shared" si="3"/>
        <v>CA</v>
      </c>
      <c r="N8" s="6" t="s">
        <v>13</v>
      </c>
    </row>
    <row r="9" spans="1:15" ht="22.5" customHeight="1" x14ac:dyDescent="0.25">
      <c r="A9" t="s">
        <v>1129</v>
      </c>
      <c r="B9" s="2" t="s">
        <v>1127</v>
      </c>
      <c r="C9">
        <f>$C$2*Families!J219</f>
        <v>0.04</v>
      </c>
      <c r="D9">
        <f>$D$2*Novelty!D219</f>
        <v>1.0000000000000002E-2</v>
      </c>
      <c r="E9">
        <f>$E$2*VLOOKUP(A9,Interdisciplinarity!$K$3:$M$258,3,0)</f>
        <v>0.1</v>
      </c>
      <c r="F9">
        <f t="shared" si="0"/>
        <v>0</v>
      </c>
      <c r="G9">
        <f t="shared" si="1"/>
        <v>0</v>
      </c>
      <c r="H9">
        <f>$H$2*VLOOKUP(A9,Lexis_Сoefficient!$A$3:$F$257,6,0)</f>
        <v>0.246</v>
      </c>
      <c r="I9">
        <v>0</v>
      </c>
      <c r="J9">
        <f>$J$2*VLOOKUP(A9,'Patent availability1'!$L$4:$V$261,11,0)</f>
        <v>0.05</v>
      </c>
      <c r="K9">
        <f t="shared" si="2"/>
        <v>0.29599999999999999</v>
      </c>
      <c r="L9" s="2" t="s">
        <v>1128</v>
      </c>
      <c r="M9" t="str">
        <f t="shared" si="3"/>
        <v>CA</v>
      </c>
      <c r="N9" s="6" t="s">
        <v>145</v>
      </c>
    </row>
    <row r="10" spans="1:15" ht="22.5" customHeight="1" x14ac:dyDescent="0.25">
      <c r="A10" t="s">
        <v>1123</v>
      </c>
      <c r="B10" s="2" t="s">
        <v>1121</v>
      </c>
      <c r="C10">
        <f>$C$2*Families!J218</f>
        <v>0.04</v>
      </c>
      <c r="D10">
        <f>$D$2*Novelty!D218</f>
        <v>1.0000000000000002E-2</v>
      </c>
      <c r="E10">
        <f>$E$2*VLOOKUP(A10,Interdisciplinarity!$K$3:$M$258,3,0)</f>
        <v>8.5000000000000006E-2</v>
      </c>
      <c r="F10">
        <f t="shared" si="0"/>
        <v>0.2</v>
      </c>
      <c r="G10">
        <f t="shared" si="1"/>
        <v>0</v>
      </c>
      <c r="H10">
        <f>$H$2*VLOOKUP(A10,Lexis_Сoefficient!$A$3:$F$257,6,0)</f>
        <v>0.25600000000000001</v>
      </c>
      <c r="I10">
        <v>1</v>
      </c>
      <c r="J10">
        <f>$J$2*VLOOKUP(A10,'Patent availability1'!$L$4:$V$261,11,0)</f>
        <v>0.05</v>
      </c>
      <c r="K10">
        <f t="shared" si="2"/>
        <v>0.50600000000000001</v>
      </c>
      <c r="L10" s="2" t="s">
        <v>1122</v>
      </c>
      <c r="M10" t="str">
        <f t="shared" si="3"/>
        <v>CA</v>
      </c>
      <c r="N10" s="6" t="s">
        <v>13</v>
      </c>
    </row>
    <row r="11" spans="1:15" ht="22.5" customHeight="1" x14ac:dyDescent="0.25">
      <c r="A11" t="s">
        <v>1116</v>
      </c>
      <c r="B11" s="2" t="s">
        <v>1114</v>
      </c>
      <c r="C11">
        <f>$C$2*Families!J217</f>
        <v>0</v>
      </c>
      <c r="D11">
        <f>$D$2*Novelty!D217</f>
        <v>1.0000000000000002E-2</v>
      </c>
      <c r="E11">
        <f>$E$2*VLOOKUP(A11,Interdisciplinarity!$K$3:$M$258,3,0)</f>
        <v>8.5000000000000006E-2</v>
      </c>
      <c r="F11">
        <f t="shared" si="0"/>
        <v>0.2</v>
      </c>
      <c r="G11">
        <f t="shared" si="1"/>
        <v>0</v>
      </c>
      <c r="H11">
        <f>$H$2*VLOOKUP(A11,Lexis_Сoefficient!$A$3:$F$257,6,0)</f>
        <v>0.22200000000000003</v>
      </c>
      <c r="I11">
        <v>1</v>
      </c>
      <c r="J11">
        <f>$J$2*VLOOKUP(A11,'Patent availability1'!$L$4:$V$261,11,0)</f>
        <v>0</v>
      </c>
      <c r="K11">
        <f t="shared" si="2"/>
        <v>0.42200000000000015</v>
      </c>
      <c r="L11" s="2" t="s">
        <v>1115</v>
      </c>
      <c r="M11" t="str">
        <f t="shared" si="3"/>
        <v>CA</v>
      </c>
      <c r="N11" s="6" t="s">
        <v>13</v>
      </c>
    </row>
    <row r="12" spans="1:15" ht="22.5" customHeight="1" x14ac:dyDescent="0.25">
      <c r="A12" t="s">
        <v>1137</v>
      </c>
      <c r="B12" s="2" t="s">
        <v>1135</v>
      </c>
      <c r="C12">
        <f>$C$2*Families!J220</f>
        <v>0.04</v>
      </c>
      <c r="D12">
        <f>$D$2*Novelty!D220</f>
        <v>1.0000000000000002E-2</v>
      </c>
      <c r="E12">
        <f>$E$2*VLOOKUP(A12,Interdisciplinarity!$K$3:$M$258,3,0)</f>
        <v>2.0000000000000004E-2</v>
      </c>
      <c r="F12">
        <f t="shared" si="0"/>
        <v>0.2</v>
      </c>
      <c r="G12">
        <f t="shared" si="1"/>
        <v>0</v>
      </c>
      <c r="H12">
        <f>$H$2*VLOOKUP(A12,Lexis_Сoefficient!$A$3:$F$257,6,0)</f>
        <v>0.21600000000000003</v>
      </c>
      <c r="I12">
        <v>1</v>
      </c>
      <c r="J12">
        <f>$J$2*VLOOKUP(A12,'Patent availability1'!$L$4:$V$261,11,0)</f>
        <v>0</v>
      </c>
      <c r="K12">
        <f t="shared" si="2"/>
        <v>0.41599999999999993</v>
      </c>
      <c r="L12" s="2" t="s">
        <v>1136</v>
      </c>
      <c r="M12" t="str">
        <f t="shared" si="3"/>
        <v>CA</v>
      </c>
      <c r="N12" s="6" t="s">
        <v>1139</v>
      </c>
    </row>
    <row r="13" spans="1:15" ht="22.5" customHeight="1" x14ac:dyDescent="0.25">
      <c r="A13" t="s">
        <v>1092</v>
      </c>
      <c r="B13" s="2" t="s">
        <v>1090</v>
      </c>
      <c r="C13">
        <f>$C$2*Families!J214</f>
        <v>0</v>
      </c>
      <c r="D13">
        <f>$D$2*Novelty!D214</f>
        <v>1.0000000000000002E-2</v>
      </c>
      <c r="E13">
        <f>$E$2*VLOOKUP(A13,Interdisciplinarity!$K$3:$M$258,3,0)</f>
        <v>8.5000000000000006E-2</v>
      </c>
      <c r="F13">
        <f t="shared" si="0"/>
        <v>0.2</v>
      </c>
      <c r="G13">
        <f t="shared" si="1"/>
        <v>0</v>
      </c>
      <c r="H13">
        <f>$H$2*VLOOKUP(A13,Lexis_Сoefficient!$A$3:$F$257,6,0)</f>
        <v>0.21200000000000002</v>
      </c>
      <c r="I13">
        <v>1</v>
      </c>
      <c r="J13">
        <f>$J$2*VLOOKUP(A13,'Patent availability1'!$L$4:$V$261,11,0)</f>
        <v>0.05</v>
      </c>
      <c r="K13">
        <f t="shared" si="2"/>
        <v>0.46199999999999997</v>
      </c>
      <c r="L13" s="2" t="s">
        <v>1091</v>
      </c>
      <c r="M13" t="str">
        <f t="shared" si="3"/>
        <v>CA</v>
      </c>
      <c r="N13" s="6" t="s">
        <v>1070</v>
      </c>
    </row>
    <row r="14" spans="1:15" ht="22.5" customHeight="1" x14ac:dyDescent="0.25">
      <c r="A14" t="s">
        <v>43</v>
      </c>
      <c r="B14" s="2" t="s">
        <v>41</v>
      </c>
      <c r="C14">
        <f>$C$2*Families!J6</f>
        <v>0</v>
      </c>
      <c r="D14">
        <f>$D$2*Novelty!D6</f>
        <v>4.0000000000000008E-2</v>
      </c>
      <c r="E14">
        <f>$E$2*VLOOKUP(A14,Interdisciplinarity!$K$3:$M$258,3,0)</f>
        <v>0.1</v>
      </c>
      <c r="F14">
        <f t="shared" si="0"/>
        <v>0.2</v>
      </c>
      <c r="G14">
        <f t="shared" si="1"/>
        <v>0</v>
      </c>
      <c r="H14">
        <f>$H$2*VLOOKUP(A14,Lexis_Сoefficient!$A$3:$F$257,6,0)</f>
        <v>0.27599999999999997</v>
      </c>
      <c r="I14">
        <v>1</v>
      </c>
      <c r="J14">
        <f>$J$2*VLOOKUP(A14,'Patent availability1'!$L$4:$V$261,11,0)</f>
        <v>0.05</v>
      </c>
      <c r="K14">
        <f t="shared" si="2"/>
        <v>0.52600000000000002</v>
      </c>
      <c r="L14" s="2" t="s">
        <v>42</v>
      </c>
      <c r="M14" t="str">
        <f t="shared" si="3"/>
        <v>CA</v>
      </c>
      <c r="N14" s="6" t="s">
        <v>45</v>
      </c>
    </row>
    <row r="15" spans="1:15" ht="22.5" customHeight="1" x14ac:dyDescent="0.25">
      <c r="A15" t="s">
        <v>34</v>
      </c>
      <c r="B15" s="2" t="s">
        <v>32</v>
      </c>
      <c r="C15">
        <f>$C$2*Families!J5</f>
        <v>0</v>
      </c>
      <c r="D15">
        <f>$D$2*Novelty!D5</f>
        <v>4.0000000000000008E-2</v>
      </c>
      <c r="E15">
        <f>$E$2*VLOOKUP(A15,Interdisciplinarity!$K$3:$M$258,3,0)</f>
        <v>8.5000000000000006E-2</v>
      </c>
      <c r="F15">
        <f t="shared" si="0"/>
        <v>0</v>
      </c>
      <c r="G15">
        <f t="shared" si="1"/>
        <v>0</v>
      </c>
      <c r="H15">
        <f>$H$2*VLOOKUP(A15,Lexis_Сoefficient!$A$3:$F$257,6,0)</f>
        <v>0.16000000000000003</v>
      </c>
      <c r="I15">
        <v>0</v>
      </c>
      <c r="J15">
        <f>$J$2*VLOOKUP(A15,'Patent availability1'!$L$4:$V$261,11,0)</f>
        <v>0</v>
      </c>
      <c r="K15">
        <f t="shared" si="2"/>
        <v>0.16000000000000003</v>
      </c>
      <c r="L15" s="2" t="s">
        <v>33</v>
      </c>
      <c r="M15" t="str">
        <f t="shared" si="3"/>
        <v>CA</v>
      </c>
      <c r="N15" s="6" t="s">
        <v>36</v>
      </c>
    </row>
    <row r="16" spans="1:15" ht="22.5" customHeight="1" x14ac:dyDescent="0.25">
      <c r="A16" t="s">
        <v>80</v>
      </c>
      <c r="B16" s="2" t="s">
        <v>78</v>
      </c>
      <c r="C16">
        <f>$C$2*Families!J11</f>
        <v>0</v>
      </c>
      <c r="D16">
        <f>$D$2*Novelty!D11</f>
        <v>4.0000000000000008E-2</v>
      </c>
      <c r="E16">
        <f>$E$2*VLOOKUP(A16,Interdisciplinarity!$K$3:$M$258,3,0)</f>
        <v>0.06</v>
      </c>
      <c r="F16">
        <f t="shared" si="0"/>
        <v>0.2</v>
      </c>
      <c r="G16">
        <f t="shared" si="1"/>
        <v>0</v>
      </c>
      <c r="H16">
        <f>$H$2*VLOOKUP(A16,Lexis_Сoefficient!$A$3:$F$257,6,0)</f>
        <v>0.20800000000000002</v>
      </c>
      <c r="I16">
        <v>1</v>
      </c>
      <c r="J16">
        <f>$J$2*VLOOKUP(A16,'Patent availability1'!$L$4:$V$261,11,0)</f>
        <v>0.05</v>
      </c>
      <c r="K16">
        <f t="shared" si="2"/>
        <v>0.45799999999999996</v>
      </c>
      <c r="L16" s="2" t="s">
        <v>79</v>
      </c>
      <c r="M16" t="str">
        <f t="shared" si="3"/>
        <v>CA</v>
      </c>
      <c r="N16" s="6" t="s">
        <v>45</v>
      </c>
    </row>
    <row r="17" spans="1:14" ht="22.5" customHeight="1" x14ac:dyDescent="0.25">
      <c r="A17" t="s">
        <v>737</v>
      </c>
      <c r="B17" s="2" t="s">
        <v>735</v>
      </c>
      <c r="C17">
        <f>$C$2*Families!J151</f>
        <v>0</v>
      </c>
      <c r="D17">
        <f>$D$2*Novelty!D151</f>
        <v>4.0000000000000008E-2</v>
      </c>
      <c r="E17">
        <f>$E$2*VLOOKUP(A17,Interdisciplinarity!$K$3:$M$258,3,0)</f>
        <v>0.1</v>
      </c>
      <c r="F17">
        <f t="shared" si="0"/>
        <v>0</v>
      </c>
      <c r="G17">
        <f t="shared" si="1"/>
        <v>0</v>
      </c>
      <c r="H17">
        <f>$H$2*VLOOKUP(A17,Lexis_Сoefficient!$A$3:$F$257,6,0)</f>
        <v>0.24199999999999999</v>
      </c>
      <c r="I17">
        <v>0</v>
      </c>
      <c r="J17">
        <f>$J$2*VLOOKUP(A17,'Patent availability1'!$L$4:$V$261,11,0)</f>
        <v>0.05</v>
      </c>
      <c r="K17">
        <f t="shared" si="2"/>
        <v>0.29199999999999998</v>
      </c>
      <c r="L17" s="2" t="s">
        <v>736</v>
      </c>
      <c r="M17" t="str">
        <f t="shared" si="3"/>
        <v>CA</v>
      </c>
      <c r="N17" s="6" t="s">
        <v>739</v>
      </c>
    </row>
    <row r="18" spans="1:14" ht="22.5" customHeight="1" x14ac:dyDescent="0.25">
      <c r="A18" t="s">
        <v>432</v>
      </c>
      <c r="B18" s="2" t="s">
        <v>430</v>
      </c>
      <c r="C18">
        <f>$C$2*Families!J88</f>
        <v>0.04</v>
      </c>
      <c r="D18">
        <f>$D$2*Novelty!D88</f>
        <v>0.12</v>
      </c>
      <c r="E18">
        <f>$E$2*VLOOKUP(A18,Interdisciplinarity!$K$3:$M$258,3,0)</f>
        <v>0.06</v>
      </c>
      <c r="F18">
        <f t="shared" si="0"/>
        <v>0</v>
      </c>
      <c r="G18">
        <f t="shared" si="1"/>
        <v>0</v>
      </c>
      <c r="H18">
        <f>$H$2*VLOOKUP(A18,Lexis_Сoefficient!$A$3:$F$257,6,0)</f>
        <v>0.21200000000000002</v>
      </c>
      <c r="I18">
        <v>0</v>
      </c>
      <c r="J18">
        <f>$J$2*VLOOKUP(A18,'Patent availability1'!$L$4:$V$261,11,0)</f>
        <v>0</v>
      </c>
      <c r="K18">
        <f t="shared" si="2"/>
        <v>0.21200000000000002</v>
      </c>
      <c r="L18" s="2" t="s">
        <v>431</v>
      </c>
      <c r="M18" t="str">
        <f t="shared" si="3"/>
        <v>CA</v>
      </c>
      <c r="N18" s="6" t="s">
        <v>327</v>
      </c>
    </row>
    <row r="19" spans="1:14" ht="22.5" customHeight="1" x14ac:dyDescent="0.25">
      <c r="A19" t="s">
        <v>325</v>
      </c>
      <c r="B19" s="2" t="s">
        <v>323</v>
      </c>
      <c r="C19">
        <f>$C$2*Families!J60</f>
        <v>0</v>
      </c>
      <c r="D19">
        <f>$D$2*Novelty!D60</f>
        <v>0.12</v>
      </c>
      <c r="E19">
        <f>$E$2*VLOOKUP(A19,Interdisciplinarity!$K$3:$M$258,3,0)</f>
        <v>0.06</v>
      </c>
      <c r="F19">
        <f t="shared" si="0"/>
        <v>0</v>
      </c>
      <c r="G19">
        <f t="shared" si="1"/>
        <v>0</v>
      </c>
      <c r="H19">
        <f>$H$2*VLOOKUP(A19,Lexis_Сoefficient!$A$3:$F$257,6,0)</f>
        <v>0.16800000000000004</v>
      </c>
      <c r="I19">
        <v>0</v>
      </c>
      <c r="J19">
        <f>$J$2*VLOOKUP(A19,'Patent availability1'!$L$4:$V$261,11,0)</f>
        <v>0</v>
      </c>
      <c r="K19">
        <f t="shared" si="2"/>
        <v>0.16800000000000004</v>
      </c>
      <c r="L19" s="2" t="s">
        <v>324</v>
      </c>
      <c r="M19" t="str">
        <f t="shared" si="3"/>
        <v>CA</v>
      </c>
      <c r="N19" s="6" t="s">
        <v>327</v>
      </c>
    </row>
    <row r="20" spans="1:14" ht="22.5" customHeight="1" x14ac:dyDescent="0.25">
      <c r="A20" t="s">
        <v>283</v>
      </c>
      <c r="B20" s="2" t="s">
        <v>281</v>
      </c>
      <c r="C20">
        <f>$C$2*Families!J53</f>
        <v>0.04</v>
      </c>
      <c r="D20">
        <f>$D$2*Novelty!D53</f>
        <v>0.17</v>
      </c>
      <c r="E20">
        <f>$E$2*VLOOKUP(A20,Interdisciplinarity!$K$3:$M$258,3,0)</f>
        <v>2.0000000000000004E-2</v>
      </c>
      <c r="F20">
        <f t="shared" si="0"/>
        <v>0</v>
      </c>
      <c r="G20">
        <f t="shared" si="1"/>
        <v>0</v>
      </c>
      <c r="H20">
        <f>$H$2*VLOOKUP(A20,Lexis_Сoefficient!$A$3:$F$257,6,0)</f>
        <v>0.10200000000000001</v>
      </c>
      <c r="I20">
        <v>0</v>
      </c>
      <c r="J20">
        <f>$J$2*VLOOKUP(A20,'Patent availability1'!$L$4:$V$261,11,0)</f>
        <v>0</v>
      </c>
      <c r="K20">
        <f t="shared" si="2"/>
        <v>0.10200000000000001</v>
      </c>
      <c r="L20" s="2" t="s">
        <v>282</v>
      </c>
      <c r="M20" t="str">
        <f t="shared" si="3"/>
        <v>CA</v>
      </c>
      <c r="N20" s="6" t="s">
        <v>285</v>
      </c>
    </row>
    <row r="21" spans="1:14" ht="22.5" customHeight="1" x14ac:dyDescent="0.25">
      <c r="A21" t="s">
        <v>924</v>
      </c>
      <c r="B21" s="2" t="s">
        <v>923</v>
      </c>
      <c r="C21">
        <f>$C$2*Families!J185</f>
        <v>0.04</v>
      </c>
      <c r="D21">
        <f>$D$2*Novelty!D185</f>
        <v>4.0000000000000008E-2</v>
      </c>
      <c r="E21">
        <f>$E$2*VLOOKUP(A21,Interdisciplinarity!$K$3:$M$258,3,0)</f>
        <v>2.0000000000000004E-2</v>
      </c>
      <c r="F21">
        <f t="shared" si="0"/>
        <v>0</v>
      </c>
      <c r="G21">
        <f t="shared" si="1"/>
        <v>8.0000000000000002E-3</v>
      </c>
      <c r="H21">
        <f>$H$2*VLOOKUP(A21,Lexis_Сoefficient!$A$3:$F$257,6,0)</f>
        <v>0.124</v>
      </c>
      <c r="I21">
        <v>0</v>
      </c>
      <c r="J21">
        <f>$J$2*VLOOKUP(A21,'Patent availability1'!$L$4:$V$261,11,0)</f>
        <v>0.05</v>
      </c>
      <c r="K21">
        <f t="shared" si="2"/>
        <v>0.182</v>
      </c>
      <c r="L21" s="2" t="s">
        <v>441</v>
      </c>
      <c r="M21" t="str">
        <f t="shared" si="3"/>
        <v>CN</v>
      </c>
      <c r="N21" s="6" t="s">
        <v>273</v>
      </c>
    </row>
    <row r="22" spans="1:14" ht="22.5" customHeight="1" x14ac:dyDescent="0.25">
      <c r="A22" t="s">
        <v>887</v>
      </c>
      <c r="B22" s="2" t="s">
        <v>886</v>
      </c>
      <c r="C22">
        <f>$C$2*Families!J180</f>
        <v>0</v>
      </c>
      <c r="D22">
        <f>$D$2*Novelty!D180</f>
        <v>4.0000000000000008E-2</v>
      </c>
      <c r="E22">
        <f>$E$2*VLOOKUP(A22,Interdisciplinarity!$K$3:$M$258,3,0)</f>
        <v>2.0000000000000004E-2</v>
      </c>
      <c r="F22">
        <f t="shared" si="0"/>
        <v>0</v>
      </c>
      <c r="G22">
        <f t="shared" si="1"/>
        <v>8.0000000000000002E-3</v>
      </c>
      <c r="H22">
        <f>$H$2*VLOOKUP(A22,Lexis_Сoefficient!$A$3:$F$257,6,0)</f>
        <v>0.124</v>
      </c>
      <c r="I22">
        <v>0</v>
      </c>
      <c r="J22">
        <f>$J$2*VLOOKUP(A22,'Patent availability1'!$L$4:$V$261,11,0)</f>
        <v>0.05</v>
      </c>
      <c r="K22">
        <f t="shared" si="2"/>
        <v>0.182</v>
      </c>
      <c r="L22" s="2" t="s">
        <v>441</v>
      </c>
      <c r="M22" t="str">
        <f t="shared" si="3"/>
        <v>CN</v>
      </c>
      <c r="N22" s="6" t="s">
        <v>889</v>
      </c>
    </row>
    <row r="23" spans="1:14" ht="22.5" customHeight="1" x14ac:dyDescent="0.25">
      <c r="A23" t="s">
        <v>871</v>
      </c>
      <c r="B23" s="2" t="s">
        <v>870</v>
      </c>
      <c r="C23">
        <f>$C$2*Families!J177</f>
        <v>0</v>
      </c>
      <c r="D23">
        <f>$D$2*Novelty!D177</f>
        <v>4.0000000000000008E-2</v>
      </c>
      <c r="E23">
        <f>$E$2*VLOOKUP(A23,Interdisciplinarity!$K$3:$M$258,3,0)</f>
        <v>2.0000000000000004E-2</v>
      </c>
      <c r="F23">
        <f t="shared" si="0"/>
        <v>0</v>
      </c>
      <c r="G23">
        <f t="shared" si="1"/>
        <v>8.0000000000000002E-3</v>
      </c>
      <c r="H23">
        <f>$H$2*VLOOKUP(A23,Lexis_Сoefficient!$A$3:$F$257,6,0)</f>
        <v>0.21200000000000002</v>
      </c>
      <c r="I23">
        <v>0</v>
      </c>
      <c r="J23">
        <f>$J$2*VLOOKUP(A23,'Patent availability1'!$L$4:$V$261,11,0)</f>
        <v>0.05</v>
      </c>
      <c r="K23">
        <f t="shared" si="2"/>
        <v>0.27</v>
      </c>
      <c r="L23" s="2" t="s">
        <v>441</v>
      </c>
      <c r="M23" t="str">
        <f t="shared" si="3"/>
        <v>CN</v>
      </c>
      <c r="N23" s="6" t="s">
        <v>273</v>
      </c>
    </row>
    <row r="24" spans="1:14" ht="22.5" customHeight="1" x14ac:dyDescent="0.25">
      <c r="A24" t="s">
        <v>829</v>
      </c>
      <c r="B24" s="2" t="s">
        <v>828</v>
      </c>
      <c r="C24">
        <f>$C$2*Families!J167</f>
        <v>0</v>
      </c>
      <c r="D24">
        <f>$D$2*Novelty!D167</f>
        <v>4.0000000000000008E-2</v>
      </c>
      <c r="E24">
        <f>$E$2*VLOOKUP(A24,Interdisciplinarity!$K$3:$M$258,3,0)</f>
        <v>2.0000000000000004E-2</v>
      </c>
      <c r="F24">
        <f t="shared" si="0"/>
        <v>0</v>
      </c>
      <c r="G24">
        <f t="shared" si="1"/>
        <v>8.0000000000000002E-3</v>
      </c>
      <c r="H24">
        <f>$H$2*VLOOKUP(A24,Lexis_Сoefficient!$A$3:$F$257,6,0)</f>
        <v>0.124</v>
      </c>
      <c r="I24">
        <v>0</v>
      </c>
      <c r="J24">
        <f>$J$2*VLOOKUP(A24,'Patent availability1'!$L$4:$V$261,11,0)</f>
        <v>0.05</v>
      </c>
      <c r="K24">
        <f t="shared" si="2"/>
        <v>0.182</v>
      </c>
      <c r="L24" s="2" t="s">
        <v>441</v>
      </c>
      <c r="M24" t="str">
        <f t="shared" si="3"/>
        <v>CN</v>
      </c>
      <c r="N24" s="6" t="s">
        <v>831</v>
      </c>
    </row>
    <row r="25" spans="1:14" ht="22.5" customHeight="1" x14ac:dyDescent="0.25">
      <c r="A25" t="s">
        <v>815</v>
      </c>
      <c r="B25" s="2" t="s">
        <v>814</v>
      </c>
      <c r="C25">
        <f>$C$2*Families!J165</f>
        <v>0</v>
      </c>
      <c r="D25">
        <f>$D$2*Novelty!D165</f>
        <v>4.0000000000000008E-2</v>
      </c>
      <c r="E25">
        <f>$E$2*VLOOKUP(A25,Interdisciplinarity!$K$3:$M$258,3,0)</f>
        <v>2.0000000000000004E-2</v>
      </c>
      <c r="F25">
        <f t="shared" si="0"/>
        <v>0</v>
      </c>
      <c r="G25">
        <f t="shared" si="1"/>
        <v>8.0000000000000002E-3</v>
      </c>
      <c r="H25">
        <f>$H$2*VLOOKUP(A25,Lexis_Сoefficient!$A$3:$F$257,6,0)</f>
        <v>0.10600000000000001</v>
      </c>
      <c r="I25">
        <v>0</v>
      </c>
      <c r="J25">
        <f>$J$2*VLOOKUP(A25,'Patent availability1'!$L$4:$V$261,11,0)</f>
        <v>0.05</v>
      </c>
      <c r="K25">
        <f t="shared" si="2"/>
        <v>0.16400000000000003</v>
      </c>
      <c r="L25" s="2" t="s">
        <v>441</v>
      </c>
      <c r="M25" t="str">
        <f t="shared" si="3"/>
        <v>CN</v>
      </c>
      <c r="N25" s="6" t="s">
        <v>273</v>
      </c>
    </row>
    <row r="26" spans="1:14" ht="22.5" customHeight="1" x14ac:dyDescent="0.25">
      <c r="A26" t="s">
        <v>881</v>
      </c>
      <c r="B26" s="2" t="s">
        <v>881</v>
      </c>
      <c r="C26">
        <f>$C$2*Families!J179</f>
        <v>0</v>
      </c>
      <c r="D26">
        <f>$D$2*Novelty!D179</f>
        <v>4.0000000000000008E-2</v>
      </c>
      <c r="E26">
        <f>$E$2*VLOOKUP(A26,Interdisciplinarity!$K$3:$M$258,3,0)</f>
        <v>2.0000000000000004E-2</v>
      </c>
      <c r="F26">
        <f t="shared" si="0"/>
        <v>0</v>
      </c>
      <c r="G26">
        <f t="shared" si="1"/>
        <v>8.0000000000000002E-3</v>
      </c>
      <c r="H26">
        <f>$H$2*VLOOKUP(A26,Lexis_Сoefficient!$A$3:$F$257,6,0)</f>
        <v>0.10600000000000001</v>
      </c>
      <c r="I26">
        <v>0</v>
      </c>
      <c r="J26">
        <f>$J$2*VLOOKUP(A26,'Patent availability1'!$L$4:$V$261,11,0)</f>
        <v>0</v>
      </c>
      <c r="K26">
        <f t="shared" si="2"/>
        <v>0.11400000000000002</v>
      </c>
      <c r="L26" s="2" t="s">
        <v>10</v>
      </c>
      <c r="M26" t="str">
        <f t="shared" si="3"/>
        <v>CN</v>
      </c>
      <c r="N26" s="6" t="s">
        <v>883</v>
      </c>
    </row>
    <row r="27" spans="1:14" ht="22.5" customHeight="1" x14ac:dyDescent="0.25">
      <c r="A27" t="s">
        <v>876</v>
      </c>
      <c r="B27" s="2" t="s">
        <v>875</v>
      </c>
      <c r="C27">
        <f>$C$2*Families!J178</f>
        <v>0.04</v>
      </c>
      <c r="D27">
        <f>$D$2*Novelty!D178</f>
        <v>4.0000000000000008E-2</v>
      </c>
      <c r="E27">
        <f>$E$2*VLOOKUP(A27,Interdisciplinarity!$K$3:$M$258,3,0)</f>
        <v>2.0000000000000004E-2</v>
      </c>
      <c r="F27">
        <f t="shared" si="0"/>
        <v>0</v>
      </c>
      <c r="G27">
        <f t="shared" si="1"/>
        <v>8.0000000000000002E-3</v>
      </c>
      <c r="H27">
        <f>$H$2*VLOOKUP(A27,Lexis_Сoefficient!$A$3:$F$257,6,0)</f>
        <v>0.10600000000000001</v>
      </c>
      <c r="I27">
        <v>0</v>
      </c>
      <c r="J27">
        <f>$J$2*VLOOKUP(A27,'Patent availability1'!$L$4:$V$261,11,0)</f>
        <v>0.05</v>
      </c>
      <c r="K27">
        <f t="shared" si="2"/>
        <v>0.16400000000000003</v>
      </c>
      <c r="L27" s="2" t="s">
        <v>441</v>
      </c>
      <c r="M27" t="str">
        <f t="shared" si="3"/>
        <v>CN</v>
      </c>
      <c r="N27" s="6" t="s">
        <v>878</v>
      </c>
    </row>
    <row r="28" spans="1:14" ht="22.5" customHeight="1" x14ac:dyDescent="0.25">
      <c r="A28" t="s">
        <v>844</v>
      </c>
      <c r="B28" s="2" t="s">
        <v>843</v>
      </c>
      <c r="C28">
        <f>$C$2*Families!J170</f>
        <v>0</v>
      </c>
      <c r="D28">
        <f>$D$2*Novelty!D170</f>
        <v>4.0000000000000008E-2</v>
      </c>
      <c r="E28">
        <f>$E$2*VLOOKUP(A28,Interdisciplinarity!$K$3:$M$258,3,0)</f>
        <v>2.0000000000000004E-2</v>
      </c>
      <c r="F28">
        <f t="shared" si="0"/>
        <v>0</v>
      </c>
      <c r="G28">
        <f t="shared" si="1"/>
        <v>8.0000000000000002E-3</v>
      </c>
      <c r="H28">
        <f>$H$2*VLOOKUP(A28,Lexis_Сoefficient!$A$3:$F$257,6,0)</f>
        <v>4.200000000000001E-2</v>
      </c>
      <c r="I28">
        <v>0</v>
      </c>
      <c r="J28">
        <f>$J$2*VLOOKUP(A28,'Patent availability1'!$L$4:$V$261,11,0)</f>
        <v>0.05</v>
      </c>
      <c r="K28">
        <f t="shared" si="2"/>
        <v>0.1</v>
      </c>
      <c r="L28" s="2" t="s">
        <v>441</v>
      </c>
      <c r="M28" t="str">
        <f t="shared" si="3"/>
        <v>CN</v>
      </c>
      <c r="N28" s="6" t="s">
        <v>174</v>
      </c>
    </row>
    <row r="29" spans="1:14" ht="22.5" customHeight="1" x14ac:dyDescent="0.25">
      <c r="A29" t="s">
        <v>835</v>
      </c>
      <c r="B29" s="2" t="s">
        <v>834</v>
      </c>
      <c r="C29">
        <f>$C$2*Families!J168</f>
        <v>0.04</v>
      </c>
      <c r="D29">
        <f>$D$2*Novelty!D168</f>
        <v>4.0000000000000008E-2</v>
      </c>
      <c r="E29">
        <f>$E$2*VLOOKUP(A29,Interdisciplinarity!$K$3:$M$258,3,0)</f>
        <v>2.0000000000000004E-2</v>
      </c>
      <c r="F29">
        <f t="shared" si="0"/>
        <v>0</v>
      </c>
      <c r="G29">
        <f t="shared" si="1"/>
        <v>8.0000000000000002E-3</v>
      </c>
      <c r="H29">
        <f>$H$2*VLOOKUP(A29,Lexis_Сoefficient!$A$3:$F$257,6,0)</f>
        <v>4.200000000000001E-2</v>
      </c>
      <c r="I29">
        <v>0</v>
      </c>
      <c r="J29">
        <f>$J$2*VLOOKUP(A29,'Patent availability1'!$L$4:$V$261,11,0)</f>
        <v>0.05</v>
      </c>
      <c r="K29">
        <f t="shared" si="2"/>
        <v>0.1</v>
      </c>
      <c r="L29" s="2" t="s">
        <v>441</v>
      </c>
      <c r="M29" t="str">
        <f t="shared" si="3"/>
        <v>CN</v>
      </c>
      <c r="N29" s="6" t="s">
        <v>174</v>
      </c>
    </row>
    <row r="30" spans="1:14" ht="22.5" customHeight="1" x14ac:dyDescent="0.25">
      <c r="A30" t="s">
        <v>840</v>
      </c>
      <c r="B30" s="2" t="s">
        <v>839</v>
      </c>
      <c r="C30">
        <f>$C$2*Families!J169</f>
        <v>0</v>
      </c>
      <c r="D30">
        <f>$D$2*Novelty!D169</f>
        <v>4.0000000000000008E-2</v>
      </c>
      <c r="E30">
        <f>$E$2*VLOOKUP(A30,Interdisciplinarity!$K$3:$M$258,3,0)</f>
        <v>2.0000000000000004E-2</v>
      </c>
      <c r="F30">
        <f t="shared" si="0"/>
        <v>0</v>
      </c>
      <c r="G30">
        <f t="shared" si="1"/>
        <v>8.0000000000000002E-3</v>
      </c>
      <c r="H30">
        <f>$H$2*VLOOKUP(A30,Lexis_Сoefficient!$A$3:$F$257,6,0)</f>
        <v>4.200000000000001E-2</v>
      </c>
      <c r="I30">
        <v>0</v>
      </c>
      <c r="J30">
        <f>$J$2*VLOOKUP(A30,'Patent availability1'!$L$4:$V$261,11,0)</f>
        <v>0.05</v>
      </c>
      <c r="K30">
        <f t="shared" si="2"/>
        <v>0.1</v>
      </c>
      <c r="L30" s="2" t="s">
        <v>441</v>
      </c>
      <c r="M30" t="str">
        <f t="shared" si="3"/>
        <v>CN</v>
      </c>
      <c r="N30" s="6" t="s">
        <v>174</v>
      </c>
    </row>
    <row r="31" spans="1:14" ht="22.5" customHeight="1" x14ac:dyDescent="0.25">
      <c r="A31" t="s">
        <v>854</v>
      </c>
      <c r="B31" s="2" t="s">
        <v>853</v>
      </c>
      <c r="C31">
        <f>$C$2*Families!J173</f>
        <v>0</v>
      </c>
      <c r="D31">
        <f>$D$2*Novelty!D173</f>
        <v>4.0000000000000008E-2</v>
      </c>
      <c r="E31">
        <f>$E$2*VLOOKUP(A31,Interdisciplinarity!$K$3:$M$258,3,0)</f>
        <v>2.0000000000000004E-2</v>
      </c>
      <c r="F31">
        <f t="shared" si="0"/>
        <v>0</v>
      </c>
      <c r="G31">
        <f t="shared" si="1"/>
        <v>8.0000000000000002E-3</v>
      </c>
      <c r="H31">
        <f>$H$2*VLOOKUP(A31,Lexis_Сoefficient!$A$3:$F$257,6,0)</f>
        <v>4.200000000000001E-2</v>
      </c>
      <c r="I31">
        <v>0</v>
      </c>
      <c r="J31">
        <f>$J$2*VLOOKUP(A31,'Patent availability1'!$L$4:$V$261,11,0)</f>
        <v>0.05</v>
      </c>
      <c r="K31">
        <f t="shared" si="2"/>
        <v>0.1</v>
      </c>
      <c r="L31" s="2" t="s">
        <v>441</v>
      </c>
      <c r="M31" t="str">
        <f t="shared" si="3"/>
        <v>CN</v>
      </c>
      <c r="N31" s="6" t="s">
        <v>174</v>
      </c>
    </row>
    <row r="32" spans="1:14" ht="22.5" customHeight="1" x14ac:dyDescent="0.25">
      <c r="A32" t="s">
        <v>850</v>
      </c>
      <c r="B32" s="2" t="s">
        <v>849</v>
      </c>
      <c r="C32">
        <f>$C$2*Families!J172</f>
        <v>0</v>
      </c>
      <c r="D32">
        <f>$D$2*Novelty!D172</f>
        <v>4.0000000000000008E-2</v>
      </c>
      <c r="E32">
        <f>$E$2*VLOOKUP(A32,Interdisciplinarity!$K$3:$M$258,3,0)</f>
        <v>2.0000000000000004E-2</v>
      </c>
      <c r="F32">
        <f t="shared" si="0"/>
        <v>0</v>
      </c>
      <c r="G32">
        <f t="shared" si="1"/>
        <v>8.0000000000000002E-3</v>
      </c>
      <c r="H32">
        <f>$H$2*VLOOKUP(A32,Lexis_Сoefficient!$A$3:$F$257,6,0)</f>
        <v>1.8000000000000002E-2</v>
      </c>
      <c r="I32">
        <v>0</v>
      </c>
      <c r="J32">
        <f>$J$2*VLOOKUP(A32,'Patent availability1'!$L$4:$V$261,11,0)</f>
        <v>0.05</v>
      </c>
      <c r="K32">
        <f t="shared" si="2"/>
        <v>7.6000000000000012E-2</v>
      </c>
      <c r="L32" s="2" t="s">
        <v>441</v>
      </c>
      <c r="M32" t="str">
        <f t="shared" si="3"/>
        <v>CN</v>
      </c>
      <c r="N32" s="6" t="s">
        <v>174</v>
      </c>
    </row>
    <row r="33" spans="1:14" ht="22.5" customHeight="1" x14ac:dyDescent="0.25">
      <c r="A33" t="s">
        <v>856</v>
      </c>
      <c r="B33" s="2" t="s">
        <v>856</v>
      </c>
      <c r="C33">
        <f>$C$2*Families!J174</f>
        <v>0</v>
      </c>
      <c r="D33">
        <f>$D$2*Novelty!D174</f>
        <v>4.0000000000000008E-2</v>
      </c>
      <c r="E33">
        <f>$E$2*VLOOKUP(A33,Interdisciplinarity!$K$3:$M$258,3,0)</f>
        <v>2.0000000000000004E-2</v>
      </c>
      <c r="F33">
        <f t="shared" si="0"/>
        <v>0</v>
      </c>
      <c r="G33">
        <f t="shared" si="1"/>
        <v>8.0000000000000002E-3</v>
      </c>
      <c r="H33">
        <f>$H$2*VLOOKUP(A33,Lexis_Сoefficient!$A$3:$F$257,6,0)</f>
        <v>4.200000000000001E-2</v>
      </c>
      <c r="I33">
        <v>0</v>
      </c>
      <c r="J33">
        <f>$J$2*VLOOKUP(A33,'Patent availability1'!$L$4:$V$261,11,0)</f>
        <v>0</v>
      </c>
      <c r="K33">
        <f t="shared" si="2"/>
        <v>5.000000000000001E-2</v>
      </c>
      <c r="L33" s="2" t="s">
        <v>10</v>
      </c>
      <c r="M33" t="str">
        <f t="shared" si="3"/>
        <v>CN</v>
      </c>
      <c r="N33" s="6" t="s">
        <v>174</v>
      </c>
    </row>
    <row r="34" spans="1:14" ht="22.5" customHeight="1" x14ac:dyDescent="0.25">
      <c r="A34" t="s">
        <v>847</v>
      </c>
      <c r="B34" s="2" t="s">
        <v>847</v>
      </c>
      <c r="C34">
        <f>$C$2*Families!J171</f>
        <v>0.04</v>
      </c>
      <c r="D34">
        <f>$D$2*Novelty!D171</f>
        <v>4.0000000000000008E-2</v>
      </c>
      <c r="E34">
        <f>$E$2*VLOOKUP(A34,Interdisciplinarity!$K$3:$M$258,3,0)</f>
        <v>2.0000000000000004E-2</v>
      </c>
      <c r="F34">
        <f t="shared" si="0"/>
        <v>0</v>
      </c>
      <c r="G34">
        <f t="shared" si="1"/>
        <v>8.0000000000000002E-3</v>
      </c>
      <c r="H34">
        <f>$H$2*VLOOKUP(A34,Lexis_Сoefficient!$A$3:$F$257,6,0)</f>
        <v>1.8000000000000002E-2</v>
      </c>
      <c r="I34">
        <v>0</v>
      </c>
      <c r="J34">
        <f>$J$2*VLOOKUP(A34,'Patent availability1'!$L$4:$V$261,11,0)</f>
        <v>0</v>
      </c>
      <c r="K34">
        <f t="shared" si="2"/>
        <v>2.6000000000000002E-2</v>
      </c>
      <c r="L34" s="2" t="s">
        <v>10</v>
      </c>
      <c r="M34" t="str">
        <f t="shared" si="3"/>
        <v>CN</v>
      </c>
      <c r="N34" s="6" t="s">
        <v>174</v>
      </c>
    </row>
    <row r="35" spans="1:14" ht="22.5" customHeight="1" x14ac:dyDescent="0.25">
      <c r="A35" t="s">
        <v>821</v>
      </c>
      <c r="B35" s="2" t="s">
        <v>819</v>
      </c>
      <c r="C35">
        <f>$C$2*Families!J166</f>
        <v>0</v>
      </c>
      <c r="D35">
        <f>$D$2*Novelty!D166</f>
        <v>4.0000000000000008E-2</v>
      </c>
      <c r="E35">
        <f>$E$2*VLOOKUP(A35,Interdisciplinarity!$K$3:$M$258,3,0)</f>
        <v>0.06</v>
      </c>
      <c r="F35">
        <f t="shared" si="0"/>
        <v>0</v>
      </c>
      <c r="G35">
        <f t="shared" si="1"/>
        <v>8.0000000000000002E-3</v>
      </c>
      <c r="H35">
        <f>$H$2*VLOOKUP(A35,Lexis_Сoefficient!$A$3:$F$257,6,0)</f>
        <v>0.21000000000000002</v>
      </c>
      <c r="I35">
        <v>0</v>
      </c>
      <c r="J35">
        <f>$J$2*VLOOKUP(A35,'Patent availability1'!$L$4:$V$261,11,0)</f>
        <v>0.05</v>
      </c>
      <c r="K35">
        <f t="shared" si="2"/>
        <v>0.26800000000000002</v>
      </c>
      <c r="L35" s="2" t="s">
        <v>820</v>
      </c>
      <c r="M35" t="str">
        <f t="shared" si="3"/>
        <v>CN</v>
      </c>
      <c r="N35" s="6" t="s">
        <v>823</v>
      </c>
    </row>
    <row r="36" spans="1:14" ht="22.5" customHeight="1" x14ac:dyDescent="0.25">
      <c r="A36" t="s">
        <v>804</v>
      </c>
      <c r="B36" s="2" t="s">
        <v>803</v>
      </c>
      <c r="C36">
        <f>$C$2*Families!J163</f>
        <v>0</v>
      </c>
      <c r="D36">
        <f>$D$2*Novelty!D163</f>
        <v>4.0000000000000008E-2</v>
      </c>
      <c r="E36">
        <f>$E$2*VLOOKUP(A36,Interdisciplinarity!$K$3:$M$258,3,0)</f>
        <v>5.000000000000001E-3</v>
      </c>
      <c r="F36">
        <f t="shared" si="0"/>
        <v>0</v>
      </c>
      <c r="G36">
        <f t="shared" si="1"/>
        <v>8.0000000000000002E-3</v>
      </c>
      <c r="H36">
        <f>$H$2*VLOOKUP(A36,Lexis_Сoefficient!$A$3:$F$257,6,0)</f>
        <v>1.8000000000000002E-2</v>
      </c>
      <c r="I36">
        <v>0</v>
      </c>
      <c r="J36">
        <f>$J$2*VLOOKUP(A36,'Patent availability1'!$L$4:$V$261,11,0)</f>
        <v>0.05</v>
      </c>
      <c r="K36">
        <f t="shared" si="2"/>
        <v>7.6000000000000012E-2</v>
      </c>
      <c r="L36" s="2" t="s">
        <v>441</v>
      </c>
      <c r="M36" t="str">
        <f t="shared" si="3"/>
        <v>CN</v>
      </c>
      <c r="N36" s="6" t="s">
        <v>174</v>
      </c>
    </row>
    <row r="37" spans="1:14" ht="22.5" customHeight="1" x14ac:dyDescent="0.25">
      <c r="A37" t="s">
        <v>799</v>
      </c>
      <c r="B37" s="2" t="s">
        <v>798</v>
      </c>
      <c r="C37">
        <f>$C$2*Families!J162</f>
        <v>0</v>
      </c>
      <c r="D37">
        <f>$D$2*Novelty!D162</f>
        <v>4.0000000000000008E-2</v>
      </c>
      <c r="E37">
        <f>$E$2*VLOOKUP(A37,Interdisciplinarity!$K$3:$M$258,3,0)</f>
        <v>5.000000000000001E-3</v>
      </c>
      <c r="F37">
        <f t="shared" si="0"/>
        <v>0</v>
      </c>
      <c r="G37">
        <f t="shared" si="1"/>
        <v>8.0000000000000002E-3</v>
      </c>
      <c r="H37">
        <f>$H$2*VLOOKUP(A37,Lexis_Сoefficient!$A$3:$F$257,6,0)</f>
        <v>0.10600000000000001</v>
      </c>
      <c r="I37">
        <v>0</v>
      </c>
      <c r="J37">
        <f>$J$2*VLOOKUP(A37,'Patent availability1'!$L$4:$V$261,11,0)</f>
        <v>0.05</v>
      </c>
      <c r="K37">
        <f t="shared" si="2"/>
        <v>0.16400000000000003</v>
      </c>
      <c r="L37" s="2" t="s">
        <v>441</v>
      </c>
      <c r="M37" t="str">
        <f t="shared" si="3"/>
        <v>CN</v>
      </c>
      <c r="N37" s="6" t="s">
        <v>174</v>
      </c>
    </row>
    <row r="38" spans="1:14" ht="22.5" customHeight="1" x14ac:dyDescent="0.25">
      <c r="A38" t="s">
        <v>760</v>
      </c>
      <c r="B38" s="2" t="s">
        <v>760</v>
      </c>
      <c r="C38">
        <f>$C$2*Families!J155</f>
        <v>0</v>
      </c>
      <c r="D38">
        <f>$D$2*Novelty!D155</f>
        <v>4.0000000000000008E-2</v>
      </c>
      <c r="E38">
        <f>$E$2*VLOOKUP(A38,Interdisciplinarity!$K$3:$M$258,3,0)</f>
        <v>2.0000000000000004E-2</v>
      </c>
      <c r="F38">
        <f t="shared" si="0"/>
        <v>0</v>
      </c>
      <c r="G38">
        <f t="shared" si="1"/>
        <v>8.0000000000000002E-3</v>
      </c>
      <c r="H38">
        <f>$H$2*VLOOKUP(A38,Lexis_Сoefficient!$A$3:$F$257,6,0)</f>
        <v>0.10600000000000001</v>
      </c>
      <c r="I38">
        <v>0</v>
      </c>
      <c r="J38">
        <f>$J$2*VLOOKUP(A38,'Patent availability1'!$L$4:$V$261,11,0)</f>
        <v>0</v>
      </c>
      <c r="K38">
        <f t="shared" si="2"/>
        <v>0.11400000000000002</v>
      </c>
      <c r="L38" s="2" t="s">
        <v>10</v>
      </c>
      <c r="M38" t="str">
        <f t="shared" si="3"/>
        <v>CN</v>
      </c>
      <c r="N38" s="6" t="s">
        <v>762</v>
      </c>
    </row>
    <row r="39" spans="1:14" ht="22.5" customHeight="1" x14ac:dyDescent="0.25">
      <c r="A39" t="s">
        <v>794</v>
      </c>
      <c r="B39" s="2" t="s">
        <v>793</v>
      </c>
      <c r="C39">
        <f>$C$2*Families!J161</f>
        <v>0</v>
      </c>
      <c r="D39">
        <f>$D$2*Novelty!D161</f>
        <v>4.0000000000000008E-2</v>
      </c>
      <c r="E39">
        <f>$E$2*VLOOKUP(A39,Interdisciplinarity!$K$3:$M$258,3,0)</f>
        <v>0.06</v>
      </c>
      <c r="F39">
        <f t="shared" si="0"/>
        <v>0</v>
      </c>
      <c r="G39">
        <f t="shared" si="1"/>
        <v>8.0000000000000002E-3</v>
      </c>
      <c r="H39">
        <f>$H$2*VLOOKUP(A39,Lexis_Сoefficient!$A$3:$F$257,6,0)</f>
        <v>4.200000000000001E-2</v>
      </c>
      <c r="I39">
        <v>0</v>
      </c>
      <c r="J39">
        <f>$J$2*VLOOKUP(A39,'Patent availability1'!$L$4:$V$261,11,0)</f>
        <v>0.05</v>
      </c>
      <c r="K39">
        <f t="shared" si="2"/>
        <v>0.1</v>
      </c>
      <c r="L39" s="2" t="s">
        <v>441</v>
      </c>
      <c r="M39" t="str">
        <f t="shared" si="3"/>
        <v>CN</v>
      </c>
      <c r="N39" s="6" t="s">
        <v>273</v>
      </c>
    </row>
    <row r="40" spans="1:14" ht="22.5" customHeight="1" x14ac:dyDescent="0.25">
      <c r="A40" t="s">
        <v>723</v>
      </c>
      <c r="B40" s="2" t="s">
        <v>722</v>
      </c>
      <c r="C40">
        <f>$C$2*Families!J149</f>
        <v>0</v>
      </c>
      <c r="D40">
        <f>$D$2*Novelty!D149</f>
        <v>4.0000000000000008E-2</v>
      </c>
      <c r="E40">
        <f>$E$2*VLOOKUP(A40,Interdisciplinarity!$K$3:$M$258,3,0)</f>
        <v>2.0000000000000004E-2</v>
      </c>
      <c r="F40">
        <f t="shared" si="0"/>
        <v>0</v>
      </c>
      <c r="G40">
        <f t="shared" si="1"/>
        <v>8.0000000000000002E-3</v>
      </c>
      <c r="H40">
        <f>$H$2*VLOOKUP(A40,Lexis_Сoefficient!$A$3:$F$257,6,0)</f>
        <v>0.10600000000000001</v>
      </c>
      <c r="I40">
        <v>0</v>
      </c>
      <c r="J40">
        <f>$J$2*VLOOKUP(A40,'Patent availability1'!$L$4:$V$261,11,0)</f>
        <v>0.05</v>
      </c>
      <c r="K40">
        <f t="shared" si="2"/>
        <v>0.16400000000000003</v>
      </c>
      <c r="L40" s="2" t="s">
        <v>441</v>
      </c>
      <c r="M40" t="str">
        <f t="shared" si="3"/>
        <v>CN</v>
      </c>
      <c r="N40" s="6" t="s">
        <v>273</v>
      </c>
    </row>
    <row r="41" spans="1:14" ht="22.5" customHeight="1" x14ac:dyDescent="0.25">
      <c r="A41" t="s">
        <v>789</v>
      </c>
      <c r="B41" s="2" t="s">
        <v>789</v>
      </c>
      <c r="C41">
        <f>$C$2*Families!J160</f>
        <v>0.04</v>
      </c>
      <c r="D41">
        <f>$D$2*Novelty!D160</f>
        <v>4.0000000000000008E-2</v>
      </c>
      <c r="E41">
        <f>$E$2*VLOOKUP(A41,Interdisciplinarity!$K$3:$M$258,3,0)</f>
        <v>5.000000000000001E-3</v>
      </c>
      <c r="F41">
        <f t="shared" si="0"/>
        <v>0</v>
      </c>
      <c r="G41">
        <f t="shared" si="1"/>
        <v>8.0000000000000002E-3</v>
      </c>
      <c r="H41">
        <f>$H$2*VLOOKUP(A41,Lexis_Сoefficient!$A$3:$F$257,6,0)</f>
        <v>0.10600000000000001</v>
      </c>
      <c r="I41">
        <v>0</v>
      </c>
      <c r="J41">
        <f>$J$2*VLOOKUP(A41,'Patent availability1'!$L$4:$V$261,11,0)</f>
        <v>0</v>
      </c>
      <c r="K41">
        <f t="shared" si="2"/>
        <v>0.11400000000000002</v>
      </c>
      <c r="L41" s="2" t="s">
        <v>10</v>
      </c>
      <c r="M41" t="str">
        <f t="shared" si="3"/>
        <v>CN</v>
      </c>
      <c r="N41" s="6" t="s">
        <v>174</v>
      </c>
    </row>
    <row r="42" spans="1:14" ht="22.5" customHeight="1" x14ac:dyDescent="0.25">
      <c r="A42" t="s">
        <v>786</v>
      </c>
      <c r="B42" s="2" t="s">
        <v>786</v>
      </c>
      <c r="C42">
        <f>$C$2*Families!J159</f>
        <v>0.04</v>
      </c>
      <c r="D42">
        <f>$D$2*Novelty!D159</f>
        <v>4.0000000000000008E-2</v>
      </c>
      <c r="E42">
        <f>$E$2*VLOOKUP(A42,Interdisciplinarity!$K$3:$M$258,3,0)</f>
        <v>2.0000000000000004E-2</v>
      </c>
      <c r="F42">
        <f t="shared" si="0"/>
        <v>0</v>
      </c>
      <c r="G42">
        <f t="shared" si="1"/>
        <v>8.0000000000000002E-3</v>
      </c>
      <c r="H42">
        <f>$H$2*VLOOKUP(A42,Lexis_Сoefficient!$A$3:$F$257,6,0)</f>
        <v>0.10600000000000001</v>
      </c>
      <c r="I42">
        <v>0</v>
      </c>
      <c r="J42">
        <f>$J$2*VLOOKUP(A42,'Patent availability1'!$L$4:$V$261,11,0)</f>
        <v>0</v>
      </c>
      <c r="K42">
        <f t="shared" si="2"/>
        <v>0.11400000000000002</v>
      </c>
      <c r="L42" s="2" t="s">
        <v>10</v>
      </c>
      <c r="M42" t="str">
        <f t="shared" si="3"/>
        <v>CN</v>
      </c>
      <c r="N42" s="6" t="s">
        <v>174</v>
      </c>
    </row>
    <row r="43" spans="1:14" ht="22.5" customHeight="1" x14ac:dyDescent="0.25">
      <c r="A43" t="s">
        <v>782</v>
      </c>
      <c r="B43" s="2" t="s">
        <v>781</v>
      </c>
      <c r="C43">
        <f>$C$2*Families!J158</f>
        <v>0.04</v>
      </c>
      <c r="D43">
        <f>$D$2*Novelty!D158</f>
        <v>4.0000000000000008E-2</v>
      </c>
      <c r="E43">
        <f>$E$2*VLOOKUP(A43,Interdisciplinarity!$K$3:$M$258,3,0)</f>
        <v>2.0000000000000004E-2</v>
      </c>
      <c r="F43">
        <f t="shared" si="0"/>
        <v>0</v>
      </c>
      <c r="G43">
        <f t="shared" si="1"/>
        <v>8.0000000000000002E-3</v>
      </c>
      <c r="H43">
        <f>$H$2*VLOOKUP(A43,Lexis_Сoefficient!$A$3:$F$257,6,0)</f>
        <v>4.200000000000001E-2</v>
      </c>
      <c r="I43">
        <v>0</v>
      </c>
      <c r="J43">
        <f>$J$2*VLOOKUP(A43,'Patent availability1'!$L$4:$V$261,11,0)</f>
        <v>0.05</v>
      </c>
      <c r="K43">
        <f t="shared" si="2"/>
        <v>0.1</v>
      </c>
      <c r="L43" s="2" t="s">
        <v>441</v>
      </c>
      <c r="M43" t="str">
        <f t="shared" si="3"/>
        <v>CN</v>
      </c>
      <c r="N43" s="6" t="s">
        <v>174</v>
      </c>
    </row>
    <row r="44" spans="1:14" ht="22.5" customHeight="1" x14ac:dyDescent="0.25">
      <c r="A44" t="s">
        <v>719</v>
      </c>
      <c r="B44" s="2" t="s">
        <v>718</v>
      </c>
      <c r="C44">
        <f>$C$2*Families!J148</f>
        <v>0</v>
      </c>
      <c r="D44">
        <f>$D$2*Novelty!D148</f>
        <v>0.12</v>
      </c>
      <c r="E44">
        <f>$E$2*VLOOKUP(A44,Interdisciplinarity!$K$3:$M$258,3,0)</f>
        <v>2.0000000000000004E-2</v>
      </c>
      <c r="F44">
        <f t="shared" si="0"/>
        <v>0</v>
      </c>
      <c r="G44">
        <f t="shared" si="1"/>
        <v>8.0000000000000002E-3</v>
      </c>
      <c r="H44">
        <f>$H$2*VLOOKUP(A44,Lexis_Сoefficient!$A$3:$F$257,6,0)</f>
        <v>4.200000000000001E-2</v>
      </c>
      <c r="I44">
        <v>0</v>
      </c>
      <c r="J44">
        <f>$J$2*VLOOKUP(A44,'Patent availability1'!$L$4:$V$261,11,0)</f>
        <v>0.05</v>
      </c>
      <c r="K44">
        <f t="shared" si="2"/>
        <v>0.1</v>
      </c>
      <c r="L44" s="2" t="s">
        <v>441</v>
      </c>
      <c r="M44" t="str">
        <f t="shared" si="3"/>
        <v>CN</v>
      </c>
      <c r="N44" s="6" t="s">
        <v>506</v>
      </c>
    </row>
    <row r="45" spans="1:14" ht="22.5" customHeight="1" x14ac:dyDescent="0.25">
      <c r="A45" t="s">
        <v>714</v>
      </c>
      <c r="B45" s="2" t="s">
        <v>713</v>
      </c>
      <c r="C45">
        <f>$C$2*Families!J147</f>
        <v>0</v>
      </c>
      <c r="D45">
        <f>$D$2*Novelty!D147</f>
        <v>0.12</v>
      </c>
      <c r="E45">
        <f>$E$2*VLOOKUP(A45,Interdisciplinarity!$K$3:$M$258,3,0)</f>
        <v>2.0000000000000004E-2</v>
      </c>
      <c r="F45">
        <f t="shared" si="0"/>
        <v>0</v>
      </c>
      <c r="G45">
        <f t="shared" si="1"/>
        <v>8.0000000000000002E-3</v>
      </c>
      <c r="H45">
        <f>$H$2*VLOOKUP(A45,Lexis_Сoefficient!$A$3:$F$257,6,0)</f>
        <v>4.200000000000001E-2</v>
      </c>
      <c r="I45">
        <v>0</v>
      </c>
      <c r="J45">
        <f>$J$2*VLOOKUP(A45,'Patent availability1'!$L$4:$V$261,11,0)</f>
        <v>0.05</v>
      </c>
      <c r="K45">
        <f t="shared" si="2"/>
        <v>0.1</v>
      </c>
      <c r="L45" s="2" t="s">
        <v>441</v>
      </c>
      <c r="M45" t="str">
        <f t="shared" si="3"/>
        <v>CN</v>
      </c>
      <c r="N45" s="6" t="s">
        <v>506</v>
      </c>
    </row>
    <row r="46" spans="1:14" ht="22.5" customHeight="1" x14ac:dyDescent="0.25">
      <c r="A46" t="s">
        <v>756</v>
      </c>
      <c r="B46" s="2" t="s">
        <v>755</v>
      </c>
      <c r="C46">
        <f>$C$2*Families!J154</f>
        <v>0</v>
      </c>
      <c r="D46">
        <f>$D$2*Novelty!D154</f>
        <v>4.0000000000000008E-2</v>
      </c>
      <c r="E46">
        <f>$E$2*VLOOKUP(A46,Interdisciplinarity!$K$3:$M$258,3,0)</f>
        <v>2.0000000000000004E-2</v>
      </c>
      <c r="F46">
        <f t="shared" si="0"/>
        <v>0</v>
      </c>
      <c r="G46">
        <f t="shared" si="1"/>
        <v>8.0000000000000002E-3</v>
      </c>
      <c r="H46">
        <f>$H$2*VLOOKUP(A46,Lexis_Сoefficient!$A$3:$F$257,6,0)</f>
        <v>4.200000000000001E-2</v>
      </c>
      <c r="I46">
        <v>0</v>
      </c>
      <c r="J46">
        <f>$J$2*VLOOKUP(A46,'Patent availability1'!$L$4:$V$261,11,0)</f>
        <v>0.05</v>
      </c>
      <c r="K46">
        <f t="shared" si="2"/>
        <v>0.1</v>
      </c>
      <c r="L46" s="2" t="s">
        <v>441</v>
      </c>
      <c r="M46" t="str">
        <f t="shared" si="3"/>
        <v>CN</v>
      </c>
      <c r="N46" s="6" t="s">
        <v>174</v>
      </c>
    </row>
    <row r="47" spans="1:14" ht="22.5" customHeight="1" x14ac:dyDescent="0.25">
      <c r="A47" t="s">
        <v>700</v>
      </c>
      <c r="B47" s="2" t="s">
        <v>699</v>
      </c>
      <c r="C47">
        <f>$C$2*Families!J144</f>
        <v>0</v>
      </c>
      <c r="D47">
        <f>$D$2*Novelty!D144</f>
        <v>0.12</v>
      </c>
      <c r="E47">
        <f>$E$2*VLOOKUP(A47,Interdisciplinarity!$K$3:$M$258,3,0)</f>
        <v>2.0000000000000004E-2</v>
      </c>
      <c r="F47">
        <f t="shared" si="0"/>
        <v>0</v>
      </c>
      <c r="G47">
        <f t="shared" si="1"/>
        <v>8.0000000000000002E-3</v>
      </c>
      <c r="H47">
        <f>$H$2*VLOOKUP(A47,Lexis_Сoefficient!$A$3:$F$257,6,0)</f>
        <v>0.10800000000000001</v>
      </c>
      <c r="I47">
        <v>0</v>
      </c>
      <c r="J47">
        <f>$J$2*VLOOKUP(A47,'Patent availability1'!$L$4:$V$261,11,0)</f>
        <v>0.05</v>
      </c>
      <c r="K47">
        <f t="shared" si="2"/>
        <v>0.16600000000000004</v>
      </c>
      <c r="L47" s="2" t="s">
        <v>441</v>
      </c>
      <c r="M47" t="str">
        <f t="shared" si="3"/>
        <v>CN</v>
      </c>
      <c r="N47" s="6" t="s">
        <v>702</v>
      </c>
    </row>
    <row r="48" spans="1:14" ht="22.5" customHeight="1" x14ac:dyDescent="0.25">
      <c r="A48" t="s">
        <v>488</v>
      </c>
      <c r="B48" s="2" t="s">
        <v>487</v>
      </c>
      <c r="C48">
        <f>$C$2*Families!J100</f>
        <v>0.04</v>
      </c>
      <c r="D48">
        <f>$D$2*Novelty!D100</f>
        <v>4.0000000000000008E-2</v>
      </c>
      <c r="E48">
        <f>$E$2*VLOOKUP(A48,Interdisciplinarity!$K$3:$M$258,3,0)</f>
        <v>5.000000000000001E-3</v>
      </c>
      <c r="F48">
        <f t="shared" si="0"/>
        <v>0.2</v>
      </c>
      <c r="G48">
        <f t="shared" si="1"/>
        <v>8.0000000000000002E-3</v>
      </c>
      <c r="H48">
        <f>$H$2*VLOOKUP(A48,Lexis_Сoefficient!$A$3:$F$257,6,0)</f>
        <v>8.4000000000000019E-2</v>
      </c>
      <c r="I48">
        <v>1</v>
      </c>
      <c r="J48">
        <f>$J$2*VLOOKUP(A48,'Patent availability1'!$L$4:$V$261,11,0)</f>
        <v>0.05</v>
      </c>
      <c r="K48">
        <f t="shared" si="2"/>
        <v>0.34200000000000008</v>
      </c>
      <c r="L48" s="2" t="s">
        <v>441</v>
      </c>
      <c r="M48" t="str">
        <f t="shared" si="3"/>
        <v>CN</v>
      </c>
      <c r="N48" s="6" t="s">
        <v>489</v>
      </c>
    </row>
    <row r="49" spans="1:14" ht="22.5" customHeight="1" x14ac:dyDescent="0.25">
      <c r="A49" t="s">
        <v>709</v>
      </c>
      <c r="B49" s="2" t="s">
        <v>708</v>
      </c>
      <c r="C49">
        <f>$C$2*Families!J146</f>
        <v>0</v>
      </c>
      <c r="D49">
        <f>$D$2*Novelty!D146</f>
        <v>0.12</v>
      </c>
      <c r="E49">
        <f>$E$2*VLOOKUP(A49,Interdisciplinarity!$K$3:$M$258,3,0)</f>
        <v>5.000000000000001E-3</v>
      </c>
      <c r="F49">
        <f t="shared" si="0"/>
        <v>0</v>
      </c>
      <c r="G49">
        <f t="shared" si="1"/>
        <v>8.0000000000000002E-3</v>
      </c>
      <c r="H49">
        <f>$H$2*VLOOKUP(A49,Lexis_Сoefficient!$A$3:$F$257,6,0)</f>
        <v>4.200000000000001E-2</v>
      </c>
      <c r="I49">
        <v>0</v>
      </c>
      <c r="J49">
        <f>$J$2*VLOOKUP(A49,'Patent availability1'!$L$4:$V$261,11,0)</f>
        <v>0.05</v>
      </c>
      <c r="K49">
        <f t="shared" si="2"/>
        <v>0.1</v>
      </c>
      <c r="L49" s="2" t="s">
        <v>441</v>
      </c>
      <c r="M49" t="str">
        <f t="shared" si="3"/>
        <v>CN</v>
      </c>
      <c r="N49" s="6" t="s">
        <v>506</v>
      </c>
    </row>
    <row r="50" spans="1:14" ht="22.5" customHeight="1" x14ac:dyDescent="0.25">
      <c r="A50" t="s">
        <v>694</v>
      </c>
      <c r="B50" s="2" t="s">
        <v>693</v>
      </c>
      <c r="C50">
        <f>$C$2*Families!J143</f>
        <v>0</v>
      </c>
      <c r="D50">
        <f>$D$2*Novelty!D143</f>
        <v>0.12</v>
      </c>
      <c r="E50">
        <f>$E$2*VLOOKUP(A50,Interdisciplinarity!$K$3:$M$258,3,0)</f>
        <v>5.000000000000001E-3</v>
      </c>
      <c r="F50">
        <f t="shared" si="0"/>
        <v>0</v>
      </c>
      <c r="G50">
        <f t="shared" si="1"/>
        <v>8.0000000000000002E-3</v>
      </c>
      <c r="H50">
        <f>$H$2*VLOOKUP(A50,Lexis_Сoefficient!$A$3:$F$257,6,0)</f>
        <v>0.10600000000000001</v>
      </c>
      <c r="I50">
        <v>0</v>
      </c>
      <c r="J50">
        <f>$J$2*VLOOKUP(A50,'Patent availability1'!$L$4:$V$261,11,0)</f>
        <v>0.05</v>
      </c>
      <c r="K50">
        <f t="shared" si="2"/>
        <v>0.16400000000000003</v>
      </c>
      <c r="L50" s="2" t="s">
        <v>441</v>
      </c>
      <c r="M50" t="str">
        <f t="shared" si="3"/>
        <v>CN</v>
      </c>
      <c r="N50" s="6" t="s">
        <v>506</v>
      </c>
    </row>
    <row r="51" spans="1:14" ht="22.5" customHeight="1" x14ac:dyDescent="0.25">
      <c r="A51" t="s">
        <v>681</v>
      </c>
      <c r="B51" s="2" t="s">
        <v>680</v>
      </c>
      <c r="C51">
        <f>$C$2*Families!J141</f>
        <v>0.04</v>
      </c>
      <c r="D51">
        <f>$D$2*Novelty!D141</f>
        <v>0.12</v>
      </c>
      <c r="E51">
        <f>$E$2*VLOOKUP(A51,Interdisciplinarity!$K$3:$M$258,3,0)</f>
        <v>2.0000000000000004E-2</v>
      </c>
      <c r="F51">
        <f t="shared" si="0"/>
        <v>0</v>
      </c>
      <c r="G51">
        <f t="shared" si="1"/>
        <v>8.0000000000000002E-3</v>
      </c>
      <c r="H51">
        <f>$H$2*VLOOKUP(A51,Lexis_Сoefficient!$A$3:$F$257,6,0)</f>
        <v>1.8000000000000002E-2</v>
      </c>
      <c r="I51">
        <v>0</v>
      </c>
      <c r="J51">
        <f>$J$2*VLOOKUP(A51,'Patent availability1'!$L$4:$V$261,11,0)</f>
        <v>0.05</v>
      </c>
      <c r="K51">
        <f t="shared" si="2"/>
        <v>7.6000000000000012E-2</v>
      </c>
      <c r="L51" s="2" t="s">
        <v>441</v>
      </c>
      <c r="M51" t="str">
        <f t="shared" si="3"/>
        <v>CN</v>
      </c>
      <c r="N51" s="6" t="s">
        <v>174</v>
      </c>
    </row>
    <row r="52" spans="1:14" ht="22.5" customHeight="1" x14ac:dyDescent="0.25">
      <c r="A52" t="s">
        <v>676</v>
      </c>
      <c r="B52" s="2" t="s">
        <v>676</v>
      </c>
      <c r="C52">
        <f>$C$2*Families!J140</f>
        <v>0.04</v>
      </c>
      <c r="D52">
        <f>$D$2*Novelty!D140</f>
        <v>0.12</v>
      </c>
      <c r="E52">
        <f>$E$2*VLOOKUP(A52,Interdisciplinarity!$K$3:$M$258,3,0)</f>
        <v>5.000000000000001E-3</v>
      </c>
      <c r="F52">
        <f t="shared" si="0"/>
        <v>0</v>
      </c>
      <c r="G52">
        <f t="shared" si="1"/>
        <v>8.0000000000000002E-3</v>
      </c>
      <c r="H52">
        <f>$H$2*VLOOKUP(A52,Lexis_Сoefficient!$A$3:$F$257,6,0)</f>
        <v>4.200000000000001E-2</v>
      </c>
      <c r="I52">
        <v>0</v>
      </c>
      <c r="J52">
        <f>$J$2*VLOOKUP(A52,'Patent availability1'!$L$4:$V$261,11,0)</f>
        <v>0</v>
      </c>
      <c r="K52">
        <f t="shared" si="2"/>
        <v>5.000000000000001E-2</v>
      </c>
      <c r="L52" s="2" t="s">
        <v>10</v>
      </c>
      <c r="M52" t="str">
        <f t="shared" si="3"/>
        <v>CN</v>
      </c>
      <c r="N52" s="6" t="s">
        <v>678</v>
      </c>
    </row>
    <row r="53" spans="1:14" ht="22.5" customHeight="1" x14ac:dyDescent="0.25">
      <c r="A53" t="s">
        <v>672</v>
      </c>
      <c r="B53" s="2" t="s">
        <v>671</v>
      </c>
      <c r="C53">
        <f>$C$2*Families!J139</f>
        <v>0.04</v>
      </c>
      <c r="D53">
        <f>$D$2*Novelty!D139</f>
        <v>0.12</v>
      </c>
      <c r="E53">
        <f>$E$2*VLOOKUP(A53,Interdisciplinarity!$K$3:$M$258,3,0)</f>
        <v>2.0000000000000004E-2</v>
      </c>
      <c r="F53">
        <f t="shared" si="0"/>
        <v>0</v>
      </c>
      <c r="G53">
        <f t="shared" si="1"/>
        <v>8.0000000000000002E-3</v>
      </c>
      <c r="H53">
        <f>$H$2*VLOOKUP(A53,Lexis_Сoefficient!$A$3:$F$257,6,0)</f>
        <v>1.8000000000000002E-2</v>
      </c>
      <c r="I53">
        <v>0</v>
      </c>
      <c r="J53">
        <f>$J$2*VLOOKUP(A53,'Patent availability1'!$L$4:$V$261,11,0)</f>
        <v>0.05</v>
      </c>
      <c r="K53">
        <f t="shared" si="2"/>
        <v>7.6000000000000012E-2</v>
      </c>
      <c r="L53" s="2" t="s">
        <v>441</v>
      </c>
      <c r="M53" t="str">
        <f t="shared" si="3"/>
        <v>CN</v>
      </c>
      <c r="N53" s="6" t="s">
        <v>174</v>
      </c>
    </row>
    <row r="54" spans="1:14" ht="22.5" customHeight="1" x14ac:dyDescent="0.25">
      <c r="A54" t="s">
        <v>659</v>
      </c>
      <c r="B54" s="2" t="s">
        <v>658</v>
      </c>
      <c r="C54">
        <f>$C$2*Families!J137</f>
        <v>0.04</v>
      </c>
      <c r="D54">
        <f>$D$2*Novelty!D137</f>
        <v>0.12</v>
      </c>
      <c r="E54">
        <f>$E$2*VLOOKUP(A54,Interdisciplinarity!$K$3:$M$258,3,0)</f>
        <v>5.000000000000001E-3</v>
      </c>
      <c r="F54">
        <f t="shared" si="0"/>
        <v>0</v>
      </c>
      <c r="G54">
        <f t="shared" si="1"/>
        <v>8.0000000000000002E-3</v>
      </c>
      <c r="H54">
        <f>$H$2*VLOOKUP(A54,Lexis_Сoefficient!$A$3:$F$257,6,0)</f>
        <v>0.17200000000000001</v>
      </c>
      <c r="I54">
        <v>0</v>
      </c>
      <c r="J54">
        <f>$J$2*VLOOKUP(A54,'Patent availability1'!$L$4:$V$261,11,0)</f>
        <v>0.05</v>
      </c>
      <c r="K54">
        <f t="shared" si="2"/>
        <v>0.23000000000000004</v>
      </c>
      <c r="L54" s="2" t="s">
        <v>441</v>
      </c>
      <c r="M54" t="str">
        <f t="shared" si="3"/>
        <v>CN</v>
      </c>
      <c r="N54" s="6" t="s">
        <v>500</v>
      </c>
    </row>
    <row r="55" spans="1:14" ht="22.5" customHeight="1" x14ac:dyDescent="0.25">
      <c r="A55" t="s">
        <v>654</v>
      </c>
      <c r="B55" s="2" t="s">
        <v>653</v>
      </c>
      <c r="C55">
        <f>$C$2*Families!J136</f>
        <v>0.04</v>
      </c>
      <c r="D55">
        <f>$D$2*Novelty!D136</f>
        <v>0.12</v>
      </c>
      <c r="E55">
        <f>$E$2*VLOOKUP(A55,Interdisciplinarity!$K$3:$M$258,3,0)</f>
        <v>0.06</v>
      </c>
      <c r="F55">
        <f t="shared" si="0"/>
        <v>0</v>
      </c>
      <c r="G55">
        <f t="shared" si="1"/>
        <v>8.0000000000000002E-3</v>
      </c>
      <c r="H55">
        <f>$H$2*VLOOKUP(A55,Lexis_Сoefficient!$A$3:$F$257,6,0)</f>
        <v>1.8000000000000002E-2</v>
      </c>
      <c r="I55">
        <v>0</v>
      </c>
      <c r="J55">
        <f>$J$2*VLOOKUP(A55,'Patent availability1'!$L$4:$V$261,11,0)</f>
        <v>0.05</v>
      </c>
      <c r="K55">
        <f t="shared" si="2"/>
        <v>7.6000000000000012E-2</v>
      </c>
      <c r="L55" s="2" t="s">
        <v>441</v>
      </c>
      <c r="M55" t="str">
        <f t="shared" si="3"/>
        <v>CN</v>
      </c>
      <c r="N55" s="6" t="s">
        <v>500</v>
      </c>
    </row>
    <row r="56" spans="1:14" ht="22.5" customHeight="1" x14ac:dyDescent="0.25">
      <c r="A56" t="s">
        <v>644</v>
      </c>
      <c r="B56" s="2" t="s">
        <v>643</v>
      </c>
      <c r="C56">
        <f>$C$2*Families!J134</f>
        <v>0.04</v>
      </c>
      <c r="D56">
        <f>$D$2*Novelty!D134</f>
        <v>0.12</v>
      </c>
      <c r="E56">
        <f>$E$2*VLOOKUP(A56,Interdisciplinarity!$K$3:$M$258,3,0)</f>
        <v>2.0000000000000004E-2</v>
      </c>
      <c r="F56">
        <f t="shared" si="0"/>
        <v>0</v>
      </c>
      <c r="G56">
        <f t="shared" si="1"/>
        <v>8.0000000000000002E-3</v>
      </c>
      <c r="H56">
        <f>$H$2*VLOOKUP(A56,Lexis_Сoefficient!$A$3:$F$257,6,0)</f>
        <v>4.200000000000001E-2</v>
      </c>
      <c r="I56">
        <v>0</v>
      </c>
      <c r="J56">
        <f>$J$2*VLOOKUP(A56,'Patent availability1'!$L$4:$V$261,11,0)</f>
        <v>0.05</v>
      </c>
      <c r="K56">
        <f t="shared" si="2"/>
        <v>0.1</v>
      </c>
      <c r="L56" s="2" t="s">
        <v>441</v>
      </c>
      <c r="M56" t="str">
        <f t="shared" si="3"/>
        <v>CN</v>
      </c>
      <c r="N56" s="6" t="s">
        <v>174</v>
      </c>
    </row>
    <row r="57" spans="1:14" ht="22.5" customHeight="1" x14ac:dyDescent="0.25">
      <c r="A57" t="s">
        <v>639</v>
      </c>
      <c r="B57" s="2" t="s">
        <v>638</v>
      </c>
      <c r="C57">
        <f>$C$2*Families!J133</f>
        <v>0.04</v>
      </c>
      <c r="D57">
        <f>$D$2*Novelty!D133</f>
        <v>0.12</v>
      </c>
      <c r="E57">
        <f>$E$2*VLOOKUP(A57,Interdisciplinarity!$K$3:$M$258,3,0)</f>
        <v>2.0000000000000004E-2</v>
      </c>
      <c r="F57">
        <f t="shared" si="0"/>
        <v>0</v>
      </c>
      <c r="G57">
        <f t="shared" si="1"/>
        <v>8.0000000000000002E-3</v>
      </c>
      <c r="H57">
        <f>$H$2*VLOOKUP(A57,Lexis_Сoefficient!$A$3:$F$257,6,0)</f>
        <v>4.200000000000001E-2</v>
      </c>
      <c r="I57">
        <v>0</v>
      </c>
      <c r="J57">
        <f>$J$2*VLOOKUP(A57,'Patent availability1'!$L$4:$V$261,11,0)</f>
        <v>0.05</v>
      </c>
      <c r="K57">
        <f t="shared" si="2"/>
        <v>0.1</v>
      </c>
      <c r="L57" s="2" t="s">
        <v>441</v>
      </c>
      <c r="M57" t="str">
        <f t="shared" si="3"/>
        <v>CN</v>
      </c>
      <c r="N57" s="6" t="s">
        <v>174</v>
      </c>
    </row>
    <row r="58" spans="1:14" ht="22.5" customHeight="1" x14ac:dyDescent="0.25">
      <c r="A58" t="s">
        <v>635</v>
      </c>
      <c r="B58" s="2" t="s">
        <v>634</v>
      </c>
      <c r="C58">
        <f>$C$2*Families!J132</f>
        <v>0.04</v>
      </c>
      <c r="D58">
        <f>$D$2*Novelty!D132</f>
        <v>0.12</v>
      </c>
      <c r="E58">
        <f>$E$2*VLOOKUP(A58,Interdisciplinarity!$K$3:$M$258,3,0)</f>
        <v>5.000000000000001E-3</v>
      </c>
      <c r="F58">
        <f t="shared" si="0"/>
        <v>0</v>
      </c>
      <c r="G58">
        <f t="shared" si="1"/>
        <v>8.0000000000000002E-3</v>
      </c>
      <c r="H58">
        <f>$H$2*VLOOKUP(A58,Lexis_Сoefficient!$A$3:$F$257,6,0)</f>
        <v>1.8000000000000002E-2</v>
      </c>
      <c r="I58">
        <v>0</v>
      </c>
      <c r="J58">
        <f>$J$2*VLOOKUP(A58,'Patent availability1'!$L$4:$V$261,11,0)</f>
        <v>0.05</v>
      </c>
      <c r="K58">
        <f t="shared" si="2"/>
        <v>7.6000000000000012E-2</v>
      </c>
      <c r="L58" s="2" t="s">
        <v>441</v>
      </c>
      <c r="M58" t="str">
        <f t="shared" si="3"/>
        <v>CN</v>
      </c>
      <c r="N58" s="6" t="s">
        <v>624</v>
      </c>
    </row>
    <row r="59" spans="1:14" ht="22.5" customHeight="1" x14ac:dyDescent="0.25">
      <c r="A59" t="s">
        <v>622</v>
      </c>
      <c r="B59" s="2" t="s">
        <v>621</v>
      </c>
      <c r="C59">
        <f>$C$2*Families!J130</f>
        <v>0.04</v>
      </c>
      <c r="D59">
        <f>$D$2*Novelty!D130</f>
        <v>0.12</v>
      </c>
      <c r="E59">
        <f>$E$2*VLOOKUP(A59,Interdisciplinarity!$K$3:$M$258,3,0)</f>
        <v>5.000000000000001E-3</v>
      </c>
      <c r="F59">
        <f t="shared" si="0"/>
        <v>0</v>
      </c>
      <c r="G59">
        <f t="shared" si="1"/>
        <v>8.0000000000000002E-3</v>
      </c>
      <c r="H59">
        <f>$H$2*VLOOKUP(A59,Lexis_Сoefficient!$A$3:$F$257,6,0)</f>
        <v>4.200000000000001E-2</v>
      </c>
      <c r="I59">
        <v>0</v>
      </c>
      <c r="J59">
        <f>$J$2*VLOOKUP(A59,'Patent availability1'!$L$4:$V$261,11,0)</f>
        <v>0.05</v>
      </c>
      <c r="K59">
        <f t="shared" si="2"/>
        <v>0.1</v>
      </c>
      <c r="L59" s="2" t="s">
        <v>441</v>
      </c>
      <c r="M59" t="str">
        <f t="shared" si="3"/>
        <v>CN</v>
      </c>
      <c r="N59" s="6" t="s">
        <v>624</v>
      </c>
    </row>
    <row r="60" spans="1:14" ht="22.5" customHeight="1" x14ac:dyDescent="0.25">
      <c r="A60" t="s">
        <v>602</v>
      </c>
      <c r="B60" s="2" t="s">
        <v>601</v>
      </c>
      <c r="C60">
        <f>$C$2*Families!J124</f>
        <v>0.04</v>
      </c>
      <c r="D60">
        <f>$D$2*Novelty!D124</f>
        <v>0.12</v>
      </c>
      <c r="E60">
        <f>$E$2*VLOOKUP(A60,Interdisciplinarity!$K$3:$M$258,3,0)</f>
        <v>2.0000000000000004E-2</v>
      </c>
      <c r="F60">
        <f t="shared" si="0"/>
        <v>0</v>
      </c>
      <c r="G60">
        <f t="shared" si="1"/>
        <v>8.0000000000000002E-3</v>
      </c>
      <c r="H60">
        <f>$H$2*VLOOKUP(A60,Lexis_Сoefficient!$A$3:$F$257,6,0)</f>
        <v>1.8000000000000002E-2</v>
      </c>
      <c r="I60">
        <v>0</v>
      </c>
      <c r="J60">
        <f>$J$2*VLOOKUP(A60,'Patent availability1'!$L$4:$V$261,11,0)</f>
        <v>0.05</v>
      </c>
      <c r="K60">
        <f t="shared" si="2"/>
        <v>7.6000000000000012E-2</v>
      </c>
      <c r="L60" s="2" t="s">
        <v>441</v>
      </c>
      <c r="M60" t="str">
        <f t="shared" si="3"/>
        <v>CN</v>
      </c>
      <c r="N60" s="6" t="s">
        <v>174</v>
      </c>
    </row>
    <row r="61" spans="1:14" ht="22.5" customHeight="1" x14ac:dyDescent="0.25">
      <c r="A61" t="s">
        <v>618</v>
      </c>
      <c r="B61" s="2" t="s">
        <v>618</v>
      </c>
      <c r="C61">
        <f>$C$2*Families!J129</f>
        <v>0.04</v>
      </c>
      <c r="D61">
        <f>$D$2*Novelty!D129</f>
        <v>0.12</v>
      </c>
      <c r="E61">
        <f>$E$2*VLOOKUP(A61,Interdisciplinarity!$K$3:$M$258,3,0)</f>
        <v>2.0000000000000004E-2</v>
      </c>
      <c r="F61">
        <f t="shared" si="0"/>
        <v>0</v>
      </c>
      <c r="G61">
        <f t="shared" si="1"/>
        <v>8.0000000000000002E-3</v>
      </c>
      <c r="H61">
        <f>$H$2*VLOOKUP(A61,Lexis_Сoefficient!$A$3:$F$257,6,0)</f>
        <v>4.200000000000001E-2</v>
      </c>
      <c r="I61">
        <v>0</v>
      </c>
      <c r="J61">
        <f>$J$2*VLOOKUP(A61,'Patent availability1'!$L$4:$V$261,11,0)</f>
        <v>0</v>
      </c>
      <c r="K61">
        <f t="shared" si="2"/>
        <v>5.000000000000001E-2</v>
      </c>
      <c r="L61" s="2" t="s">
        <v>10</v>
      </c>
      <c r="M61" t="str">
        <f t="shared" si="3"/>
        <v>CN</v>
      </c>
      <c r="N61" s="6" t="s">
        <v>174</v>
      </c>
    </row>
    <row r="62" spans="1:14" ht="22.5" customHeight="1" x14ac:dyDescent="0.25">
      <c r="A62" t="s">
        <v>615</v>
      </c>
      <c r="B62" s="2" t="s">
        <v>615</v>
      </c>
      <c r="C62">
        <f>$C$2*Families!J128</f>
        <v>0.04</v>
      </c>
      <c r="D62">
        <f>$D$2*Novelty!D128</f>
        <v>0.12</v>
      </c>
      <c r="E62">
        <f>$E$2*VLOOKUP(A62,Interdisciplinarity!$K$3:$M$258,3,0)</f>
        <v>2.0000000000000004E-2</v>
      </c>
      <c r="F62">
        <f t="shared" si="0"/>
        <v>0</v>
      </c>
      <c r="G62">
        <f t="shared" si="1"/>
        <v>8.0000000000000002E-3</v>
      </c>
      <c r="H62">
        <f>$H$2*VLOOKUP(A62,Lexis_Сoefficient!$A$3:$F$257,6,0)</f>
        <v>1.8000000000000002E-2</v>
      </c>
      <c r="I62">
        <v>0</v>
      </c>
      <c r="J62">
        <f>$J$2*VLOOKUP(A62,'Patent availability1'!$L$4:$V$261,11,0)</f>
        <v>0</v>
      </c>
      <c r="K62">
        <f t="shared" si="2"/>
        <v>2.6000000000000002E-2</v>
      </c>
      <c r="L62" s="2" t="s">
        <v>10</v>
      </c>
      <c r="M62" t="str">
        <f t="shared" si="3"/>
        <v>CN</v>
      </c>
      <c r="N62" s="6" t="s">
        <v>174</v>
      </c>
    </row>
    <row r="63" spans="1:14" ht="22.5" customHeight="1" x14ac:dyDescent="0.25">
      <c r="A63" t="s">
        <v>594</v>
      </c>
      <c r="B63" s="2" t="s">
        <v>593</v>
      </c>
      <c r="C63">
        <f>$C$2*Families!J122</f>
        <v>0.04</v>
      </c>
      <c r="D63">
        <f>$D$2*Novelty!D122</f>
        <v>0.12</v>
      </c>
      <c r="E63">
        <f>$E$2*VLOOKUP(A63,Interdisciplinarity!$K$3:$M$258,3,0)</f>
        <v>2.0000000000000004E-2</v>
      </c>
      <c r="F63">
        <f t="shared" si="0"/>
        <v>0</v>
      </c>
      <c r="G63">
        <f t="shared" si="1"/>
        <v>8.0000000000000002E-3</v>
      </c>
      <c r="H63">
        <f>$H$2*VLOOKUP(A63,Lexis_Сoefficient!$A$3:$F$257,6,0)</f>
        <v>1.8000000000000002E-2</v>
      </c>
      <c r="I63">
        <v>0</v>
      </c>
      <c r="J63">
        <f>$J$2*VLOOKUP(A63,'Patent availability1'!$L$4:$V$261,11,0)</f>
        <v>0.05</v>
      </c>
      <c r="K63">
        <f t="shared" si="2"/>
        <v>7.6000000000000012E-2</v>
      </c>
      <c r="L63" s="2" t="s">
        <v>441</v>
      </c>
      <c r="M63" t="str">
        <f t="shared" si="3"/>
        <v>CN</v>
      </c>
      <c r="N63" s="6" t="s">
        <v>174</v>
      </c>
    </row>
    <row r="64" spans="1:14" ht="22.5" customHeight="1" x14ac:dyDescent="0.25">
      <c r="A64" t="s">
        <v>587</v>
      </c>
      <c r="B64" s="2" t="s">
        <v>586</v>
      </c>
      <c r="C64">
        <f>$C$2*Families!J120</f>
        <v>0.04</v>
      </c>
      <c r="D64">
        <f>$D$2*Novelty!D120</f>
        <v>0.12</v>
      </c>
      <c r="E64">
        <f>$E$2*VLOOKUP(A64,Interdisciplinarity!$K$3:$M$258,3,0)</f>
        <v>2.0000000000000004E-2</v>
      </c>
      <c r="F64">
        <f t="shared" si="0"/>
        <v>0</v>
      </c>
      <c r="G64">
        <f t="shared" si="1"/>
        <v>8.0000000000000002E-3</v>
      </c>
      <c r="H64">
        <f>$H$2*VLOOKUP(A64,Lexis_Сoefficient!$A$3:$F$257,6,0)</f>
        <v>4.200000000000001E-2</v>
      </c>
      <c r="I64">
        <v>0</v>
      </c>
      <c r="J64">
        <f>$J$2*VLOOKUP(A64,'Patent availability1'!$L$4:$V$261,11,0)</f>
        <v>0.05</v>
      </c>
      <c r="K64">
        <f t="shared" si="2"/>
        <v>0.1</v>
      </c>
      <c r="L64" s="2" t="s">
        <v>441</v>
      </c>
      <c r="M64" t="str">
        <f t="shared" si="3"/>
        <v>CN</v>
      </c>
      <c r="N64" s="6" t="s">
        <v>174</v>
      </c>
    </row>
    <row r="65" spans="1:14" ht="22.5" customHeight="1" x14ac:dyDescent="0.25">
      <c r="A65" t="s">
        <v>609</v>
      </c>
      <c r="B65" s="2" t="s">
        <v>608</v>
      </c>
      <c r="C65">
        <f>$C$2*Families!J126</f>
        <v>0.04</v>
      </c>
      <c r="D65">
        <f>$D$2*Novelty!D126</f>
        <v>0.12</v>
      </c>
      <c r="E65">
        <f>$E$2*VLOOKUP(A65,Interdisciplinarity!$K$3:$M$258,3,0)</f>
        <v>2.0000000000000004E-2</v>
      </c>
      <c r="F65">
        <f t="shared" si="0"/>
        <v>0</v>
      </c>
      <c r="G65">
        <f t="shared" si="1"/>
        <v>8.0000000000000002E-3</v>
      </c>
      <c r="H65">
        <f>$H$2*VLOOKUP(A65,Lexis_Сoefficient!$A$3:$F$257,6,0)</f>
        <v>1.8000000000000002E-2</v>
      </c>
      <c r="I65">
        <v>0</v>
      </c>
      <c r="J65">
        <f>$J$2*VLOOKUP(A65,'Patent availability1'!$L$4:$V$261,11,0)</f>
        <v>0.05</v>
      </c>
      <c r="K65">
        <f t="shared" si="2"/>
        <v>7.6000000000000012E-2</v>
      </c>
      <c r="L65" s="2" t="s">
        <v>441</v>
      </c>
      <c r="M65" t="str">
        <f t="shared" si="3"/>
        <v>CN</v>
      </c>
      <c r="N65" s="6" t="s">
        <v>174</v>
      </c>
    </row>
    <row r="66" spans="1:14" ht="22.5" customHeight="1" x14ac:dyDescent="0.25">
      <c r="A66" t="s">
        <v>606</v>
      </c>
      <c r="B66" s="2" t="s">
        <v>605</v>
      </c>
      <c r="C66">
        <f>$C$2*Families!J125</f>
        <v>0.04</v>
      </c>
      <c r="D66">
        <f>$D$2*Novelty!D125</f>
        <v>0.12</v>
      </c>
      <c r="E66">
        <f>$E$2*VLOOKUP(A66,Interdisciplinarity!$K$3:$M$258,3,0)</f>
        <v>2.0000000000000004E-2</v>
      </c>
      <c r="F66">
        <f t="shared" si="0"/>
        <v>0</v>
      </c>
      <c r="G66">
        <f t="shared" si="1"/>
        <v>8.0000000000000002E-3</v>
      </c>
      <c r="H66">
        <f>$H$2*VLOOKUP(A66,Lexis_Сoefficient!$A$3:$F$257,6,0)</f>
        <v>4.200000000000001E-2</v>
      </c>
      <c r="I66">
        <v>0</v>
      </c>
      <c r="J66">
        <f>$J$2*VLOOKUP(A66,'Patent availability1'!$L$4:$V$261,11,0)</f>
        <v>0.05</v>
      </c>
      <c r="K66">
        <f t="shared" si="2"/>
        <v>0.1</v>
      </c>
      <c r="L66" s="2" t="s">
        <v>441</v>
      </c>
      <c r="M66" t="str">
        <f t="shared" si="3"/>
        <v>CN</v>
      </c>
      <c r="N66" s="6" t="s">
        <v>174</v>
      </c>
    </row>
    <row r="67" spans="1:14" ht="22.5" customHeight="1" x14ac:dyDescent="0.25">
      <c r="A67" t="s">
        <v>591</v>
      </c>
      <c r="B67" s="2" t="s">
        <v>590</v>
      </c>
      <c r="C67">
        <f>$C$2*Families!J121</f>
        <v>0.04</v>
      </c>
      <c r="D67">
        <f>$D$2*Novelty!D121</f>
        <v>0.12</v>
      </c>
      <c r="E67">
        <f>$E$2*VLOOKUP(A67,Interdisciplinarity!$K$3:$M$258,3,0)</f>
        <v>2.0000000000000004E-2</v>
      </c>
      <c r="F67">
        <f t="shared" ref="F67:F130" si="4">$F$2*I67</f>
        <v>0</v>
      </c>
      <c r="G67">
        <f t="shared" ref="G67:G130" si="5">IF(M67="US",1,IF(M67="EP",1,IF(M67="WO",1,IF(M67="RU",1,IF(M67="CN",0.8,0)))))*$G$2</f>
        <v>8.0000000000000002E-3</v>
      </c>
      <c r="H67">
        <f>$H$2*VLOOKUP(A67,Lexis_Сoefficient!$A$3:$F$257,6,0)</f>
        <v>1.8000000000000002E-2</v>
      </c>
      <c r="I67">
        <v>0</v>
      </c>
      <c r="J67">
        <f>$J$2*VLOOKUP(A67,'Patent availability1'!$L$4:$V$261,11,0)</f>
        <v>0.05</v>
      </c>
      <c r="K67">
        <f t="shared" ref="K67:K130" si="6">SUM(F67:J67)-I67</f>
        <v>7.6000000000000012E-2</v>
      </c>
      <c r="L67" s="2" t="s">
        <v>441</v>
      </c>
      <c r="M67" t="str">
        <f t="shared" ref="M67:M130" si="7">LEFT(A67,2)</f>
        <v>CN</v>
      </c>
      <c r="N67" s="6" t="s">
        <v>174</v>
      </c>
    </row>
    <row r="68" spans="1:14" ht="22.5" customHeight="1" x14ac:dyDescent="0.25">
      <c r="A68" t="s">
        <v>579</v>
      </c>
      <c r="B68" s="2" t="s">
        <v>578</v>
      </c>
      <c r="C68">
        <f>$C$2*Families!J118</f>
        <v>0.04</v>
      </c>
      <c r="D68">
        <f>$D$2*Novelty!D118</f>
        <v>0.12</v>
      </c>
      <c r="E68">
        <f>$E$2*VLOOKUP(A68,Interdisciplinarity!$K$3:$M$258,3,0)</f>
        <v>2.0000000000000004E-2</v>
      </c>
      <c r="F68">
        <f t="shared" si="4"/>
        <v>0</v>
      </c>
      <c r="G68">
        <f t="shared" si="5"/>
        <v>8.0000000000000002E-3</v>
      </c>
      <c r="H68">
        <f>$H$2*VLOOKUP(A68,Lexis_Сoefficient!$A$3:$F$257,6,0)</f>
        <v>4.200000000000001E-2</v>
      </c>
      <c r="I68">
        <v>0</v>
      </c>
      <c r="J68">
        <f>$J$2*VLOOKUP(A68,'Patent availability1'!$L$4:$V$261,11,0)</f>
        <v>0.05</v>
      </c>
      <c r="K68">
        <f t="shared" si="6"/>
        <v>0.1</v>
      </c>
      <c r="L68" s="2" t="s">
        <v>441</v>
      </c>
      <c r="M68" t="str">
        <f t="shared" si="7"/>
        <v>CN</v>
      </c>
      <c r="N68" s="6" t="s">
        <v>174</v>
      </c>
    </row>
    <row r="69" spans="1:14" ht="22.5" customHeight="1" x14ac:dyDescent="0.25">
      <c r="A69" t="s">
        <v>573</v>
      </c>
      <c r="B69" s="2" t="s">
        <v>573</v>
      </c>
      <c r="C69">
        <f>$C$2*Families!J116</f>
        <v>0.04</v>
      </c>
      <c r="D69">
        <f>$D$2*Novelty!D116</f>
        <v>0.12</v>
      </c>
      <c r="E69">
        <f>$E$2*VLOOKUP(A69,Interdisciplinarity!$K$3:$M$258,3,0)</f>
        <v>2.0000000000000004E-2</v>
      </c>
      <c r="F69">
        <f t="shared" si="4"/>
        <v>0</v>
      </c>
      <c r="G69">
        <f t="shared" si="5"/>
        <v>8.0000000000000002E-3</v>
      </c>
      <c r="H69">
        <f>$H$2*VLOOKUP(A69,Lexis_Сoefficient!$A$3:$F$257,6,0)</f>
        <v>1.8000000000000002E-2</v>
      </c>
      <c r="I69">
        <v>0</v>
      </c>
      <c r="J69">
        <f>$J$2*VLOOKUP(A69,'Patent availability1'!$L$4:$V$261,11,0)</f>
        <v>0</v>
      </c>
      <c r="K69">
        <f t="shared" si="6"/>
        <v>2.6000000000000002E-2</v>
      </c>
      <c r="L69" s="2" t="s">
        <v>10</v>
      </c>
      <c r="M69" t="str">
        <f t="shared" si="7"/>
        <v>CN</v>
      </c>
      <c r="N69" s="6" t="s">
        <v>174</v>
      </c>
    </row>
    <row r="70" spans="1:14" ht="22.5" customHeight="1" x14ac:dyDescent="0.25">
      <c r="A70" t="s">
        <v>612</v>
      </c>
      <c r="B70" s="2" t="s">
        <v>611</v>
      </c>
      <c r="C70">
        <f>$C$2*Families!J127</f>
        <v>0.04</v>
      </c>
      <c r="D70">
        <f>$D$2*Novelty!D127</f>
        <v>0.12</v>
      </c>
      <c r="E70">
        <f>$E$2*VLOOKUP(A70,Interdisciplinarity!$K$3:$M$258,3,0)</f>
        <v>2.0000000000000004E-2</v>
      </c>
      <c r="F70">
        <f t="shared" si="4"/>
        <v>0</v>
      </c>
      <c r="G70">
        <f t="shared" si="5"/>
        <v>8.0000000000000002E-3</v>
      </c>
      <c r="H70">
        <f>$H$2*VLOOKUP(A70,Lexis_Сoefficient!$A$3:$F$257,6,0)</f>
        <v>1.8000000000000002E-2</v>
      </c>
      <c r="I70">
        <v>0</v>
      </c>
      <c r="J70">
        <f>$J$2*VLOOKUP(A70,'Patent availability1'!$L$4:$V$261,11,0)</f>
        <v>0.05</v>
      </c>
      <c r="K70">
        <f t="shared" si="6"/>
        <v>7.6000000000000012E-2</v>
      </c>
      <c r="L70" s="2" t="s">
        <v>441</v>
      </c>
      <c r="M70" t="str">
        <f t="shared" si="7"/>
        <v>CN</v>
      </c>
      <c r="N70" s="6" t="s">
        <v>174</v>
      </c>
    </row>
    <row r="71" spans="1:14" ht="22.5" customHeight="1" x14ac:dyDescent="0.25">
      <c r="A71" t="s">
        <v>571</v>
      </c>
      <c r="B71" s="2" t="s">
        <v>570</v>
      </c>
      <c r="C71">
        <f>$C$2*Families!J115</f>
        <v>0.04</v>
      </c>
      <c r="D71">
        <f>$D$2*Novelty!D115</f>
        <v>0.12</v>
      </c>
      <c r="E71">
        <f>$E$2*VLOOKUP(A71,Interdisciplinarity!$K$3:$M$258,3,0)</f>
        <v>2.0000000000000004E-2</v>
      </c>
      <c r="F71">
        <f t="shared" si="4"/>
        <v>0</v>
      </c>
      <c r="G71">
        <f t="shared" si="5"/>
        <v>8.0000000000000002E-3</v>
      </c>
      <c r="H71">
        <f>$H$2*VLOOKUP(A71,Lexis_Сoefficient!$A$3:$F$257,6,0)</f>
        <v>4.200000000000001E-2</v>
      </c>
      <c r="I71">
        <v>0</v>
      </c>
      <c r="J71">
        <f>$J$2*VLOOKUP(A71,'Patent availability1'!$L$4:$V$261,11,0)</f>
        <v>0.05</v>
      </c>
      <c r="K71">
        <f t="shared" si="6"/>
        <v>0.1</v>
      </c>
      <c r="L71" s="2" t="s">
        <v>441</v>
      </c>
      <c r="M71" t="str">
        <f t="shared" si="7"/>
        <v>CN</v>
      </c>
      <c r="N71" s="6" t="s">
        <v>174</v>
      </c>
    </row>
    <row r="72" spans="1:14" ht="22.5" customHeight="1" x14ac:dyDescent="0.25">
      <c r="A72" t="s">
        <v>583</v>
      </c>
      <c r="B72" s="2" t="s">
        <v>582</v>
      </c>
      <c r="C72">
        <f>$C$2*Families!J119</f>
        <v>0.04</v>
      </c>
      <c r="D72">
        <f>$D$2*Novelty!D119</f>
        <v>0.12</v>
      </c>
      <c r="E72">
        <f>$E$2*VLOOKUP(A72,Interdisciplinarity!$K$3:$M$258,3,0)</f>
        <v>2.0000000000000004E-2</v>
      </c>
      <c r="F72">
        <f t="shared" si="4"/>
        <v>0</v>
      </c>
      <c r="G72">
        <f t="shared" si="5"/>
        <v>8.0000000000000002E-3</v>
      </c>
      <c r="H72">
        <f>$H$2*VLOOKUP(A72,Lexis_Сoefficient!$A$3:$F$257,6,0)</f>
        <v>1.8000000000000002E-2</v>
      </c>
      <c r="I72">
        <v>0</v>
      </c>
      <c r="J72">
        <f>$J$2*VLOOKUP(A72,'Patent availability1'!$L$4:$V$261,11,0)</f>
        <v>0.05</v>
      </c>
      <c r="K72">
        <f t="shared" si="6"/>
        <v>7.6000000000000012E-2</v>
      </c>
      <c r="L72" s="2" t="s">
        <v>441</v>
      </c>
      <c r="M72" t="str">
        <f t="shared" si="7"/>
        <v>CN</v>
      </c>
      <c r="N72" s="6" t="s">
        <v>174</v>
      </c>
    </row>
    <row r="73" spans="1:14" ht="22.5" customHeight="1" x14ac:dyDescent="0.25">
      <c r="A73" t="s">
        <v>575</v>
      </c>
      <c r="B73" s="2" t="s">
        <v>575</v>
      </c>
      <c r="C73">
        <f>$C$2*Families!J117</f>
        <v>0.04</v>
      </c>
      <c r="D73">
        <f>$D$2*Novelty!D117</f>
        <v>0.12</v>
      </c>
      <c r="E73">
        <f>$E$2*VLOOKUP(A73,Interdisciplinarity!$K$3:$M$258,3,0)</f>
        <v>2.0000000000000004E-2</v>
      </c>
      <c r="F73">
        <f t="shared" si="4"/>
        <v>0</v>
      </c>
      <c r="G73">
        <f t="shared" si="5"/>
        <v>8.0000000000000002E-3</v>
      </c>
      <c r="H73">
        <f>$H$2*VLOOKUP(A73,Lexis_Сoefficient!$A$3:$F$257,6,0)</f>
        <v>4.200000000000001E-2</v>
      </c>
      <c r="I73">
        <v>0</v>
      </c>
      <c r="J73">
        <f>$J$2*VLOOKUP(A73,'Patent availability1'!$L$4:$V$261,11,0)</f>
        <v>0</v>
      </c>
      <c r="K73">
        <f t="shared" si="6"/>
        <v>5.000000000000001E-2</v>
      </c>
      <c r="L73" s="2" t="s">
        <v>10</v>
      </c>
      <c r="M73" t="str">
        <f t="shared" si="7"/>
        <v>CN</v>
      </c>
      <c r="N73" s="6" t="s">
        <v>174</v>
      </c>
    </row>
    <row r="74" spans="1:14" ht="22.5" customHeight="1" x14ac:dyDescent="0.25">
      <c r="A74" t="s">
        <v>598</v>
      </c>
      <c r="B74" s="2" t="s">
        <v>597</v>
      </c>
      <c r="C74">
        <f>$C$2*Families!J123</f>
        <v>0.04</v>
      </c>
      <c r="D74">
        <f>$D$2*Novelty!D123</f>
        <v>0.12</v>
      </c>
      <c r="E74">
        <f>$E$2*VLOOKUP(A74,Interdisciplinarity!$K$3:$M$258,3,0)</f>
        <v>2.0000000000000004E-2</v>
      </c>
      <c r="F74">
        <f t="shared" si="4"/>
        <v>0</v>
      </c>
      <c r="G74">
        <f t="shared" si="5"/>
        <v>8.0000000000000002E-3</v>
      </c>
      <c r="H74">
        <f>$H$2*VLOOKUP(A74,Lexis_Сoefficient!$A$3:$F$257,6,0)</f>
        <v>1.8000000000000002E-2</v>
      </c>
      <c r="I74">
        <v>0</v>
      </c>
      <c r="J74">
        <f>$J$2*VLOOKUP(A74,'Patent availability1'!$L$4:$V$261,11,0)</f>
        <v>0.05</v>
      </c>
      <c r="K74">
        <f t="shared" si="6"/>
        <v>7.6000000000000012E-2</v>
      </c>
      <c r="L74" s="2" t="s">
        <v>441</v>
      </c>
      <c r="M74" t="str">
        <f t="shared" si="7"/>
        <v>CN</v>
      </c>
      <c r="N74" s="6" t="s">
        <v>174</v>
      </c>
    </row>
    <row r="75" spans="1:14" ht="22.5" customHeight="1" x14ac:dyDescent="0.25">
      <c r="A75" t="s">
        <v>566</v>
      </c>
      <c r="B75" s="2" t="s">
        <v>566</v>
      </c>
      <c r="C75">
        <f>$C$2*Families!J114</f>
        <v>0.04</v>
      </c>
      <c r="D75">
        <f>$D$2*Novelty!D114</f>
        <v>0.12</v>
      </c>
      <c r="E75">
        <f>$E$2*VLOOKUP(A75,Interdisciplinarity!$K$3:$M$258,3,0)</f>
        <v>2.0000000000000004E-2</v>
      </c>
      <c r="F75">
        <f t="shared" si="4"/>
        <v>0</v>
      </c>
      <c r="G75">
        <f t="shared" si="5"/>
        <v>8.0000000000000002E-3</v>
      </c>
      <c r="H75">
        <f>$H$2*VLOOKUP(A75,Lexis_Сoefficient!$A$3:$F$257,6,0)</f>
        <v>1.8000000000000002E-2</v>
      </c>
      <c r="I75">
        <v>0</v>
      </c>
      <c r="J75">
        <f>$J$2*VLOOKUP(A75,'Patent availability1'!$L$4:$V$261,11,0)</f>
        <v>0</v>
      </c>
      <c r="K75">
        <f t="shared" si="6"/>
        <v>2.6000000000000002E-2</v>
      </c>
      <c r="L75" s="2" t="s">
        <v>10</v>
      </c>
      <c r="M75" t="str">
        <f t="shared" si="7"/>
        <v>CN</v>
      </c>
      <c r="N75" s="6" t="s">
        <v>174</v>
      </c>
    </row>
    <row r="76" spans="1:14" ht="22.5" customHeight="1" x14ac:dyDescent="0.25">
      <c r="A76" t="s">
        <v>548</v>
      </c>
      <c r="B76" s="2" t="s">
        <v>547</v>
      </c>
      <c r="C76">
        <f>$C$2*Families!J111</f>
        <v>0.04</v>
      </c>
      <c r="D76">
        <f>$D$2*Novelty!D111</f>
        <v>0.12</v>
      </c>
      <c r="E76">
        <f>$E$2*VLOOKUP(A76,Interdisciplinarity!$K$3:$M$258,3,0)</f>
        <v>2.0000000000000004E-2</v>
      </c>
      <c r="F76">
        <f t="shared" si="4"/>
        <v>0</v>
      </c>
      <c r="G76">
        <f t="shared" si="5"/>
        <v>8.0000000000000002E-3</v>
      </c>
      <c r="H76">
        <f>$H$2*VLOOKUP(A76,Lexis_Сoefficient!$A$3:$F$257,6,0)</f>
        <v>1.8000000000000002E-2</v>
      </c>
      <c r="I76">
        <v>0</v>
      </c>
      <c r="J76">
        <f>$J$2*VLOOKUP(A76,'Patent availability1'!$L$4:$V$261,11,0)</f>
        <v>0.05</v>
      </c>
      <c r="K76">
        <f t="shared" si="6"/>
        <v>7.6000000000000012E-2</v>
      </c>
      <c r="L76" s="2" t="s">
        <v>441</v>
      </c>
      <c r="M76" t="str">
        <f t="shared" si="7"/>
        <v>CN</v>
      </c>
      <c r="N76" s="6" t="s">
        <v>526</v>
      </c>
    </row>
    <row r="77" spans="1:14" ht="22.5" customHeight="1" x14ac:dyDescent="0.25">
      <c r="A77" t="s">
        <v>543</v>
      </c>
      <c r="B77" s="2" t="s">
        <v>542</v>
      </c>
      <c r="C77">
        <f>$C$2*Families!J110</f>
        <v>0.04</v>
      </c>
      <c r="D77">
        <f>$D$2*Novelty!D110</f>
        <v>0.12</v>
      </c>
      <c r="E77">
        <f>$E$2*VLOOKUP(A77,Interdisciplinarity!$K$3:$M$258,3,0)</f>
        <v>2.0000000000000004E-2</v>
      </c>
      <c r="F77">
        <f t="shared" si="4"/>
        <v>0</v>
      </c>
      <c r="G77">
        <f t="shared" si="5"/>
        <v>8.0000000000000002E-3</v>
      </c>
      <c r="H77">
        <f>$H$2*VLOOKUP(A77,Lexis_Сoefficient!$A$3:$F$257,6,0)</f>
        <v>4.200000000000001E-2</v>
      </c>
      <c r="I77">
        <v>0</v>
      </c>
      <c r="J77">
        <f>$J$2*VLOOKUP(A77,'Patent availability1'!$L$4:$V$261,11,0)</f>
        <v>0.05</v>
      </c>
      <c r="K77">
        <f t="shared" si="6"/>
        <v>0.1</v>
      </c>
      <c r="L77" s="2" t="s">
        <v>441</v>
      </c>
      <c r="M77" t="str">
        <f t="shared" si="7"/>
        <v>CN</v>
      </c>
      <c r="N77" s="6" t="s">
        <v>526</v>
      </c>
    </row>
    <row r="78" spans="1:14" ht="22.5" customHeight="1" x14ac:dyDescent="0.25">
      <c r="A78" t="s">
        <v>537</v>
      </c>
      <c r="B78" s="2" t="s">
        <v>536</v>
      </c>
      <c r="C78">
        <f>$C$2*Families!J109</f>
        <v>0.04</v>
      </c>
      <c r="D78">
        <f>$D$2*Novelty!D109</f>
        <v>0.12</v>
      </c>
      <c r="E78">
        <f>$E$2*VLOOKUP(A78,Interdisciplinarity!$K$3:$M$258,3,0)</f>
        <v>5.000000000000001E-3</v>
      </c>
      <c r="F78">
        <f t="shared" si="4"/>
        <v>0</v>
      </c>
      <c r="G78">
        <f t="shared" si="5"/>
        <v>8.0000000000000002E-3</v>
      </c>
      <c r="H78">
        <f>$H$2*VLOOKUP(A78,Lexis_Сoefficient!$A$3:$F$257,6,0)</f>
        <v>6.0000000000000012E-2</v>
      </c>
      <c r="I78">
        <v>0</v>
      </c>
      <c r="J78">
        <f>$J$2*VLOOKUP(A78,'Patent availability1'!$L$4:$V$261,11,0)</f>
        <v>0.05</v>
      </c>
      <c r="K78">
        <f t="shared" si="6"/>
        <v>0.11800000000000001</v>
      </c>
      <c r="L78" s="2" t="s">
        <v>441</v>
      </c>
      <c r="M78" t="str">
        <f t="shared" si="7"/>
        <v>CN</v>
      </c>
      <c r="N78" s="6" t="s">
        <v>539</v>
      </c>
    </row>
    <row r="79" spans="1:14" ht="22.5" customHeight="1" x14ac:dyDescent="0.25">
      <c r="A79" t="s">
        <v>524</v>
      </c>
      <c r="B79" s="2" t="s">
        <v>523</v>
      </c>
      <c r="C79">
        <f>$C$2*Families!J107</f>
        <v>0.04</v>
      </c>
      <c r="D79">
        <f>$D$2*Novelty!D107</f>
        <v>0.12</v>
      </c>
      <c r="E79">
        <f>$E$2*VLOOKUP(A79,Interdisciplinarity!$K$3:$M$258,3,0)</f>
        <v>2.0000000000000004E-2</v>
      </c>
      <c r="F79">
        <f t="shared" si="4"/>
        <v>0</v>
      </c>
      <c r="G79">
        <f t="shared" si="5"/>
        <v>8.0000000000000002E-3</v>
      </c>
      <c r="H79">
        <f>$H$2*VLOOKUP(A79,Lexis_Сoefficient!$A$3:$F$257,6,0)</f>
        <v>1.8000000000000002E-2</v>
      </c>
      <c r="I79">
        <v>0</v>
      </c>
      <c r="J79">
        <f>$J$2*VLOOKUP(A79,'Patent availability1'!$L$4:$V$261,11,0)</f>
        <v>0.05</v>
      </c>
      <c r="K79">
        <f t="shared" si="6"/>
        <v>7.6000000000000012E-2</v>
      </c>
      <c r="L79" s="2" t="s">
        <v>441</v>
      </c>
      <c r="M79" t="str">
        <f t="shared" si="7"/>
        <v>CN</v>
      </c>
      <c r="N79" s="6" t="s">
        <v>526</v>
      </c>
    </row>
    <row r="80" spans="1:14" ht="22.5" customHeight="1" x14ac:dyDescent="0.25">
      <c r="A80" t="s">
        <v>515</v>
      </c>
      <c r="B80" s="2" t="s">
        <v>514</v>
      </c>
      <c r="C80">
        <f>$C$2*Families!J105</f>
        <v>0.04</v>
      </c>
      <c r="D80">
        <f>$D$2*Novelty!D105</f>
        <v>0.12</v>
      </c>
      <c r="E80">
        <f>$E$2*VLOOKUP(A80,Interdisciplinarity!$K$3:$M$258,3,0)</f>
        <v>2.0000000000000004E-2</v>
      </c>
      <c r="F80">
        <f t="shared" si="4"/>
        <v>0</v>
      </c>
      <c r="G80">
        <f t="shared" si="5"/>
        <v>8.0000000000000002E-3</v>
      </c>
      <c r="H80">
        <f>$H$2*VLOOKUP(A80,Lexis_Сoefficient!$A$3:$F$257,6,0)</f>
        <v>4.200000000000001E-2</v>
      </c>
      <c r="I80">
        <v>0</v>
      </c>
      <c r="J80">
        <f>$J$2*VLOOKUP(A80,'Patent availability1'!$L$4:$V$261,11,0)</f>
        <v>0.05</v>
      </c>
      <c r="K80">
        <f t="shared" si="6"/>
        <v>0.1</v>
      </c>
      <c r="L80" s="2" t="s">
        <v>441</v>
      </c>
      <c r="M80" t="str">
        <f t="shared" si="7"/>
        <v>CN</v>
      </c>
      <c r="N80" s="6" t="s">
        <v>174</v>
      </c>
    </row>
    <row r="81" spans="1:14" ht="22.5" customHeight="1" x14ac:dyDescent="0.25">
      <c r="A81" t="s">
        <v>504</v>
      </c>
      <c r="B81" s="2" t="s">
        <v>503</v>
      </c>
      <c r="C81">
        <f>$C$2*Families!J103</f>
        <v>0.04</v>
      </c>
      <c r="D81">
        <f>$D$2*Novelty!D103</f>
        <v>0.12</v>
      </c>
      <c r="E81">
        <f>$E$2*VLOOKUP(A81,Interdisciplinarity!$K$3:$M$258,3,0)</f>
        <v>2.0000000000000004E-2</v>
      </c>
      <c r="F81">
        <f t="shared" si="4"/>
        <v>0</v>
      </c>
      <c r="G81">
        <f t="shared" si="5"/>
        <v>8.0000000000000002E-3</v>
      </c>
      <c r="H81">
        <f>$H$2*VLOOKUP(A81,Lexis_Сoefficient!$A$3:$F$257,6,0)</f>
        <v>1.8000000000000002E-2</v>
      </c>
      <c r="I81">
        <v>0</v>
      </c>
      <c r="J81">
        <f>$J$2*VLOOKUP(A81,'Patent availability1'!$L$4:$V$261,11,0)</f>
        <v>0.05</v>
      </c>
      <c r="K81">
        <f t="shared" si="6"/>
        <v>7.6000000000000012E-2</v>
      </c>
      <c r="L81" s="2" t="s">
        <v>441</v>
      </c>
      <c r="M81" t="str">
        <f t="shared" si="7"/>
        <v>CN</v>
      </c>
      <c r="N81" s="6" t="s">
        <v>506</v>
      </c>
    </row>
    <row r="82" spans="1:14" ht="22.5" customHeight="1" x14ac:dyDescent="0.25">
      <c r="A82" t="s">
        <v>509</v>
      </c>
      <c r="B82" s="2" t="s">
        <v>509</v>
      </c>
      <c r="C82">
        <f>$C$2*Families!J104</f>
        <v>0.04</v>
      </c>
      <c r="D82">
        <f>$D$2*Novelty!D104</f>
        <v>0.12</v>
      </c>
      <c r="E82">
        <f>$E$2*VLOOKUP(A82,Interdisciplinarity!$K$3:$M$258,3,0)</f>
        <v>0.06</v>
      </c>
      <c r="F82">
        <f t="shared" si="4"/>
        <v>0</v>
      </c>
      <c r="G82">
        <f t="shared" si="5"/>
        <v>8.0000000000000002E-3</v>
      </c>
      <c r="H82">
        <f>$H$2*VLOOKUP(A82,Lexis_Сoefficient!$A$3:$F$257,6,0)</f>
        <v>1.8000000000000002E-2</v>
      </c>
      <c r="I82">
        <v>0</v>
      </c>
      <c r="J82">
        <f>$J$2*VLOOKUP(A82,'Patent availability1'!$L$4:$V$261,11,0)</f>
        <v>0</v>
      </c>
      <c r="K82">
        <f t="shared" si="6"/>
        <v>2.6000000000000002E-2</v>
      </c>
      <c r="L82" s="2" t="s">
        <v>10</v>
      </c>
      <c r="M82" t="str">
        <f t="shared" si="7"/>
        <v>CN</v>
      </c>
      <c r="N82" s="6" t="s">
        <v>511</v>
      </c>
    </row>
    <row r="83" spans="1:14" ht="22.5" customHeight="1" x14ac:dyDescent="0.25">
      <c r="A83" t="s">
        <v>498</v>
      </c>
      <c r="B83" s="2" t="s">
        <v>498</v>
      </c>
      <c r="C83">
        <f>$C$2*Families!J102</f>
        <v>0.04</v>
      </c>
      <c r="D83">
        <f>$D$2*Novelty!D102</f>
        <v>0.12</v>
      </c>
      <c r="E83">
        <f>$E$2*VLOOKUP(A83,Interdisciplinarity!$K$3:$M$258,3,0)</f>
        <v>0.06</v>
      </c>
      <c r="F83">
        <f t="shared" si="4"/>
        <v>0</v>
      </c>
      <c r="G83">
        <f t="shared" si="5"/>
        <v>8.0000000000000002E-3</v>
      </c>
      <c r="H83">
        <f>$H$2*VLOOKUP(A83,Lexis_Сoefficient!$A$3:$F$257,6,0)</f>
        <v>1.8000000000000002E-2</v>
      </c>
      <c r="I83">
        <v>0</v>
      </c>
      <c r="J83">
        <f>$J$2*VLOOKUP(A83,'Patent availability1'!$L$4:$V$261,11,0)</f>
        <v>0</v>
      </c>
      <c r="K83">
        <f t="shared" si="6"/>
        <v>2.6000000000000002E-2</v>
      </c>
      <c r="L83" s="2" t="s">
        <v>10</v>
      </c>
      <c r="M83" t="str">
        <f t="shared" si="7"/>
        <v>CN</v>
      </c>
      <c r="N83" s="6" t="s">
        <v>500</v>
      </c>
    </row>
    <row r="84" spans="1:14" ht="22.5" customHeight="1" x14ac:dyDescent="0.25">
      <c r="A84" t="s">
        <v>493</v>
      </c>
      <c r="B84" s="2" t="s">
        <v>492</v>
      </c>
      <c r="C84">
        <f>$C$2*Families!J101</f>
        <v>0.04</v>
      </c>
      <c r="D84">
        <f>$D$2*Novelty!D101</f>
        <v>0.12</v>
      </c>
      <c r="E84">
        <f>$E$2*VLOOKUP(A84,Interdisciplinarity!$K$3:$M$258,3,0)</f>
        <v>2.0000000000000004E-2</v>
      </c>
      <c r="F84">
        <f t="shared" si="4"/>
        <v>0</v>
      </c>
      <c r="G84">
        <f t="shared" si="5"/>
        <v>8.0000000000000002E-3</v>
      </c>
      <c r="H84">
        <f>$H$2*VLOOKUP(A84,Lexis_Сoefficient!$A$3:$F$257,6,0)</f>
        <v>1.8000000000000002E-2</v>
      </c>
      <c r="I84">
        <v>0</v>
      </c>
      <c r="J84">
        <f>$J$2*VLOOKUP(A84,'Patent availability1'!$L$4:$V$261,11,0)</f>
        <v>0.05</v>
      </c>
      <c r="K84">
        <f t="shared" si="6"/>
        <v>7.6000000000000012E-2</v>
      </c>
      <c r="L84" s="2" t="s">
        <v>441</v>
      </c>
      <c r="M84" t="str">
        <f t="shared" si="7"/>
        <v>CN</v>
      </c>
      <c r="N84" s="6" t="s">
        <v>495</v>
      </c>
    </row>
    <row r="85" spans="1:14" ht="22.5" customHeight="1" x14ac:dyDescent="0.25">
      <c r="A85" t="s">
        <v>483</v>
      </c>
      <c r="B85" s="2" t="s">
        <v>482</v>
      </c>
      <c r="C85">
        <f>$C$2*Families!J99</f>
        <v>0.04</v>
      </c>
      <c r="D85">
        <f>$D$2*Novelty!D99</f>
        <v>0.12</v>
      </c>
      <c r="E85">
        <f>$E$2*VLOOKUP(A85,Interdisciplinarity!$K$3:$M$258,3,0)</f>
        <v>2.0000000000000004E-2</v>
      </c>
      <c r="F85">
        <f t="shared" si="4"/>
        <v>0</v>
      </c>
      <c r="G85">
        <f t="shared" si="5"/>
        <v>8.0000000000000002E-3</v>
      </c>
      <c r="H85">
        <f>$H$2*VLOOKUP(A85,Lexis_Сoefficient!$A$3:$F$257,6,0)</f>
        <v>8.4000000000000019E-2</v>
      </c>
      <c r="I85">
        <v>0</v>
      </c>
      <c r="J85">
        <f>$J$2*VLOOKUP(A85,'Patent availability1'!$L$4:$V$261,11,0)</f>
        <v>0.05</v>
      </c>
      <c r="K85">
        <f t="shared" si="6"/>
        <v>0.14200000000000002</v>
      </c>
      <c r="L85" s="2" t="s">
        <v>441</v>
      </c>
      <c r="M85" t="str">
        <f t="shared" si="7"/>
        <v>CN</v>
      </c>
      <c r="N85" s="6" t="s">
        <v>484</v>
      </c>
    </row>
    <row r="86" spans="1:14" ht="22.5" customHeight="1" x14ac:dyDescent="0.25">
      <c r="A86" t="s">
        <v>478</v>
      </c>
      <c r="B86" s="2" t="s">
        <v>477</v>
      </c>
      <c r="C86">
        <f>$C$2*Families!J98</f>
        <v>0.04</v>
      </c>
      <c r="D86">
        <f>$D$2*Novelty!D98</f>
        <v>0.12</v>
      </c>
      <c r="E86">
        <f>$E$2*VLOOKUP(A86,Interdisciplinarity!$K$3:$M$258,3,0)</f>
        <v>2.0000000000000004E-2</v>
      </c>
      <c r="F86">
        <f t="shared" si="4"/>
        <v>0</v>
      </c>
      <c r="G86">
        <f t="shared" si="5"/>
        <v>8.0000000000000002E-3</v>
      </c>
      <c r="H86">
        <f>$H$2*VLOOKUP(A86,Lexis_Сoefficient!$A$3:$F$257,6,0)</f>
        <v>3.5999999999999997E-2</v>
      </c>
      <c r="I86">
        <v>0</v>
      </c>
      <c r="J86">
        <f>$J$2*VLOOKUP(A86,'Patent availability1'!$L$4:$V$261,11,0)</f>
        <v>0.05</v>
      </c>
      <c r="K86">
        <f t="shared" si="6"/>
        <v>9.4E-2</v>
      </c>
      <c r="L86" s="2" t="s">
        <v>441</v>
      </c>
      <c r="M86" t="str">
        <f t="shared" si="7"/>
        <v>CN</v>
      </c>
      <c r="N86" s="6" t="s">
        <v>193</v>
      </c>
    </row>
    <row r="87" spans="1:14" ht="22.5" customHeight="1" x14ac:dyDescent="0.25">
      <c r="A87" t="s">
        <v>469</v>
      </c>
      <c r="B87" s="2" t="s">
        <v>468</v>
      </c>
      <c r="C87">
        <f>$C$2*Families!J96</f>
        <v>0</v>
      </c>
      <c r="D87">
        <f>$D$2*Novelty!D96</f>
        <v>0.12</v>
      </c>
      <c r="E87">
        <f>$E$2*VLOOKUP(A87,Interdisciplinarity!$K$3:$M$258,3,0)</f>
        <v>2.0000000000000004E-2</v>
      </c>
      <c r="F87">
        <f t="shared" si="4"/>
        <v>0</v>
      </c>
      <c r="G87">
        <f t="shared" si="5"/>
        <v>8.0000000000000002E-3</v>
      </c>
      <c r="H87">
        <f>$H$2*VLOOKUP(A87,Lexis_Сoefficient!$A$3:$F$257,6,0)</f>
        <v>1.8000000000000002E-2</v>
      </c>
      <c r="I87">
        <v>0</v>
      </c>
      <c r="J87">
        <f>$J$2*VLOOKUP(A87,'Patent availability1'!$L$4:$V$261,11,0)</f>
        <v>0.05</v>
      </c>
      <c r="K87">
        <f t="shared" si="6"/>
        <v>7.6000000000000012E-2</v>
      </c>
      <c r="L87" s="2" t="s">
        <v>441</v>
      </c>
      <c r="M87" t="str">
        <f t="shared" si="7"/>
        <v>CN</v>
      </c>
      <c r="N87" s="6" t="s">
        <v>174</v>
      </c>
    </row>
    <row r="88" spans="1:14" ht="22.5" customHeight="1" x14ac:dyDescent="0.25">
      <c r="A88" t="s">
        <v>466</v>
      </c>
      <c r="B88" s="2" t="s">
        <v>465</v>
      </c>
      <c r="C88">
        <f>$C$2*Families!J95</f>
        <v>0.04</v>
      </c>
      <c r="D88">
        <f>$D$2*Novelty!D95</f>
        <v>0.12</v>
      </c>
      <c r="E88">
        <f>$E$2*VLOOKUP(A88,Interdisciplinarity!$K$3:$M$258,3,0)</f>
        <v>2.0000000000000004E-2</v>
      </c>
      <c r="F88">
        <f t="shared" si="4"/>
        <v>0</v>
      </c>
      <c r="G88">
        <f t="shared" si="5"/>
        <v>8.0000000000000002E-3</v>
      </c>
      <c r="H88">
        <f>$H$2*VLOOKUP(A88,Lexis_Сoefficient!$A$3:$F$257,6,0)</f>
        <v>1.8000000000000002E-2</v>
      </c>
      <c r="I88">
        <v>0</v>
      </c>
      <c r="J88">
        <f>$J$2*VLOOKUP(A88,'Patent availability1'!$L$4:$V$261,11,0)</f>
        <v>0.05</v>
      </c>
      <c r="K88">
        <f t="shared" si="6"/>
        <v>7.6000000000000012E-2</v>
      </c>
      <c r="L88" s="2" t="s">
        <v>441</v>
      </c>
      <c r="M88" t="str">
        <f t="shared" si="7"/>
        <v>CN</v>
      </c>
      <c r="N88" s="6" t="s">
        <v>174</v>
      </c>
    </row>
    <row r="89" spans="1:14" ht="22.5" customHeight="1" x14ac:dyDescent="0.25">
      <c r="A89" t="s">
        <v>458</v>
      </c>
      <c r="B89" s="2" t="s">
        <v>457</v>
      </c>
      <c r="C89">
        <f>$C$2*Families!J93</f>
        <v>0.04</v>
      </c>
      <c r="D89">
        <f>$D$2*Novelty!D93</f>
        <v>0.12</v>
      </c>
      <c r="E89">
        <f>$E$2*VLOOKUP(A89,Interdisciplinarity!$K$3:$M$258,3,0)</f>
        <v>2.0000000000000004E-2</v>
      </c>
      <c r="F89">
        <f t="shared" si="4"/>
        <v>0</v>
      </c>
      <c r="G89">
        <f t="shared" si="5"/>
        <v>8.0000000000000002E-3</v>
      </c>
      <c r="H89">
        <f>$H$2*VLOOKUP(A89,Lexis_Сoefficient!$A$3:$F$257,6,0)</f>
        <v>1.8000000000000002E-2</v>
      </c>
      <c r="I89">
        <v>0</v>
      </c>
      <c r="J89">
        <f>$J$2*VLOOKUP(A89,'Patent availability1'!$L$4:$V$261,11,0)</f>
        <v>0.05</v>
      </c>
      <c r="K89">
        <f t="shared" si="6"/>
        <v>7.6000000000000012E-2</v>
      </c>
      <c r="L89" s="2" t="s">
        <v>441</v>
      </c>
      <c r="M89" t="str">
        <f t="shared" si="7"/>
        <v>CN</v>
      </c>
      <c r="N89" s="6" t="s">
        <v>174</v>
      </c>
    </row>
    <row r="90" spans="1:14" ht="22.5" customHeight="1" x14ac:dyDescent="0.25">
      <c r="A90" t="s">
        <v>472</v>
      </c>
      <c r="B90" s="2" t="s">
        <v>471</v>
      </c>
      <c r="C90">
        <f>$C$2*Families!J97</f>
        <v>0.04</v>
      </c>
      <c r="D90">
        <f>$D$2*Novelty!D97</f>
        <v>0.12</v>
      </c>
      <c r="E90">
        <f>$E$2*VLOOKUP(A90,Interdisciplinarity!$K$3:$M$258,3,0)</f>
        <v>0.06</v>
      </c>
      <c r="F90">
        <f t="shared" si="4"/>
        <v>0</v>
      </c>
      <c r="G90">
        <f t="shared" si="5"/>
        <v>8.0000000000000002E-3</v>
      </c>
      <c r="H90">
        <f>$H$2*VLOOKUP(A90,Lexis_Сoefficient!$A$3:$F$257,6,0)</f>
        <v>1.8000000000000002E-2</v>
      </c>
      <c r="I90">
        <v>0</v>
      </c>
      <c r="J90">
        <f>$J$2*VLOOKUP(A90,'Patent availability1'!$L$4:$V$261,11,0)</f>
        <v>0.05</v>
      </c>
      <c r="K90">
        <f t="shared" si="6"/>
        <v>7.6000000000000012E-2</v>
      </c>
      <c r="L90" s="2" t="s">
        <v>441</v>
      </c>
      <c r="M90" t="str">
        <f t="shared" si="7"/>
        <v>CN</v>
      </c>
      <c r="N90" s="6" t="s">
        <v>474</v>
      </c>
    </row>
    <row r="91" spans="1:14" ht="22.5" customHeight="1" x14ac:dyDescent="0.25">
      <c r="A91" t="s">
        <v>463</v>
      </c>
      <c r="B91" s="2" t="s">
        <v>462</v>
      </c>
      <c r="C91">
        <f>$C$2*Families!J94</f>
        <v>0.04</v>
      </c>
      <c r="D91">
        <f>$D$2*Novelty!D94</f>
        <v>0.12</v>
      </c>
      <c r="E91">
        <f>$E$2*VLOOKUP(A91,Interdisciplinarity!$K$3:$M$258,3,0)</f>
        <v>5.000000000000001E-3</v>
      </c>
      <c r="F91">
        <f t="shared" si="4"/>
        <v>0</v>
      </c>
      <c r="G91">
        <f t="shared" si="5"/>
        <v>8.0000000000000002E-3</v>
      </c>
      <c r="H91">
        <f>$H$2*VLOOKUP(A91,Lexis_Сoefficient!$A$3:$F$257,6,0)</f>
        <v>4.200000000000001E-2</v>
      </c>
      <c r="I91">
        <v>0</v>
      </c>
      <c r="J91">
        <f>$J$2*VLOOKUP(A91,'Patent availability1'!$L$4:$V$261,11,0)</f>
        <v>0.05</v>
      </c>
      <c r="K91">
        <f t="shared" si="6"/>
        <v>0.1</v>
      </c>
      <c r="L91" s="2" t="s">
        <v>441</v>
      </c>
      <c r="M91" t="str">
        <f t="shared" si="7"/>
        <v>CN</v>
      </c>
      <c r="N91" s="6" t="s">
        <v>174</v>
      </c>
    </row>
    <row r="92" spans="1:14" ht="22.5" customHeight="1" x14ac:dyDescent="0.25">
      <c r="A92" t="s">
        <v>447</v>
      </c>
      <c r="B92" s="2" t="s">
        <v>446</v>
      </c>
      <c r="C92">
        <f>$C$2*Families!J91</f>
        <v>0.04</v>
      </c>
      <c r="D92">
        <f>$D$2*Novelty!D91</f>
        <v>0.12</v>
      </c>
      <c r="E92">
        <f>$E$2*VLOOKUP(A92,Interdisciplinarity!$K$3:$M$258,3,0)</f>
        <v>2.0000000000000004E-2</v>
      </c>
      <c r="F92">
        <f t="shared" si="4"/>
        <v>0</v>
      </c>
      <c r="G92">
        <f t="shared" si="5"/>
        <v>8.0000000000000002E-3</v>
      </c>
      <c r="H92">
        <f>$H$2*VLOOKUP(A92,Lexis_Сoefficient!$A$3:$F$257,6,0)</f>
        <v>0.13800000000000001</v>
      </c>
      <c r="I92">
        <v>0</v>
      </c>
      <c r="J92">
        <f>$J$2*VLOOKUP(A92,'Patent availability1'!$L$4:$V$261,11,0)</f>
        <v>0.05</v>
      </c>
      <c r="K92">
        <f t="shared" si="6"/>
        <v>0.19600000000000001</v>
      </c>
      <c r="L92" s="2" t="s">
        <v>441</v>
      </c>
      <c r="M92" t="str">
        <f t="shared" si="7"/>
        <v>CN</v>
      </c>
      <c r="N92" s="6" t="s">
        <v>397</v>
      </c>
    </row>
    <row r="93" spans="1:14" ht="22.5" customHeight="1" x14ac:dyDescent="0.25">
      <c r="A93" t="s">
        <v>442</v>
      </c>
      <c r="B93" s="2" t="s">
        <v>440</v>
      </c>
      <c r="C93">
        <f>$C$2*Families!J90</f>
        <v>0.04</v>
      </c>
      <c r="D93">
        <f>$D$2*Novelty!D90</f>
        <v>0.12</v>
      </c>
      <c r="E93">
        <f>$E$2*VLOOKUP(A93,Interdisciplinarity!$K$3:$M$258,3,0)</f>
        <v>2.0000000000000004E-2</v>
      </c>
      <c r="F93">
        <f t="shared" si="4"/>
        <v>0</v>
      </c>
      <c r="G93">
        <f t="shared" si="5"/>
        <v>8.0000000000000002E-3</v>
      </c>
      <c r="H93">
        <f>$H$2*VLOOKUP(A93,Lexis_Сoefficient!$A$3:$F$257,6,0)</f>
        <v>4.200000000000001E-2</v>
      </c>
      <c r="I93">
        <v>0</v>
      </c>
      <c r="J93">
        <f>$J$2*VLOOKUP(A93,'Patent availability1'!$L$4:$V$261,11,0)</f>
        <v>0.05</v>
      </c>
      <c r="K93">
        <f t="shared" si="6"/>
        <v>0.1</v>
      </c>
      <c r="L93" s="2" t="s">
        <v>441</v>
      </c>
      <c r="M93" t="str">
        <f t="shared" si="7"/>
        <v>CN</v>
      </c>
      <c r="N93" s="6" t="s">
        <v>397</v>
      </c>
    </row>
    <row r="94" spans="1:14" ht="22.5" customHeight="1" x14ac:dyDescent="0.25">
      <c r="A94" t="s">
        <v>437</v>
      </c>
      <c r="B94" s="2" t="s">
        <v>437</v>
      </c>
      <c r="C94">
        <f>$C$2*Families!J89</f>
        <v>0.04</v>
      </c>
      <c r="D94">
        <f>$D$2*Novelty!D89</f>
        <v>0.17</v>
      </c>
      <c r="E94">
        <f>$E$2*VLOOKUP(A94,Interdisciplinarity!$K$3:$M$258,3,0)</f>
        <v>2.0000000000000004E-2</v>
      </c>
      <c r="F94">
        <f t="shared" si="4"/>
        <v>0</v>
      </c>
      <c r="G94">
        <f t="shared" si="5"/>
        <v>8.0000000000000002E-3</v>
      </c>
      <c r="H94">
        <f>$H$2*VLOOKUP(A94,Lexis_Сoefficient!$A$3:$F$257,6,0)</f>
        <v>1.8000000000000002E-2</v>
      </c>
      <c r="I94">
        <v>0</v>
      </c>
      <c r="J94">
        <f>$J$2*VLOOKUP(A94,'Patent availability1'!$L$4:$V$261,11,0)</f>
        <v>0</v>
      </c>
      <c r="K94">
        <f t="shared" si="6"/>
        <v>2.6000000000000002E-2</v>
      </c>
      <c r="L94" s="2" t="s">
        <v>10</v>
      </c>
      <c r="M94" t="str">
        <f t="shared" si="7"/>
        <v>CN</v>
      </c>
      <c r="N94" s="6" t="s">
        <v>193</v>
      </c>
    </row>
    <row r="95" spans="1:14" ht="22.5" customHeight="1" x14ac:dyDescent="0.25">
      <c r="A95" t="s">
        <v>421</v>
      </c>
      <c r="B95" s="2" t="s">
        <v>421</v>
      </c>
      <c r="C95">
        <f>$C$2*Families!J86</f>
        <v>0.04</v>
      </c>
      <c r="D95">
        <f>$D$2*Novelty!D86</f>
        <v>0.17</v>
      </c>
      <c r="E95">
        <f>$E$2*VLOOKUP(A95,Interdisciplinarity!$K$3:$M$258,3,0)</f>
        <v>2.0000000000000004E-2</v>
      </c>
      <c r="F95">
        <f t="shared" si="4"/>
        <v>0</v>
      </c>
      <c r="G95">
        <f t="shared" si="5"/>
        <v>8.0000000000000002E-3</v>
      </c>
      <c r="H95">
        <f>$H$2*VLOOKUP(A95,Lexis_Сoefficient!$A$3:$F$257,6,0)</f>
        <v>3.5999999999999997E-2</v>
      </c>
      <c r="I95">
        <v>0</v>
      </c>
      <c r="J95">
        <f>$J$2*VLOOKUP(A95,'Patent availability1'!$L$4:$V$261,11,0)</f>
        <v>0</v>
      </c>
      <c r="K95">
        <f t="shared" si="6"/>
        <v>4.3999999999999997E-2</v>
      </c>
      <c r="L95" s="2" t="s">
        <v>10</v>
      </c>
      <c r="M95" t="str">
        <f t="shared" si="7"/>
        <v>CN</v>
      </c>
      <c r="N95" s="6" t="s">
        <v>423</v>
      </c>
    </row>
    <row r="96" spans="1:14" ht="22.5" customHeight="1" x14ac:dyDescent="0.25">
      <c r="A96" t="s">
        <v>408</v>
      </c>
      <c r="B96" s="2" t="s">
        <v>408</v>
      </c>
      <c r="C96">
        <f>$C$2*Families!J84</f>
        <v>0.04</v>
      </c>
      <c r="D96">
        <f>$D$2*Novelty!D84</f>
        <v>0.17</v>
      </c>
      <c r="E96">
        <f>$E$2*VLOOKUP(A96,Interdisciplinarity!$K$3:$M$258,3,0)</f>
        <v>2.0000000000000004E-2</v>
      </c>
      <c r="F96">
        <f t="shared" si="4"/>
        <v>0</v>
      </c>
      <c r="G96">
        <f t="shared" si="5"/>
        <v>8.0000000000000002E-3</v>
      </c>
      <c r="H96">
        <f>$H$2*VLOOKUP(A96,Lexis_Сoefficient!$A$3:$F$257,6,0)</f>
        <v>8.4000000000000019E-2</v>
      </c>
      <c r="I96">
        <v>0</v>
      </c>
      <c r="J96">
        <f>$J$2*VLOOKUP(A96,'Patent availability1'!$L$4:$V$261,11,0)</f>
        <v>0</v>
      </c>
      <c r="K96">
        <f t="shared" si="6"/>
        <v>9.2000000000000026E-2</v>
      </c>
      <c r="L96" s="2" t="s">
        <v>10</v>
      </c>
      <c r="M96" t="str">
        <f t="shared" si="7"/>
        <v>CN</v>
      </c>
      <c r="N96" s="6" t="s">
        <v>410</v>
      </c>
    </row>
    <row r="97" spans="1:14" ht="22.5" customHeight="1" x14ac:dyDescent="0.25">
      <c r="A97" t="s">
        <v>404</v>
      </c>
      <c r="B97" s="2" t="s">
        <v>404</v>
      </c>
      <c r="C97">
        <f>$C$2*Families!J83</f>
        <v>0.04</v>
      </c>
      <c r="D97">
        <f>$D$2*Novelty!D83</f>
        <v>0.17</v>
      </c>
      <c r="E97">
        <f>$E$2*VLOOKUP(A97,Interdisciplinarity!$K$3:$M$258,3,0)</f>
        <v>0.06</v>
      </c>
      <c r="F97">
        <f t="shared" si="4"/>
        <v>0</v>
      </c>
      <c r="G97">
        <f t="shared" si="5"/>
        <v>8.0000000000000002E-3</v>
      </c>
      <c r="H97">
        <f>$H$2*VLOOKUP(A97,Lexis_Сoefficient!$A$3:$F$257,6,0)</f>
        <v>1.8000000000000002E-2</v>
      </c>
      <c r="I97">
        <v>0</v>
      </c>
      <c r="J97">
        <f>$J$2*VLOOKUP(A97,'Patent availability1'!$L$4:$V$261,11,0)</f>
        <v>0</v>
      </c>
      <c r="K97">
        <f t="shared" si="6"/>
        <v>2.6000000000000002E-2</v>
      </c>
      <c r="L97" s="2" t="s">
        <v>10</v>
      </c>
      <c r="M97" t="str">
        <f t="shared" si="7"/>
        <v>CN</v>
      </c>
      <c r="N97" s="6" t="s">
        <v>273</v>
      </c>
    </row>
    <row r="98" spans="1:14" ht="22.5" customHeight="1" x14ac:dyDescent="0.25">
      <c r="A98" t="s">
        <v>400</v>
      </c>
      <c r="B98" s="2" t="s">
        <v>400</v>
      </c>
      <c r="C98">
        <f>$C$2*Families!J82</f>
        <v>0</v>
      </c>
      <c r="D98">
        <f>$D$2*Novelty!D82</f>
        <v>0.12</v>
      </c>
      <c r="E98">
        <f>$E$2*VLOOKUP(A98,Interdisciplinarity!$K$3:$M$258,3,0)</f>
        <v>5.000000000000001E-3</v>
      </c>
      <c r="F98">
        <f t="shared" si="4"/>
        <v>0</v>
      </c>
      <c r="G98">
        <f t="shared" si="5"/>
        <v>8.0000000000000002E-3</v>
      </c>
      <c r="H98">
        <f>$H$2*VLOOKUP(A98,Lexis_Сoefficient!$A$3:$F$257,6,0)</f>
        <v>1.8000000000000002E-2</v>
      </c>
      <c r="I98">
        <v>0</v>
      </c>
      <c r="J98">
        <f>$J$2*VLOOKUP(A98,'Patent availability1'!$L$4:$V$261,11,0)</f>
        <v>0</v>
      </c>
      <c r="K98">
        <f t="shared" si="6"/>
        <v>2.6000000000000002E-2</v>
      </c>
      <c r="L98" s="2" t="s">
        <v>10</v>
      </c>
      <c r="M98" t="str">
        <f t="shared" si="7"/>
        <v>CN</v>
      </c>
      <c r="N98" s="6" t="s">
        <v>174</v>
      </c>
    </row>
    <row r="99" spans="1:14" ht="22.5" customHeight="1" x14ac:dyDescent="0.25">
      <c r="A99" t="s">
        <v>395</v>
      </c>
      <c r="B99" s="2" t="s">
        <v>395</v>
      </c>
      <c r="C99">
        <f>$C$2*Families!J81</f>
        <v>0.04</v>
      </c>
      <c r="D99">
        <f>$D$2*Novelty!D81</f>
        <v>0.12</v>
      </c>
      <c r="E99">
        <f>$E$2*VLOOKUP(A99,Interdisciplinarity!$K$3:$M$258,3,0)</f>
        <v>5.000000000000001E-3</v>
      </c>
      <c r="F99">
        <f t="shared" si="4"/>
        <v>0</v>
      </c>
      <c r="G99">
        <f t="shared" si="5"/>
        <v>8.0000000000000002E-3</v>
      </c>
      <c r="H99">
        <f>$H$2*VLOOKUP(A99,Lexis_Сoefficient!$A$3:$F$257,6,0)</f>
        <v>1.8000000000000002E-2</v>
      </c>
      <c r="I99">
        <v>0</v>
      </c>
      <c r="J99">
        <f>$J$2*VLOOKUP(A99,'Patent availability1'!$L$4:$V$261,11,0)</f>
        <v>0</v>
      </c>
      <c r="K99">
        <f t="shared" si="6"/>
        <v>2.6000000000000002E-2</v>
      </c>
      <c r="L99" s="2" t="s">
        <v>10</v>
      </c>
      <c r="M99" t="str">
        <f t="shared" si="7"/>
        <v>CN</v>
      </c>
      <c r="N99" s="6" t="s">
        <v>397</v>
      </c>
    </row>
    <row r="100" spans="1:14" ht="22.5" customHeight="1" x14ac:dyDescent="0.25">
      <c r="A100" t="s">
        <v>393</v>
      </c>
      <c r="B100" s="2" t="s">
        <v>393</v>
      </c>
      <c r="C100">
        <f>$C$2*Families!J80</f>
        <v>0.04</v>
      </c>
      <c r="D100">
        <f>$D$2*Novelty!D80</f>
        <v>0.12</v>
      </c>
      <c r="E100">
        <f>$E$2*VLOOKUP(A100,Interdisciplinarity!$K$3:$M$258,3,0)</f>
        <v>2.0000000000000004E-2</v>
      </c>
      <c r="F100">
        <f t="shared" si="4"/>
        <v>0</v>
      </c>
      <c r="G100">
        <f t="shared" si="5"/>
        <v>8.0000000000000002E-3</v>
      </c>
      <c r="H100">
        <f>$H$2*VLOOKUP(A100,Lexis_Сoefficient!$A$3:$F$257,6,0)</f>
        <v>1.8000000000000002E-2</v>
      </c>
      <c r="I100">
        <v>0</v>
      </c>
      <c r="J100">
        <f>$J$2*VLOOKUP(A100,'Patent availability1'!$L$4:$V$261,11,0)</f>
        <v>0</v>
      </c>
      <c r="K100">
        <f t="shared" si="6"/>
        <v>2.6000000000000002E-2</v>
      </c>
      <c r="L100" s="2" t="s">
        <v>10</v>
      </c>
      <c r="M100" t="str">
        <f t="shared" si="7"/>
        <v>CN</v>
      </c>
      <c r="N100" s="6" t="s">
        <v>174</v>
      </c>
    </row>
    <row r="101" spans="1:14" ht="22.5" customHeight="1" x14ac:dyDescent="0.25">
      <c r="A101" t="s">
        <v>389</v>
      </c>
      <c r="B101" s="2" t="s">
        <v>389</v>
      </c>
      <c r="C101">
        <f>$C$2*Families!J78</f>
        <v>0.04</v>
      </c>
      <c r="D101">
        <f>$D$2*Novelty!D78</f>
        <v>0.12</v>
      </c>
      <c r="E101">
        <f>$E$2*VLOOKUP(A101,Interdisciplinarity!$K$3:$M$258,3,0)</f>
        <v>2.0000000000000004E-2</v>
      </c>
      <c r="F101">
        <f t="shared" si="4"/>
        <v>0</v>
      </c>
      <c r="G101">
        <f t="shared" si="5"/>
        <v>8.0000000000000002E-3</v>
      </c>
      <c r="H101">
        <f>$H$2*VLOOKUP(A101,Lexis_Сoefficient!$A$3:$F$257,6,0)</f>
        <v>1.8000000000000002E-2</v>
      </c>
      <c r="I101">
        <v>0</v>
      </c>
      <c r="J101">
        <f>$J$2*VLOOKUP(A101,'Patent availability1'!$L$4:$V$261,11,0)</f>
        <v>0</v>
      </c>
      <c r="K101">
        <f t="shared" si="6"/>
        <v>2.6000000000000002E-2</v>
      </c>
      <c r="L101" s="2" t="s">
        <v>10</v>
      </c>
      <c r="M101" t="str">
        <f t="shared" si="7"/>
        <v>CN</v>
      </c>
      <c r="N101" s="6" t="s">
        <v>174</v>
      </c>
    </row>
    <row r="102" spans="1:14" ht="22.5" customHeight="1" x14ac:dyDescent="0.25">
      <c r="A102" t="s">
        <v>391</v>
      </c>
      <c r="B102" s="2" t="s">
        <v>391</v>
      </c>
      <c r="C102">
        <f>$C$2*Families!J79</f>
        <v>0.04</v>
      </c>
      <c r="D102">
        <f>$D$2*Novelty!D79</f>
        <v>0.12</v>
      </c>
      <c r="E102">
        <f>$E$2*VLOOKUP(A102,Interdisciplinarity!$K$3:$M$258,3,0)</f>
        <v>2.0000000000000004E-2</v>
      </c>
      <c r="F102">
        <f t="shared" si="4"/>
        <v>0</v>
      </c>
      <c r="G102">
        <f t="shared" si="5"/>
        <v>8.0000000000000002E-3</v>
      </c>
      <c r="H102">
        <f>$H$2*VLOOKUP(A102,Lexis_Сoefficient!$A$3:$F$257,6,0)</f>
        <v>1.8000000000000002E-2</v>
      </c>
      <c r="I102">
        <v>0</v>
      </c>
      <c r="J102">
        <f>$J$2*VLOOKUP(A102,'Patent availability1'!$L$4:$V$261,11,0)</f>
        <v>0</v>
      </c>
      <c r="K102">
        <f t="shared" si="6"/>
        <v>2.6000000000000002E-2</v>
      </c>
      <c r="L102" s="2" t="s">
        <v>10</v>
      </c>
      <c r="M102" t="str">
        <f t="shared" si="7"/>
        <v>CN</v>
      </c>
      <c r="N102" s="6" t="s">
        <v>174</v>
      </c>
    </row>
    <row r="103" spans="1:14" ht="22.5" customHeight="1" x14ac:dyDescent="0.25">
      <c r="A103" t="s">
        <v>387</v>
      </c>
      <c r="B103" s="2" t="s">
        <v>387</v>
      </c>
      <c r="C103">
        <f>$C$2*Families!J77</f>
        <v>0.04</v>
      </c>
      <c r="D103">
        <f>$D$2*Novelty!D77</f>
        <v>0.12</v>
      </c>
      <c r="E103">
        <f>$E$2*VLOOKUP(A103,Interdisciplinarity!$K$3:$M$258,3,0)</f>
        <v>2.0000000000000004E-2</v>
      </c>
      <c r="F103">
        <f t="shared" si="4"/>
        <v>0</v>
      </c>
      <c r="G103">
        <f t="shared" si="5"/>
        <v>8.0000000000000002E-3</v>
      </c>
      <c r="H103">
        <f>$H$2*VLOOKUP(A103,Lexis_Сoefficient!$A$3:$F$257,6,0)</f>
        <v>1.8000000000000002E-2</v>
      </c>
      <c r="I103">
        <v>0</v>
      </c>
      <c r="J103">
        <f>$J$2*VLOOKUP(A103,'Patent availability1'!$L$4:$V$261,11,0)</f>
        <v>0</v>
      </c>
      <c r="K103">
        <f t="shared" si="6"/>
        <v>2.6000000000000002E-2</v>
      </c>
      <c r="L103" s="2" t="s">
        <v>10</v>
      </c>
      <c r="M103" t="str">
        <f t="shared" si="7"/>
        <v>CN</v>
      </c>
      <c r="N103" s="6" t="s">
        <v>174</v>
      </c>
    </row>
    <row r="104" spans="1:14" ht="22.5" customHeight="1" x14ac:dyDescent="0.25">
      <c r="A104" t="s">
        <v>384</v>
      </c>
      <c r="B104" s="2" t="s">
        <v>384</v>
      </c>
      <c r="C104">
        <f>$C$2*Families!J76</f>
        <v>0.04</v>
      </c>
      <c r="D104">
        <f>$D$2*Novelty!D76</f>
        <v>0.12</v>
      </c>
      <c r="E104">
        <f>$E$2*VLOOKUP(A104,Interdisciplinarity!$K$3:$M$258,3,0)</f>
        <v>2.0000000000000004E-2</v>
      </c>
      <c r="F104">
        <f t="shared" si="4"/>
        <v>0</v>
      </c>
      <c r="G104">
        <f t="shared" si="5"/>
        <v>8.0000000000000002E-3</v>
      </c>
      <c r="H104">
        <f>$H$2*VLOOKUP(A104,Lexis_Сoefficient!$A$3:$F$257,6,0)</f>
        <v>3.5999999999999997E-2</v>
      </c>
      <c r="I104">
        <v>0</v>
      </c>
      <c r="J104">
        <f>$J$2*VLOOKUP(A104,'Patent availability1'!$L$4:$V$261,11,0)</f>
        <v>0</v>
      </c>
      <c r="K104">
        <f t="shared" si="6"/>
        <v>4.3999999999999997E-2</v>
      </c>
      <c r="L104" s="2" t="s">
        <v>10</v>
      </c>
      <c r="M104" t="str">
        <f t="shared" si="7"/>
        <v>CN</v>
      </c>
      <c r="N104" s="6" t="s">
        <v>174</v>
      </c>
    </row>
    <row r="105" spans="1:14" ht="22.5" customHeight="1" x14ac:dyDescent="0.25">
      <c r="A105" t="s">
        <v>382</v>
      </c>
      <c r="B105" s="2" t="s">
        <v>382</v>
      </c>
      <c r="C105">
        <f>$C$2*Families!J75</f>
        <v>0.04</v>
      </c>
      <c r="D105">
        <f>$D$2*Novelty!D75</f>
        <v>0.12</v>
      </c>
      <c r="E105">
        <f>$E$2*VLOOKUP(A105,Interdisciplinarity!$K$3:$M$258,3,0)</f>
        <v>2.0000000000000004E-2</v>
      </c>
      <c r="F105">
        <f t="shared" si="4"/>
        <v>0</v>
      </c>
      <c r="G105">
        <f t="shared" si="5"/>
        <v>8.0000000000000002E-3</v>
      </c>
      <c r="H105">
        <f>$H$2*VLOOKUP(A105,Lexis_Сoefficient!$A$3:$F$257,6,0)</f>
        <v>3.5999999999999997E-2</v>
      </c>
      <c r="I105">
        <v>0</v>
      </c>
      <c r="J105">
        <f>$J$2*VLOOKUP(A105,'Patent availability1'!$L$4:$V$261,11,0)</f>
        <v>0</v>
      </c>
      <c r="K105">
        <f t="shared" si="6"/>
        <v>4.3999999999999997E-2</v>
      </c>
      <c r="L105" s="2" t="s">
        <v>10</v>
      </c>
      <c r="M105" t="str">
        <f t="shared" si="7"/>
        <v>CN</v>
      </c>
      <c r="N105" s="6" t="s">
        <v>174</v>
      </c>
    </row>
    <row r="106" spans="1:14" ht="22.5" customHeight="1" x14ac:dyDescent="0.25">
      <c r="A106" t="s">
        <v>378</v>
      </c>
      <c r="B106" s="2" t="s">
        <v>378</v>
      </c>
      <c r="C106">
        <f>$C$2*Families!J74</f>
        <v>0.04</v>
      </c>
      <c r="D106">
        <f>$D$2*Novelty!D74</f>
        <v>0.12</v>
      </c>
      <c r="E106">
        <f>$E$2*VLOOKUP(A106,Interdisciplinarity!$K$3:$M$258,3,0)</f>
        <v>2.0000000000000004E-2</v>
      </c>
      <c r="F106">
        <f t="shared" si="4"/>
        <v>0</v>
      </c>
      <c r="G106">
        <f t="shared" si="5"/>
        <v>8.0000000000000002E-3</v>
      </c>
      <c r="H106">
        <f>$H$2*VLOOKUP(A106,Lexis_Сoefficient!$A$3:$F$257,6,0)</f>
        <v>3.5999999999999997E-2</v>
      </c>
      <c r="I106">
        <v>0</v>
      </c>
      <c r="J106">
        <f>$J$2*VLOOKUP(A106,'Patent availability1'!$L$4:$V$261,11,0)</f>
        <v>0</v>
      </c>
      <c r="K106">
        <f t="shared" si="6"/>
        <v>4.3999999999999997E-2</v>
      </c>
      <c r="L106" s="2" t="s">
        <v>10</v>
      </c>
      <c r="M106" t="str">
        <f t="shared" si="7"/>
        <v>CN</v>
      </c>
      <c r="N106" s="6" t="s">
        <v>174</v>
      </c>
    </row>
    <row r="107" spans="1:14" ht="22.5" customHeight="1" x14ac:dyDescent="0.25">
      <c r="A107" t="s">
        <v>374</v>
      </c>
      <c r="B107" s="2" t="s">
        <v>374</v>
      </c>
      <c r="C107">
        <f>$C$2*Families!J73</f>
        <v>0.04</v>
      </c>
      <c r="D107">
        <f>$D$2*Novelty!D73</f>
        <v>0.17</v>
      </c>
      <c r="E107">
        <f>$E$2*VLOOKUP(A107,Interdisciplinarity!$K$3:$M$258,3,0)</f>
        <v>0.06</v>
      </c>
      <c r="F107">
        <f t="shared" si="4"/>
        <v>0</v>
      </c>
      <c r="G107">
        <f t="shared" si="5"/>
        <v>8.0000000000000002E-3</v>
      </c>
      <c r="H107">
        <f>$H$2*VLOOKUP(A107,Lexis_Сoefficient!$A$3:$F$257,6,0)</f>
        <v>8.4000000000000019E-2</v>
      </c>
      <c r="I107">
        <v>0</v>
      </c>
      <c r="J107">
        <f>$J$2*VLOOKUP(A107,'Patent availability1'!$L$4:$V$261,11,0)</f>
        <v>0</v>
      </c>
      <c r="K107">
        <f t="shared" si="6"/>
        <v>9.2000000000000026E-2</v>
      </c>
      <c r="L107" s="2" t="s">
        <v>10</v>
      </c>
      <c r="M107" t="str">
        <f t="shared" si="7"/>
        <v>CN</v>
      </c>
      <c r="N107" s="6" t="s">
        <v>138</v>
      </c>
    </row>
    <row r="108" spans="1:14" ht="22.5" customHeight="1" x14ac:dyDescent="0.25">
      <c r="A108" t="s">
        <v>364</v>
      </c>
      <c r="B108" s="2" t="s">
        <v>364</v>
      </c>
      <c r="C108">
        <f>$C$2*Families!J71</f>
        <v>0.04</v>
      </c>
      <c r="D108">
        <f>$D$2*Novelty!D71</f>
        <v>0.17</v>
      </c>
      <c r="E108">
        <f>$E$2*VLOOKUP(A108,Interdisciplinarity!$K$3:$M$258,3,0)</f>
        <v>2.0000000000000004E-2</v>
      </c>
      <c r="F108">
        <f t="shared" si="4"/>
        <v>0</v>
      </c>
      <c r="G108">
        <f t="shared" si="5"/>
        <v>8.0000000000000002E-3</v>
      </c>
      <c r="H108">
        <f>$H$2*VLOOKUP(A108,Lexis_Сoefficient!$A$3:$F$257,6,0)</f>
        <v>3.5999999999999997E-2</v>
      </c>
      <c r="I108">
        <v>0</v>
      </c>
      <c r="J108">
        <f>$J$2*VLOOKUP(A108,'Patent availability1'!$L$4:$V$261,11,0)</f>
        <v>0</v>
      </c>
      <c r="K108">
        <f t="shared" si="6"/>
        <v>4.3999999999999997E-2</v>
      </c>
      <c r="L108" s="2" t="s">
        <v>10</v>
      </c>
      <c r="M108" t="str">
        <f t="shared" si="7"/>
        <v>CN</v>
      </c>
      <c r="N108" s="6" t="s">
        <v>366</v>
      </c>
    </row>
    <row r="109" spans="1:14" ht="22.5" customHeight="1" x14ac:dyDescent="0.25">
      <c r="A109" t="s">
        <v>369</v>
      </c>
      <c r="B109" s="2" t="s">
        <v>369</v>
      </c>
      <c r="C109">
        <f>$C$2*Families!J72</f>
        <v>0</v>
      </c>
      <c r="D109">
        <f>$D$2*Novelty!D72</f>
        <v>0.17</v>
      </c>
      <c r="E109">
        <f>$E$2*VLOOKUP(A109,Interdisciplinarity!$K$3:$M$258,3,0)</f>
        <v>2.0000000000000004E-2</v>
      </c>
      <c r="F109">
        <f t="shared" si="4"/>
        <v>0</v>
      </c>
      <c r="G109">
        <f t="shared" si="5"/>
        <v>8.0000000000000002E-3</v>
      </c>
      <c r="H109">
        <f>$H$2*VLOOKUP(A109,Lexis_Сoefficient!$A$3:$F$257,6,0)</f>
        <v>8.4000000000000019E-2</v>
      </c>
      <c r="I109">
        <v>0</v>
      </c>
      <c r="J109">
        <f>$J$2*VLOOKUP(A109,'Patent availability1'!$L$4:$V$261,11,0)</f>
        <v>0</v>
      </c>
      <c r="K109">
        <f t="shared" si="6"/>
        <v>9.2000000000000026E-2</v>
      </c>
      <c r="L109" s="2" t="s">
        <v>10</v>
      </c>
      <c r="M109" t="str">
        <f t="shared" si="7"/>
        <v>CN</v>
      </c>
      <c r="N109" s="6" t="s">
        <v>371</v>
      </c>
    </row>
    <row r="110" spans="1:14" ht="22.5" customHeight="1" x14ac:dyDescent="0.25">
      <c r="A110" t="s">
        <v>355</v>
      </c>
      <c r="B110" s="2" t="s">
        <v>355</v>
      </c>
      <c r="C110">
        <f>$C$2*Families!J68</f>
        <v>0</v>
      </c>
      <c r="D110">
        <f>$D$2*Novelty!D68</f>
        <v>0.12</v>
      </c>
      <c r="E110">
        <f>$E$2*VLOOKUP(A110,Interdisciplinarity!$K$3:$M$258,3,0)</f>
        <v>2.0000000000000004E-2</v>
      </c>
      <c r="F110">
        <f t="shared" si="4"/>
        <v>0</v>
      </c>
      <c r="G110">
        <f t="shared" si="5"/>
        <v>8.0000000000000002E-3</v>
      </c>
      <c r="H110">
        <f>$H$2*VLOOKUP(A110,Lexis_Сoefficient!$A$3:$F$257,6,0)</f>
        <v>1.8000000000000002E-2</v>
      </c>
      <c r="I110">
        <v>0</v>
      </c>
      <c r="J110">
        <f>$J$2*VLOOKUP(A110,'Patent availability1'!$L$4:$V$261,11,0)</f>
        <v>0</v>
      </c>
      <c r="K110">
        <f t="shared" si="6"/>
        <v>2.6000000000000002E-2</v>
      </c>
      <c r="L110" s="2" t="s">
        <v>10</v>
      </c>
      <c r="M110" t="str">
        <f t="shared" si="7"/>
        <v>CN</v>
      </c>
      <c r="N110" s="6" t="s">
        <v>174</v>
      </c>
    </row>
    <row r="111" spans="1:14" ht="22.5" customHeight="1" x14ac:dyDescent="0.25">
      <c r="A111" t="s">
        <v>352</v>
      </c>
      <c r="B111" s="2" t="s">
        <v>352</v>
      </c>
      <c r="C111">
        <f>$C$2*Families!J67</f>
        <v>0.04</v>
      </c>
      <c r="D111">
        <f>$D$2*Novelty!D67</f>
        <v>0.12</v>
      </c>
      <c r="E111">
        <f>$E$2*VLOOKUP(A111,Interdisciplinarity!$K$3:$M$258,3,0)</f>
        <v>2.0000000000000004E-2</v>
      </c>
      <c r="F111">
        <f t="shared" si="4"/>
        <v>0</v>
      </c>
      <c r="G111">
        <f t="shared" si="5"/>
        <v>8.0000000000000002E-3</v>
      </c>
      <c r="H111">
        <f>$H$2*VLOOKUP(A111,Lexis_Сoefficient!$A$3:$F$257,6,0)</f>
        <v>1.8000000000000002E-2</v>
      </c>
      <c r="I111">
        <v>0</v>
      </c>
      <c r="J111">
        <f>$J$2*VLOOKUP(A111,'Patent availability1'!$L$4:$V$261,11,0)</f>
        <v>0</v>
      </c>
      <c r="K111">
        <f t="shared" si="6"/>
        <v>2.6000000000000002E-2</v>
      </c>
      <c r="L111" s="2" t="s">
        <v>10</v>
      </c>
      <c r="M111" t="str">
        <f t="shared" si="7"/>
        <v>CN</v>
      </c>
      <c r="N111" s="6" t="s">
        <v>174</v>
      </c>
    </row>
    <row r="112" spans="1:14" ht="22.5" customHeight="1" x14ac:dyDescent="0.25">
      <c r="A112" t="s">
        <v>361</v>
      </c>
      <c r="B112" s="2" t="s">
        <v>361</v>
      </c>
      <c r="C112">
        <f>$C$2*Families!J70</f>
        <v>0.04</v>
      </c>
      <c r="D112">
        <f>$D$2*Novelty!D70</f>
        <v>0.12</v>
      </c>
      <c r="E112">
        <f>$E$2*VLOOKUP(A112,Interdisciplinarity!$K$3:$M$258,3,0)</f>
        <v>0.06</v>
      </c>
      <c r="F112">
        <f t="shared" si="4"/>
        <v>0</v>
      </c>
      <c r="G112">
        <f t="shared" si="5"/>
        <v>8.0000000000000002E-3</v>
      </c>
      <c r="H112">
        <f>$H$2*VLOOKUP(A112,Lexis_Сoefficient!$A$3:$F$257,6,0)</f>
        <v>1.8000000000000002E-2</v>
      </c>
      <c r="I112">
        <v>0</v>
      </c>
      <c r="J112">
        <f>$J$2*VLOOKUP(A112,'Patent availability1'!$L$4:$V$261,11,0)</f>
        <v>0</v>
      </c>
      <c r="K112">
        <f t="shared" si="6"/>
        <v>2.6000000000000002E-2</v>
      </c>
      <c r="L112" s="2" t="s">
        <v>10</v>
      </c>
      <c r="M112" t="str">
        <f t="shared" si="7"/>
        <v>CN</v>
      </c>
      <c r="N112" s="6" t="s">
        <v>174</v>
      </c>
    </row>
    <row r="113" spans="1:14" ht="22.5" customHeight="1" x14ac:dyDescent="0.25">
      <c r="A113" t="s">
        <v>358</v>
      </c>
      <c r="B113" s="2" t="s">
        <v>358</v>
      </c>
      <c r="C113">
        <f>$C$2*Families!J69</f>
        <v>0.04</v>
      </c>
      <c r="D113">
        <f>$D$2*Novelty!D69</f>
        <v>0.12</v>
      </c>
      <c r="E113">
        <f>$E$2*VLOOKUP(A113,Interdisciplinarity!$K$3:$M$258,3,0)</f>
        <v>2.0000000000000004E-2</v>
      </c>
      <c r="F113">
        <f t="shared" si="4"/>
        <v>0</v>
      </c>
      <c r="G113">
        <f t="shared" si="5"/>
        <v>8.0000000000000002E-3</v>
      </c>
      <c r="H113">
        <f>$H$2*VLOOKUP(A113,Lexis_Сoefficient!$A$3:$F$257,6,0)</f>
        <v>1.8000000000000002E-2</v>
      </c>
      <c r="I113">
        <v>0</v>
      </c>
      <c r="J113">
        <f>$J$2*VLOOKUP(A113,'Patent availability1'!$L$4:$V$261,11,0)</f>
        <v>0</v>
      </c>
      <c r="K113">
        <f t="shared" si="6"/>
        <v>2.6000000000000002E-2</v>
      </c>
      <c r="L113" s="2" t="s">
        <v>10</v>
      </c>
      <c r="M113" t="str">
        <f t="shared" si="7"/>
        <v>CN</v>
      </c>
      <c r="N113" s="6" t="s">
        <v>174</v>
      </c>
    </row>
    <row r="114" spans="1:14" ht="22.5" customHeight="1" x14ac:dyDescent="0.25">
      <c r="A114" t="s">
        <v>349</v>
      </c>
      <c r="B114" s="2" t="s">
        <v>349</v>
      </c>
      <c r="C114">
        <f>$C$2*Families!J66</f>
        <v>0.04</v>
      </c>
      <c r="D114">
        <f>$D$2*Novelty!D66</f>
        <v>0.12</v>
      </c>
      <c r="E114">
        <f>$E$2*VLOOKUP(A114,Interdisciplinarity!$K$3:$M$258,3,0)</f>
        <v>2.0000000000000004E-2</v>
      </c>
      <c r="F114">
        <f t="shared" si="4"/>
        <v>0</v>
      </c>
      <c r="G114">
        <f t="shared" si="5"/>
        <v>8.0000000000000002E-3</v>
      </c>
      <c r="H114">
        <f>$H$2*VLOOKUP(A114,Lexis_Сoefficient!$A$3:$F$257,6,0)</f>
        <v>3.5999999999999997E-2</v>
      </c>
      <c r="I114">
        <v>0</v>
      </c>
      <c r="J114">
        <f>$J$2*VLOOKUP(A114,'Patent availability1'!$L$4:$V$261,11,0)</f>
        <v>0</v>
      </c>
      <c r="K114">
        <f t="shared" si="6"/>
        <v>4.3999999999999997E-2</v>
      </c>
      <c r="L114" s="2" t="s">
        <v>10</v>
      </c>
      <c r="M114" t="str">
        <f t="shared" si="7"/>
        <v>CN</v>
      </c>
      <c r="N114" s="6" t="s">
        <v>174</v>
      </c>
    </row>
    <row r="115" spans="1:14" ht="22.5" customHeight="1" x14ac:dyDescent="0.25">
      <c r="A115" t="s">
        <v>345</v>
      </c>
      <c r="B115" s="2" t="s">
        <v>345</v>
      </c>
      <c r="C115">
        <f>$C$2*Families!J65</f>
        <v>0.04</v>
      </c>
      <c r="D115">
        <f>$D$2*Novelty!D65</f>
        <v>0.12</v>
      </c>
      <c r="E115">
        <f>$E$2*VLOOKUP(A115,Interdisciplinarity!$K$3:$M$258,3,0)</f>
        <v>5.000000000000001E-3</v>
      </c>
      <c r="F115">
        <f t="shared" si="4"/>
        <v>0</v>
      </c>
      <c r="G115">
        <f t="shared" si="5"/>
        <v>8.0000000000000002E-3</v>
      </c>
      <c r="H115">
        <f>$H$2*VLOOKUP(A115,Lexis_Сoefficient!$A$3:$F$257,6,0)</f>
        <v>1.8000000000000002E-2</v>
      </c>
      <c r="I115">
        <v>0</v>
      </c>
      <c r="J115">
        <f>$J$2*VLOOKUP(A115,'Patent availability1'!$L$4:$V$261,11,0)</f>
        <v>0</v>
      </c>
      <c r="K115">
        <f t="shared" si="6"/>
        <v>2.6000000000000002E-2</v>
      </c>
      <c r="L115" s="2" t="s">
        <v>10</v>
      </c>
      <c r="M115" t="str">
        <f t="shared" si="7"/>
        <v>CN</v>
      </c>
      <c r="N115" s="6" t="s">
        <v>174</v>
      </c>
    </row>
    <row r="116" spans="1:14" ht="22.5" customHeight="1" x14ac:dyDescent="0.25">
      <c r="A116" t="s">
        <v>342</v>
      </c>
      <c r="B116" s="2" t="s">
        <v>342</v>
      </c>
      <c r="C116">
        <f>$C$2*Families!J64</f>
        <v>0.04</v>
      </c>
      <c r="D116">
        <f>$D$2*Novelty!D64</f>
        <v>0.12</v>
      </c>
      <c r="E116">
        <f>$E$2*VLOOKUP(A116,Interdisciplinarity!$K$3:$M$258,3,0)</f>
        <v>5.000000000000001E-3</v>
      </c>
      <c r="F116">
        <f t="shared" si="4"/>
        <v>0</v>
      </c>
      <c r="G116">
        <f t="shared" si="5"/>
        <v>8.0000000000000002E-3</v>
      </c>
      <c r="H116">
        <f>$H$2*VLOOKUP(A116,Lexis_Сoefficient!$A$3:$F$257,6,0)</f>
        <v>8.4000000000000019E-2</v>
      </c>
      <c r="I116">
        <v>0</v>
      </c>
      <c r="J116">
        <f>$J$2*VLOOKUP(A116,'Patent availability1'!$L$4:$V$261,11,0)</f>
        <v>0</v>
      </c>
      <c r="K116">
        <f t="shared" si="6"/>
        <v>9.2000000000000026E-2</v>
      </c>
      <c r="L116" s="2" t="s">
        <v>10</v>
      </c>
      <c r="M116" t="str">
        <f t="shared" si="7"/>
        <v>CN</v>
      </c>
      <c r="N116" s="6" t="s">
        <v>174</v>
      </c>
    </row>
    <row r="117" spans="1:14" ht="22.5" customHeight="1" x14ac:dyDescent="0.25">
      <c r="A117" t="s">
        <v>338</v>
      </c>
      <c r="B117" s="2" t="s">
        <v>338</v>
      </c>
      <c r="C117">
        <f>$C$2*Families!J63</f>
        <v>0.04</v>
      </c>
      <c r="D117">
        <f>$D$2*Novelty!D63</f>
        <v>0.12</v>
      </c>
      <c r="E117">
        <f>$E$2*VLOOKUP(A117,Interdisciplinarity!$K$3:$M$258,3,0)</f>
        <v>5.000000000000001E-3</v>
      </c>
      <c r="F117">
        <f t="shared" si="4"/>
        <v>0</v>
      </c>
      <c r="G117">
        <f t="shared" si="5"/>
        <v>8.0000000000000002E-3</v>
      </c>
      <c r="H117">
        <f>$H$2*VLOOKUP(A117,Lexis_Сoefficient!$A$3:$F$257,6,0)</f>
        <v>8.4000000000000019E-2</v>
      </c>
      <c r="I117">
        <v>0</v>
      </c>
      <c r="J117">
        <f>$J$2*VLOOKUP(A117,'Patent availability1'!$L$4:$V$261,11,0)</f>
        <v>0</v>
      </c>
      <c r="K117">
        <f t="shared" si="6"/>
        <v>9.2000000000000026E-2</v>
      </c>
      <c r="L117" s="2" t="s">
        <v>10</v>
      </c>
      <c r="M117" t="str">
        <f t="shared" si="7"/>
        <v>CN</v>
      </c>
      <c r="N117" s="6" t="s">
        <v>174</v>
      </c>
    </row>
    <row r="118" spans="1:14" ht="22.5" customHeight="1" x14ac:dyDescent="0.25">
      <c r="A118" t="s">
        <v>335</v>
      </c>
      <c r="B118" s="2" t="s">
        <v>335</v>
      </c>
      <c r="C118">
        <f>$C$2*Families!J62</f>
        <v>0.04</v>
      </c>
      <c r="D118">
        <f>$D$2*Novelty!D62</f>
        <v>0.17</v>
      </c>
      <c r="E118">
        <f>$E$2*VLOOKUP(A118,Interdisciplinarity!$K$3:$M$258,3,0)</f>
        <v>2.0000000000000004E-2</v>
      </c>
      <c r="F118">
        <f t="shared" si="4"/>
        <v>0</v>
      </c>
      <c r="G118">
        <f t="shared" si="5"/>
        <v>8.0000000000000002E-3</v>
      </c>
      <c r="H118">
        <f>$H$2*VLOOKUP(A118,Lexis_Сoefficient!$A$3:$F$257,6,0)</f>
        <v>1.8000000000000002E-2</v>
      </c>
      <c r="I118">
        <v>0</v>
      </c>
      <c r="J118">
        <f>$J$2*VLOOKUP(A118,'Patent availability1'!$L$4:$V$261,11,0)</f>
        <v>0</v>
      </c>
      <c r="K118">
        <f t="shared" si="6"/>
        <v>2.6000000000000002E-2</v>
      </c>
      <c r="L118" s="2" t="s">
        <v>10</v>
      </c>
      <c r="M118" t="str">
        <f t="shared" si="7"/>
        <v>CN</v>
      </c>
      <c r="N118" s="6" t="s">
        <v>138</v>
      </c>
    </row>
    <row r="119" spans="1:14" ht="22.5" customHeight="1" x14ac:dyDescent="0.25">
      <c r="A119" t="s">
        <v>331</v>
      </c>
      <c r="B119" s="2" t="s">
        <v>331</v>
      </c>
      <c r="C119">
        <f>$C$2*Families!J61</f>
        <v>0</v>
      </c>
      <c r="D119">
        <f>$D$2*Novelty!D61</f>
        <v>0.17</v>
      </c>
      <c r="E119">
        <f>$E$2*VLOOKUP(A119,Interdisciplinarity!$K$3:$M$258,3,0)</f>
        <v>0.06</v>
      </c>
      <c r="F119">
        <f t="shared" si="4"/>
        <v>0</v>
      </c>
      <c r="G119">
        <f t="shared" si="5"/>
        <v>8.0000000000000002E-3</v>
      </c>
      <c r="H119">
        <f>$H$2*VLOOKUP(A119,Lexis_Сoefficient!$A$3:$F$257,6,0)</f>
        <v>3.5999999999999997E-2</v>
      </c>
      <c r="I119">
        <v>0</v>
      </c>
      <c r="J119">
        <f>$J$2*VLOOKUP(A119,'Patent availability1'!$L$4:$V$261,11,0)</f>
        <v>0</v>
      </c>
      <c r="K119">
        <f t="shared" si="6"/>
        <v>4.3999999999999997E-2</v>
      </c>
      <c r="L119" s="2" t="s">
        <v>10</v>
      </c>
      <c r="M119" t="str">
        <f t="shared" si="7"/>
        <v>CN</v>
      </c>
      <c r="N119" s="6" t="s">
        <v>138</v>
      </c>
    </row>
    <row r="120" spans="1:14" ht="22.5" customHeight="1" x14ac:dyDescent="0.25">
      <c r="A120" t="s">
        <v>311</v>
      </c>
      <c r="B120" s="2" t="s">
        <v>311</v>
      </c>
      <c r="C120">
        <f>$C$2*Families!J58</f>
        <v>0.04</v>
      </c>
      <c r="D120">
        <f>$D$2*Novelty!D58</f>
        <v>0.2</v>
      </c>
      <c r="E120">
        <f>$E$2*VLOOKUP(A120,Interdisciplinarity!$K$3:$M$258,3,0)</f>
        <v>0.06</v>
      </c>
      <c r="F120">
        <f t="shared" si="4"/>
        <v>0</v>
      </c>
      <c r="G120">
        <f t="shared" si="5"/>
        <v>8.0000000000000002E-3</v>
      </c>
      <c r="H120">
        <f>$H$2*VLOOKUP(A120,Lexis_Сoefficient!$A$3:$F$257,6,0)</f>
        <v>3.5999999999999997E-2</v>
      </c>
      <c r="I120">
        <v>0</v>
      </c>
      <c r="J120">
        <f>$J$2*VLOOKUP(A120,'Patent availability1'!$L$4:$V$261,11,0)</f>
        <v>0</v>
      </c>
      <c r="K120">
        <f t="shared" si="6"/>
        <v>4.3999999999999997E-2</v>
      </c>
      <c r="L120" s="2" t="s">
        <v>10</v>
      </c>
      <c r="M120" t="str">
        <f t="shared" si="7"/>
        <v>CN</v>
      </c>
      <c r="N120" s="6" t="s">
        <v>313</v>
      </c>
    </row>
    <row r="121" spans="1:14" ht="22.5" customHeight="1" x14ac:dyDescent="0.25">
      <c r="A121" t="s">
        <v>276</v>
      </c>
      <c r="B121" s="2" t="s">
        <v>276</v>
      </c>
      <c r="C121">
        <f>$C$2*Families!J52</f>
        <v>0.04</v>
      </c>
      <c r="D121">
        <f>$D$2*Novelty!D52</f>
        <v>0.2</v>
      </c>
      <c r="E121">
        <f>$E$2*VLOOKUP(A121,Interdisciplinarity!$K$3:$M$258,3,0)</f>
        <v>2.0000000000000004E-2</v>
      </c>
      <c r="F121">
        <f t="shared" si="4"/>
        <v>0</v>
      </c>
      <c r="G121">
        <f t="shared" si="5"/>
        <v>8.0000000000000002E-3</v>
      </c>
      <c r="H121">
        <f>$H$2*VLOOKUP(A121,Lexis_Сoefficient!$A$3:$F$257,6,0)</f>
        <v>1.8000000000000002E-2</v>
      </c>
      <c r="I121">
        <v>0</v>
      </c>
      <c r="J121">
        <f>$J$2*VLOOKUP(A121,'Patent availability1'!$L$4:$V$261,11,0)</f>
        <v>0</v>
      </c>
      <c r="K121">
        <f t="shared" si="6"/>
        <v>2.6000000000000002E-2</v>
      </c>
      <c r="L121" s="2" t="s">
        <v>10</v>
      </c>
      <c r="M121" t="str">
        <f t="shared" si="7"/>
        <v>CN</v>
      </c>
      <c r="N121" s="6" t="s">
        <v>278</v>
      </c>
    </row>
    <row r="122" spans="1:14" ht="22.5" customHeight="1" x14ac:dyDescent="0.25">
      <c r="A122" t="s">
        <v>271</v>
      </c>
      <c r="B122" s="2" t="s">
        <v>271</v>
      </c>
      <c r="C122">
        <f>$C$2*Families!J51</f>
        <v>0</v>
      </c>
      <c r="D122">
        <f>$D$2*Novelty!D51</f>
        <v>0.2</v>
      </c>
      <c r="E122">
        <f>$E$2*VLOOKUP(A122,Interdisciplinarity!$K$3:$M$258,3,0)</f>
        <v>2.0000000000000004E-2</v>
      </c>
      <c r="F122">
        <f t="shared" si="4"/>
        <v>0</v>
      </c>
      <c r="G122">
        <f t="shared" si="5"/>
        <v>8.0000000000000002E-3</v>
      </c>
      <c r="H122">
        <f>$H$2*VLOOKUP(A122,Lexis_Сoefficient!$A$3:$F$257,6,0)</f>
        <v>3.5999999999999997E-2</v>
      </c>
      <c r="I122">
        <v>0</v>
      </c>
      <c r="J122">
        <f>$J$2*VLOOKUP(A122,'Patent availability1'!$L$4:$V$261,11,0)</f>
        <v>0</v>
      </c>
      <c r="K122">
        <f t="shared" si="6"/>
        <v>4.3999999999999997E-2</v>
      </c>
      <c r="L122" s="2" t="s">
        <v>10</v>
      </c>
      <c r="M122" t="str">
        <f t="shared" si="7"/>
        <v>CN</v>
      </c>
      <c r="N122" s="6" t="s">
        <v>273</v>
      </c>
    </row>
    <row r="123" spans="1:14" ht="22.5" customHeight="1" x14ac:dyDescent="0.25">
      <c r="A123" t="s">
        <v>248</v>
      </c>
      <c r="B123" s="2" t="s">
        <v>248</v>
      </c>
      <c r="C123">
        <f>$C$2*Families!J47</f>
        <v>0.04</v>
      </c>
      <c r="D123">
        <f>$D$2*Novelty!D47</f>
        <v>0.17</v>
      </c>
      <c r="E123">
        <f>$E$2*VLOOKUP(A123,Interdisciplinarity!$K$3:$M$258,3,0)</f>
        <v>2.0000000000000004E-2</v>
      </c>
      <c r="F123">
        <f t="shared" si="4"/>
        <v>0</v>
      </c>
      <c r="G123">
        <f t="shared" si="5"/>
        <v>8.0000000000000002E-3</v>
      </c>
      <c r="H123">
        <f>$H$2*VLOOKUP(A123,Lexis_Сoefficient!$A$3:$F$257,6,0)</f>
        <v>3.5999999999999997E-2</v>
      </c>
      <c r="I123">
        <v>0</v>
      </c>
      <c r="J123">
        <f>$J$2*VLOOKUP(A123,'Patent availability1'!$L$4:$V$261,11,0)</f>
        <v>0</v>
      </c>
      <c r="K123">
        <f t="shared" si="6"/>
        <v>4.3999999999999997E-2</v>
      </c>
      <c r="L123" s="2" t="s">
        <v>10</v>
      </c>
      <c r="M123" t="str">
        <f t="shared" si="7"/>
        <v>CN</v>
      </c>
      <c r="N123" s="6" t="s">
        <v>188</v>
      </c>
    </row>
    <row r="124" spans="1:14" ht="22.5" customHeight="1" x14ac:dyDescent="0.25">
      <c r="A124" t="s">
        <v>227</v>
      </c>
      <c r="B124" s="2" t="s">
        <v>227</v>
      </c>
      <c r="C124">
        <f>$C$2*Families!J43</f>
        <v>0.04</v>
      </c>
      <c r="D124">
        <f>$D$2*Novelty!D43</f>
        <v>0.17</v>
      </c>
      <c r="E124">
        <f>$E$2*VLOOKUP(A124,Interdisciplinarity!$K$3:$M$258,3,0)</f>
        <v>0.06</v>
      </c>
      <c r="F124">
        <f t="shared" si="4"/>
        <v>0</v>
      </c>
      <c r="G124">
        <f t="shared" si="5"/>
        <v>8.0000000000000002E-3</v>
      </c>
      <c r="H124">
        <f>$H$2*VLOOKUP(A124,Lexis_Сoefficient!$A$3:$F$257,6,0)</f>
        <v>1.8000000000000002E-2</v>
      </c>
      <c r="I124">
        <v>0</v>
      </c>
      <c r="J124">
        <f>$J$2*VLOOKUP(A124,'Patent availability1'!$L$4:$V$261,11,0)</f>
        <v>0</v>
      </c>
      <c r="K124">
        <f t="shared" si="6"/>
        <v>2.6000000000000002E-2</v>
      </c>
      <c r="L124" s="2" t="s">
        <v>10</v>
      </c>
      <c r="M124" t="str">
        <f t="shared" si="7"/>
        <v>CN</v>
      </c>
      <c r="N124" s="6" t="s">
        <v>174</v>
      </c>
    </row>
    <row r="125" spans="1:14" ht="22.5" customHeight="1" x14ac:dyDescent="0.25">
      <c r="A125" t="s">
        <v>219</v>
      </c>
      <c r="B125" s="2" t="s">
        <v>219</v>
      </c>
      <c r="C125">
        <f>$C$2*Families!J41</f>
        <v>0</v>
      </c>
      <c r="D125">
        <f>$D$2*Novelty!D41</f>
        <v>0.17</v>
      </c>
      <c r="E125">
        <f>$E$2*VLOOKUP(A125,Interdisciplinarity!$K$3:$M$258,3,0)</f>
        <v>5.000000000000001E-3</v>
      </c>
      <c r="F125">
        <f t="shared" si="4"/>
        <v>0</v>
      </c>
      <c r="G125">
        <f t="shared" si="5"/>
        <v>8.0000000000000002E-3</v>
      </c>
      <c r="H125">
        <f>$H$2*VLOOKUP(A125,Lexis_Сoefficient!$A$3:$F$257,6,0)</f>
        <v>1.8000000000000002E-2</v>
      </c>
      <c r="I125">
        <v>0</v>
      </c>
      <c r="J125">
        <f>$J$2*VLOOKUP(A125,'Patent availability1'!$L$4:$V$261,11,0)</f>
        <v>0</v>
      </c>
      <c r="K125">
        <f t="shared" si="6"/>
        <v>2.6000000000000002E-2</v>
      </c>
      <c r="L125" s="2" t="s">
        <v>10</v>
      </c>
      <c r="M125" t="str">
        <f t="shared" si="7"/>
        <v>CN</v>
      </c>
      <c r="N125" s="6" t="s">
        <v>174</v>
      </c>
    </row>
    <row r="126" spans="1:14" ht="22.5" customHeight="1" x14ac:dyDescent="0.25">
      <c r="A126" t="s">
        <v>217</v>
      </c>
      <c r="B126" s="2" t="s">
        <v>217</v>
      </c>
      <c r="C126">
        <f>$C$2*Families!J40</f>
        <v>0</v>
      </c>
      <c r="D126">
        <f>$D$2*Novelty!D40</f>
        <v>0.17</v>
      </c>
      <c r="E126">
        <f>$E$2*VLOOKUP(A126,Interdisciplinarity!$K$3:$M$258,3,0)</f>
        <v>5.000000000000001E-3</v>
      </c>
      <c r="F126">
        <f t="shared" si="4"/>
        <v>0</v>
      </c>
      <c r="G126">
        <f t="shared" si="5"/>
        <v>8.0000000000000002E-3</v>
      </c>
      <c r="H126">
        <f>$H$2*VLOOKUP(A126,Lexis_Сoefficient!$A$3:$F$257,6,0)</f>
        <v>1.8000000000000002E-2</v>
      </c>
      <c r="I126">
        <v>0</v>
      </c>
      <c r="J126">
        <f>$J$2*VLOOKUP(A126,'Patent availability1'!$L$4:$V$261,11,0)</f>
        <v>0</v>
      </c>
      <c r="K126">
        <f t="shared" si="6"/>
        <v>2.6000000000000002E-2</v>
      </c>
      <c r="L126" s="2" t="s">
        <v>10</v>
      </c>
      <c r="M126" t="str">
        <f t="shared" si="7"/>
        <v>CN</v>
      </c>
      <c r="N126" s="6" t="s">
        <v>174</v>
      </c>
    </row>
    <row r="127" spans="1:14" ht="22.5" customHeight="1" x14ac:dyDescent="0.25">
      <c r="A127" t="s">
        <v>215</v>
      </c>
      <c r="B127" s="2" t="s">
        <v>215</v>
      </c>
      <c r="C127">
        <f>$C$2*Families!J39</f>
        <v>0.04</v>
      </c>
      <c r="D127">
        <f>$D$2*Novelty!D39</f>
        <v>0.17</v>
      </c>
      <c r="E127">
        <f>$E$2*VLOOKUP(A127,Interdisciplinarity!$K$3:$M$258,3,0)</f>
        <v>5.000000000000001E-3</v>
      </c>
      <c r="F127">
        <f t="shared" si="4"/>
        <v>0</v>
      </c>
      <c r="G127">
        <f t="shared" si="5"/>
        <v>8.0000000000000002E-3</v>
      </c>
      <c r="H127">
        <f>$H$2*VLOOKUP(A127,Lexis_Сoefficient!$A$3:$F$257,6,0)</f>
        <v>1.8000000000000002E-2</v>
      </c>
      <c r="I127">
        <v>0</v>
      </c>
      <c r="J127">
        <f>$J$2*VLOOKUP(A127,'Patent availability1'!$L$4:$V$261,11,0)</f>
        <v>0</v>
      </c>
      <c r="K127">
        <f t="shared" si="6"/>
        <v>2.6000000000000002E-2</v>
      </c>
      <c r="L127" s="2" t="s">
        <v>10</v>
      </c>
      <c r="M127" t="str">
        <f t="shared" si="7"/>
        <v>CN</v>
      </c>
      <c r="N127" s="6" t="s">
        <v>174</v>
      </c>
    </row>
    <row r="128" spans="1:14" ht="22.5" customHeight="1" x14ac:dyDescent="0.25">
      <c r="A128" t="s">
        <v>213</v>
      </c>
      <c r="B128" s="2" t="s">
        <v>213</v>
      </c>
      <c r="C128">
        <f>$C$2*Families!J38</f>
        <v>0.04</v>
      </c>
      <c r="D128">
        <f>$D$2*Novelty!D38</f>
        <v>0.17</v>
      </c>
      <c r="E128">
        <f>$E$2*VLOOKUP(A128,Interdisciplinarity!$K$3:$M$258,3,0)</f>
        <v>5.000000000000001E-3</v>
      </c>
      <c r="F128">
        <f t="shared" si="4"/>
        <v>0</v>
      </c>
      <c r="G128">
        <f t="shared" si="5"/>
        <v>8.0000000000000002E-3</v>
      </c>
      <c r="H128">
        <f>$H$2*VLOOKUP(A128,Lexis_Сoefficient!$A$3:$F$257,6,0)</f>
        <v>1.8000000000000002E-2</v>
      </c>
      <c r="I128">
        <v>0</v>
      </c>
      <c r="J128">
        <f>$J$2*VLOOKUP(A128,'Patent availability1'!$L$4:$V$261,11,0)</f>
        <v>0</v>
      </c>
      <c r="K128">
        <f t="shared" si="6"/>
        <v>2.6000000000000002E-2</v>
      </c>
      <c r="L128" s="2" t="s">
        <v>10</v>
      </c>
      <c r="M128" t="str">
        <f t="shared" si="7"/>
        <v>CN</v>
      </c>
      <c r="N128" s="6" t="s">
        <v>174</v>
      </c>
    </row>
    <row r="129" spans="1:14" ht="22.5" customHeight="1" x14ac:dyDescent="0.25">
      <c r="A129" t="s">
        <v>211</v>
      </c>
      <c r="B129" s="2" t="s">
        <v>211</v>
      </c>
      <c r="C129">
        <f>$C$2*Families!J37</f>
        <v>0</v>
      </c>
      <c r="D129">
        <f>$D$2*Novelty!D37</f>
        <v>0.17</v>
      </c>
      <c r="E129">
        <f>$E$2*VLOOKUP(A129,Interdisciplinarity!$K$3:$M$258,3,0)</f>
        <v>5.000000000000001E-3</v>
      </c>
      <c r="F129">
        <f t="shared" si="4"/>
        <v>0</v>
      </c>
      <c r="G129">
        <f t="shared" si="5"/>
        <v>8.0000000000000002E-3</v>
      </c>
      <c r="H129">
        <f>$H$2*VLOOKUP(A129,Lexis_Сoefficient!$A$3:$F$257,6,0)</f>
        <v>1.8000000000000002E-2</v>
      </c>
      <c r="I129">
        <v>0</v>
      </c>
      <c r="J129">
        <f>$J$2*VLOOKUP(A129,'Patent availability1'!$L$4:$V$261,11,0)</f>
        <v>0</v>
      </c>
      <c r="K129">
        <f t="shared" si="6"/>
        <v>2.6000000000000002E-2</v>
      </c>
      <c r="L129" s="2" t="s">
        <v>10</v>
      </c>
      <c r="M129" t="str">
        <f t="shared" si="7"/>
        <v>CN</v>
      </c>
      <c r="N129" s="6" t="s">
        <v>174</v>
      </c>
    </row>
    <row r="130" spans="1:14" ht="22.5" customHeight="1" x14ac:dyDescent="0.25">
      <c r="A130" t="s">
        <v>208</v>
      </c>
      <c r="B130" s="2" t="s">
        <v>208</v>
      </c>
      <c r="C130">
        <f>$C$2*Families!J36</f>
        <v>0.04</v>
      </c>
      <c r="D130">
        <f>$D$2*Novelty!D36</f>
        <v>0.17</v>
      </c>
      <c r="E130">
        <f>$E$2*VLOOKUP(A130,Interdisciplinarity!$K$3:$M$258,3,0)</f>
        <v>5.000000000000001E-3</v>
      </c>
      <c r="F130">
        <f t="shared" si="4"/>
        <v>0</v>
      </c>
      <c r="G130">
        <f t="shared" si="5"/>
        <v>8.0000000000000002E-3</v>
      </c>
      <c r="H130">
        <f>$H$2*VLOOKUP(A130,Lexis_Сoefficient!$A$3:$F$257,6,0)</f>
        <v>1.8000000000000002E-2</v>
      </c>
      <c r="I130">
        <v>0</v>
      </c>
      <c r="J130">
        <f>$J$2*VLOOKUP(A130,'Patent availability1'!$L$4:$V$261,11,0)</f>
        <v>0</v>
      </c>
      <c r="K130">
        <f t="shared" si="6"/>
        <v>2.6000000000000002E-2</v>
      </c>
      <c r="L130" s="2" t="s">
        <v>10</v>
      </c>
      <c r="M130" t="str">
        <f t="shared" si="7"/>
        <v>CN</v>
      </c>
      <c r="N130" s="6" t="s">
        <v>174</v>
      </c>
    </row>
    <row r="131" spans="1:14" ht="22.5" customHeight="1" x14ac:dyDescent="0.25">
      <c r="A131" t="s">
        <v>204</v>
      </c>
      <c r="B131" s="2" t="s">
        <v>204</v>
      </c>
      <c r="C131">
        <f>$C$2*Families!J35</f>
        <v>0.04</v>
      </c>
      <c r="D131">
        <f>$D$2*Novelty!D35</f>
        <v>0.17</v>
      </c>
      <c r="E131">
        <f>$E$2*VLOOKUP(A131,Interdisciplinarity!$K$3:$M$258,3,0)</f>
        <v>5.000000000000001E-3</v>
      </c>
      <c r="F131">
        <f t="shared" ref="F131:F194" si="8">$F$2*I131</f>
        <v>0</v>
      </c>
      <c r="G131">
        <f t="shared" ref="G131:G194" si="9">IF(M131="US",1,IF(M131="EP",1,IF(M131="WO",1,IF(M131="RU",1,IF(M131="CN",0.8,0)))))*$G$2</f>
        <v>8.0000000000000002E-3</v>
      </c>
      <c r="H131">
        <f>$H$2*VLOOKUP(A131,Lexis_Сoefficient!$A$3:$F$257,6,0)</f>
        <v>1.8000000000000002E-2</v>
      </c>
      <c r="I131">
        <v>0</v>
      </c>
      <c r="J131">
        <f>$J$2*VLOOKUP(A131,'Patent availability1'!$L$4:$V$261,11,0)</f>
        <v>0</v>
      </c>
      <c r="K131">
        <f t="shared" ref="K131:K194" si="10">SUM(F131:J131)-I131</f>
        <v>2.6000000000000002E-2</v>
      </c>
      <c r="L131" s="2" t="s">
        <v>10</v>
      </c>
      <c r="M131" t="str">
        <f t="shared" ref="M131:M194" si="11">LEFT(A131,2)</f>
        <v>CN</v>
      </c>
      <c r="N131" s="6" t="s">
        <v>174</v>
      </c>
    </row>
    <row r="132" spans="1:14" ht="22.5" customHeight="1" x14ac:dyDescent="0.25">
      <c r="A132" t="s">
        <v>200</v>
      </c>
      <c r="B132" s="2" t="s">
        <v>200</v>
      </c>
      <c r="C132">
        <f>$C$2*Families!J34</f>
        <v>0.04</v>
      </c>
      <c r="D132">
        <f>$D$2*Novelty!D34</f>
        <v>0.17</v>
      </c>
      <c r="E132">
        <f>$E$2*VLOOKUP(A132,Interdisciplinarity!$K$3:$M$258,3,0)</f>
        <v>5.000000000000001E-3</v>
      </c>
      <c r="F132">
        <f t="shared" si="8"/>
        <v>0</v>
      </c>
      <c r="G132">
        <f t="shared" si="9"/>
        <v>8.0000000000000002E-3</v>
      </c>
      <c r="H132">
        <f>$H$2*VLOOKUP(A132,Lexis_Сoefficient!$A$3:$F$257,6,0)</f>
        <v>1.8000000000000002E-2</v>
      </c>
      <c r="I132">
        <v>0</v>
      </c>
      <c r="J132">
        <f>$J$2*VLOOKUP(A132,'Patent availability1'!$L$4:$V$261,11,0)</f>
        <v>0</v>
      </c>
      <c r="K132">
        <f t="shared" si="10"/>
        <v>2.6000000000000002E-2</v>
      </c>
      <c r="L132" s="2" t="s">
        <v>10</v>
      </c>
      <c r="M132" t="str">
        <f t="shared" si="11"/>
        <v>CN</v>
      </c>
      <c r="N132" s="6" t="s">
        <v>174</v>
      </c>
    </row>
    <row r="133" spans="1:14" ht="22.5" customHeight="1" x14ac:dyDescent="0.25">
      <c r="A133" t="s">
        <v>196</v>
      </c>
      <c r="B133" s="2" t="s">
        <v>196</v>
      </c>
      <c r="C133">
        <f>$C$2*Families!J33</f>
        <v>0</v>
      </c>
      <c r="D133">
        <f>$D$2*Novelty!D33</f>
        <v>0.17</v>
      </c>
      <c r="E133">
        <f>$E$2*VLOOKUP(A133,Interdisciplinarity!$K$3:$M$258,3,0)</f>
        <v>5.000000000000001E-3</v>
      </c>
      <c r="F133">
        <f t="shared" si="8"/>
        <v>0</v>
      </c>
      <c r="G133">
        <f t="shared" si="9"/>
        <v>8.0000000000000002E-3</v>
      </c>
      <c r="H133">
        <f>$H$2*VLOOKUP(A133,Lexis_Сoefficient!$A$3:$F$257,6,0)</f>
        <v>1.8000000000000002E-2</v>
      </c>
      <c r="I133">
        <v>0</v>
      </c>
      <c r="J133">
        <f>$J$2*VLOOKUP(A133,'Patent availability1'!$L$4:$V$261,11,0)</f>
        <v>0</v>
      </c>
      <c r="K133">
        <f t="shared" si="10"/>
        <v>2.6000000000000002E-2</v>
      </c>
      <c r="L133" s="2" t="s">
        <v>10</v>
      </c>
      <c r="M133" t="str">
        <f t="shared" si="11"/>
        <v>CN</v>
      </c>
      <c r="N133" s="6" t="s">
        <v>174</v>
      </c>
    </row>
    <row r="134" spans="1:14" ht="22.5" customHeight="1" x14ac:dyDescent="0.25">
      <c r="A134" t="s">
        <v>191</v>
      </c>
      <c r="B134" s="2" t="s">
        <v>191</v>
      </c>
      <c r="C134">
        <f>$C$2*Families!J32</f>
        <v>0</v>
      </c>
      <c r="D134">
        <f>$D$2*Novelty!D32</f>
        <v>0.2</v>
      </c>
      <c r="E134">
        <f>$E$2*VLOOKUP(A134,Interdisciplinarity!$K$3:$M$258,3,0)</f>
        <v>0.06</v>
      </c>
      <c r="F134">
        <f t="shared" si="8"/>
        <v>0</v>
      </c>
      <c r="G134">
        <f t="shared" si="9"/>
        <v>8.0000000000000002E-3</v>
      </c>
      <c r="H134">
        <f>$H$2*VLOOKUP(A134,Lexis_Сoefficient!$A$3:$F$257,6,0)</f>
        <v>3.5999999999999997E-2</v>
      </c>
      <c r="I134">
        <v>0</v>
      </c>
      <c r="J134">
        <f>$J$2*VLOOKUP(A134,'Patent availability1'!$L$4:$V$261,11,0)</f>
        <v>0</v>
      </c>
      <c r="K134">
        <f t="shared" si="10"/>
        <v>4.3999999999999997E-2</v>
      </c>
      <c r="L134" s="2" t="s">
        <v>10</v>
      </c>
      <c r="M134" t="str">
        <f t="shared" si="11"/>
        <v>CN</v>
      </c>
      <c r="N134" s="6" t="s">
        <v>193</v>
      </c>
    </row>
    <row r="135" spans="1:14" ht="22.5" customHeight="1" x14ac:dyDescent="0.25">
      <c r="A135" t="s">
        <v>186</v>
      </c>
      <c r="B135" s="2" t="s">
        <v>186</v>
      </c>
      <c r="C135">
        <f>$C$2*Families!J31</f>
        <v>0.04</v>
      </c>
      <c r="D135">
        <f>$D$2*Novelty!D31</f>
        <v>0.17</v>
      </c>
      <c r="E135">
        <f>$E$2*VLOOKUP(A135,Interdisciplinarity!$K$3:$M$258,3,0)</f>
        <v>0.06</v>
      </c>
      <c r="F135">
        <f t="shared" si="8"/>
        <v>0</v>
      </c>
      <c r="G135">
        <f t="shared" si="9"/>
        <v>8.0000000000000002E-3</v>
      </c>
      <c r="H135">
        <f>$H$2*VLOOKUP(A135,Lexis_Сoefficient!$A$3:$F$257,6,0)</f>
        <v>1.8000000000000002E-2</v>
      </c>
      <c r="I135">
        <v>0</v>
      </c>
      <c r="J135">
        <f>$J$2*VLOOKUP(A135,'Patent availability1'!$L$4:$V$261,11,0)</f>
        <v>0</v>
      </c>
      <c r="K135">
        <f t="shared" si="10"/>
        <v>2.6000000000000002E-2</v>
      </c>
      <c r="L135" s="2" t="s">
        <v>10</v>
      </c>
      <c r="M135" t="str">
        <f t="shared" si="11"/>
        <v>CN</v>
      </c>
      <c r="N135" s="6" t="s">
        <v>188</v>
      </c>
    </row>
    <row r="136" spans="1:14" ht="22.5" customHeight="1" x14ac:dyDescent="0.25">
      <c r="A136" t="s">
        <v>177</v>
      </c>
      <c r="B136" s="2" t="s">
        <v>177</v>
      </c>
      <c r="C136">
        <f>$C$2*Families!J28</f>
        <v>0.04</v>
      </c>
      <c r="D136">
        <f>$D$2*Novelty!D28</f>
        <v>0.17</v>
      </c>
      <c r="E136">
        <f>$E$2*VLOOKUP(A136,Interdisciplinarity!$K$3:$M$258,3,0)</f>
        <v>2.0000000000000004E-2</v>
      </c>
      <c r="F136">
        <f t="shared" si="8"/>
        <v>0</v>
      </c>
      <c r="G136">
        <f t="shared" si="9"/>
        <v>8.0000000000000002E-3</v>
      </c>
      <c r="H136">
        <f>$H$2*VLOOKUP(A136,Lexis_Сoefficient!$A$3:$F$257,6,0)</f>
        <v>1.8000000000000002E-2</v>
      </c>
      <c r="I136">
        <v>0</v>
      </c>
      <c r="J136">
        <f>$J$2*VLOOKUP(A136,'Patent availability1'!$L$4:$V$261,11,0)</f>
        <v>0</v>
      </c>
      <c r="K136">
        <f t="shared" si="10"/>
        <v>2.6000000000000002E-2</v>
      </c>
      <c r="L136" s="2" t="s">
        <v>10</v>
      </c>
      <c r="M136" t="str">
        <f t="shared" si="11"/>
        <v>CN</v>
      </c>
      <c r="N136" s="6" t="s">
        <v>174</v>
      </c>
    </row>
    <row r="137" spans="1:14" ht="22.5" customHeight="1" x14ac:dyDescent="0.25">
      <c r="A137" t="s">
        <v>172</v>
      </c>
      <c r="B137" s="2" t="s">
        <v>172</v>
      </c>
      <c r="C137">
        <f>$C$2*Families!J27</f>
        <v>0.04</v>
      </c>
      <c r="D137">
        <f>$D$2*Novelty!D27</f>
        <v>0.17</v>
      </c>
      <c r="E137">
        <f>$E$2*VLOOKUP(A137,Interdisciplinarity!$K$3:$M$258,3,0)</f>
        <v>2.0000000000000004E-2</v>
      </c>
      <c r="F137">
        <f t="shared" si="8"/>
        <v>0</v>
      </c>
      <c r="G137">
        <f t="shared" si="9"/>
        <v>8.0000000000000002E-3</v>
      </c>
      <c r="H137">
        <f>$H$2*VLOOKUP(A137,Lexis_Сoefficient!$A$3:$F$257,6,0)</f>
        <v>1.8000000000000002E-2</v>
      </c>
      <c r="I137">
        <v>0</v>
      </c>
      <c r="J137">
        <f>$J$2*VLOOKUP(A137,'Patent availability1'!$L$4:$V$261,11,0)</f>
        <v>0</v>
      </c>
      <c r="K137">
        <f t="shared" si="10"/>
        <v>2.6000000000000002E-2</v>
      </c>
      <c r="L137" s="2" t="s">
        <v>10</v>
      </c>
      <c r="M137" t="str">
        <f t="shared" si="11"/>
        <v>CN</v>
      </c>
      <c r="N137" s="6" t="s">
        <v>174</v>
      </c>
    </row>
    <row r="138" spans="1:14" ht="22.5" customHeight="1" x14ac:dyDescent="0.25">
      <c r="A138" t="s">
        <v>183</v>
      </c>
      <c r="B138" s="2" t="s">
        <v>183</v>
      </c>
      <c r="C138">
        <f>$C$2*Families!J30</f>
        <v>0.04</v>
      </c>
      <c r="D138">
        <f>$D$2*Novelty!D30</f>
        <v>0.17</v>
      </c>
      <c r="E138">
        <f>$E$2*VLOOKUP(A138,Interdisciplinarity!$K$3:$M$258,3,0)</f>
        <v>5.000000000000001E-3</v>
      </c>
      <c r="F138">
        <f t="shared" si="8"/>
        <v>0</v>
      </c>
      <c r="G138">
        <f t="shared" si="9"/>
        <v>8.0000000000000002E-3</v>
      </c>
      <c r="H138">
        <f>$H$2*VLOOKUP(A138,Lexis_Сoefficient!$A$3:$F$257,6,0)</f>
        <v>1.8000000000000002E-2</v>
      </c>
      <c r="I138">
        <v>0</v>
      </c>
      <c r="J138">
        <f>$J$2*VLOOKUP(A138,'Patent availability1'!$L$4:$V$261,11,0)</f>
        <v>0</v>
      </c>
      <c r="K138">
        <f t="shared" si="10"/>
        <v>2.6000000000000002E-2</v>
      </c>
      <c r="L138" s="2" t="s">
        <v>10</v>
      </c>
      <c r="M138" t="str">
        <f t="shared" si="11"/>
        <v>CN</v>
      </c>
      <c r="N138" s="6" t="s">
        <v>174</v>
      </c>
    </row>
    <row r="139" spans="1:14" ht="22.5" customHeight="1" x14ac:dyDescent="0.25">
      <c r="A139" t="s">
        <v>180</v>
      </c>
      <c r="B139" s="2" t="s">
        <v>180</v>
      </c>
      <c r="C139">
        <f>$C$2*Families!J29</f>
        <v>0.04</v>
      </c>
      <c r="D139">
        <f>$D$2*Novelty!D29</f>
        <v>0.17</v>
      </c>
      <c r="E139">
        <f>$E$2*VLOOKUP(A139,Interdisciplinarity!$K$3:$M$258,3,0)</f>
        <v>2.0000000000000004E-2</v>
      </c>
      <c r="F139">
        <f t="shared" si="8"/>
        <v>0</v>
      </c>
      <c r="G139">
        <f t="shared" si="9"/>
        <v>8.0000000000000002E-3</v>
      </c>
      <c r="H139">
        <f>$H$2*VLOOKUP(A139,Lexis_Сoefficient!$A$3:$F$257,6,0)</f>
        <v>1.8000000000000002E-2</v>
      </c>
      <c r="I139">
        <v>0</v>
      </c>
      <c r="J139">
        <f>$J$2*VLOOKUP(A139,'Patent availability1'!$L$4:$V$261,11,0)</f>
        <v>0</v>
      </c>
      <c r="K139">
        <f t="shared" si="10"/>
        <v>2.6000000000000002E-2</v>
      </c>
      <c r="L139" s="2" t="s">
        <v>10</v>
      </c>
      <c r="M139" t="str">
        <f t="shared" si="11"/>
        <v>CN</v>
      </c>
      <c r="N139" s="6" t="s">
        <v>174</v>
      </c>
    </row>
    <row r="140" spans="1:14" ht="22.5" customHeight="1" x14ac:dyDescent="0.25">
      <c r="A140" t="s">
        <v>153</v>
      </c>
      <c r="B140" s="2" t="s">
        <v>153</v>
      </c>
      <c r="C140">
        <f>$C$2*Families!J24</f>
        <v>0.04</v>
      </c>
      <c r="D140">
        <f>$D$2*Novelty!D24</f>
        <v>0.17</v>
      </c>
      <c r="E140">
        <f>$E$2*VLOOKUP(A140,Interdisciplinarity!$K$3:$M$258,3,0)</f>
        <v>0.06</v>
      </c>
      <c r="F140">
        <f t="shared" si="8"/>
        <v>0</v>
      </c>
      <c r="G140">
        <f t="shared" si="9"/>
        <v>8.0000000000000002E-3</v>
      </c>
      <c r="H140">
        <f>$H$2*VLOOKUP(A140,Lexis_Сoefficient!$A$3:$F$257,6,0)</f>
        <v>1.8000000000000002E-2</v>
      </c>
      <c r="I140">
        <v>0</v>
      </c>
      <c r="J140">
        <f>$J$2*VLOOKUP(A140,'Patent availability1'!$L$4:$V$261,11,0)</f>
        <v>0</v>
      </c>
      <c r="K140">
        <f t="shared" si="10"/>
        <v>2.6000000000000002E-2</v>
      </c>
      <c r="L140" s="2" t="s">
        <v>10</v>
      </c>
      <c r="M140" t="str">
        <f t="shared" si="11"/>
        <v>CN</v>
      </c>
      <c r="N140" s="6" t="s">
        <v>155</v>
      </c>
    </row>
    <row r="141" spans="1:14" ht="22.5" customHeight="1" x14ac:dyDescent="0.25">
      <c r="A141" t="s">
        <v>136</v>
      </c>
      <c r="B141" s="2" t="s">
        <v>136</v>
      </c>
      <c r="C141">
        <f>$C$2*Families!J21</f>
        <v>0</v>
      </c>
      <c r="D141">
        <f>$D$2*Novelty!D21</f>
        <v>0.2</v>
      </c>
      <c r="E141">
        <f>$E$2*VLOOKUP(A141,Interdisciplinarity!$K$3:$M$258,3,0)</f>
        <v>2.0000000000000004E-2</v>
      </c>
      <c r="F141">
        <f t="shared" si="8"/>
        <v>0</v>
      </c>
      <c r="G141">
        <f t="shared" si="9"/>
        <v>8.0000000000000002E-3</v>
      </c>
      <c r="H141">
        <f>$H$2*VLOOKUP(A141,Lexis_Сoefficient!$A$3:$F$257,6,0)</f>
        <v>1.8000000000000002E-2</v>
      </c>
      <c r="I141">
        <v>0</v>
      </c>
      <c r="J141">
        <f>$J$2*VLOOKUP(A141,'Patent availability1'!$L$4:$V$261,11,0)</f>
        <v>0</v>
      </c>
      <c r="K141">
        <f t="shared" si="10"/>
        <v>2.6000000000000002E-2</v>
      </c>
      <c r="L141" s="2" t="s">
        <v>10</v>
      </c>
      <c r="M141" t="str">
        <f t="shared" si="11"/>
        <v>CN</v>
      </c>
      <c r="N141" s="6" t="s">
        <v>138</v>
      </c>
    </row>
    <row r="142" spans="1:14" ht="22.5" customHeight="1" x14ac:dyDescent="0.25">
      <c r="A142" t="s">
        <v>266</v>
      </c>
      <c r="B142" s="2" t="s">
        <v>266</v>
      </c>
      <c r="C142">
        <f>$C$2*Families!J50</f>
        <v>0.04</v>
      </c>
      <c r="D142">
        <f>$D$2*Novelty!D50</f>
        <v>0.2</v>
      </c>
      <c r="E142">
        <f>$E$2*VLOOKUP(A142,Interdisciplinarity!$K$3:$M$258,3,0)</f>
        <v>5.000000000000001E-3</v>
      </c>
      <c r="F142">
        <f t="shared" si="8"/>
        <v>0</v>
      </c>
      <c r="G142">
        <f t="shared" si="9"/>
        <v>8.0000000000000002E-3</v>
      </c>
      <c r="H142">
        <f>$H$2*VLOOKUP(A142,Lexis_Сoefficient!$A$3:$F$257,6,0)</f>
        <v>1.8000000000000002E-2</v>
      </c>
      <c r="I142">
        <v>0</v>
      </c>
      <c r="J142">
        <f>$J$2*VLOOKUP(A142,'Patent availability1'!$L$4:$V$261,11,0)</f>
        <v>4.0000000000000008E-2</v>
      </c>
      <c r="K142">
        <f t="shared" si="10"/>
        <v>6.6000000000000003E-2</v>
      </c>
      <c r="L142" s="2" t="s">
        <v>222</v>
      </c>
      <c r="M142" t="str">
        <f t="shared" si="11"/>
        <v>CN</v>
      </c>
      <c r="N142" s="6" t="s">
        <v>268</v>
      </c>
    </row>
    <row r="143" spans="1:14" ht="22.5" customHeight="1" x14ac:dyDescent="0.25">
      <c r="A143" t="s">
        <v>221</v>
      </c>
      <c r="B143" s="2" t="s">
        <v>221</v>
      </c>
      <c r="C143">
        <f>$C$2*Families!J42</f>
        <v>0.04</v>
      </c>
      <c r="D143">
        <f>$D$2*Novelty!D42</f>
        <v>0.2</v>
      </c>
      <c r="E143">
        <f>$E$2*VLOOKUP(A143,Interdisciplinarity!$K$3:$M$258,3,0)</f>
        <v>5.000000000000001E-3</v>
      </c>
      <c r="F143">
        <f t="shared" si="8"/>
        <v>0</v>
      </c>
      <c r="G143">
        <f t="shared" si="9"/>
        <v>8.0000000000000002E-3</v>
      </c>
      <c r="H143">
        <f>$H$2*VLOOKUP(A143,Lexis_Сoefficient!$A$3:$F$257,6,0)</f>
        <v>1.8000000000000002E-2</v>
      </c>
      <c r="I143">
        <v>0</v>
      </c>
      <c r="J143">
        <f>$J$2*VLOOKUP(A143,'Patent availability1'!$L$4:$V$261,11,0)</f>
        <v>4.0000000000000008E-2</v>
      </c>
      <c r="K143">
        <f t="shared" si="10"/>
        <v>6.6000000000000003E-2</v>
      </c>
      <c r="L143" s="2" t="s">
        <v>222</v>
      </c>
      <c r="M143" t="str">
        <f t="shared" si="11"/>
        <v>CN</v>
      </c>
      <c r="N143" s="6" t="s">
        <v>224</v>
      </c>
    </row>
    <row r="144" spans="1:14" ht="22.5" customHeight="1" x14ac:dyDescent="0.25">
      <c r="A144" t="s">
        <v>1256</v>
      </c>
      <c r="B144" s="2" t="s">
        <v>1254</v>
      </c>
      <c r="C144">
        <f>$C$2*Families!J237</f>
        <v>0</v>
      </c>
      <c r="D144">
        <f>$D$2*Novelty!D237</f>
        <v>1.0000000000000002E-2</v>
      </c>
      <c r="E144">
        <f>$E$2*VLOOKUP(A144,Interdisciplinarity!$K$3:$M$258,3,0)</f>
        <v>2.0000000000000004E-2</v>
      </c>
      <c r="F144">
        <f t="shared" si="8"/>
        <v>0</v>
      </c>
      <c r="G144">
        <f t="shared" si="9"/>
        <v>0</v>
      </c>
      <c r="H144">
        <f>$H$2*VLOOKUP(A144,Lexis_Сoefficient!$A$3:$F$257,6,0)</f>
        <v>3.0000000000000006E-2</v>
      </c>
      <c r="I144">
        <v>0</v>
      </c>
      <c r="J144">
        <f>$J$2*VLOOKUP(A144,'Patent availability1'!$L$4:$V$261,11,0)</f>
        <v>0</v>
      </c>
      <c r="K144">
        <f t="shared" si="10"/>
        <v>3.0000000000000006E-2</v>
      </c>
      <c r="L144" s="2" t="s">
        <v>1255</v>
      </c>
      <c r="M144" t="str">
        <f t="shared" si="11"/>
        <v>DD</v>
      </c>
      <c r="N144" s="6" t="s">
        <v>1258</v>
      </c>
    </row>
    <row r="145" spans="1:14" ht="22.5" customHeight="1" x14ac:dyDescent="0.25">
      <c r="A145" t="s">
        <v>1271</v>
      </c>
      <c r="B145" s="2" t="s">
        <v>1269</v>
      </c>
      <c r="C145">
        <f>$C$2*Families!J239</f>
        <v>0.04</v>
      </c>
      <c r="D145">
        <f>$D$2*Novelty!D239</f>
        <v>1.0000000000000002E-2</v>
      </c>
      <c r="E145">
        <f>$E$2*VLOOKUP(A145,Interdisciplinarity!$K$3:$M$258,3,0)</f>
        <v>0.06</v>
      </c>
      <c r="F145">
        <f t="shared" si="8"/>
        <v>0</v>
      </c>
      <c r="G145">
        <f t="shared" si="9"/>
        <v>0</v>
      </c>
      <c r="H145">
        <f>$H$2*VLOOKUP(A145,Lexis_Сoefficient!$A$3:$F$257,6,0)</f>
        <v>7.2000000000000008E-2</v>
      </c>
      <c r="I145">
        <v>0</v>
      </c>
      <c r="J145">
        <f>$J$2*VLOOKUP(A145,'Patent availability1'!$L$4:$V$261,11,0)</f>
        <v>0.05</v>
      </c>
      <c r="K145">
        <f t="shared" si="10"/>
        <v>0.12200000000000001</v>
      </c>
      <c r="L145" s="2" t="s">
        <v>1270</v>
      </c>
      <c r="M145" t="str">
        <f t="shared" si="11"/>
        <v>DE</v>
      </c>
      <c r="N145" s="6" t="s">
        <v>1273</v>
      </c>
    </row>
    <row r="146" spans="1:14" ht="22.5" customHeight="1" x14ac:dyDescent="0.25">
      <c r="A146" t="s">
        <v>1233</v>
      </c>
      <c r="B146" s="2" t="s">
        <v>1233</v>
      </c>
      <c r="C146">
        <f>$C$2*Families!J234</f>
        <v>0.04</v>
      </c>
      <c r="D146">
        <f>$D$2*Novelty!D234</f>
        <v>1.0000000000000002E-2</v>
      </c>
      <c r="E146">
        <f>$E$2*VLOOKUP(A146,Interdisciplinarity!$K$3:$M$258,3,0)</f>
        <v>5.000000000000001E-3</v>
      </c>
      <c r="F146">
        <f t="shared" si="8"/>
        <v>0.2</v>
      </c>
      <c r="G146">
        <f t="shared" si="9"/>
        <v>0</v>
      </c>
      <c r="H146">
        <f>$H$2*VLOOKUP(A146,Lexis_Сoefficient!$A$3:$F$257,6,0)</f>
        <v>0.10800000000000001</v>
      </c>
      <c r="I146">
        <v>1</v>
      </c>
      <c r="J146">
        <f>$J$2*VLOOKUP(A146,'Patent availability1'!$L$4:$V$261,11,0)</f>
        <v>0</v>
      </c>
      <c r="K146">
        <f t="shared" si="10"/>
        <v>0.30800000000000005</v>
      </c>
      <c r="L146" s="2" t="s">
        <v>132</v>
      </c>
      <c r="M146" t="str">
        <f t="shared" si="11"/>
        <v>DE</v>
      </c>
      <c r="N146" s="6" t="s">
        <v>1235</v>
      </c>
    </row>
    <row r="147" spans="1:14" ht="22.5" customHeight="1" x14ac:dyDescent="0.25">
      <c r="A147" t="s">
        <v>1279</v>
      </c>
      <c r="B147" s="2" t="s">
        <v>1277</v>
      </c>
      <c r="C147">
        <f>$C$2*Families!J240</f>
        <v>0.04</v>
      </c>
      <c r="D147">
        <f>$D$2*Novelty!D240</f>
        <v>1.0000000000000002E-2</v>
      </c>
      <c r="E147">
        <f>$E$2*VLOOKUP(A147,Interdisciplinarity!$K$3:$M$258,3,0)</f>
        <v>5.000000000000001E-3</v>
      </c>
      <c r="F147">
        <f t="shared" si="8"/>
        <v>0</v>
      </c>
      <c r="G147">
        <f t="shared" si="9"/>
        <v>0</v>
      </c>
      <c r="H147">
        <f>$H$2*VLOOKUP(A147,Lexis_Сoefficient!$A$3:$F$257,6,0)</f>
        <v>0.10600000000000001</v>
      </c>
      <c r="I147">
        <v>0</v>
      </c>
      <c r="J147">
        <f>$J$2*VLOOKUP(A147,'Patent availability1'!$L$4:$V$261,11,0)</f>
        <v>0.05</v>
      </c>
      <c r="K147">
        <f t="shared" si="10"/>
        <v>0.15600000000000003</v>
      </c>
      <c r="L147" s="2" t="s">
        <v>1278</v>
      </c>
      <c r="M147" t="str">
        <f t="shared" si="11"/>
        <v>DK</v>
      </c>
      <c r="N147" s="6" t="s">
        <v>1281</v>
      </c>
    </row>
    <row r="148" spans="1:14" ht="22.5" customHeight="1" x14ac:dyDescent="0.25">
      <c r="A148" t="s">
        <v>87</v>
      </c>
      <c r="B148" s="2" t="s">
        <v>85</v>
      </c>
      <c r="C148">
        <f>$C$2*Families!J12</f>
        <v>0</v>
      </c>
      <c r="D148">
        <f>$D$2*Novelty!D12</f>
        <v>1.0000000000000002E-2</v>
      </c>
      <c r="E148">
        <f>$E$2*VLOOKUP(A148,Interdisciplinarity!$K$3:$M$258,3,0)</f>
        <v>0.06</v>
      </c>
      <c r="F148">
        <f t="shared" si="8"/>
        <v>0</v>
      </c>
      <c r="G148">
        <f t="shared" si="9"/>
        <v>0</v>
      </c>
      <c r="H148">
        <f>$H$2*VLOOKUP(A148,Lexis_Сoefficient!$A$3:$F$257,6,0)</f>
        <v>0.11800000000000002</v>
      </c>
      <c r="I148">
        <v>0</v>
      </c>
      <c r="J148">
        <f>$J$2*VLOOKUP(A148,'Patent availability1'!$L$4:$V$261,11,0)</f>
        <v>0.05</v>
      </c>
      <c r="K148">
        <f t="shared" si="10"/>
        <v>0.16800000000000004</v>
      </c>
      <c r="L148" s="2" t="s">
        <v>86</v>
      </c>
      <c r="M148" t="str">
        <f t="shared" si="11"/>
        <v>EA</v>
      </c>
      <c r="N148" s="6" t="s">
        <v>89</v>
      </c>
    </row>
    <row r="149" spans="1:14" ht="22.5" customHeight="1" x14ac:dyDescent="0.25">
      <c r="A149" t="s">
        <v>1337</v>
      </c>
      <c r="B149" s="2" t="s">
        <v>1336</v>
      </c>
      <c r="C149">
        <f>$C$2*Families!J249</f>
        <v>0.04</v>
      </c>
      <c r="D149">
        <f>$D$2*Novelty!D249</f>
        <v>1.0000000000000002E-2</v>
      </c>
      <c r="E149">
        <f>$E$2*VLOOKUP(A149,Interdisciplinarity!$K$3:$M$258,3,0)</f>
        <v>0.06</v>
      </c>
      <c r="F149">
        <f t="shared" si="8"/>
        <v>0</v>
      </c>
      <c r="G149">
        <f t="shared" si="9"/>
        <v>0.01</v>
      </c>
      <c r="H149">
        <f>$H$2*VLOOKUP(A149,Lexis_Сoefficient!$A$3:$F$257,6,0)</f>
        <v>0.11800000000000002</v>
      </c>
      <c r="I149">
        <v>0</v>
      </c>
      <c r="J149">
        <f>$J$2*VLOOKUP(A149,'Patent availability1'!$L$4:$V$261,11,0)</f>
        <v>0</v>
      </c>
      <c r="K149">
        <f t="shared" si="10"/>
        <v>0.12800000000000003</v>
      </c>
      <c r="L149" s="2" t="s">
        <v>253</v>
      </c>
      <c r="M149" t="str">
        <f t="shared" si="11"/>
        <v>EP</v>
      </c>
      <c r="N149" s="6" t="s">
        <v>1339</v>
      </c>
    </row>
    <row r="150" spans="1:14" ht="22.5" customHeight="1" x14ac:dyDescent="0.25">
      <c r="A150" t="s">
        <v>1344</v>
      </c>
      <c r="B150" s="2" t="s">
        <v>1343</v>
      </c>
      <c r="C150">
        <f>$C$2*Families!J250</f>
        <v>0.04</v>
      </c>
      <c r="D150">
        <f>$D$2*Novelty!D250</f>
        <v>1.0000000000000002E-2</v>
      </c>
      <c r="E150">
        <f>$E$2*VLOOKUP(A150,Interdisciplinarity!$K$3:$M$258,3,0)</f>
        <v>8.5000000000000006E-2</v>
      </c>
      <c r="F150">
        <f t="shared" si="8"/>
        <v>0</v>
      </c>
      <c r="G150">
        <f t="shared" si="9"/>
        <v>0.01</v>
      </c>
      <c r="H150">
        <f>$H$2*VLOOKUP(A150,Lexis_Сoefficient!$A$3:$F$257,6,0)</f>
        <v>7.2000000000000008E-2</v>
      </c>
      <c r="I150">
        <v>0</v>
      </c>
      <c r="J150">
        <f>$J$2*VLOOKUP(A150,'Patent availability1'!$L$4:$V$261,11,0)</f>
        <v>0</v>
      </c>
      <c r="K150">
        <f t="shared" si="10"/>
        <v>8.2000000000000003E-2</v>
      </c>
      <c r="L150" s="2" t="s">
        <v>253</v>
      </c>
      <c r="M150" t="str">
        <f t="shared" si="11"/>
        <v>EP</v>
      </c>
      <c r="N150" s="6" t="s">
        <v>1339</v>
      </c>
    </row>
    <row r="151" spans="1:14" ht="22.5" customHeight="1" x14ac:dyDescent="0.25">
      <c r="A151" t="s">
        <v>1240</v>
      </c>
      <c r="B151" s="2" t="s">
        <v>1238</v>
      </c>
      <c r="C151">
        <f>$C$2*Families!J235</f>
        <v>0.04</v>
      </c>
      <c r="D151">
        <f>$D$2*Novelty!D235</f>
        <v>1.0000000000000002E-2</v>
      </c>
      <c r="E151">
        <f>$E$2*VLOOKUP(A151,Interdisciplinarity!$K$3:$M$258,3,0)</f>
        <v>0.1</v>
      </c>
      <c r="F151">
        <f t="shared" si="8"/>
        <v>0.2</v>
      </c>
      <c r="G151">
        <f t="shared" si="9"/>
        <v>0.01</v>
      </c>
      <c r="H151">
        <f>$H$2*VLOOKUP(A151,Lexis_Сoefficient!$A$3:$F$257,6,0)</f>
        <v>0.20800000000000002</v>
      </c>
      <c r="I151">
        <v>1</v>
      </c>
      <c r="J151">
        <f>$J$2*VLOOKUP(A151,'Patent availability1'!$L$4:$V$261,11,0)</f>
        <v>0.05</v>
      </c>
      <c r="K151">
        <f t="shared" si="10"/>
        <v>0.46800000000000019</v>
      </c>
      <c r="L151" s="2" t="s">
        <v>1239</v>
      </c>
      <c r="M151" t="str">
        <f t="shared" si="11"/>
        <v>EP</v>
      </c>
      <c r="N151" s="6" t="s">
        <v>13</v>
      </c>
    </row>
    <row r="152" spans="1:14" ht="22.5" customHeight="1" x14ac:dyDescent="0.25">
      <c r="A152" t="s">
        <v>1211</v>
      </c>
      <c r="B152" s="2" t="s">
        <v>1209</v>
      </c>
      <c r="C152">
        <f>$C$2*Families!J231</f>
        <v>0.04</v>
      </c>
      <c r="D152">
        <f>$D$2*Novelty!D231</f>
        <v>1.0000000000000002E-2</v>
      </c>
      <c r="E152">
        <f>$E$2*VLOOKUP(A152,Interdisciplinarity!$K$3:$M$258,3,0)</f>
        <v>0.06</v>
      </c>
      <c r="F152">
        <f t="shared" si="8"/>
        <v>0</v>
      </c>
      <c r="G152">
        <f t="shared" si="9"/>
        <v>0.01</v>
      </c>
      <c r="H152">
        <f>$H$2*VLOOKUP(A152,Lexis_Сoefficient!$A$3:$F$257,6,0)</f>
        <v>0.184</v>
      </c>
      <c r="I152">
        <v>0</v>
      </c>
      <c r="J152">
        <f>$J$2*VLOOKUP(A152,'Patent availability1'!$L$4:$V$261,11,0)</f>
        <v>0.05</v>
      </c>
      <c r="K152">
        <f t="shared" si="10"/>
        <v>0.24399999999999999</v>
      </c>
      <c r="L152" s="2" t="s">
        <v>1210</v>
      </c>
      <c r="M152" t="str">
        <f t="shared" si="11"/>
        <v>EP</v>
      </c>
      <c r="N152" s="6" t="s">
        <v>1213</v>
      </c>
    </row>
    <row r="153" spans="1:14" ht="22.5" customHeight="1" x14ac:dyDescent="0.25">
      <c r="A153" t="s">
        <v>1247</v>
      </c>
      <c r="B153" s="2" t="s">
        <v>1245</v>
      </c>
      <c r="C153">
        <f>$C$2*Families!J236</f>
        <v>0</v>
      </c>
      <c r="D153">
        <f>$D$2*Novelty!D236</f>
        <v>1.0000000000000002E-2</v>
      </c>
      <c r="E153">
        <f>$E$2*VLOOKUP(A153,Interdisciplinarity!$K$3:$M$258,3,0)</f>
        <v>0.1</v>
      </c>
      <c r="F153">
        <f t="shared" si="8"/>
        <v>0</v>
      </c>
      <c r="G153">
        <f t="shared" si="9"/>
        <v>0</v>
      </c>
      <c r="H153">
        <f>$H$2*VLOOKUP(A153,Lexis_Сoefficient!$A$3:$F$257,6,0)</f>
        <v>0.21600000000000003</v>
      </c>
      <c r="I153">
        <v>0</v>
      </c>
      <c r="J153">
        <f>$J$2*VLOOKUP(A153,'Patent availability1'!$L$4:$V$261,11,0)</f>
        <v>0.05</v>
      </c>
      <c r="K153">
        <f t="shared" si="10"/>
        <v>0.26600000000000001</v>
      </c>
      <c r="L153" s="2" t="s">
        <v>1246</v>
      </c>
      <c r="M153" t="str">
        <f t="shared" si="11"/>
        <v>GB</v>
      </c>
      <c r="N153" s="6" t="s">
        <v>1249</v>
      </c>
    </row>
    <row r="154" spans="1:14" ht="22.5" customHeight="1" x14ac:dyDescent="0.25">
      <c r="A154" t="s">
        <v>1166</v>
      </c>
      <c r="B154" s="2" t="s">
        <v>1164</v>
      </c>
      <c r="C154">
        <f>$C$2*Families!J224</f>
        <v>0.04</v>
      </c>
      <c r="D154">
        <f>$D$2*Novelty!D224</f>
        <v>1.0000000000000002E-2</v>
      </c>
      <c r="E154">
        <f>$E$2*VLOOKUP(A154,Interdisciplinarity!$K$3:$M$258,3,0)</f>
        <v>0.1</v>
      </c>
      <c r="F154">
        <f t="shared" si="8"/>
        <v>0</v>
      </c>
      <c r="G154">
        <f t="shared" si="9"/>
        <v>0</v>
      </c>
      <c r="H154">
        <f>$H$2*VLOOKUP(A154,Lexis_Сoefficient!$A$3:$F$257,6,0)</f>
        <v>0.246</v>
      </c>
      <c r="I154">
        <v>0</v>
      </c>
      <c r="J154">
        <f>$J$2*VLOOKUP(A154,'Patent availability1'!$L$4:$V$261,11,0)</f>
        <v>0.05</v>
      </c>
      <c r="K154">
        <f t="shared" si="10"/>
        <v>0.29599999999999999</v>
      </c>
      <c r="L154" s="2" t="s">
        <v>1165</v>
      </c>
      <c r="M154" t="str">
        <f t="shared" si="11"/>
        <v>GB</v>
      </c>
      <c r="N154" s="6" t="s">
        <v>1101</v>
      </c>
    </row>
    <row r="155" spans="1:14" ht="22.5" customHeight="1" x14ac:dyDescent="0.25">
      <c r="A155" t="s">
        <v>1108</v>
      </c>
      <c r="B155" s="2" t="s">
        <v>1106</v>
      </c>
      <c r="C155">
        <f>$C$2*Families!J216</f>
        <v>0</v>
      </c>
      <c r="D155">
        <f>$D$2*Novelty!D216</f>
        <v>1.0000000000000002E-2</v>
      </c>
      <c r="E155">
        <f>$E$2*VLOOKUP(A155,Interdisciplinarity!$K$3:$M$258,3,0)</f>
        <v>0.1</v>
      </c>
      <c r="F155">
        <f t="shared" si="8"/>
        <v>0</v>
      </c>
      <c r="G155">
        <f t="shared" si="9"/>
        <v>0</v>
      </c>
      <c r="H155">
        <f>$H$2*VLOOKUP(A155,Lexis_Сoefficient!$A$3:$F$257,6,0)</f>
        <v>0.31200000000000006</v>
      </c>
      <c r="I155">
        <v>0</v>
      </c>
      <c r="J155">
        <f>$J$2*VLOOKUP(A155,'Patent availability1'!$L$4:$V$261,11,0)</f>
        <v>0.05</v>
      </c>
      <c r="K155">
        <f t="shared" si="10"/>
        <v>0.36200000000000004</v>
      </c>
      <c r="L155" s="2" t="s">
        <v>1107</v>
      </c>
      <c r="M155" t="str">
        <f t="shared" si="11"/>
        <v>GB</v>
      </c>
      <c r="N155" s="6" t="s">
        <v>1101</v>
      </c>
    </row>
    <row r="156" spans="1:14" ht="22.5" customHeight="1" x14ac:dyDescent="0.25">
      <c r="A156" t="s">
        <v>1099</v>
      </c>
      <c r="B156" s="2" t="s">
        <v>1097</v>
      </c>
      <c r="C156">
        <f>$C$2*Families!J215</f>
        <v>0</v>
      </c>
      <c r="D156">
        <f>$D$2*Novelty!D215</f>
        <v>1.0000000000000002E-2</v>
      </c>
      <c r="E156">
        <f>$E$2*VLOOKUP(A156,Interdisciplinarity!$K$3:$M$258,3,0)</f>
        <v>0.1</v>
      </c>
      <c r="F156">
        <f t="shared" si="8"/>
        <v>0</v>
      </c>
      <c r="G156">
        <f t="shared" si="9"/>
        <v>0</v>
      </c>
      <c r="H156">
        <f>$H$2*VLOOKUP(A156,Lexis_Сoefficient!$A$3:$F$257,6,0)</f>
        <v>0.36</v>
      </c>
      <c r="I156">
        <v>0</v>
      </c>
      <c r="J156">
        <f>$J$2*VLOOKUP(A156,'Patent availability1'!$L$4:$V$261,11,0)</f>
        <v>0.05</v>
      </c>
      <c r="K156">
        <f t="shared" si="10"/>
        <v>0.41</v>
      </c>
      <c r="L156" s="2" t="s">
        <v>1098</v>
      </c>
      <c r="M156" t="str">
        <f t="shared" si="11"/>
        <v>GB</v>
      </c>
      <c r="N156" s="6" t="s">
        <v>1101</v>
      </c>
    </row>
    <row r="157" spans="1:14" ht="22.5" customHeight="1" x14ac:dyDescent="0.25">
      <c r="A157" t="s">
        <v>1390</v>
      </c>
      <c r="B157" s="2" t="s">
        <v>1388</v>
      </c>
      <c r="C157">
        <f>$C$2*Families!J256</f>
        <v>0</v>
      </c>
      <c r="D157">
        <f>$D$2*Novelty!D256</f>
        <v>1.0000000000000002E-2</v>
      </c>
      <c r="E157">
        <f>$E$2*VLOOKUP(A157,Interdisciplinarity!$K$3:$M$258,3,0)</f>
        <v>2.0000000000000004E-2</v>
      </c>
      <c r="F157">
        <f t="shared" si="8"/>
        <v>0</v>
      </c>
      <c r="G157">
        <f t="shared" si="9"/>
        <v>0</v>
      </c>
      <c r="H157">
        <f>$H$2*VLOOKUP(A157,Lexis_Сoefficient!$A$3:$F$257,6,0)</f>
        <v>0.23599999999999999</v>
      </c>
      <c r="I157">
        <v>0</v>
      </c>
      <c r="J157">
        <f>$J$2*VLOOKUP(A157,'Patent availability1'!$L$4:$V$261,11,0)</f>
        <v>0.05</v>
      </c>
      <c r="K157">
        <f t="shared" si="10"/>
        <v>0.28599999999999998</v>
      </c>
      <c r="L157" s="2" t="s">
        <v>1389</v>
      </c>
      <c r="M157" t="str">
        <f t="shared" si="11"/>
        <v>IT</v>
      </c>
      <c r="N157" s="6" t="s">
        <v>1332</v>
      </c>
    </row>
    <row r="158" spans="1:14" ht="22.5" customHeight="1" x14ac:dyDescent="0.25">
      <c r="A158" t="s">
        <v>1382</v>
      </c>
      <c r="B158" s="2" t="s">
        <v>1380</v>
      </c>
      <c r="C158">
        <f>$C$2*Families!J255</f>
        <v>0.04</v>
      </c>
      <c r="D158">
        <f>$D$2*Novelty!D255</f>
        <v>1.0000000000000002E-2</v>
      </c>
      <c r="E158">
        <f>$E$2*VLOOKUP(A158,Interdisciplinarity!$K$3:$M$258,3,0)</f>
        <v>0.06</v>
      </c>
      <c r="F158">
        <f t="shared" si="8"/>
        <v>0</v>
      </c>
      <c r="G158">
        <f t="shared" si="9"/>
        <v>0</v>
      </c>
      <c r="H158">
        <f>$H$2*VLOOKUP(A158,Lexis_Сoefficient!$A$3:$F$257,6,0)</f>
        <v>0.16800000000000001</v>
      </c>
      <c r="I158">
        <v>0</v>
      </c>
      <c r="J158">
        <f>$J$2*VLOOKUP(A158,'Patent availability1'!$L$4:$V$261,11,0)</f>
        <v>0.05</v>
      </c>
      <c r="K158">
        <f t="shared" si="10"/>
        <v>0.21800000000000003</v>
      </c>
      <c r="L158" s="2" t="s">
        <v>1381</v>
      </c>
      <c r="M158" t="str">
        <f t="shared" si="11"/>
        <v>IT</v>
      </c>
      <c r="N158" s="6" t="s">
        <v>1384</v>
      </c>
    </row>
    <row r="159" spans="1:14" ht="22.5" customHeight="1" x14ac:dyDescent="0.25">
      <c r="A159" t="s">
        <v>959</v>
      </c>
      <c r="B159" s="2" t="s">
        <v>957</v>
      </c>
      <c r="C159">
        <f>$C$2*Families!J190</f>
        <v>0.04</v>
      </c>
      <c r="D159">
        <f>$D$2*Novelty!D190</f>
        <v>4.0000000000000008E-2</v>
      </c>
      <c r="E159">
        <f>$E$2*VLOOKUP(A159,Interdisciplinarity!$K$3:$M$258,3,0)</f>
        <v>8.5000000000000006E-2</v>
      </c>
      <c r="F159">
        <f t="shared" si="8"/>
        <v>0</v>
      </c>
      <c r="G159">
        <f t="shared" si="9"/>
        <v>0</v>
      </c>
      <c r="H159">
        <f>$H$2*VLOOKUP(A159,Lexis_Сoefficient!$A$3:$F$257,6,0)</f>
        <v>0.28599999999999998</v>
      </c>
      <c r="I159">
        <v>0</v>
      </c>
      <c r="J159">
        <f>$J$2*VLOOKUP(A159,'Patent availability1'!$L$4:$V$261,11,0)</f>
        <v>0</v>
      </c>
      <c r="K159">
        <f t="shared" si="10"/>
        <v>0.28599999999999998</v>
      </c>
      <c r="L159" s="2" t="s">
        <v>958</v>
      </c>
      <c r="M159" t="str">
        <f t="shared" si="11"/>
        <v>JP</v>
      </c>
      <c r="N159" s="6" t="s">
        <v>961</v>
      </c>
    </row>
    <row r="160" spans="1:14" ht="22.5" customHeight="1" x14ac:dyDescent="0.25">
      <c r="A160" t="s">
        <v>952</v>
      </c>
      <c r="B160" s="2" t="s">
        <v>951</v>
      </c>
      <c r="C160">
        <f>$C$2*Families!J189</f>
        <v>0.04</v>
      </c>
      <c r="D160">
        <f>$D$2*Novelty!D189</f>
        <v>4.0000000000000008E-2</v>
      </c>
      <c r="E160">
        <f>$E$2*VLOOKUP(A160,Interdisciplinarity!$K$3:$M$258,3,0)</f>
        <v>0.06</v>
      </c>
      <c r="F160">
        <f t="shared" si="8"/>
        <v>0</v>
      </c>
      <c r="G160">
        <f t="shared" si="9"/>
        <v>0</v>
      </c>
      <c r="H160">
        <f>$H$2*VLOOKUP(A160,Lexis_Сoefficient!$A$3:$F$257,6,0)</f>
        <v>0.22000000000000003</v>
      </c>
      <c r="I160">
        <v>0</v>
      </c>
      <c r="J160">
        <f>$J$2*VLOOKUP(A160,'Patent availability1'!$L$4:$V$261,11,0)</f>
        <v>0.05</v>
      </c>
      <c r="K160">
        <f t="shared" si="10"/>
        <v>0.27</v>
      </c>
      <c r="L160" s="2" t="s">
        <v>894</v>
      </c>
      <c r="M160" t="str">
        <f t="shared" si="11"/>
        <v>JP</v>
      </c>
      <c r="N160" s="6" t="s">
        <v>954</v>
      </c>
    </row>
    <row r="161" spans="1:14" ht="22.5" customHeight="1" x14ac:dyDescent="0.25">
      <c r="A161" t="s">
        <v>895</v>
      </c>
      <c r="B161" s="2" t="s">
        <v>893</v>
      </c>
      <c r="C161">
        <f>$C$2*Families!J181</f>
        <v>0.04</v>
      </c>
      <c r="D161">
        <f>$D$2*Novelty!D181</f>
        <v>4.0000000000000008E-2</v>
      </c>
      <c r="E161">
        <f>$E$2*VLOOKUP(A161,Interdisciplinarity!$K$3:$M$258,3,0)</f>
        <v>0.06</v>
      </c>
      <c r="F161">
        <f t="shared" si="8"/>
        <v>0</v>
      </c>
      <c r="G161">
        <f t="shared" si="9"/>
        <v>0</v>
      </c>
      <c r="H161">
        <f>$H$2*VLOOKUP(A161,Lexis_Сoefficient!$A$3:$F$257,6,0)</f>
        <v>6.0000000000000012E-2</v>
      </c>
      <c r="I161">
        <v>0</v>
      </c>
      <c r="J161">
        <f>$J$2*VLOOKUP(A161,'Patent availability1'!$L$4:$V$261,11,0)</f>
        <v>0.05</v>
      </c>
      <c r="K161">
        <f t="shared" si="10"/>
        <v>0.11000000000000001</v>
      </c>
      <c r="L161" s="2" t="s">
        <v>894</v>
      </c>
      <c r="M161" t="str">
        <f t="shared" si="11"/>
        <v>JP</v>
      </c>
      <c r="N161" s="6" t="s">
        <v>897</v>
      </c>
    </row>
    <row r="162" spans="1:14" ht="22.5" customHeight="1" x14ac:dyDescent="0.25">
      <c r="A162" t="s">
        <v>1307</v>
      </c>
      <c r="B162" s="2" t="s">
        <v>1306</v>
      </c>
      <c r="C162">
        <f>$C$2*Families!J244</f>
        <v>0.04</v>
      </c>
      <c r="D162">
        <f>$D$2*Novelty!D244</f>
        <v>1.0000000000000002E-2</v>
      </c>
      <c r="E162">
        <f>$E$2*VLOOKUP(A162,Interdisciplinarity!$K$3:$M$258,3,0)</f>
        <v>8.5000000000000006E-2</v>
      </c>
      <c r="F162">
        <f t="shared" si="8"/>
        <v>0</v>
      </c>
      <c r="G162">
        <f t="shared" si="9"/>
        <v>0</v>
      </c>
      <c r="H162">
        <f>$H$2*VLOOKUP(A162,Lexis_Сoefficient!$A$3:$F$257,6,0)</f>
        <v>4.200000000000001E-2</v>
      </c>
      <c r="I162">
        <v>0</v>
      </c>
      <c r="J162">
        <f>$J$2*VLOOKUP(A162,'Patent availability1'!$L$4:$V$261,11,0)</f>
        <v>0.05</v>
      </c>
      <c r="K162">
        <f t="shared" si="10"/>
        <v>9.2000000000000012E-2</v>
      </c>
      <c r="L162" s="2" t="s">
        <v>894</v>
      </c>
      <c r="M162" t="str">
        <f t="shared" si="11"/>
        <v>JP</v>
      </c>
      <c r="N162" s="6" t="s">
        <v>1304</v>
      </c>
    </row>
    <row r="163" spans="1:14" ht="22.5" customHeight="1" x14ac:dyDescent="0.25">
      <c r="A163" t="s">
        <v>1302</v>
      </c>
      <c r="B163" s="2" t="s">
        <v>1301</v>
      </c>
      <c r="C163">
        <f>$C$2*Families!J243</f>
        <v>0</v>
      </c>
      <c r="D163">
        <f>$D$2*Novelty!D243</f>
        <v>1.0000000000000002E-2</v>
      </c>
      <c r="E163">
        <f>$E$2*VLOOKUP(A163,Interdisciplinarity!$K$3:$M$258,3,0)</f>
        <v>8.5000000000000006E-2</v>
      </c>
      <c r="F163">
        <f t="shared" si="8"/>
        <v>0</v>
      </c>
      <c r="G163">
        <f t="shared" si="9"/>
        <v>0</v>
      </c>
      <c r="H163">
        <f>$H$2*VLOOKUP(A163,Lexis_Сoefficient!$A$3:$F$257,6,0)</f>
        <v>0.10600000000000001</v>
      </c>
      <c r="I163">
        <v>0</v>
      </c>
      <c r="J163">
        <f>$J$2*VLOOKUP(A163,'Patent availability1'!$L$4:$V$261,11,0)</f>
        <v>0.05</v>
      </c>
      <c r="K163">
        <f t="shared" si="10"/>
        <v>0.15600000000000003</v>
      </c>
      <c r="L163" s="2" t="s">
        <v>894</v>
      </c>
      <c r="M163" t="str">
        <f t="shared" si="11"/>
        <v>JP</v>
      </c>
      <c r="N163" s="6" t="s">
        <v>1304</v>
      </c>
    </row>
    <row r="164" spans="1:14" ht="22.5" customHeight="1" x14ac:dyDescent="0.25">
      <c r="A164" t="s">
        <v>1286</v>
      </c>
      <c r="B164" s="2" t="s">
        <v>1284</v>
      </c>
      <c r="C164">
        <f>$C$2*Families!J241</f>
        <v>0.04</v>
      </c>
      <c r="D164">
        <f>$D$2*Novelty!D241</f>
        <v>1.0000000000000002E-2</v>
      </c>
      <c r="E164">
        <f>$E$2*VLOOKUP(A164,Interdisciplinarity!$K$3:$M$258,3,0)</f>
        <v>0.06</v>
      </c>
      <c r="F164">
        <f t="shared" si="8"/>
        <v>0</v>
      </c>
      <c r="G164">
        <f t="shared" si="9"/>
        <v>0</v>
      </c>
      <c r="H164">
        <f>$H$2*VLOOKUP(A164,Lexis_Сoefficient!$A$3:$F$257,6,0)</f>
        <v>0.21600000000000003</v>
      </c>
      <c r="I164">
        <v>0</v>
      </c>
      <c r="J164">
        <f>$J$2*VLOOKUP(A164,'Patent availability1'!$L$4:$V$261,11,0)</f>
        <v>0</v>
      </c>
      <c r="K164">
        <f t="shared" si="10"/>
        <v>0.21600000000000003</v>
      </c>
      <c r="L164" s="2" t="s">
        <v>1285</v>
      </c>
      <c r="M164" t="str">
        <f t="shared" si="11"/>
        <v>JP</v>
      </c>
      <c r="N164" s="6" t="s">
        <v>1288</v>
      </c>
    </row>
    <row r="165" spans="1:14" ht="22.5" customHeight="1" x14ac:dyDescent="0.25">
      <c r="A165" t="s">
        <v>1227</v>
      </c>
      <c r="B165" s="2" t="s">
        <v>1225</v>
      </c>
      <c r="C165">
        <f>$C$2*Families!J233</f>
        <v>0.04</v>
      </c>
      <c r="D165">
        <f>$D$2*Novelty!D233</f>
        <v>1.0000000000000002E-2</v>
      </c>
      <c r="E165">
        <f>$E$2*VLOOKUP(A165,Interdisciplinarity!$K$3:$M$258,3,0)</f>
        <v>2.0000000000000004E-2</v>
      </c>
      <c r="F165">
        <f t="shared" si="8"/>
        <v>0</v>
      </c>
      <c r="G165">
        <f t="shared" si="9"/>
        <v>0</v>
      </c>
      <c r="H165">
        <f>$H$2*VLOOKUP(A165,Lexis_Сoefficient!$A$3:$F$257,6,0)</f>
        <v>8.6000000000000021E-2</v>
      </c>
      <c r="I165">
        <v>0</v>
      </c>
      <c r="J165">
        <f>$J$2*VLOOKUP(A165,'Patent availability1'!$L$4:$V$261,11,0)</f>
        <v>0.05</v>
      </c>
      <c r="K165">
        <f t="shared" si="10"/>
        <v>0.13600000000000001</v>
      </c>
      <c r="L165" s="2" t="s">
        <v>1226</v>
      </c>
      <c r="M165" t="str">
        <f t="shared" si="11"/>
        <v>NO</v>
      </c>
      <c r="N165" s="6" t="s">
        <v>1229</v>
      </c>
    </row>
    <row r="166" spans="1:14" ht="22.5" customHeight="1" x14ac:dyDescent="0.25">
      <c r="A166" t="s">
        <v>1006</v>
      </c>
      <c r="B166" s="2" t="s">
        <v>1004</v>
      </c>
      <c r="C166">
        <f>$C$2*Families!J199</f>
        <v>0</v>
      </c>
      <c r="D166">
        <f>$D$2*Novelty!D199</f>
        <v>1.0000000000000002E-2</v>
      </c>
      <c r="E166">
        <f>$E$2*VLOOKUP(A166,Interdisciplinarity!$K$3:$M$258,3,0)</f>
        <v>2.0000000000000004E-2</v>
      </c>
      <c r="F166">
        <f t="shared" si="8"/>
        <v>0</v>
      </c>
      <c r="G166">
        <f t="shared" si="9"/>
        <v>0</v>
      </c>
      <c r="H166">
        <f>$H$2*VLOOKUP(A166,Lexis_Сoefficient!$A$3:$F$257,6,0)</f>
        <v>7.2000000000000008E-2</v>
      </c>
      <c r="I166">
        <v>0</v>
      </c>
      <c r="J166">
        <f>$J$2*VLOOKUP(A166,'Patent availability1'!$L$4:$V$261,11,0)</f>
        <v>0.05</v>
      </c>
      <c r="K166">
        <f t="shared" si="10"/>
        <v>0.12200000000000001</v>
      </c>
      <c r="L166" s="2" t="s">
        <v>1005</v>
      </c>
      <c r="M166" t="str">
        <f t="shared" si="11"/>
        <v>NO</v>
      </c>
      <c r="N166" s="6" t="s">
        <v>1008</v>
      </c>
    </row>
    <row r="167" spans="1:14" ht="22.5" customHeight="1" x14ac:dyDescent="0.25">
      <c r="A167" t="s">
        <v>1358</v>
      </c>
      <c r="B167" s="2" t="s">
        <v>1356</v>
      </c>
      <c r="C167">
        <f>$C$2*Families!J252</f>
        <v>0</v>
      </c>
      <c r="D167">
        <f>$D$2*Novelty!D252</f>
        <v>1.0000000000000002E-2</v>
      </c>
      <c r="E167">
        <f>$E$2*VLOOKUP(A167,Interdisciplinarity!$K$3:$M$258,3,0)</f>
        <v>0.06</v>
      </c>
      <c r="F167">
        <f t="shared" si="8"/>
        <v>0</v>
      </c>
      <c r="G167">
        <f t="shared" si="9"/>
        <v>0</v>
      </c>
      <c r="H167">
        <f>$H$2*VLOOKUP(A167,Lexis_Сoefficient!$A$3:$F$257,6,0)</f>
        <v>0.248</v>
      </c>
      <c r="I167">
        <v>0</v>
      </c>
      <c r="J167">
        <f>$J$2*VLOOKUP(A167,'Patent availability1'!$L$4:$V$261,11,0)</f>
        <v>0.05</v>
      </c>
      <c r="K167">
        <f t="shared" si="10"/>
        <v>0.29799999999999999</v>
      </c>
      <c r="L167" s="2" t="s">
        <v>1357</v>
      </c>
      <c r="M167" t="str">
        <f t="shared" si="11"/>
        <v>PT</v>
      </c>
      <c r="N167" s="6" t="s">
        <v>1360</v>
      </c>
    </row>
    <row r="168" spans="1:14" ht="22.5" customHeight="1" x14ac:dyDescent="0.25">
      <c r="A168" t="s">
        <v>1367</v>
      </c>
      <c r="B168" s="2" t="s">
        <v>1365</v>
      </c>
      <c r="C168">
        <f>$C$2*Families!J253</f>
        <v>0</v>
      </c>
      <c r="D168">
        <f>$D$2*Novelty!D253</f>
        <v>1.0000000000000002E-2</v>
      </c>
      <c r="E168">
        <f>$E$2*VLOOKUP(A168,Interdisciplinarity!$K$3:$M$258,3,0)</f>
        <v>8.5000000000000006E-2</v>
      </c>
      <c r="F168">
        <f t="shared" si="8"/>
        <v>0</v>
      </c>
      <c r="G168">
        <f t="shared" si="9"/>
        <v>0</v>
      </c>
      <c r="H168">
        <f>$H$2*VLOOKUP(A168,Lexis_Сoefficient!$A$3:$F$257,6,0)</f>
        <v>0.31200000000000006</v>
      </c>
      <c r="I168">
        <v>0</v>
      </c>
      <c r="J168">
        <f>$J$2*VLOOKUP(A168,'Patent availability1'!$L$4:$V$261,11,0)</f>
        <v>0.05</v>
      </c>
      <c r="K168">
        <f t="shared" si="10"/>
        <v>0.36200000000000004</v>
      </c>
      <c r="L168" s="2" t="s">
        <v>1366</v>
      </c>
      <c r="M168" t="str">
        <f t="shared" si="11"/>
        <v>PT</v>
      </c>
      <c r="N168" s="6" t="s">
        <v>1360</v>
      </c>
    </row>
    <row r="169" spans="1:14" ht="22.5" customHeight="1" x14ac:dyDescent="0.25">
      <c r="A169" t="s">
        <v>705</v>
      </c>
      <c r="B169" s="2" t="s">
        <v>705</v>
      </c>
      <c r="C169">
        <f>$C$2*Families!J145</f>
        <v>0</v>
      </c>
      <c r="D169">
        <f>$D$2*Novelty!D145</f>
        <v>0.12</v>
      </c>
      <c r="E169">
        <f>$E$2*VLOOKUP(A169,Interdisciplinarity!$K$3:$M$258,3,0)</f>
        <v>5.000000000000001E-3</v>
      </c>
      <c r="F169">
        <f t="shared" si="8"/>
        <v>0</v>
      </c>
      <c r="G169">
        <f t="shared" si="9"/>
        <v>0.01</v>
      </c>
      <c r="H169">
        <f>$H$2*VLOOKUP(A169,Lexis_Сoefficient!$A$3:$F$257,6,0)</f>
        <v>4.200000000000001E-2</v>
      </c>
      <c r="I169">
        <v>0</v>
      </c>
      <c r="J169">
        <f>$J$2*VLOOKUP(A169,'Patent availability1'!$L$4:$V$261,11,0)</f>
        <v>4.0000000000000008E-2</v>
      </c>
      <c r="K169">
        <f t="shared" si="10"/>
        <v>9.2000000000000026E-2</v>
      </c>
      <c r="L169" s="2" t="s">
        <v>706</v>
      </c>
      <c r="M169" t="str">
        <f t="shared" si="11"/>
        <v>RU</v>
      </c>
      <c r="N169" s="6" t="s">
        <v>57</v>
      </c>
    </row>
    <row r="170" spans="1:14" ht="22.5" customHeight="1" x14ac:dyDescent="0.25">
      <c r="A170" t="s">
        <v>971</v>
      </c>
      <c r="B170" s="2" t="s">
        <v>969</v>
      </c>
      <c r="C170">
        <f>$C$2*Families!J192</f>
        <v>0.04</v>
      </c>
      <c r="D170">
        <f>$D$2*Novelty!D192</f>
        <v>4.0000000000000008E-2</v>
      </c>
      <c r="E170">
        <f>$E$2*VLOOKUP(A170,Interdisciplinarity!$K$3:$M$258,3,0)</f>
        <v>2.0000000000000004E-2</v>
      </c>
      <c r="F170">
        <f t="shared" si="8"/>
        <v>0</v>
      </c>
      <c r="G170">
        <f t="shared" si="9"/>
        <v>0.01</v>
      </c>
      <c r="H170">
        <f>$H$2*VLOOKUP(A170,Lexis_Сoefficient!$A$3:$F$257,6,0)</f>
        <v>5.4000000000000006E-2</v>
      </c>
      <c r="I170">
        <v>0</v>
      </c>
      <c r="J170">
        <f>$J$2*VLOOKUP(A170,'Patent availability1'!$L$4:$V$261,11,0)</f>
        <v>0.05</v>
      </c>
      <c r="K170">
        <f t="shared" si="10"/>
        <v>0.114</v>
      </c>
      <c r="L170" s="2" t="s">
        <v>970</v>
      </c>
      <c r="M170" t="str">
        <f t="shared" si="11"/>
        <v>RU</v>
      </c>
      <c r="N170" s="6" t="s">
        <v>973</v>
      </c>
    </row>
    <row r="171" spans="1:14" ht="22.5" customHeight="1" x14ac:dyDescent="0.25">
      <c r="A171" t="s">
        <v>911</v>
      </c>
      <c r="B171" s="2" t="s">
        <v>909</v>
      </c>
      <c r="C171">
        <f>$C$2*Families!J183</f>
        <v>0.04</v>
      </c>
      <c r="D171">
        <f>$D$2*Novelty!D183</f>
        <v>4.0000000000000008E-2</v>
      </c>
      <c r="E171">
        <f>$E$2*VLOOKUP(A171,Interdisciplinarity!$K$3:$M$258,3,0)</f>
        <v>0.06</v>
      </c>
      <c r="F171">
        <f t="shared" si="8"/>
        <v>0</v>
      </c>
      <c r="G171">
        <f t="shared" si="9"/>
        <v>0.01</v>
      </c>
      <c r="H171">
        <f>$H$2*VLOOKUP(A171,Lexis_Сoefficient!$A$3:$F$257,6,0)</f>
        <v>1.8000000000000002E-2</v>
      </c>
      <c r="I171">
        <v>0</v>
      </c>
      <c r="J171">
        <f>$J$2*VLOOKUP(A171,'Patent availability1'!$L$4:$V$261,11,0)</f>
        <v>0.05</v>
      </c>
      <c r="K171">
        <f t="shared" si="10"/>
        <v>7.8000000000000014E-2</v>
      </c>
      <c r="L171" s="2" t="s">
        <v>910</v>
      </c>
      <c r="M171" t="str">
        <f t="shared" si="11"/>
        <v>RU</v>
      </c>
      <c r="N171" s="6" t="s">
        <v>913</v>
      </c>
    </row>
    <row r="172" spans="1:14" ht="22.5" customHeight="1" x14ac:dyDescent="0.25">
      <c r="A172" t="s">
        <v>60</v>
      </c>
      <c r="B172" s="2" t="s">
        <v>58</v>
      </c>
      <c r="C172">
        <f>$C$2*Families!J8</f>
        <v>0</v>
      </c>
      <c r="D172">
        <f>$D$2*Novelty!D8</f>
        <v>4.0000000000000008E-2</v>
      </c>
      <c r="E172">
        <f>$E$2*VLOOKUP(A172,Interdisciplinarity!$K$3:$M$258,3,0)</f>
        <v>5.000000000000001E-3</v>
      </c>
      <c r="F172">
        <f t="shared" si="8"/>
        <v>0</v>
      </c>
      <c r="G172">
        <f t="shared" si="9"/>
        <v>0.01</v>
      </c>
      <c r="H172">
        <f>$H$2*VLOOKUP(A172,Lexis_Сoefficient!$A$3:$F$257,6,0)</f>
        <v>4.200000000000001E-2</v>
      </c>
      <c r="I172">
        <v>0</v>
      </c>
      <c r="J172">
        <f>$J$2*VLOOKUP(A172,'Patent availability1'!$L$4:$V$261,11,0)</f>
        <v>0.05</v>
      </c>
      <c r="K172">
        <f t="shared" si="10"/>
        <v>0.10200000000000001</v>
      </c>
      <c r="L172" s="2" t="s">
        <v>59</v>
      </c>
      <c r="M172" t="str">
        <f t="shared" si="11"/>
        <v>RU</v>
      </c>
      <c r="N172" s="6" t="s">
        <v>53</v>
      </c>
    </row>
    <row r="173" spans="1:14" ht="22.5" customHeight="1" x14ac:dyDescent="0.25">
      <c r="A173" t="s">
        <v>1076</v>
      </c>
      <c r="B173" s="2" t="s">
        <v>1074</v>
      </c>
      <c r="C173">
        <f>$C$2*Families!J211</f>
        <v>0</v>
      </c>
      <c r="D173">
        <f>$D$2*Novelty!D211</f>
        <v>1.0000000000000002E-2</v>
      </c>
      <c r="E173">
        <f>$E$2*VLOOKUP(A173,Interdisciplinarity!$K$3:$M$258,3,0)</f>
        <v>2.0000000000000004E-2</v>
      </c>
      <c r="F173">
        <f t="shared" si="8"/>
        <v>0</v>
      </c>
      <c r="G173">
        <f t="shared" si="9"/>
        <v>0.01</v>
      </c>
      <c r="H173">
        <f>$H$2*VLOOKUP(A173,Lexis_Сoefficient!$A$3:$F$257,6,0)</f>
        <v>5.4000000000000006E-2</v>
      </c>
      <c r="I173">
        <v>0</v>
      </c>
      <c r="J173">
        <f>$J$2*VLOOKUP(A173,'Patent availability1'!$L$4:$V$261,11,0)</f>
        <v>0.05</v>
      </c>
      <c r="K173">
        <f t="shared" si="10"/>
        <v>0.114</v>
      </c>
      <c r="L173" s="2" t="s">
        <v>1075</v>
      </c>
      <c r="M173" t="str">
        <f t="shared" si="11"/>
        <v>RU</v>
      </c>
      <c r="N173" s="6" t="s">
        <v>1078</v>
      </c>
    </row>
    <row r="174" spans="1:14" ht="22.5" customHeight="1" x14ac:dyDescent="0.25">
      <c r="A174" t="s">
        <v>1034</v>
      </c>
      <c r="B174" s="2" t="s">
        <v>1034</v>
      </c>
      <c r="C174">
        <f>$C$2*Families!J204</f>
        <v>0</v>
      </c>
      <c r="D174">
        <f>$D$2*Novelty!D204</f>
        <v>1.0000000000000002E-2</v>
      </c>
      <c r="E174">
        <f>$E$2*VLOOKUP(A174,Interdisciplinarity!$K$3:$M$258,3,0)</f>
        <v>0.06</v>
      </c>
      <c r="F174">
        <f t="shared" si="8"/>
        <v>0</v>
      </c>
      <c r="G174">
        <f t="shared" si="9"/>
        <v>0.01</v>
      </c>
      <c r="H174">
        <f>$H$2*VLOOKUP(A174,Lexis_Сoefficient!$A$3:$F$257,6,0)</f>
        <v>4.200000000000001E-2</v>
      </c>
      <c r="I174">
        <v>0</v>
      </c>
      <c r="J174">
        <f>$J$2*VLOOKUP(A174,'Patent availability1'!$L$4:$V$261,11,0)</f>
        <v>0.05</v>
      </c>
      <c r="K174">
        <f t="shared" si="10"/>
        <v>0.10200000000000001</v>
      </c>
      <c r="L174" s="2" t="s">
        <v>51</v>
      </c>
      <c r="M174" t="str">
        <f t="shared" si="11"/>
        <v>RU</v>
      </c>
      <c r="N174" s="6" t="s">
        <v>1036</v>
      </c>
    </row>
    <row r="175" spans="1:14" ht="22.5" customHeight="1" x14ac:dyDescent="0.25">
      <c r="A175" t="s">
        <v>1038</v>
      </c>
      <c r="B175" s="2" t="s">
        <v>1038</v>
      </c>
      <c r="C175">
        <f>$C$2*Families!J205</f>
        <v>0</v>
      </c>
      <c r="D175">
        <f>$D$2*Novelty!D205</f>
        <v>1.0000000000000002E-2</v>
      </c>
      <c r="E175">
        <f>$E$2*VLOOKUP(A175,Interdisciplinarity!$K$3:$M$258,3,0)</f>
        <v>5.000000000000001E-3</v>
      </c>
      <c r="F175">
        <f t="shared" si="8"/>
        <v>0</v>
      </c>
      <c r="G175">
        <f t="shared" si="9"/>
        <v>0.01</v>
      </c>
      <c r="H175">
        <f>$H$2*VLOOKUP(A175,Lexis_Сoefficient!$A$3:$F$257,6,0)</f>
        <v>4.200000000000001E-2</v>
      </c>
      <c r="I175">
        <v>0</v>
      </c>
      <c r="J175">
        <f>$J$2*VLOOKUP(A175,'Patent availability1'!$L$4:$V$261,11,0)</f>
        <v>0.05</v>
      </c>
      <c r="K175">
        <f t="shared" si="10"/>
        <v>0.10200000000000001</v>
      </c>
      <c r="L175" s="2" t="s">
        <v>51</v>
      </c>
      <c r="M175" t="str">
        <f t="shared" si="11"/>
        <v>RU</v>
      </c>
      <c r="N175" s="6" t="s">
        <v>1020</v>
      </c>
    </row>
    <row r="176" spans="1:14" ht="22.5" customHeight="1" x14ac:dyDescent="0.25">
      <c r="A176" t="s">
        <v>1018</v>
      </c>
      <c r="B176" s="2" t="s">
        <v>1018</v>
      </c>
      <c r="C176">
        <f>$C$2*Families!J201</f>
        <v>0</v>
      </c>
      <c r="D176">
        <f>$D$2*Novelty!D201</f>
        <v>1.0000000000000002E-2</v>
      </c>
      <c r="E176">
        <f>$E$2*VLOOKUP(A176,Interdisciplinarity!$K$3:$M$258,3,0)</f>
        <v>5.000000000000001E-3</v>
      </c>
      <c r="F176">
        <f t="shared" si="8"/>
        <v>0</v>
      </c>
      <c r="G176">
        <f t="shared" si="9"/>
        <v>0.01</v>
      </c>
      <c r="H176">
        <f>$H$2*VLOOKUP(A176,Lexis_Сoefficient!$A$3:$F$257,6,0)</f>
        <v>1.8000000000000002E-2</v>
      </c>
      <c r="I176">
        <v>0</v>
      </c>
      <c r="J176">
        <f>$J$2*VLOOKUP(A176,'Patent availability1'!$L$4:$V$261,11,0)</f>
        <v>0.05</v>
      </c>
      <c r="K176">
        <f t="shared" si="10"/>
        <v>7.8000000000000014E-2</v>
      </c>
      <c r="L176" s="2" t="s">
        <v>51</v>
      </c>
      <c r="M176" t="str">
        <f t="shared" si="11"/>
        <v>RU</v>
      </c>
      <c r="N176" s="6" t="s">
        <v>1020</v>
      </c>
    </row>
    <row r="177" spans="1:14" ht="22.5" customHeight="1" x14ac:dyDescent="0.25">
      <c r="A177" t="s">
        <v>1001</v>
      </c>
      <c r="B177" s="2" t="s">
        <v>1001</v>
      </c>
      <c r="C177">
        <f>$C$2*Families!J198</f>
        <v>0</v>
      </c>
      <c r="D177">
        <f>$D$2*Novelty!D198</f>
        <v>4.0000000000000008E-2</v>
      </c>
      <c r="E177">
        <f>$E$2*VLOOKUP(A177,Interdisciplinarity!$K$3:$M$258,3,0)</f>
        <v>5.000000000000001E-3</v>
      </c>
      <c r="F177">
        <f t="shared" si="8"/>
        <v>0</v>
      </c>
      <c r="G177">
        <f t="shared" si="9"/>
        <v>0.01</v>
      </c>
      <c r="H177">
        <f>$H$2*VLOOKUP(A177,Lexis_Сoefficient!$A$3:$F$257,6,0)</f>
        <v>4.200000000000001E-2</v>
      </c>
      <c r="I177">
        <v>0</v>
      </c>
      <c r="J177">
        <f>$J$2*VLOOKUP(A177,'Patent availability1'!$L$4:$V$261,11,0)</f>
        <v>0.05</v>
      </c>
      <c r="K177">
        <f t="shared" si="10"/>
        <v>0.10200000000000001</v>
      </c>
      <c r="L177" s="2" t="s">
        <v>51</v>
      </c>
      <c r="M177" t="str">
        <f t="shared" si="11"/>
        <v>RU</v>
      </c>
      <c r="N177" s="6" t="s">
        <v>1003</v>
      </c>
    </row>
    <row r="178" spans="1:14" ht="22.5" customHeight="1" x14ac:dyDescent="0.25">
      <c r="A178" t="s">
        <v>990</v>
      </c>
      <c r="B178" s="2" t="s">
        <v>990</v>
      </c>
      <c r="C178">
        <f>$C$2*Families!J196</f>
        <v>0</v>
      </c>
      <c r="D178">
        <f>$D$2*Novelty!D196</f>
        <v>4.0000000000000008E-2</v>
      </c>
      <c r="E178">
        <f>$E$2*VLOOKUP(A178,Interdisciplinarity!$K$3:$M$258,3,0)</f>
        <v>2.0000000000000004E-2</v>
      </c>
      <c r="F178">
        <f t="shared" si="8"/>
        <v>0</v>
      </c>
      <c r="G178">
        <f t="shared" si="9"/>
        <v>0.01</v>
      </c>
      <c r="H178">
        <f>$H$2*VLOOKUP(A178,Lexis_Сoefficient!$A$3:$F$257,6,0)</f>
        <v>4.200000000000001E-2</v>
      </c>
      <c r="I178">
        <v>0</v>
      </c>
      <c r="J178">
        <f>$J$2*VLOOKUP(A178,'Patent availability1'!$L$4:$V$261,11,0)</f>
        <v>0.05</v>
      </c>
      <c r="K178">
        <f t="shared" si="10"/>
        <v>0.10200000000000001</v>
      </c>
      <c r="L178" s="2" t="s">
        <v>991</v>
      </c>
      <c r="M178" t="str">
        <f t="shared" si="11"/>
        <v>RU</v>
      </c>
      <c r="N178" s="6" t="s">
        <v>993</v>
      </c>
    </row>
    <row r="179" spans="1:14" ht="22.5" customHeight="1" x14ac:dyDescent="0.25">
      <c r="A179" t="s">
        <v>980</v>
      </c>
      <c r="B179" s="2" t="s">
        <v>980</v>
      </c>
      <c r="C179">
        <f>$C$2*Families!J194</f>
        <v>0</v>
      </c>
      <c r="D179">
        <f>$D$2*Novelty!D194</f>
        <v>4.0000000000000008E-2</v>
      </c>
      <c r="E179">
        <f>$E$2*VLOOKUP(A179,Interdisciplinarity!$K$3:$M$258,3,0)</f>
        <v>5.000000000000001E-3</v>
      </c>
      <c r="F179">
        <f t="shared" si="8"/>
        <v>0</v>
      </c>
      <c r="G179">
        <f t="shared" si="9"/>
        <v>0.01</v>
      </c>
      <c r="H179">
        <f>$H$2*VLOOKUP(A179,Lexis_Сoefficient!$A$3:$F$257,6,0)</f>
        <v>1.8000000000000002E-2</v>
      </c>
      <c r="I179">
        <v>0</v>
      </c>
      <c r="J179">
        <f>$J$2*VLOOKUP(A179,'Patent availability1'!$L$4:$V$261,11,0)</f>
        <v>0.05</v>
      </c>
      <c r="K179">
        <f t="shared" si="10"/>
        <v>7.8000000000000014E-2</v>
      </c>
      <c r="L179" s="2" t="s">
        <v>51</v>
      </c>
      <c r="M179" t="str">
        <f t="shared" si="11"/>
        <v>RU</v>
      </c>
      <c r="N179" s="6" t="s">
        <v>982</v>
      </c>
    </row>
    <row r="180" spans="1:14" ht="22.5" customHeight="1" x14ac:dyDescent="0.25">
      <c r="A180" t="s">
        <v>976</v>
      </c>
      <c r="B180" s="2" t="s">
        <v>976</v>
      </c>
      <c r="C180">
        <f>$C$2*Families!J193</f>
        <v>0.04</v>
      </c>
      <c r="D180">
        <f>$D$2*Novelty!D193</f>
        <v>4.0000000000000008E-2</v>
      </c>
      <c r="E180">
        <f>$E$2*VLOOKUP(A180,Interdisciplinarity!$K$3:$M$258,3,0)</f>
        <v>0.06</v>
      </c>
      <c r="F180">
        <f t="shared" si="8"/>
        <v>0</v>
      </c>
      <c r="G180">
        <f t="shared" si="9"/>
        <v>0.01</v>
      </c>
      <c r="H180">
        <f>$H$2*VLOOKUP(A180,Lexis_Сoefficient!$A$3:$F$257,6,0)</f>
        <v>4.200000000000001E-2</v>
      </c>
      <c r="I180">
        <v>0</v>
      </c>
      <c r="J180">
        <f>$J$2*VLOOKUP(A180,'Patent availability1'!$L$4:$V$261,11,0)</f>
        <v>0.05</v>
      </c>
      <c r="K180">
        <f t="shared" si="10"/>
        <v>0.10200000000000001</v>
      </c>
      <c r="L180" s="2" t="s">
        <v>51</v>
      </c>
      <c r="M180" t="str">
        <f t="shared" si="11"/>
        <v>RU</v>
      </c>
      <c r="N180" s="6" t="s">
        <v>978</v>
      </c>
    </row>
    <row r="181" spans="1:14" ht="22.5" customHeight="1" x14ac:dyDescent="0.25">
      <c r="A181" t="s">
        <v>965</v>
      </c>
      <c r="B181" s="2" t="s">
        <v>965</v>
      </c>
      <c r="C181">
        <f>$C$2*Families!J191</f>
        <v>0.04</v>
      </c>
      <c r="D181">
        <f>$D$2*Novelty!D191</f>
        <v>4.0000000000000008E-2</v>
      </c>
      <c r="E181">
        <f>$E$2*VLOOKUP(A181,Interdisciplinarity!$K$3:$M$258,3,0)</f>
        <v>2.0000000000000004E-2</v>
      </c>
      <c r="F181">
        <f t="shared" si="8"/>
        <v>0</v>
      </c>
      <c r="G181">
        <f t="shared" si="9"/>
        <v>0.01</v>
      </c>
      <c r="H181">
        <f>$H$2*VLOOKUP(A181,Lexis_Сoefficient!$A$3:$F$257,6,0)</f>
        <v>4.200000000000001E-2</v>
      </c>
      <c r="I181">
        <v>0</v>
      </c>
      <c r="J181">
        <f>$J$2*VLOOKUP(A181,'Patent availability1'!$L$4:$V$261,11,0)</f>
        <v>0.05</v>
      </c>
      <c r="K181">
        <f t="shared" si="10"/>
        <v>0.10200000000000001</v>
      </c>
      <c r="L181" s="2" t="s">
        <v>51</v>
      </c>
      <c r="M181" t="str">
        <f t="shared" si="11"/>
        <v>RU</v>
      </c>
      <c r="N181" s="6" t="s">
        <v>967</v>
      </c>
    </row>
    <row r="182" spans="1:14" ht="22.5" customHeight="1" x14ac:dyDescent="0.25">
      <c r="A182" t="s">
        <v>50</v>
      </c>
      <c r="B182" s="2" t="s">
        <v>50</v>
      </c>
      <c r="C182">
        <f>$C$2*Families!J7</f>
        <v>0</v>
      </c>
      <c r="D182">
        <f>$D$2*Novelty!D7</f>
        <v>4.0000000000000008E-2</v>
      </c>
      <c r="E182">
        <f>$E$2*VLOOKUP(A182,Interdisciplinarity!$K$3:$M$258,3,0)</f>
        <v>5.000000000000001E-3</v>
      </c>
      <c r="F182">
        <f t="shared" si="8"/>
        <v>0</v>
      </c>
      <c r="G182">
        <f t="shared" si="9"/>
        <v>0.01</v>
      </c>
      <c r="H182">
        <f>$H$2*VLOOKUP(A182,Lexis_Сoefficient!$A$3:$F$257,6,0)</f>
        <v>0.10600000000000001</v>
      </c>
      <c r="I182">
        <v>0</v>
      </c>
      <c r="J182">
        <f>$J$2*VLOOKUP(A182,'Patent availability1'!$L$4:$V$261,11,0)</f>
        <v>0.05</v>
      </c>
      <c r="K182">
        <f t="shared" si="10"/>
        <v>0.16600000000000001</v>
      </c>
      <c r="L182" s="2" t="s">
        <v>51</v>
      </c>
      <c r="M182" t="str">
        <f t="shared" si="11"/>
        <v>RU</v>
      </c>
      <c r="N182" s="6" t="s">
        <v>53</v>
      </c>
    </row>
    <row r="183" spans="1:14" ht="22.5" customHeight="1" x14ac:dyDescent="0.25">
      <c r="A183" t="s">
        <v>867</v>
      </c>
      <c r="B183" s="2" t="s">
        <v>867</v>
      </c>
      <c r="C183">
        <f>$C$2*Families!J176</f>
        <v>0.04</v>
      </c>
      <c r="D183">
        <f>$D$2*Novelty!D176</f>
        <v>4.0000000000000008E-2</v>
      </c>
      <c r="E183">
        <f>$E$2*VLOOKUP(A183,Interdisciplinarity!$K$3:$M$258,3,0)</f>
        <v>0.06</v>
      </c>
      <c r="F183">
        <f t="shared" si="8"/>
        <v>0</v>
      </c>
      <c r="G183">
        <f t="shared" si="9"/>
        <v>0.01</v>
      </c>
      <c r="H183">
        <f>$H$2*VLOOKUP(A183,Lexis_Сoefficient!$A$3:$F$257,6,0)</f>
        <v>0.10600000000000001</v>
      </c>
      <c r="I183">
        <v>0</v>
      </c>
      <c r="J183">
        <f>$J$2*VLOOKUP(A183,'Patent availability1'!$L$4:$V$261,11,0)</f>
        <v>0.05</v>
      </c>
      <c r="K183">
        <f t="shared" si="10"/>
        <v>0.16600000000000001</v>
      </c>
      <c r="L183" s="2" t="s">
        <v>51</v>
      </c>
      <c r="M183" t="str">
        <f t="shared" si="11"/>
        <v>RU</v>
      </c>
      <c r="N183" s="6" t="s">
        <v>521</v>
      </c>
    </row>
    <row r="184" spans="1:14" ht="22.5" customHeight="1" x14ac:dyDescent="0.25">
      <c r="A184" t="s">
        <v>110</v>
      </c>
      <c r="B184" s="2" t="s">
        <v>110</v>
      </c>
      <c r="C184">
        <f>$C$2*Families!J16</f>
        <v>0.04</v>
      </c>
      <c r="D184">
        <f>$D$2*Novelty!D16</f>
        <v>4.0000000000000008E-2</v>
      </c>
      <c r="E184">
        <f>$E$2*VLOOKUP(A184,Interdisciplinarity!$K$3:$M$258,3,0)</f>
        <v>0.06</v>
      </c>
      <c r="F184">
        <f t="shared" si="8"/>
        <v>0</v>
      </c>
      <c r="G184">
        <f t="shared" si="9"/>
        <v>0.01</v>
      </c>
      <c r="H184">
        <f>$H$2*VLOOKUP(A184,Lexis_Сoefficient!$A$3:$F$257,6,0)</f>
        <v>1.8000000000000002E-2</v>
      </c>
      <c r="I184">
        <v>0</v>
      </c>
      <c r="J184">
        <f>$J$2*VLOOKUP(A184,'Patent availability1'!$L$4:$V$261,11,0)</f>
        <v>0.05</v>
      </c>
      <c r="K184">
        <f t="shared" si="10"/>
        <v>7.8000000000000014E-2</v>
      </c>
      <c r="L184" s="2" t="s">
        <v>51</v>
      </c>
      <c r="M184" t="str">
        <f t="shared" si="11"/>
        <v>RU</v>
      </c>
      <c r="N184" s="6" t="s">
        <v>108</v>
      </c>
    </row>
    <row r="185" spans="1:14" ht="22.5" customHeight="1" x14ac:dyDescent="0.25">
      <c r="A185" t="s">
        <v>648</v>
      </c>
      <c r="B185" s="2" t="s">
        <v>646</v>
      </c>
      <c r="C185">
        <f>$C$2*Families!J135</f>
        <v>0.04</v>
      </c>
      <c r="D185">
        <f>$D$2*Novelty!D135</f>
        <v>0.12</v>
      </c>
      <c r="E185">
        <f>$E$2*VLOOKUP(A185,Interdisciplinarity!$K$3:$M$258,3,0)</f>
        <v>8.5000000000000006E-2</v>
      </c>
      <c r="F185">
        <f t="shared" si="8"/>
        <v>0</v>
      </c>
      <c r="G185">
        <f t="shared" si="9"/>
        <v>0.01</v>
      </c>
      <c r="H185">
        <f>$H$2*VLOOKUP(A185,Lexis_Сoefficient!$A$3:$F$257,6,0)</f>
        <v>0.16400000000000003</v>
      </c>
      <c r="I185">
        <v>0</v>
      </c>
      <c r="J185">
        <f>$J$2*VLOOKUP(A185,'Patent availability1'!$L$4:$V$261,11,0)</f>
        <v>0.05</v>
      </c>
      <c r="K185">
        <f t="shared" si="10"/>
        <v>0.22400000000000003</v>
      </c>
      <c r="L185" s="2" t="s">
        <v>647</v>
      </c>
      <c r="M185" t="str">
        <f t="shared" si="11"/>
        <v>RU</v>
      </c>
      <c r="N185" s="6" t="s">
        <v>292</v>
      </c>
    </row>
    <row r="186" spans="1:14" ht="22.5" customHeight="1" x14ac:dyDescent="0.25">
      <c r="A186" t="s">
        <v>629</v>
      </c>
      <c r="B186" s="2" t="s">
        <v>627</v>
      </c>
      <c r="C186">
        <f>$C$2*Families!J131</f>
        <v>0.04</v>
      </c>
      <c r="D186">
        <f>$D$2*Novelty!D131</f>
        <v>0.12</v>
      </c>
      <c r="E186">
        <f>$E$2*VLOOKUP(A186,Interdisciplinarity!$K$3:$M$258,3,0)</f>
        <v>8.5000000000000006E-2</v>
      </c>
      <c r="F186">
        <f t="shared" si="8"/>
        <v>0</v>
      </c>
      <c r="G186">
        <f t="shared" si="9"/>
        <v>0.01</v>
      </c>
      <c r="H186">
        <f>$H$2*VLOOKUP(A186,Lexis_Сoefficient!$A$3:$F$257,6,0)</f>
        <v>0.22200000000000003</v>
      </c>
      <c r="I186">
        <v>0</v>
      </c>
      <c r="J186">
        <f>$J$2*VLOOKUP(A186,'Patent availability1'!$L$4:$V$261,11,0)</f>
        <v>0.05</v>
      </c>
      <c r="K186">
        <f t="shared" si="10"/>
        <v>0.28200000000000003</v>
      </c>
      <c r="L186" s="2" t="s">
        <v>628</v>
      </c>
      <c r="M186" t="str">
        <f t="shared" si="11"/>
        <v>RU</v>
      </c>
      <c r="N186" s="6" t="s">
        <v>102</v>
      </c>
    </row>
    <row r="187" spans="1:14" ht="22.5" customHeight="1" x14ac:dyDescent="0.25">
      <c r="A187" t="s">
        <v>106</v>
      </c>
      <c r="B187" s="2" t="s">
        <v>106</v>
      </c>
      <c r="C187">
        <f>$C$2*Families!J15</f>
        <v>0.04</v>
      </c>
      <c r="D187">
        <f>$D$2*Novelty!D15</f>
        <v>0.12</v>
      </c>
      <c r="E187">
        <f>$E$2*VLOOKUP(A187,Interdisciplinarity!$K$3:$M$258,3,0)</f>
        <v>0.06</v>
      </c>
      <c r="F187">
        <f t="shared" si="8"/>
        <v>0</v>
      </c>
      <c r="G187">
        <f t="shared" si="9"/>
        <v>0.01</v>
      </c>
      <c r="H187">
        <f>$H$2*VLOOKUP(A187,Lexis_Сoefficient!$A$3:$F$257,6,0)</f>
        <v>1.8000000000000002E-2</v>
      </c>
      <c r="I187">
        <v>0</v>
      </c>
      <c r="J187">
        <f>$J$2*VLOOKUP(A187,'Patent availability1'!$L$4:$V$261,11,0)</f>
        <v>0.05</v>
      </c>
      <c r="K187">
        <f t="shared" si="10"/>
        <v>7.8000000000000014E-2</v>
      </c>
      <c r="L187" s="2" t="s">
        <v>51</v>
      </c>
      <c r="M187" t="str">
        <f t="shared" si="11"/>
        <v>RU</v>
      </c>
      <c r="N187" s="6" t="s">
        <v>108</v>
      </c>
    </row>
    <row r="188" spans="1:14" ht="22.5" customHeight="1" x14ac:dyDescent="0.25">
      <c r="A188" t="s">
        <v>554</v>
      </c>
      <c r="B188" s="2" t="s">
        <v>552</v>
      </c>
      <c r="C188">
        <f>$C$2*Families!J112</f>
        <v>0.04</v>
      </c>
      <c r="D188">
        <f>$D$2*Novelty!D112</f>
        <v>0.12</v>
      </c>
      <c r="E188">
        <f>$E$2*VLOOKUP(A188,Interdisciplinarity!$K$3:$M$258,3,0)</f>
        <v>2.0000000000000004E-2</v>
      </c>
      <c r="F188">
        <f t="shared" si="8"/>
        <v>0</v>
      </c>
      <c r="G188">
        <f t="shared" si="9"/>
        <v>0.01</v>
      </c>
      <c r="H188">
        <f>$H$2*VLOOKUP(A188,Lexis_Сoefficient!$A$3:$F$257,6,0)</f>
        <v>0.22200000000000003</v>
      </c>
      <c r="I188">
        <v>0</v>
      </c>
      <c r="J188">
        <f>$J$2*VLOOKUP(A188,'Patent availability1'!$L$4:$V$261,11,0)</f>
        <v>0.05</v>
      </c>
      <c r="K188">
        <f t="shared" si="10"/>
        <v>0.28200000000000003</v>
      </c>
      <c r="L188" s="2" t="s">
        <v>553</v>
      </c>
      <c r="M188" t="str">
        <f t="shared" si="11"/>
        <v>RU</v>
      </c>
      <c r="N188" s="6" t="s">
        <v>102</v>
      </c>
    </row>
    <row r="189" spans="1:14" ht="22.5" customHeight="1" x14ac:dyDescent="0.25">
      <c r="A189" t="s">
        <v>100</v>
      </c>
      <c r="B189" s="2" t="s">
        <v>98</v>
      </c>
      <c r="C189">
        <f>$C$2*Families!J14</f>
        <v>0</v>
      </c>
      <c r="D189">
        <f>$D$2*Novelty!D14</f>
        <v>0.12</v>
      </c>
      <c r="E189">
        <f>$E$2*VLOOKUP(A189,Interdisciplinarity!$K$3:$M$258,3,0)</f>
        <v>2.0000000000000004E-2</v>
      </c>
      <c r="F189">
        <f t="shared" si="8"/>
        <v>0</v>
      </c>
      <c r="G189">
        <f t="shared" si="9"/>
        <v>0.01</v>
      </c>
      <c r="H189">
        <f>$H$2*VLOOKUP(A189,Lexis_Сoefficient!$A$3:$F$257,6,0)</f>
        <v>0.21600000000000003</v>
      </c>
      <c r="I189">
        <v>0</v>
      </c>
      <c r="J189">
        <f>$J$2*VLOOKUP(A189,'Patent availability1'!$L$4:$V$261,11,0)</f>
        <v>0.05</v>
      </c>
      <c r="K189">
        <f t="shared" si="10"/>
        <v>0.27600000000000002</v>
      </c>
      <c r="L189" s="2" t="s">
        <v>99</v>
      </c>
      <c r="M189" t="str">
        <f t="shared" si="11"/>
        <v>RU</v>
      </c>
      <c r="N189" s="6" t="s">
        <v>102</v>
      </c>
    </row>
    <row r="190" spans="1:14" ht="22.5" customHeight="1" x14ac:dyDescent="0.25">
      <c r="A190" t="s">
        <v>519</v>
      </c>
      <c r="B190" s="2" t="s">
        <v>519</v>
      </c>
      <c r="C190">
        <f>$C$2*Families!J106</f>
        <v>0.04</v>
      </c>
      <c r="D190">
        <f>$D$2*Novelty!D106</f>
        <v>0.12</v>
      </c>
      <c r="E190">
        <f>$E$2*VLOOKUP(A190,Interdisciplinarity!$K$3:$M$258,3,0)</f>
        <v>5.000000000000001E-3</v>
      </c>
      <c r="F190">
        <f t="shared" si="8"/>
        <v>0</v>
      </c>
      <c r="G190">
        <f t="shared" si="9"/>
        <v>0.01</v>
      </c>
      <c r="H190">
        <f>$H$2*VLOOKUP(A190,Lexis_Сoefficient!$A$3:$F$257,6,0)</f>
        <v>1.8000000000000002E-2</v>
      </c>
      <c r="I190">
        <v>0</v>
      </c>
      <c r="J190">
        <f>$J$2*VLOOKUP(A190,'Patent availability1'!$L$4:$V$261,11,0)</f>
        <v>0.05</v>
      </c>
      <c r="K190">
        <f t="shared" si="10"/>
        <v>7.8000000000000014E-2</v>
      </c>
      <c r="L190" s="2" t="s">
        <v>51</v>
      </c>
      <c r="M190" t="str">
        <f t="shared" si="11"/>
        <v>RU</v>
      </c>
      <c r="N190" s="6" t="s">
        <v>521</v>
      </c>
    </row>
    <row r="191" spans="1:14" ht="22.5" customHeight="1" x14ac:dyDescent="0.25">
      <c r="A191" t="s">
        <v>426</v>
      </c>
      <c r="B191" s="2" t="s">
        <v>426</v>
      </c>
      <c r="C191">
        <f>$C$2*Families!J87</f>
        <v>0.04</v>
      </c>
      <c r="D191">
        <f>$D$2*Novelty!D87</f>
        <v>0.12</v>
      </c>
      <c r="E191">
        <f>$E$2*VLOOKUP(A191,Interdisciplinarity!$K$3:$M$258,3,0)</f>
        <v>2.0000000000000004E-2</v>
      </c>
      <c r="F191">
        <f t="shared" si="8"/>
        <v>0</v>
      </c>
      <c r="G191">
        <f t="shared" si="9"/>
        <v>0.01</v>
      </c>
      <c r="H191">
        <f>$H$2*VLOOKUP(A191,Lexis_Сoefficient!$A$3:$F$257,6,0)</f>
        <v>4.200000000000001E-2</v>
      </c>
      <c r="I191">
        <v>0</v>
      </c>
      <c r="J191">
        <f>$J$2*VLOOKUP(A191,'Patent availability1'!$L$4:$V$261,11,0)</f>
        <v>0.05</v>
      </c>
      <c r="K191">
        <f t="shared" si="10"/>
        <v>0.10200000000000001</v>
      </c>
      <c r="L191" s="2" t="s">
        <v>51</v>
      </c>
      <c r="M191" t="str">
        <f t="shared" si="11"/>
        <v>RU</v>
      </c>
      <c r="N191" s="6" t="s">
        <v>428</v>
      </c>
    </row>
    <row r="192" spans="1:14" ht="22.5" customHeight="1" x14ac:dyDescent="0.25">
      <c r="A192" t="s">
        <v>93</v>
      </c>
      <c r="B192" s="2" t="s">
        <v>93</v>
      </c>
      <c r="C192">
        <f>$C$2*Families!J13</f>
        <v>0.04</v>
      </c>
      <c r="D192">
        <f>$D$2*Novelty!D13</f>
        <v>0.12</v>
      </c>
      <c r="E192">
        <f>$E$2*VLOOKUP(A192,Interdisciplinarity!$K$3:$M$258,3,0)</f>
        <v>2.0000000000000004E-2</v>
      </c>
      <c r="F192">
        <f t="shared" si="8"/>
        <v>0</v>
      </c>
      <c r="G192">
        <f t="shared" si="9"/>
        <v>0.01</v>
      </c>
      <c r="H192">
        <f>$H$2*VLOOKUP(A192,Lexis_Сoefficient!$A$3:$F$257,6,0)</f>
        <v>1.8000000000000002E-2</v>
      </c>
      <c r="I192">
        <v>0</v>
      </c>
      <c r="J192">
        <f>$J$2*VLOOKUP(A192,'Patent availability1'!$L$4:$V$261,11,0)</f>
        <v>0.05</v>
      </c>
      <c r="K192">
        <f t="shared" si="10"/>
        <v>7.8000000000000014E-2</v>
      </c>
      <c r="L192" s="2" t="s">
        <v>51</v>
      </c>
      <c r="M192" t="str">
        <f t="shared" si="11"/>
        <v>RU</v>
      </c>
      <c r="N192" s="6" t="s">
        <v>95</v>
      </c>
    </row>
    <row r="193" spans="1:14" ht="22.5" customHeight="1" x14ac:dyDescent="0.25">
      <c r="A193" t="s">
        <v>150</v>
      </c>
      <c r="B193" s="2" t="s">
        <v>150</v>
      </c>
      <c r="C193">
        <f>$C$2*Families!J23</f>
        <v>0</v>
      </c>
      <c r="D193">
        <f>$D$2*Novelty!D23</f>
        <v>0.2</v>
      </c>
      <c r="E193">
        <f>$E$2*VLOOKUP(A193,Interdisciplinarity!$K$3:$M$258,3,0)</f>
        <v>2.0000000000000004E-2</v>
      </c>
      <c r="F193">
        <f t="shared" si="8"/>
        <v>0</v>
      </c>
      <c r="G193">
        <f t="shared" si="9"/>
        <v>0.01</v>
      </c>
      <c r="H193">
        <f>$H$2*VLOOKUP(A193,Lexis_Сoefficient!$A$3:$F$257,6,0)</f>
        <v>1.8000000000000002E-2</v>
      </c>
      <c r="I193">
        <v>0</v>
      </c>
      <c r="J193">
        <f>$J$2*VLOOKUP(A193,'Patent availability1'!$L$4:$V$261,11,0)</f>
        <v>0.05</v>
      </c>
      <c r="K193">
        <f t="shared" si="10"/>
        <v>7.8000000000000014E-2</v>
      </c>
      <c r="L193" s="2" t="s">
        <v>51</v>
      </c>
      <c r="M193" t="str">
        <f t="shared" si="11"/>
        <v>RU</v>
      </c>
      <c r="N193" s="6" t="s">
        <v>129</v>
      </c>
    </row>
    <row r="194" spans="1:14" ht="22.5" customHeight="1" x14ac:dyDescent="0.25">
      <c r="A194" t="s">
        <v>127</v>
      </c>
      <c r="B194" s="2" t="s">
        <v>127</v>
      </c>
      <c r="C194">
        <f>$C$2*Families!J19</f>
        <v>0.04</v>
      </c>
      <c r="D194">
        <f>$D$2*Novelty!D19</f>
        <v>0.17</v>
      </c>
      <c r="E194">
        <f>$E$2*VLOOKUP(A194,Interdisciplinarity!$K$3:$M$258,3,0)</f>
        <v>0.06</v>
      </c>
      <c r="F194">
        <f t="shared" si="8"/>
        <v>0</v>
      </c>
      <c r="G194">
        <f t="shared" si="9"/>
        <v>0.01</v>
      </c>
      <c r="H194">
        <f>$H$2*VLOOKUP(A194,Lexis_Сoefficient!$A$3:$F$257,6,0)</f>
        <v>1.8000000000000002E-2</v>
      </c>
      <c r="I194">
        <v>0</v>
      </c>
      <c r="J194">
        <f>$J$2*VLOOKUP(A194,'Patent availability1'!$L$4:$V$261,11,0)</f>
        <v>0.05</v>
      </c>
      <c r="K194">
        <f t="shared" si="10"/>
        <v>7.8000000000000014E-2</v>
      </c>
      <c r="L194" s="2" t="s">
        <v>51</v>
      </c>
      <c r="M194" t="str">
        <f t="shared" si="11"/>
        <v>RU</v>
      </c>
      <c r="N194" s="6" t="s">
        <v>129</v>
      </c>
    </row>
    <row r="195" spans="1:14" ht="22.5" customHeight="1" x14ac:dyDescent="0.25">
      <c r="A195" t="s">
        <v>1055</v>
      </c>
      <c r="B195" s="2" t="s">
        <v>1053</v>
      </c>
      <c r="C195">
        <f>$C$2*Families!J208</f>
        <v>0</v>
      </c>
      <c r="D195">
        <f>$D$2*Novelty!D208</f>
        <v>1.0000000000000002E-2</v>
      </c>
      <c r="E195">
        <f>$E$2*VLOOKUP(A195,Interdisciplinarity!$K$3:$M$258,3,0)</f>
        <v>5.000000000000001E-3</v>
      </c>
      <c r="F195">
        <f t="shared" ref="F195:F257" si="12">$F$2*I195</f>
        <v>0</v>
      </c>
      <c r="G195">
        <f t="shared" ref="G195:G257" si="13">IF(M195="US",1,IF(M195="EP",1,IF(M195="WO",1,IF(M195="RU",1,IF(M195="CN",0.8,0)))))*$G$2</f>
        <v>0.01</v>
      </c>
      <c r="H195">
        <f>$H$2*VLOOKUP(A195,Lexis_Сoefficient!$A$3:$F$257,6,0)</f>
        <v>1.8000000000000002E-2</v>
      </c>
      <c r="I195">
        <v>0</v>
      </c>
      <c r="J195">
        <f>$J$2*VLOOKUP(A195,'Patent availability1'!$L$4:$V$261,11,0)</f>
        <v>0.05</v>
      </c>
      <c r="K195">
        <f t="shared" ref="K195:K257" si="14">SUM(F195:J195)-I195</f>
        <v>7.8000000000000014E-2</v>
      </c>
      <c r="L195" s="2" t="s">
        <v>1054</v>
      </c>
      <c r="M195" t="str">
        <f t="shared" ref="M195:M257" si="15">LEFT(A195,2)</f>
        <v>RU</v>
      </c>
      <c r="N195" s="6" t="s">
        <v>1057</v>
      </c>
    </row>
    <row r="196" spans="1:14" ht="22.5" customHeight="1" x14ac:dyDescent="0.25">
      <c r="A196" t="s">
        <v>11</v>
      </c>
      <c r="B196" s="2" t="s">
        <v>9</v>
      </c>
      <c r="C196">
        <f>$C$2*Families!J2</f>
        <v>0.04</v>
      </c>
      <c r="D196">
        <f>$D$2*Novelty!D2</f>
        <v>1.0000000000000002E-2</v>
      </c>
      <c r="E196">
        <f>$E$2*VLOOKUP(A196,Interdisciplinarity!$K$3:$M$258,3,0)</f>
        <v>5.000000000000001E-3</v>
      </c>
      <c r="F196">
        <f t="shared" si="12"/>
        <v>0.2</v>
      </c>
      <c r="G196">
        <f t="shared" si="13"/>
        <v>0.01</v>
      </c>
      <c r="H196">
        <f>$H$2*VLOOKUP(A196,Lexis_Сoefficient!$A$3:$F$257,6,0)</f>
        <v>0.14600000000000002</v>
      </c>
      <c r="I196">
        <v>1</v>
      </c>
      <c r="J196">
        <f>$J$2*VLOOKUP(A196,'Patent availability1'!$L$4:$V$261,11,0)</f>
        <v>0</v>
      </c>
      <c r="K196">
        <f t="shared" si="14"/>
        <v>0.35600000000000009</v>
      </c>
      <c r="L196" s="2" t="s">
        <v>10</v>
      </c>
      <c r="M196" t="str">
        <f t="shared" si="15"/>
        <v>US</v>
      </c>
      <c r="N196" s="6" t="s">
        <v>13</v>
      </c>
    </row>
    <row r="197" spans="1:14" ht="22.5" customHeight="1" x14ac:dyDescent="0.25">
      <c r="A197" t="s">
        <v>1374</v>
      </c>
      <c r="B197" s="2" t="s">
        <v>1372</v>
      </c>
      <c r="C197">
        <f>$C$2*Families!J254</f>
        <v>0</v>
      </c>
      <c r="D197">
        <f>$D$2*Novelty!D254</f>
        <v>1.0000000000000002E-2</v>
      </c>
      <c r="E197">
        <f>$E$2*VLOOKUP(A197,Interdisciplinarity!$K$3:$M$258,3,0)</f>
        <v>0.06</v>
      </c>
      <c r="F197">
        <f t="shared" si="12"/>
        <v>0.2</v>
      </c>
      <c r="G197">
        <f t="shared" si="13"/>
        <v>0.01</v>
      </c>
      <c r="H197">
        <f>$H$2*VLOOKUP(A197,Lexis_Сoefficient!$A$3:$F$257,6,0)</f>
        <v>0.17000000000000004</v>
      </c>
      <c r="I197">
        <v>1</v>
      </c>
      <c r="J197">
        <f>$J$2*VLOOKUP(A197,'Patent availability1'!$L$4:$V$261,11,0)</f>
        <v>0.05</v>
      </c>
      <c r="K197">
        <f t="shared" si="14"/>
        <v>0.43000000000000016</v>
      </c>
      <c r="L197" s="2" t="s">
        <v>1373</v>
      </c>
      <c r="M197" t="str">
        <f t="shared" si="15"/>
        <v>US</v>
      </c>
      <c r="N197" s="6" t="s">
        <v>1376</v>
      </c>
    </row>
    <row r="198" spans="1:14" ht="22.5" customHeight="1" x14ac:dyDescent="0.25">
      <c r="A198" t="s">
        <v>1349</v>
      </c>
      <c r="B198" s="2" t="s">
        <v>1348</v>
      </c>
      <c r="C198">
        <f>$C$2*Families!J251</f>
        <v>0.04</v>
      </c>
      <c r="D198">
        <f>$D$2*Novelty!D251</f>
        <v>1.0000000000000002E-2</v>
      </c>
      <c r="E198">
        <f>$E$2*VLOOKUP(A198,Interdisciplinarity!$K$3:$M$258,3,0)</f>
        <v>2.0000000000000004E-2</v>
      </c>
      <c r="F198">
        <f t="shared" si="12"/>
        <v>0</v>
      </c>
      <c r="G198">
        <f t="shared" si="13"/>
        <v>0.01</v>
      </c>
      <c r="H198">
        <f>$H$2*VLOOKUP(A198,Lexis_Сoefficient!$A$3:$F$257,6,0)</f>
        <v>0.23600000000000004</v>
      </c>
      <c r="I198">
        <v>0</v>
      </c>
      <c r="J198">
        <f>$J$2*VLOOKUP(A198,'Patent availability1'!$L$4:$V$261,11,0)</f>
        <v>0</v>
      </c>
      <c r="K198">
        <f t="shared" si="14"/>
        <v>0.24600000000000005</v>
      </c>
      <c r="L198" s="2" t="s">
        <v>1046</v>
      </c>
      <c r="M198" t="str">
        <f t="shared" si="15"/>
        <v>US</v>
      </c>
      <c r="N198" s="6" t="s">
        <v>1351</v>
      </c>
    </row>
    <row r="199" spans="1:14" ht="22.5" customHeight="1" x14ac:dyDescent="0.25">
      <c r="A199" t="s">
        <v>1310</v>
      </c>
      <c r="B199" s="2" t="s">
        <v>1309</v>
      </c>
      <c r="C199">
        <f>$C$2*Families!J245</f>
        <v>0.04</v>
      </c>
      <c r="D199">
        <f>$D$2*Novelty!D245</f>
        <v>1.0000000000000002E-2</v>
      </c>
      <c r="E199">
        <f>$E$2*VLOOKUP(A199,Interdisciplinarity!$K$3:$M$258,3,0)</f>
        <v>8.5000000000000006E-2</v>
      </c>
      <c r="F199">
        <f t="shared" si="12"/>
        <v>0</v>
      </c>
      <c r="G199">
        <f t="shared" si="13"/>
        <v>0.01</v>
      </c>
      <c r="H199">
        <f>$H$2*VLOOKUP(A199,Lexis_Сoefficient!$A$3:$F$257,6,0)</f>
        <v>0.10600000000000001</v>
      </c>
      <c r="I199">
        <v>0</v>
      </c>
      <c r="J199">
        <f>$J$2*VLOOKUP(A199,'Patent availability1'!$L$4:$V$261,11,0)</f>
        <v>0</v>
      </c>
      <c r="K199">
        <f t="shared" si="14"/>
        <v>0.11600000000000001</v>
      </c>
      <c r="L199" s="2" t="s">
        <v>10</v>
      </c>
      <c r="M199" t="str">
        <f t="shared" si="15"/>
        <v>US</v>
      </c>
      <c r="N199" s="6" t="s">
        <v>1312</v>
      </c>
    </row>
    <row r="200" spans="1:14" ht="22.5" customHeight="1" x14ac:dyDescent="0.25">
      <c r="A200" t="s">
        <v>1316</v>
      </c>
      <c r="B200" s="2" t="s">
        <v>1315</v>
      </c>
      <c r="C200">
        <f>$C$2*Families!J246</f>
        <v>0.04</v>
      </c>
      <c r="D200">
        <f>$D$2*Novelty!D246</f>
        <v>1.0000000000000002E-2</v>
      </c>
      <c r="E200">
        <f>$E$2*VLOOKUP(A200,Interdisciplinarity!$K$3:$M$258,3,0)</f>
        <v>2.0000000000000004E-2</v>
      </c>
      <c r="F200">
        <f t="shared" si="12"/>
        <v>0</v>
      </c>
      <c r="G200">
        <f t="shared" si="13"/>
        <v>0.01</v>
      </c>
      <c r="H200">
        <f>$H$2*VLOOKUP(A200,Lexis_Сoefficient!$A$3:$F$257,6,0)</f>
        <v>0.21200000000000002</v>
      </c>
      <c r="I200">
        <v>0</v>
      </c>
      <c r="J200">
        <f>$J$2*VLOOKUP(A200,'Patent availability1'!$L$4:$V$261,11,0)</f>
        <v>0</v>
      </c>
      <c r="K200">
        <f t="shared" si="14"/>
        <v>0.22200000000000003</v>
      </c>
      <c r="L200" s="2" t="s">
        <v>10</v>
      </c>
      <c r="M200" t="str">
        <f t="shared" si="15"/>
        <v>US</v>
      </c>
      <c r="N200" s="6" t="s">
        <v>1312</v>
      </c>
    </row>
    <row r="201" spans="1:14" ht="22.5" customHeight="1" x14ac:dyDescent="0.25">
      <c r="A201" t="s">
        <v>19</v>
      </c>
      <c r="B201" s="2" t="s">
        <v>18</v>
      </c>
      <c r="C201">
        <f>$C$2*Families!J3</f>
        <v>0</v>
      </c>
      <c r="D201">
        <f>$D$2*Novelty!D3</f>
        <v>1.0000000000000002E-2</v>
      </c>
      <c r="E201">
        <f>$E$2*VLOOKUP(A201,Interdisciplinarity!$K$3:$M$258,3,0)</f>
        <v>2.0000000000000004E-2</v>
      </c>
      <c r="F201">
        <f t="shared" si="12"/>
        <v>0.2</v>
      </c>
      <c r="G201">
        <f t="shared" si="13"/>
        <v>0.01</v>
      </c>
      <c r="H201">
        <f>$H$2*VLOOKUP(A201,Lexis_Сoefficient!$A$3:$F$257,6,0)</f>
        <v>0.21200000000000002</v>
      </c>
      <c r="I201">
        <v>1</v>
      </c>
      <c r="J201">
        <f>$J$2*VLOOKUP(A201,'Patent availability1'!$L$4:$V$261,11,0)</f>
        <v>0</v>
      </c>
      <c r="K201">
        <f t="shared" si="14"/>
        <v>0.42200000000000015</v>
      </c>
      <c r="L201" s="2" t="s">
        <v>10</v>
      </c>
      <c r="M201" t="str">
        <f t="shared" si="15"/>
        <v>US</v>
      </c>
      <c r="N201" s="6" t="s">
        <v>13</v>
      </c>
    </row>
    <row r="202" spans="1:14" ht="22.5" customHeight="1" x14ac:dyDescent="0.25">
      <c r="A202" t="s">
        <v>1263</v>
      </c>
      <c r="B202" s="2" t="s">
        <v>1261</v>
      </c>
      <c r="C202">
        <f>$C$2*Families!J238</f>
        <v>0</v>
      </c>
      <c r="D202">
        <f>$D$2*Novelty!D238</f>
        <v>1.0000000000000002E-2</v>
      </c>
      <c r="E202">
        <f>$E$2*VLOOKUP(A202,Interdisciplinarity!$K$3:$M$258,3,0)</f>
        <v>0.06</v>
      </c>
      <c r="F202">
        <f t="shared" si="12"/>
        <v>0.2</v>
      </c>
      <c r="G202">
        <f t="shared" si="13"/>
        <v>0.01</v>
      </c>
      <c r="H202">
        <f>$H$2*VLOOKUP(A202,Lexis_Сoefficient!$A$3:$F$257,6,0)</f>
        <v>0.25600000000000001</v>
      </c>
      <c r="I202">
        <v>1</v>
      </c>
      <c r="J202">
        <f>$J$2*VLOOKUP(A202,'Patent availability1'!$L$4:$V$261,11,0)</f>
        <v>0.05</v>
      </c>
      <c r="K202">
        <f t="shared" si="14"/>
        <v>0.51600000000000001</v>
      </c>
      <c r="L202" s="2" t="s">
        <v>1262</v>
      </c>
      <c r="M202" t="str">
        <f t="shared" si="15"/>
        <v>US</v>
      </c>
      <c r="N202" s="6" t="s">
        <v>13</v>
      </c>
    </row>
    <row r="203" spans="1:14" ht="22.5" customHeight="1" x14ac:dyDescent="0.25">
      <c r="A203" t="s">
        <v>1203</v>
      </c>
      <c r="B203" s="2" t="s">
        <v>1201</v>
      </c>
      <c r="C203">
        <f>$C$2*Families!J230</f>
        <v>0.04</v>
      </c>
      <c r="D203">
        <f>$D$2*Novelty!D230</f>
        <v>1.0000000000000002E-2</v>
      </c>
      <c r="E203">
        <f>$E$2*VLOOKUP(A203,Interdisciplinarity!$K$3:$M$258,3,0)</f>
        <v>0.06</v>
      </c>
      <c r="F203">
        <f t="shared" si="12"/>
        <v>0.2</v>
      </c>
      <c r="G203">
        <f t="shared" si="13"/>
        <v>0.01</v>
      </c>
      <c r="H203">
        <f>$H$2*VLOOKUP(A203,Lexis_Сoefficient!$A$3:$F$257,6,0)</f>
        <v>0.23200000000000004</v>
      </c>
      <c r="I203">
        <v>1</v>
      </c>
      <c r="J203">
        <f>$J$2*VLOOKUP(A203,'Patent availability1'!$L$4:$V$261,11,0)</f>
        <v>0.05</v>
      </c>
      <c r="K203">
        <f t="shared" si="14"/>
        <v>0.49200000000000021</v>
      </c>
      <c r="L203" s="2" t="s">
        <v>1202</v>
      </c>
      <c r="M203" t="str">
        <f t="shared" si="15"/>
        <v>US</v>
      </c>
      <c r="N203" s="6" t="s">
        <v>13</v>
      </c>
    </row>
    <row r="204" spans="1:14" ht="22.5" customHeight="1" x14ac:dyDescent="0.25">
      <c r="A204" t="s">
        <v>1196</v>
      </c>
      <c r="B204" s="2" t="s">
        <v>1194</v>
      </c>
      <c r="C204">
        <f>$C$2*Families!J229</f>
        <v>0.04</v>
      </c>
      <c r="D204">
        <f>$D$2*Novelty!D229</f>
        <v>1.0000000000000002E-2</v>
      </c>
      <c r="E204">
        <f>$E$2*VLOOKUP(A204,Interdisciplinarity!$K$3:$M$258,3,0)</f>
        <v>0.06</v>
      </c>
      <c r="F204">
        <f t="shared" si="12"/>
        <v>0.2</v>
      </c>
      <c r="G204">
        <f t="shared" si="13"/>
        <v>0.01</v>
      </c>
      <c r="H204">
        <f>$H$2*VLOOKUP(A204,Lexis_Сoefficient!$A$3:$F$257,6,0)</f>
        <v>7.2000000000000008E-2</v>
      </c>
      <c r="I204">
        <v>1</v>
      </c>
      <c r="J204">
        <f>$J$2*VLOOKUP(A204,'Patent availability1'!$L$4:$V$261,11,0)</f>
        <v>0.05</v>
      </c>
      <c r="K204">
        <f t="shared" si="14"/>
        <v>0.33200000000000007</v>
      </c>
      <c r="L204" s="2" t="s">
        <v>1195</v>
      </c>
      <c r="M204" t="str">
        <f t="shared" si="15"/>
        <v>US</v>
      </c>
      <c r="N204" s="6" t="s">
        <v>13</v>
      </c>
    </row>
    <row r="205" spans="1:14" ht="22.5" customHeight="1" x14ac:dyDescent="0.25">
      <c r="A205" t="s">
        <v>26</v>
      </c>
      <c r="B205" s="2" t="s">
        <v>24</v>
      </c>
      <c r="C205">
        <f>$C$2*Families!J4</f>
        <v>0</v>
      </c>
      <c r="D205">
        <f>$D$2*Novelty!D4</f>
        <v>1.0000000000000002E-2</v>
      </c>
      <c r="E205">
        <f>$E$2*VLOOKUP(A205,Interdisciplinarity!$K$3:$M$258,3,0)</f>
        <v>2.0000000000000004E-2</v>
      </c>
      <c r="F205">
        <f t="shared" si="12"/>
        <v>0.2</v>
      </c>
      <c r="G205">
        <f t="shared" si="13"/>
        <v>0.01</v>
      </c>
      <c r="H205">
        <f>$H$2*VLOOKUP(A205,Lexis_Сoefficient!$A$3:$F$257,6,0)</f>
        <v>0.16800000000000001</v>
      </c>
      <c r="I205">
        <v>1</v>
      </c>
      <c r="J205">
        <f>$J$2*VLOOKUP(A205,'Patent availability1'!$L$4:$V$261,11,0)</f>
        <v>0.05</v>
      </c>
      <c r="K205">
        <f t="shared" si="14"/>
        <v>0.42800000000000016</v>
      </c>
      <c r="L205" s="2" t="s">
        <v>25</v>
      </c>
      <c r="M205" t="str">
        <f t="shared" si="15"/>
        <v>US</v>
      </c>
      <c r="N205" s="6" t="s">
        <v>13</v>
      </c>
    </row>
    <row r="206" spans="1:14" ht="22.5" customHeight="1" x14ac:dyDescent="0.25">
      <c r="A206" t="s">
        <v>1181</v>
      </c>
      <c r="B206" s="2" t="s">
        <v>1179</v>
      </c>
      <c r="C206">
        <f>$C$2*Families!J226</f>
        <v>0.04</v>
      </c>
      <c r="D206">
        <f>$D$2*Novelty!D226</f>
        <v>1.0000000000000002E-2</v>
      </c>
      <c r="E206">
        <f>$E$2*VLOOKUP(A206,Interdisciplinarity!$K$3:$M$258,3,0)</f>
        <v>2.0000000000000004E-2</v>
      </c>
      <c r="F206">
        <f t="shared" si="12"/>
        <v>0.2</v>
      </c>
      <c r="G206">
        <f t="shared" si="13"/>
        <v>0.01</v>
      </c>
      <c r="H206">
        <f>$H$2*VLOOKUP(A206,Lexis_Сoefficient!$A$3:$F$257,6,0)</f>
        <v>0.25600000000000001</v>
      </c>
      <c r="I206">
        <v>1</v>
      </c>
      <c r="J206">
        <f>$J$2*VLOOKUP(A206,'Patent availability1'!$L$4:$V$261,11,0)</f>
        <v>0.05</v>
      </c>
      <c r="K206">
        <f t="shared" si="14"/>
        <v>0.51600000000000001</v>
      </c>
      <c r="L206" s="2" t="s">
        <v>1180</v>
      </c>
      <c r="M206" t="str">
        <f t="shared" si="15"/>
        <v>US</v>
      </c>
      <c r="N206" s="6" t="s">
        <v>13</v>
      </c>
    </row>
    <row r="207" spans="1:14" ht="22.5" customHeight="1" x14ac:dyDescent="0.25">
      <c r="A207" t="s">
        <v>1187</v>
      </c>
      <c r="B207" s="2" t="s">
        <v>1185</v>
      </c>
      <c r="C207">
        <f>$C$2*Families!J227</f>
        <v>0.04</v>
      </c>
      <c r="D207">
        <f>$D$2*Novelty!D227</f>
        <v>1.0000000000000002E-2</v>
      </c>
      <c r="E207">
        <f>$E$2*VLOOKUP(A207,Interdisciplinarity!$K$3:$M$258,3,0)</f>
        <v>2.0000000000000004E-2</v>
      </c>
      <c r="F207">
        <f t="shared" si="12"/>
        <v>0.2</v>
      </c>
      <c r="G207">
        <f t="shared" si="13"/>
        <v>0.01</v>
      </c>
      <c r="H207">
        <f>$H$2*VLOOKUP(A207,Lexis_Сoefficient!$A$3:$F$257,6,0)</f>
        <v>0.21600000000000003</v>
      </c>
      <c r="I207">
        <v>1</v>
      </c>
      <c r="J207">
        <f>$J$2*VLOOKUP(A207,'Patent availability1'!$L$4:$V$261,11,0)</f>
        <v>0.05</v>
      </c>
      <c r="K207">
        <f t="shared" si="14"/>
        <v>0.4760000000000002</v>
      </c>
      <c r="L207" s="2" t="s">
        <v>1186</v>
      </c>
      <c r="M207" t="str">
        <f t="shared" si="15"/>
        <v>US</v>
      </c>
      <c r="N207" s="6" t="s">
        <v>13</v>
      </c>
    </row>
    <row r="208" spans="1:14" ht="22.5" customHeight="1" x14ac:dyDescent="0.25">
      <c r="A208" t="s">
        <v>1191</v>
      </c>
      <c r="B208" s="2" t="s">
        <v>1190</v>
      </c>
      <c r="C208">
        <f>$C$2*Families!J228</f>
        <v>0.04</v>
      </c>
      <c r="D208">
        <f>$D$2*Novelty!D228</f>
        <v>1.0000000000000002E-2</v>
      </c>
      <c r="E208">
        <f>$E$2*VLOOKUP(A208,Interdisciplinarity!$K$3:$M$258,3,0)</f>
        <v>2.0000000000000004E-2</v>
      </c>
      <c r="F208">
        <f t="shared" si="12"/>
        <v>0.2</v>
      </c>
      <c r="G208">
        <f t="shared" si="13"/>
        <v>0.01</v>
      </c>
      <c r="H208">
        <f>$H$2*VLOOKUP(A208,Lexis_Сoefficient!$A$3:$F$257,6,0)</f>
        <v>4.200000000000001E-2</v>
      </c>
      <c r="I208">
        <v>1</v>
      </c>
      <c r="J208">
        <f>$J$2*VLOOKUP(A208,'Patent availability1'!$L$4:$V$261,11,0)</f>
        <v>0</v>
      </c>
      <c r="K208">
        <f t="shared" si="14"/>
        <v>0.252</v>
      </c>
      <c r="L208" s="2" t="s">
        <v>10</v>
      </c>
      <c r="M208" t="str">
        <f t="shared" si="15"/>
        <v>US</v>
      </c>
      <c r="N208" s="6" t="s">
        <v>13</v>
      </c>
    </row>
    <row r="209" spans="1:14" ht="22.5" customHeight="1" x14ac:dyDescent="0.25">
      <c r="A209" t="s">
        <v>1145</v>
      </c>
      <c r="B209" s="2" t="s">
        <v>1143</v>
      </c>
      <c r="C209">
        <f>$C$2*Families!J221</f>
        <v>0.04</v>
      </c>
      <c r="D209">
        <f>$D$2*Novelty!D221</f>
        <v>1.0000000000000002E-2</v>
      </c>
      <c r="E209">
        <f>$E$2*VLOOKUP(A209,Interdisciplinarity!$K$3:$M$258,3,0)</f>
        <v>2.0000000000000004E-2</v>
      </c>
      <c r="F209">
        <f t="shared" si="12"/>
        <v>0.2</v>
      </c>
      <c r="G209">
        <f t="shared" si="13"/>
        <v>0.01</v>
      </c>
      <c r="H209">
        <f>$H$2*VLOOKUP(A209,Lexis_Сoefficient!$A$3:$F$257,6,0)</f>
        <v>0.16800000000000001</v>
      </c>
      <c r="I209">
        <v>1</v>
      </c>
      <c r="J209">
        <f>$J$2*VLOOKUP(A209,'Patent availability1'!$L$4:$V$261,11,0)</f>
        <v>0.05</v>
      </c>
      <c r="K209">
        <f t="shared" si="14"/>
        <v>0.42800000000000016</v>
      </c>
      <c r="L209" s="2" t="s">
        <v>1144</v>
      </c>
      <c r="M209" t="str">
        <f t="shared" si="15"/>
        <v>US</v>
      </c>
      <c r="N209" s="6" t="s">
        <v>13</v>
      </c>
    </row>
    <row r="210" spans="1:14" ht="22.5" customHeight="1" x14ac:dyDescent="0.25">
      <c r="A210" t="s">
        <v>1152</v>
      </c>
      <c r="B210" s="2" t="s">
        <v>1150</v>
      </c>
      <c r="C210">
        <f>$C$2*Families!J222</f>
        <v>0.04</v>
      </c>
      <c r="D210">
        <f>$D$2*Novelty!D222</f>
        <v>1.0000000000000002E-2</v>
      </c>
      <c r="E210">
        <f>$E$2*VLOOKUP(A210,Interdisciplinarity!$K$3:$M$258,3,0)</f>
        <v>8.5000000000000006E-2</v>
      </c>
      <c r="F210">
        <f t="shared" si="12"/>
        <v>0.2</v>
      </c>
      <c r="G210">
        <f t="shared" si="13"/>
        <v>0.01</v>
      </c>
      <c r="H210">
        <f>$H$2*VLOOKUP(A210,Lexis_Сoefficient!$A$3:$F$257,6,0)</f>
        <v>0.21600000000000003</v>
      </c>
      <c r="I210">
        <v>1</v>
      </c>
      <c r="J210">
        <f>$J$2*VLOOKUP(A210,'Patent availability1'!$L$4:$V$261,11,0)</f>
        <v>0</v>
      </c>
      <c r="K210">
        <f t="shared" si="14"/>
        <v>0.42600000000000016</v>
      </c>
      <c r="L210" s="2" t="s">
        <v>1151</v>
      </c>
      <c r="M210" t="str">
        <f t="shared" si="15"/>
        <v>US</v>
      </c>
      <c r="N210" s="6" t="s">
        <v>13</v>
      </c>
    </row>
    <row r="211" spans="1:14" ht="22.5" customHeight="1" x14ac:dyDescent="0.25">
      <c r="A211" t="s">
        <v>1159</v>
      </c>
      <c r="B211" s="2" t="s">
        <v>1157</v>
      </c>
      <c r="C211">
        <f>$C$2*Families!J223</f>
        <v>0.04</v>
      </c>
      <c r="D211">
        <f>$D$2*Novelty!D223</f>
        <v>1.0000000000000002E-2</v>
      </c>
      <c r="E211">
        <f>$E$2*VLOOKUP(A211,Interdisciplinarity!$K$3:$M$258,3,0)</f>
        <v>8.5000000000000006E-2</v>
      </c>
      <c r="F211">
        <f t="shared" si="12"/>
        <v>0.2</v>
      </c>
      <c r="G211">
        <f t="shared" si="13"/>
        <v>0.01</v>
      </c>
      <c r="H211">
        <f>$H$2*VLOOKUP(A211,Lexis_Сoefficient!$A$3:$F$257,6,0)</f>
        <v>0.16800000000000001</v>
      </c>
      <c r="I211">
        <v>1</v>
      </c>
      <c r="J211">
        <f>$J$2*VLOOKUP(A211,'Patent availability1'!$L$4:$V$261,11,0)</f>
        <v>0.05</v>
      </c>
      <c r="K211">
        <f t="shared" si="14"/>
        <v>0.42800000000000016</v>
      </c>
      <c r="L211" s="2" t="s">
        <v>1158</v>
      </c>
      <c r="M211" t="str">
        <f t="shared" si="15"/>
        <v>US</v>
      </c>
      <c r="N211" s="6" t="s">
        <v>13</v>
      </c>
    </row>
    <row r="212" spans="1:14" ht="22.5" customHeight="1" x14ac:dyDescent="0.25">
      <c r="A212" t="s">
        <v>1086</v>
      </c>
      <c r="B212" s="2" t="s">
        <v>1085</v>
      </c>
      <c r="C212">
        <f>$C$2*Families!J213</f>
        <v>0</v>
      </c>
      <c r="D212">
        <f>$D$2*Novelty!D213</f>
        <v>1.0000000000000002E-2</v>
      </c>
      <c r="E212">
        <f>$E$2*VLOOKUP(A212,Interdisciplinarity!$K$3:$M$258,3,0)</f>
        <v>0.06</v>
      </c>
      <c r="F212">
        <f t="shared" si="12"/>
        <v>0.2</v>
      </c>
      <c r="G212">
        <f t="shared" si="13"/>
        <v>0.01</v>
      </c>
      <c r="H212">
        <f>$H$2*VLOOKUP(A212,Lexis_Сoefficient!$A$3:$F$257,6,0)</f>
        <v>0.17200000000000001</v>
      </c>
      <c r="I212">
        <v>1</v>
      </c>
      <c r="J212">
        <f>$J$2*VLOOKUP(A212,'Patent availability1'!$L$4:$V$261,11,0)</f>
        <v>0</v>
      </c>
      <c r="K212">
        <f t="shared" si="14"/>
        <v>0.38200000000000012</v>
      </c>
      <c r="L212" s="2" t="s">
        <v>10</v>
      </c>
      <c r="M212" t="str">
        <f t="shared" si="15"/>
        <v>US</v>
      </c>
      <c r="N212" s="6" t="s">
        <v>13</v>
      </c>
    </row>
    <row r="213" spans="1:14" ht="22.5" customHeight="1" x14ac:dyDescent="0.25">
      <c r="A213" t="s">
        <v>1081</v>
      </c>
      <c r="B213" s="2" t="s">
        <v>1080</v>
      </c>
      <c r="C213">
        <f>$C$2*Families!J212</f>
        <v>0</v>
      </c>
      <c r="D213">
        <f>$D$2*Novelty!D212</f>
        <v>1.0000000000000002E-2</v>
      </c>
      <c r="E213">
        <f>$E$2*VLOOKUP(A213,Interdisciplinarity!$K$3:$M$258,3,0)</f>
        <v>8.5000000000000006E-2</v>
      </c>
      <c r="F213">
        <f t="shared" si="12"/>
        <v>0.2</v>
      </c>
      <c r="G213">
        <f t="shared" si="13"/>
        <v>0.01</v>
      </c>
      <c r="H213">
        <f>$H$2*VLOOKUP(A213,Lexis_Сoefficient!$A$3:$F$257,6,0)</f>
        <v>0.17200000000000001</v>
      </c>
      <c r="I213">
        <v>1</v>
      </c>
      <c r="J213">
        <f>$J$2*VLOOKUP(A213,'Patent availability1'!$L$4:$V$261,11,0)</f>
        <v>0</v>
      </c>
      <c r="K213">
        <f t="shared" si="14"/>
        <v>0.38200000000000012</v>
      </c>
      <c r="L213" s="2" t="s">
        <v>10</v>
      </c>
      <c r="M213" t="str">
        <f t="shared" si="15"/>
        <v>US</v>
      </c>
      <c r="N213" s="6" t="s">
        <v>946</v>
      </c>
    </row>
    <row r="214" spans="1:14" ht="22.5" customHeight="1" x14ac:dyDescent="0.25">
      <c r="A214" t="s">
        <v>1047</v>
      </c>
      <c r="B214" s="2" t="s">
        <v>1045</v>
      </c>
      <c r="C214">
        <f>$C$2*Families!J207</f>
        <v>0</v>
      </c>
      <c r="D214">
        <f>$D$2*Novelty!D207</f>
        <v>1.0000000000000002E-2</v>
      </c>
      <c r="E214">
        <f>$E$2*VLOOKUP(A214,Interdisciplinarity!$K$3:$M$258,3,0)</f>
        <v>8.5000000000000006E-2</v>
      </c>
      <c r="F214">
        <f t="shared" si="12"/>
        <v>0</v>
      </c>
      <c r="G214">
        <f t="shared" si="13"/>
        <v>0.01</v>
      </c>
      <c r="H214">
        <f>$H$2*VLOOKUP(A214,Lexis_Сoefficient!$A$3:$F$257,6,0)</f>
        <v>0.10600000000000001</v>
      </c>
      <c r="I214">
        <v>0</v>
      </c>
      <c r="J214">
        <f>$J$2*VLOOKUP(A214,'Patent availability1'!$L$4:$V$261,11,0)</f>
        <v>0</v>
      </c>
      <c r="K214">
        <f t="shared" si="14"/>
        <v>0.11600000000000001</v>
      </c>
      <c r="L214" s="2" t="s">
        <v>1046</v>
      </c>
      <c r="M214" t="str">
        <f t="shared" si="15"/>
        <v>US</v>
      </c>
      <c r="N214" s="6" t="s">
        <v>1049</v>
      </c>
    </row>
    <row r="215" spans="1:14" ht="22.5" customHeight="1" x14ac:dyDescent="0.25">
      <c r="A215" t="s">
        <v>1041</v>
      </c>
      <c r="B215" s="2" t="s">
        <v>1040</v>
      </c>
      <c r="C215">
        <f>$C$2*Families!J206</f>
        <v>0</v>
      </c>
      <c r="D215">
        <f>$D$2*Novelty!D206</f>
        <v>1.0000000000000002E-2</v>
      </c>
      <c r="E215">
        <f>$E$2*VLOOKUP(A215,Interdisciplinarity!$K$3:$M$258,3,0)</f>
        <v>8.5000000000000006E-2</v>
      </c>
      <c r="F215">
        <f t="shared" si="12"/>
        <v>0.2</v>
      </c>
      <c r="G215">
        <f t="shared" si="13"/>
        <v>0.01</v>
      </c>
      <c r="H215">
        <f>$H$2*VLOOKUP(A215,Lexis_Сoefficient!$A$3:$F$257,6,0)</f>
        <v>0.17200000000000001</v>
      </c>
      <c r="I215">
        <v>1</v>
      </c>
      <c r="J215">
        <f>$J$2*VLOOKUP(A215,'Patent availability1'!$L$4:$V$261,11,0)</f>
        <v>0</v>
      </c>
      <c r="K215">
        <f t="shared" si="14"/>
        <v>0.38200000000000012</v>
      </c>
      <c r="L215" s="2" t="s">
        <v>10</v>
      </c>
      <c r="M215" t="str">
        <f t="shared" si="15"/>
        <v>US</v>
      </c>
      <c r="N215" s="6" t="s">
        <v>946</v>
      </c>
    </row>
    <row r="216" spans="1:14" ht="22.5" customHeight="1" x14ac:dyDescent="0.25">
      <c r="A216" t="s">
        <v>1030</v>
      </c>
      <c r="B216" s="2" t="s">
        <v>1029</v>
      </c>
      <c r="C216">
        <f>$C$2*Families!J203</f>
        <v>0</v>
      </c>
      <c r="D216">
        <f>$D$2*Novelty!D203</f>
        <v>1.0000000000000002E-2</v>
      </c>
      <c r="E216">
        <f>$E$2*VLOOKUP(A216,Interdisciplinarity!$K$3:$M$258,3,0)</f>
        <v>5.000000000000001E-3</v>
      </c>
      <c r="F216">
        <f t="shared" si="12"/>
        <v>0</v>
      </c>
      <c r="G216">
        <f t="shared" si="13"/>
        <v>0.01</v>
      </c>
      <c r="H216">
        <f>$H$2*VLOOKUP(A216,Lexis_Сoefficient!$A$3:$F$257,6,0)</f>
        <v>0.17200000000000001</v>
      </c>
      <c r="I216">
        <v>0</v>
      </c>
      <c r="J216">
        <f>$J$2*VLOOKUP(A216,'Patent availability1'!$L$4:$V$261,11,0)</f>
        <v>0</v>
      </c>
      <c r="K216">
        <f t="shared" si="14"/>
        <v>0.18200000000000002</v>
      </c>
      <c r="L216" s="2" t="s">
        <v>10</v>
      </c>
      <c r="M216" t="str">
        <f t="shared" si="15"/>
        <v>US</v>
      </c>
      <c r="N216" s="6" t="s">
        <v>235</v>
      </c>
    </row>
    <row r="217" spans="1:14" ht="22.5" customHeight="1" x14ac:dyDescent="0.25">
      <c r="A217" t="s">
        <v>1024</v>
      </c>
      <c r="B217" s="2" t="s">
        <v>1022</v>
      </c>
      <c r="C217">
        <f>$C$2*Families!J202</f>
        <v>0</v>
      </c>
      <c r="D217">
        <f>$D$2*Novelty!D202</f>
        <v>1.0000000000000002E-2</v>
      </c>
      <c r="E217">
        <f>$E$2*VLOOKUP(A217,Interdisciplinarity!$K$3:$M$258,3,0)</f>
        <v>2.0000000000000004E-2</v>
      </c>
      <c r="F217">
        <f t="shared" si="12"/>
        <v>0</v>
      </c>
      <c r="G217">
        <f t="shared" si="13"/>
        <v>0.01</v>
      </c>
      <c r="H217">
        <f>$H$2*VLOOKUP(A217,Lexis_Сoefficient!$A$3:$F$257,6,0)</f>
        <v>6.0000000000000012E-2</v>
      </c>
      <c r="I217">
        <v>0</v>
      </c>
      <c r="J217">
        <f>$J$2*VLOOKUP(A217,'Patent availability1'!$L$4:$V$261,11,0)</f>
        <v>0</v>
      </c>
      <c r="K217">
        <f t="shared" si="14"/>
        <v>7.0000000000000007E-2</v>
      </c>
      <c r="L217" s="2" t="s">
        <v>1023</v>
      </c>
      <c r="M217" t="str">
        <f t="shared" si="15"/>
        <v>US</v>
      </c>
      <c r="N217" s="6" t="s">
        <v>235</v>
      </c>
    </row>
    <row r="218" spans="1:14" ht="22.5" customHeight="1" x14ac:dyDescent="0.25">
      <c r="A218" t="s">
        <v>1014</v>
      </c>
      <c r="B218" s="2" t="s">
        <v>1012</v>
      </c>
      <c r="C218">
        <f>$C$2*Families!J200</f>
        <v>0</v>
      </c>
      <c r="D218">
        <f>$D$2*Novelty!D200</f>
        <v>1.0000000000000002E-2</v>
      </c>
      <c r="E218">
        <f>$E$2*VLOOKUP(A218,Interdisciplinarity!$K$3:$M$258,3,0)</f>
        <v>5.000000000000001E-3</v>
      </c>
      <c r="F218">
        <f t="shared" si="12"/>
        <v>0.2</v>
      </c>
      <c r="G218">
        <f t="shared" si="13"/>
        <v>0.01</v>
      </c>
      <c r="H218">
        <f>$H$2*VLOOKUP(A218,Lexis_Сoefficient!$A$3:$F$257,6,0)</f>
        <v>0.124</v>
      </c>
      <c r="I218">
        <v>1</v>
      </c>
      <c r="J218">
        <f>$J$2*VLOOKUP(A218,'Patent availability1'!$L$4:$V$261,11,0)</f>
        <v>0.05</v>
      </c>
      <c r="K218">
        <f t="shared" si="14"/>
        <v>0.38400000000000012</v>
      </c>
      <c r="L218" s="2" t="s">
        <v>1013</v>
      </c>
      <c r="M218" t="str">
        <f t="shared" si="15"/>
        <v>US</v>
      </c>
      <c r="N218" s="6" t="s">
        <v>1016</v>
      </c>
    </row>
    <row r="219" spans="1:14" ht="22.5" customHeight="1" x14ac:dyDescent="0.25">
      <c r="A219" t="s">
        <v>751</v>
      </c>
      <c r="B219" s="2" t="s">
        <v>750</v>
      </c>
      <c r="C219">
        <f>$C$2*Families!J153</f>
        <v>0</v>
      </c>
      <c r="D219">
        <f>$D$2*Novelty!D153</f>
        <v>4.0000000000000008E-2</v>
      </c>
      <c r="E219">
        <f>$E$2*VLOOKUP(A219,Interdisciplinarity!$K$3:$M$258,3,0)</f>
        <v>0.06</v>
      </c>
      <c r="F219">
        <f t="shared" si="12"/>
        <v>0</v>
      </c>
      <c r="G219">
        <f t="shared" si="13"/>
        <v>0.01</v>
      </c>
      <c r="H219">
        <f>$H$2*VLOOKUP(A219,Lexis_Сoefficient!$A$3:$F$257,6,0)</f>
        <v>1.8000000000000002E-2</v>
      </c>
      <c r="I219">
        <v>0</v>
      </c>
      <c r="J219">
        <f>$J$2*VLOOKUP(A219,'Patent availability1'!$L$4:$V$261,11,0)</f>
        <v>0.05</v>
      </c>
      <c r="K219">
        <f t="shared" si="14"/>
        <v>7.8000000000000014E-2</v>
      </c>
      <c r="L219" s="2" t="s">
        <v>744</v>
      </c>
      <c r="M219" t="str">
        <f t="shared" si="15"/>
        <v>US</v>
      </c>
      <c r="N219" s="6" t="s">
        <v>235</v>
      </c>
    </row>
    <row r="220" spans="1:14" ht="22.5" customHeight="1" x14ac:dyDescent="0.25">
      <c r="A220" t="s">
        <v>745</v>
      </c>
      <c r="B220" s="2" t="s">
        <v>743</v>
      </c>
      <c r="C220">
        <f>$C$2*Families!J152</f>
        <v>0</v>
      </c>
      <c r="D220">
        <f>$D$2*Novelty!D152</f>
        <v>4.0000000000000008E-2</v>
      </c>
      <c r="E220">
        <f>$E$2*VLOOKUP(A220,Interdisciplinarity!$K$3:$M$258,3,0)</f>
        <v>0.06</v>
      </c>
      <c r="F220">
        <f t="shared" si="12"/>
        <v>0</v>
      </c>
      <c r="G220">
        <f t="shared" si="13"/>
        <v>0.01</v>
      </c>
      <c r="H220">
        <f>$H$2*VLOOKUP(A220,Lexis_Сoefficient!$A$3:$F$257,6,0)</f>
        <v>1.8000000000000002E-2</v>
      </c>
      <c r="I220">
        <v>0</v>
      </c>
      <c r="J220">
        <f>$J$2*VLOOKUP(A220,'Patent availability1'!$L$4:$V$261,11,0)</f>
        <v>0.05</v>
      </c>
      <c r="K220">
        <f t="shared" si="14"/>
        <v>7.8000000000000014E-2</v>
      </c>
      <c r="L220" s="2" t="s">
        <v>744</v>
      </c>
      <c r="M220" t="str">
        <f t="shared" si="15"/>
        <v>US</v>
      </c>
      <c r="N220" s="6" t="s">
        <v>235</v>
      </c>
    </row>
    <row r="221" spans="1:14" ht="22.5" customHeight="1" x14ac:dyDescent="0.25">
      <c r="A221" t="s">
        <v>944</v>
      </c>
      <c r="B221" s="2" t="s">
        <v>942</v>
      </c>
      <c r="C221">
        <f>$C$2*Families!J188</f>
        <v>0.04</v>
      </c>
      <c r="D221">
        <f>$D$2*Novelty!D188</f>
        <v>4.0000000000000008E-2</v>
      </c>
      <c r="E221">
        <f>$E$2*VLOOKUP(A221,Interdisciplinarity!$K$3:$M$258,3,0)</f>
        <v>0.1</v>
      </c>
      <c r="F221">
        <f t="shared" si="12"/>
        <v>0.2</v>
      </c>
      <c r="G221">
        <f t="shared" si="13"/>
        <v>0.01</v>
      </c>
      <c r="H221">
        <f>$H$2*VLOOKUP(A221,Lexis_Сoefficient!$A$3:$F$257,6,0)</f>
        <v>0.36400000000000005</v>
      </c>
      <c r="I221">
        <v>1</v>
      </c>
      <c r="J221">
        <f>$J$2*VLOOKUP(A221,'Patent availability1'!$L$4:$V$261,11,0)</f>
        <v>0.05</v>
      </c>
      <c r="K221">
        <f t="shared" si="14"/>
        <v>0.62400000000000011</v>
      </c>
      <c r="L221" s="2" t="s">
        <v>943</v>
      </c>
      <c r="M221" t="str">
        <f t="shared" si="15"/>
        <v>US</v>
      </c>
      <c r="N221" s="6" t="s">
        <v>946</v>
      </c>
    </row>
    <row r="222" spans="1:14" ht="22.5" customHeight="1" x14ac:dyDescent="0.25">
      <c r="A222" t="s">
        <v>930</v>
      </c>
      <c r="B222" s="2" t="s">
        <v>928</v>
      </c>
      <c r="C222">
        <f>$C$2*Families!J186</f>
        <v>0.04</v>
      </c>
      <c r="D222">
        <f>$D$2*Novelty!D186</f>
        <v>4.0000000000000008E-2</v>
      </c>
      <c r="E222">
        <f>$E$2*VLOOKUP(A222,Interdisciplinarity!$K$3:$M$258,3,0)</f>
        <v>0.1</v>
      </c>
      <c r="F222">
        <f t="shared" si="12"/>
        <v>0.2</v>
      </c>
      <c r="G222">
        <f t="shared" si="13"/>
        <v>0.01</v>
      </c>
      <c r="H222">
        <f>$H$2*VLOOKUP(A222,Lexis_Сoefficient!$A$3:$F$257,6,0)</f>
        <v>0.30600000000000005</v>
      </c>
      <c r="I222">
        <v>1</v>
      </c>
      <c r="J222">
        <f>$J$2*VLOOKUP(A222,'Patent availability1'!$L$4:$V$261,11,0)</f>
        <v>0.05</v>
      </c>
      <c r="K222">
        <f t="shared" si="14"/>
        <v>0.56600000000000006</v>
      </c>
      <c r="L222" s="2" t="s">
        <v>929</v>
      </c>
      <c r="M222" t="str">
        <f t="shared" si="15"/>
        <v>US</v>
      </c>
      <c r="N222" s="6" t="s">
        <v>931</v>
      </c>
    </row>
    <row r="223" spans="1:14" ht="22.5" customHeight="1" x14ac:dyDescent="0.25">
      <c r="A223" t="s">
        <v>938</v>
      </c>
      <c r="B223" s="2" t="s">
        <v>936</v>
      </c>
      <c r="C223">
        <f>$C$2*Families!J187</f>
        <v>0.04</v>
      </c>
      <c r="D223">
        <f>$D$2*Novelty!D187</f>
        <v>4.0000000000000008E-2</v>
      </c>
      <c r="E223">
        <f>$E$2*VLOOKUP(A223,Interdisciplinarity!$K$3:$M$258,3,0)</f>
        <v>8.5000000000000006E-2</v>
      </c>
      <c r="F223">
        <f t="shared" si="12"/>
        <v>0.2</v>
      </c>
      <c r="G223">
        <f t="shared" si="13"/>
        <v>0.01</v>
      </c>
      <c r="H223">
        <f>$H$2*VLOOKUP(A223,Lexis_Сoefficient!$A$3:$F$257,6,0)</f>
        <v>0.20200000000000001</v>
      </c>
      <c r="I223">
        <v>1</v>
      </c>
      <c r="J223">
        <f>$J$2*VLOOKUP(A223,'Patent availability1'!$L$4:$V$261,11,0)</f>
        <v>0.05</v>
      </c>
      <c r="K223">
        <f t="shared" si="14"/>
        <v>0.46199999999999997</v>
      </c>
      <c r="L223" s="2" t="s">
        <v>937</v>
      </c>
      <c r="M223" t="str">
        <f t="shared" si="15"/>
        <v>US</v>
      </c>
      <c r="N223" s="6" t="s">
        <v>125</v>
      </c>
    </row>
    <row r="224" spans="1:14" ht="22.5" customHeight="1" x14ac:dyDescent="0.25">
      <c r="A224" t="s">
        <v>902</v>
      </c>
      <c r="B224" s="2" t="s">
        <v>900</v>
      </c>
      <c r="C224">
        <f>$C$2*Families!J182</f>
        <v>0.04</v>
      </c>
      <c r="D224">
        <f>$D$2*Novelty!D182</f>
        <v>4.0000000000000008E-2</v>
      </c>
      <c r="E224">
        <f>$E$2*VLOOKUP(A224,Interdisciplinarity!$K$3:$M$258,3,0)</f>
        <v>2.0000000000000004E-2</v>
      </c>
      <c r="F224">
        <f t="shared" si="12"/>
        <v>0</v>
      </c>
      <c r="G224">
        <f t="shared" si="13"/>
        <v>0.01</v>
      </c>
      <c r="H224">
        <f>$H$2*VLOOKUP(A224,Lexis_Сoefficient!$A$3:$F$257,6,0)</f>
        <v>0.15800000000000003</v>
      </c>
      <c r="I224">
        <v>0</v>
      </c>
      <c r="J224">
        <f>$J$2*VLOOKUP(A224,'Patent availability1'!$L$4:$V$261,11,0)</f>
        <v>0.05</v>
      </c>
      <c r="K224">
        <f t="shared" si="14"/>
        <v>0.21800000000000003</v>
      </c>
      <c r="L224" s="2" t="s">
        <v>901</v>
      </c>
      <c r="M224" t="str">
        <f t="shared" si="15"/>
        <v>US</v>
      </c>
      <c r="N224" s="6" t="s">
        <v>904</v>
      </c>
    </row>
    <row r="225" spans="1:14" ht="22.5" customHeight="1" x14ac:dyDescent="0.25">
      <c r="A225" t="s">
        <v>861</v>
      </c>
      <c r="B225" s="2" t="s">
        <v>859</v>
      </c>
      <c r="C225">
        <f>$C$2*Families!J175</f>
        <v>0</v>
      </c>
      <c r="D225">
        <f>$D$2*Novelty!D175</f>
        <v>4.0000000000000008E-2</v>
      </c>
      <c r="E225">
        <f>$E$2*VLOOKUP(A225,Interdisciplinarity!$K$3:$M$258,3,0)</f>
        <v>8.5000000000000006E-2</v>
      </c>
      <c r="F225">
        <f t="shared" si="12"/>
        <v>0</v>
      </c>
      <c r="G225">
        <f t="shared" si="13"/>
        <v>0.01</v>
      </c>
      <c r="H225">
        <f>$H$2*VLOOKUP(A225,Lexis_Сoefficient!$A$3:$F$257,6,0)</f>
        <v>0.13800000000000001</v>
      </c>
      <c r="I225">
        <v>0</v>
      </c>
      <c r="J225">
        <f>$J$2*VLOOKUP(A225,'Patent availability1'!$L$4:$V$261,11,0)</f>
        <v>0.05</v>
      </c>
      <c r="K225">
        <f t="shared" si="14"/>
        <v>0.19800000000000001</v>
      </c>
      <c r="L225" s="2" t="s">
        <v>860</v>
      </c>
      <c r="M225" t="str">
        <f t="shared" si="15"/>
        <v>US</v>
      </c>
      <c r="N225" s="6" t="s">
        <v>863</v>
      </c>
    </row>
    <row r="226" spans="1:14" ht="22.5" customHeight="1" x14ac:dyDescent="0.25">
      <c r="A226" t="s">
        <v>729</v>
      </c>
      <c r="B226" s="2" t="s">
        <v>727</v>
      </c>
      <c r="C226">
        <f>$C$2*Families!J150</f>
        <v>0</v>
      </c>
      <c r="D226">
        <f>$D$2*Novelty!D150</f>
        <v>4.0000000000000008E-2</v>
      </c>
      <c r="E226">
        <f>$E$2*VLOOKUP(A226,Interdisciplinarity!$K$3:$M$258,3,0)</f>
        <v>2.0000000000000004E-2</v>
      </c>
      <c r="F226">
        <f t="shared" si="12"/>
        <v>0</v>
      </c>
      <c r="G226">
        <f t="shared" si="13"/>
        <v>0.01</v>
      </c>
      <c r="H226">
        <f>$H$2*VLOOKUP(A226,Lexis_Сoefficient!$A$3:$F$257,6,0)</f>
        <v>0.20800000000000002</v>
      </c>
      <c r="I226">
        <v>0</v>
      </c>
      <c r="J226">
        <f>$J$2*VLOOKUP(A226,'Patent availability1'!$L$4:$V$261,11,0)</f>
        <v>0.05</v>
      </c>
      <c r="K226">
        <f t="shared" si="14"/>
        <v>0.26800000000000002</v>
      </c>
      <c r="L226" s="2" t="s">
        <v>728</v>
      </c>
      <c r="M226" t="str">
        <f t="shared" si="15"/>
        <v>US</v>
      </c>
      <c r="N226" s="6" t="s">
        <v>731</v>
      </c>
    </row>
    <row r="227" spans="1:14" ht="22.5" customHeight="1" x14ac:dyDescent="0.25">
      <c r="A227" t="s">
        <v>767</v>
      </c>
      <c r="B227" s="2" t="s">
        <v>765</v>
      </c>
      <c r="C227">
        <f>$C$2*Families!J156</f>
        <v>0</v>
      </c>
      <c r="D227">
        <f>$D$2*Novelty!D156</f>
        <v>4.0000000000000008E-2</v>
      </c>
      <c r="E227">
        <f>$E$2*VLOOKUP(A227,Interdisciplinarity!$K$3:$M$258,3,0)</f>
        <v>8.5000000000000006E-2</v>
      </c>
      <c r="F227">
        <f t="shared" si="12"/>
        <v>0</v>
      </c>
      <c r="G227">
        <f t="shared" si="13"/>
        <v>0.01</v>
      </c>
      <c r="H227">
        <f>$H$2*VLOOKUP(A227,Lexis_Сoefficient!$A$3:$F$257,6,0)</f>
        <v>0.16800000000000001</v>
      </c>
      <c r="I227">
        <v>0</v>
      </c>
      <c r="J227">
        <f>$J$2*VLOOKUP(A227,'Patent availability1'!$L$4:$V$261,11,0)</f>
        <v>0.05</v>
      </c>
      <c r="K227">
        <f t="shared" si="14"/>
        <v>0.22800000000000004</v>
      </c>
      <c r="L227" s="2" t="s">
        <v>766</v>
      </c>
      <c r="M227" t="str">
        <f t="shared" si="15"/>
        <v>US</v>
      </c>
      <c r="N227" s="6" t="s">
        <v>769</v>
      </c>
    </row>
    <row r="228" spans="1:14" ht="22.5" customHeight="1" x14ac:dyDescent="0.25">
      <c r="A228" t="s">
        <v>687</v>
      </c>
      <c r="B228" s="2" t="s">
        <v>685</v>
      </c>
      <c r="C228">
        <f>$C$2*Families!J142</f>
        <v>0.04</v>
      </c>
      <c r="D228">
        <f>$D$2*Novelty!D142</f>
        <v>0.12</v>
      </c>
      <c r="E228">
        <f>$E$2*VLOOKUP(A228,Interdisciplinarity!$K$3:$M$258,3,0)</f>
        <v>8.5000000000000006E-2</v>
      </c>
      <c r="F228">
        <f t="shared" si="12"/>
        <v>0</v>
      </c>
      <c r="G228">
        <f t="shared" si="13"/>
        <v>0.01</v>
      </c>
      <c r="H228">
        <f>$H$2*VLOOKUP(A228,Lexis_Сoefficient!$A$3:$F$257,6,0)</f>
        <v>0.188</v>
      </c>
      <c r="I228">
        <v>0</v>
      </c>
      <c r="J228">
        <f>$J$2*VLOOKUP(A228,'Patent availability1'!$L$4:$V$261,11,0)</f>
        <v>0.05</v>
      </c>
      <c r="K228">
        <f t="shared" si="14"/>
        <v>0.248</v>
      </c>
      <c r="L228" s="2" t="s">
        <v>686</v>
      </c>
      <c r="M228" t="str">
        <f t="shared" si="15"/>
        <v>US</v>
      </c>
      <c r="N228" s="6" t="s">
        <v>689</v>
      </c>
    </row>
    <row r="229" spans="1:14" ht="22.5" customHeight="1" x14ac:dyDescent="0.25">
      <c r="A229" t="s">
        <v>530</v>
      </c>
      <c r="B229" s="2" t="s">
        <v>528</v>
      </c>
      <c r="C229">
        <f>$C$2*Families!J108</f>
        <v>0.04</v>
      </c>
      <c r="D229">
        <f>$D$2*Novelty!D108</f>
        <v>0.12</v>
      </c>
      <c r="E229">
        <f>$E$2*VLOOKUP(A229,Interdisciplinarity!$K$3:$M$258,3,0)</f>
        <v>8.5000000000000006E-2</v>
      </c>
      <c r="F229">
        <f t="shared" si="12"/>
        <v>0</v>
      </c>
      <c r="G229">
        <f t="shared" si="13"/>
        <v>0.01</v>
      </c>
      <c r="H229">
        <f>$H$2*VLOOKUP(A229,Lexis_Сoefficient!$A$3:$F$257,6,0)</f>
        <v>0.192</v>
      </c>
      <c r="I229">
        <v>0</v>
      </c>
      <c r="J229">
        <f>$J$2*VLOOKUP(A229,'Patent availability1'!$L$4:$V$261,11,0)</f>
        <v>0.05</v>
      </c>
      <c r="K229">
        <f t="shared" si="14"/>
        <v>0.252</v>
      </c>
      <c r="L229" s="2" t="s">
        <v>529</v>
      </c>
      <c r="M229" t="str">
        <f t="shared" si="15"/>
        <v>US</v>
      </c>
      <c r="N229" s="6" t="s">
        <v>532</v>
      </c>
    </row>
    <row r="230" spans="1:14" ht="22.5" customHeight="1" x14ac:dyDescent="0.25">
      <c r="A230" t="s">
        <v>452</v>
      </c>
      <c r="B230" s="2" t="s">
        <v>450</v>
      </c>
      <c r="C230">
        <f>$C$2*Families!J92</f>
        <v>0.04</v>
      </c>
      <c r="D230">
        <f>$D$2*Novelty!D92</f>
        <v>0.12</v>
      </c>
      <c r="E230">
        <f>$E$2*VLOOKUP(A230,Interdisciplinarity!$K$3:$M$258,3,0)</f>
        <v>2.0000000000000004E-2</v>
      </c>
      <c r="F230">
        <f t="shared" si="12"/>
        <v>0</v>
      </c>
      <c r="G230">
        <f t="shared" si="13"/>
        <v>0.01</v>
      </c>
      <c r="H230">
        <f>$H$2*VLOOKUP(A230,Lexis_Сoefficient!$A$3:$F$257,6,0)</f>
        <v>1.8000000000000002E-2</v>
      </c>
      <c r="I230">
        <v>0</v>
      </c>
      <c r="J230">
        <f>$J$2*VLOOKUP(A230,'Patent availability1'!$L$4:$V$261,11,0)</f>
        <v>0.05</v>
      </c>
      <c r="K230">
        <f t="shared" si="14"/>
        <v>7.8000000000000014E-2</v>
      </c>
      <c r="L230" s="2" t="s">
        <v>451</v>
      </c>
      <c r="M230" t="str">
        <f t="shared" si="15"/>
        <v>US</v>
      </c>
      <c r="N230" s="6" t="s">
        <v>454</v>
      </c>
    </row>
    <row r="231" spans="1:14" ht="22.5" customHeight="1" x14ac:dyDescent="0.25">
      <c r="A231" t="s">
        <v>317</v>
      </c>
      <c r="B231" s="2" t="s">
        <v>316</v>
      </c>
      <c r="C231">
        <f>$C$2*Families!J59</f>
        <v>0.04</v>
      </c>
      <c r="D231">
        <f>$D$2*Novelty!D59</f>
        <v>0.17</v>
      </c>
      <c r="E231">
        <f>$E$2*VLOOKUP(A231,Interdisciplinarity!$K$3:$M$258,3,0)</f>
        <v>8.5000000000000006E-2</v>
      </c>
      <c r="F231">
        <f t="shared" si="12"/>
        <v>0</v>
      </c>
      <c r="G231">
        <f t="shared" si="13"/>
        <v>0.01</v>
      </c>
      <c r="H231">
        <f>$H$2*VLOOKUP(A231,Lexis_Сoefficient!$A$3:$F$257,6,0)</f>
        <v>7.6000000000000012E-2</v>
      </c>
      <c r="I231">
        <v>0</v>
      </c>
      <c r="J231">
        <f>$J$2*VLOOKUP(A231,'Patent availability1'!$L$4:$V$261,11,0)</f>
        <v>0</v>
      </c>
      <c r="K231">
        <f t="shared" si="14"/>
        <v>8.6000000000000007E-2</v>
      </c>
      <c r="L231" s="2" t="s">
        <v>159</v>
      </c>
      <c r="M231" t="str">
        <f t="shared" si="15"/>
        <v>US</v>
      </c>
      <c r="N231" s="6" t="s">
        <v>319</v>
      </c>
    </row>
    <row r="232" spans="1:14" ht="22.5" customHeight="1" x14ac:dyDescent="0.25">
      <c r="A232" t="s">
        <v>307</v>
      </c>
      <c r="B232" s="2" t="s">
        <v>306</v>
      </c>
      <c r="C232">
        <f>$C$2*Families!J57</f>
        <v>0.04</v>
      </c>
      <c r="D232">
        <f>$D$2*Novelty!D57</f>
        <v>0.17</v>
      </c>
      <c r="E232">
        <f>$E$2*VLOOKUP(A232,Interdisciplinarity!$K$3:$M$258,3,0)</f>
        <v>0.06</v>
      </c>
      <c r="F232">
        <f t="shared" si="12"/>
        <v>0</v>
      </c>
      <c r="G232">
        <f t="shared" si="13"/>
        <v>0.01</v>
      </c>
      <c r="H232">
        <f>$H$2*VLOOKUP(A232,Lexis_Сoefficient!$A$3:$F$257,6,0)</f>
        <v>0.13600000000000001</v>
      </c>
      <c r="I232">
        <v>0</v>
      </c>
      <c r="J232">
        <f>$J$2*VLOOKUP(A232,'Patent availability1'!$L$4:$V$261,11,0)</f>
        <v>0</v>
      </c>
      <c r="K232">
        <f t="shared" si="14"/>
        <v>0.14600000000000002</v>
      </c>
      <c r="L232" s="2" t="s">
        <v>253</v>
      </c>
      <c r="M232" t="str">
        <f t="shared" si="15"/>
        <v>US</v>
      </c>
      <c r="N232" s="6" t="s">
        <v>235</v>
      </c>
    </row>
    <row r="233" spans="1:14" ht="22.5" customHeight="1" x14ac:dyDescent="0.25">
      <c r="A233" t="s">
        <v>302</v>
      </c>
      <c r="B233" s="2" t="s">
        <v>301</v>
      </c>
      <c r="C233">
        <f>$C$2*Families!J56</f>
        <v>0.04</v>
      </c>
      <c r="D233">
        <f>$D$2*Novelty!D56</f>
        <v>0.17</v>
      </c>
      <c r="E233">
        <f>$E$2*VLOOKUP(A233,Interdisciplinarity!$K$3:$M$258,3,0)</f>
        <v>0.06</v>
      </c>
      <c r="F233">
        <f t="shared" si="12"/>
        <v>0</v>
      </c>
      <c r="G233">
        <f t="shared" si="13"/>
        <v>0.01</v>
      </c>
      <c r="H233">
        <f>$H$2*VLOOKUP(A233,Lexis_Сoefficient!$A$3:$F$257,6,0)</f>
        <v>0.13600000000000001</v>
      </c>
      <c r="I233">
        <v>0</v>
      </c>
      <c r="J233">
        <f>$J$2*VLOOKUP(A233,'Patent availability1'!$L$4:$V$261,11,0)</f>
        <v>0</v>
      </c>
      <c r="K233">
        <f t="shared" si="14"/>
        <v>0.14600000000000002</v>
      </c>
      <c r="L233" s="2" t="s">
        <v>253</v>
      </c>
      <c r="M233" t="str">
        <f t="shared" si="15"/>
        <v>US</v>
      </c>
      <c r="N233" s="6" t="s">
        <v>235</v>
      </c>
    </row>
    <row r="234" spans="1:14" ht="22.5" customHeight="1" x14ac:dyDescent="0.25">
      <c r="A234" t="s">
        <v>296</v>
      </c>
      <c r="B234" s="2" t="s">
        <v>295</v>
      </c>
      <c r="C234">
        <f>$C$2*Families!J55</f>
        <v>0.04</v>
      </c>
      <c r="D234">
        <f>$D$2*Novelty!D55</f>
        <v>0.17</v>
      </c>
      <c r="E234">
        <f>$E$2*VLOOKUP(A234,Interdisciplinarity!$K$3:$M$258,3,0)</f>
        <v>0.06</v>
      </c>
      <c r="F234">
        <f t="shared" si="12"/>
        <v>0</v>
      </c>
      <c r="G234">
        <f t="shared" si="13"/>
        <v>0.01</v>
      </c>
      <c r="H234">
        <f>$H$2*VLOOKUP(A234,Lexis_Сoefficient!$A$3:$F$257,6,0)</f>
        <v>0.13600000000000001</v>
      </c>
      <c r="I234">
        <v>0</v>
      </c>
      <c r="J234">
        <f>$J$2*VLOOKUP(A234,'Patent availability1'!$L$4:$V$261,11,0)</f>
        <v>0</v>
      </c>
      <c r="K234">
        <f t="shared" si="14"/>
        <v>0.14600000000000002</v>
      </c>
      <c r="L234" s="2" t="s">
        <v>253</v>
      </c>
      <c r="M234" t="str">
        <f t="shared" si="15"/>
        <v>US</v>
      </c>
      <c r="N234" s="6" t="s">
        <v>235</v>
      </c>
    </row>
    <row r="235" spans="1:14" ht="22.5" customHeight="1" x14ac:dyDescent="0.25">
      <c r="A235" t="s">
        <v>254</v>
      </c>
      <c r="B235" s="2" t="s">
        <v>252</v>
      </c>
      <c r="C235">
        <f>$C$2*Families!J48</f>
        <v>0.04</v>
      </c>
      <c r="D235">
        <f>$D$2*Novelty!D48</f>
        <v>0.17</v>
      </c>
      <c r="E235">
        <f>$E$2*VLOOKUP(A235,Interdisciplinarity!$K$3:$M$258,3,0)</f>
        <v>0.06</v>
      </c>
      <c r="F235">
        <f t="shared" si="12"/>
        <v>0</v>
      </c>
      <c r="G235">
        <f t="shared" si="13"/>
        <v>0.01</v>
      </c>
      <c r="H235">
        <f>$H$2*VLOOKUP(A235,Lexis_Сoefficient!$A$3:$F$257,6,0)</f>
        <v>0.13600000000000001</v>
      </c>
      <c r="I235">
        <v>0</v>
      </c>
      <c r="J235">
        <f>$J$2*VLOOKUP(A235,'Patent availability1'!$L$4:$V$261,11,0)</f>
        <v>0</v>
      </c>
      <c r="K235">
        <f t="shared" si="14"/>
        <v>0.14600000000000002</v>
      </c>
      <c r="L235" s="2" t="s">
        <v>253</v>
      </c>
      <c r="M235" t="str">
        <f t="shared" si="15"/>
        <v>US</v>
      </c>
      <c r="N235" s="6" t="s">
        <v>235</v>
      </c>
    </row>
    <row r="236" spans="1:14" ht="22.5" customHeight="1" x14ac:dyDescent="0.25">
      <c r="A236" t="s">
        <v>131</v>
      </c>
      <c r="B236" s="2" t="s">
        <v>131</v>
      </c>
      <c r="C236">
        <f>$C$2*Families!J20</f>
        <v>0.04</v>
      </c>
      <c r="D236">
        <f>$D$2*Novelty!D20</f>
        <v>0.2</v>
      </c>
      <c r="E236">
        <f>$E$2*VLOOKUP(A236,Interdisciplinarity!$K$3:$M$258,3,0)</f>
        <v>2.0000000000000004E-2</v>
      </c>
      <c r="F236">
        <f t="shared" si="12"/>
        <v>0.2</v>
      </c>
      <c r="G236">
        <f t="shared" si="13"/>
        <v>0.01</v>
      </c>
      <c r="H236">
        <f>$H$2*VLOOKUP(A236,Lexis_Сoefficient!$A$3:$F$257,6,0)</f>
        <v>8.4000000000000019E-2</v>
      </c>
      <c r="I236">
        <v>1</v>
      </c>
      <c r="J236">
        <f>$J$2*VLOOKUP(A236,'Patent availability1'!$L$4:$V$261,11,0)</f>
        <v>0</v>
      </c>
      <c r="K236">
        <f t="shared" si="14"/>
        <v>0.29400000000000004</v>
      </c>
      <c r="L236" s="2" t="s">
        <v>132</v>
      </c>
      <c r="M236" t="str">
        <f t="shared" si="15"/>
        <v>US</v>
      </c>
      <c r="N236" s="6" t="s">
        <v>125</v>
      </c>
    </row>
    <row r="237" spans="1:14" ht="22.5" customHeight="1" x14ac:dyDescent="0.25">
      <c r="A237" t="s">
        <v>115</v>
      </c>
      <c r="B237" s="2" t="s">
        <v>113</v>
      </c>
      <c r="C237">
        <f>$C$2*Families!J17</f>
        <v>0.04</v>
      </c>
      <c r="D237">
        <f>$D$2*Novelty!D17</f>
        <v>4.0000000000000008E-2</v>
      </c>
      <c r="E237">
        <f>$E$2*VLOOKUP(A237,Interdisciplinarity!$K$3:$M$258,3,0)</f>
        <v>5.000000000000001E-3</v>
      </c>
      <c r="F237">
        <f t="shared" si="12"/>
        <v>0</v>
      </c>
      <c r="G237">
        <f t="shared" si="13"/>
        <v>0.01</v>
      </c>
      <c r="H237">
        <f>$H$2*VLOOKUP(A237,Lexis_Сoefficient!$A$3:$F$257,6,0)</f>
        <v>0.1</v>
      </c>
      <c r="I237">
        <v>0</v>
      </c>
      <c r="J237">
        <f>$J$2*VLOOKUP(A237,'Patent availability1'!$L$4:$V$261,11,0)</f>
        <v>0</v>
      </c>
      <c r="K237">
        <f t="shared" si="14"/>
        <v>0.11</v>
      </c>
      <c r="L237" s="2" t="s">
        <v>114</v>
      </c>
      <c r="M237" t="str">
        <f t="shared" si="15"/>
        <v>WO</v>
      </c>
      <c r="N237" s="6" t="s">
        <v>117</v>
      </c>
    </row>
    <row r="238" spans="1:14" s="31" customFormat="1" ht="68.25" customHeight="1" x14ac:dyDescent="0.25">
      <c r="A238" s="31" t="s">
        <v>996</v>
      </c>
      <c r="B238" s="32" t="s">
        <v>994</v>
      </c>
      <c r="C238" s="31">
        <f>$C$2*Families!J197</f>
        <v>0</v>
      </c>
      <c r="D238" s="31">
        <f>$D$2*Novelty!D197</f>
        <v>4.0000000000000008E-2</v>
      </c>
      <c r="E238" s="31">
        <f>$E$2*VLOOKUP(A238,Interdisciplinarity!$K$3:$M$258,3,0)</f>
        <v>5.000000000000001E-3</v>
      </c>
      <c r="F238" s="31">
        <f t="shared" si="12"/>
        <v>0.2</v>
      </c>
      <c r="G238" s="31">
        <f t="shared" si="13"/>
        <v>0.01</v>
      </c>
      <c r="H238" s="31">
        <f>$H$2*VLOOKUP(A238,Lexis_Сoefficient!$A$3:$F$257,6,0)</f>
        <v>0.26400000000000001</v>
      </c>
      <c r="I238" s="31">
        <v>1</v>
      </c>
      <c r="J238" s="31">
        <f>$J$2*VLOOKUP(A238,'Patent availability1'!$L$4:$V$261,11,0)</f>
        <v>0.05</v>
      </c>
      <c r="K238" s="31">
        <f t="shared" si="14"/>
        <v>0.52400000000000002</v>
      </c>
      <c r="L238" s="32" t="s">
        <v>995</v>
      </c>
      <c r="M238" s="31" t="str">
        <f t="shared" si="15"/>
        <v>WO</v>
      </c>
      <c r="N238" s="33" t="s">
        <v>417</v>
      </c>
    </row>
    <row r="239" spans="1:14" ht="22.5" customHeight="1" x14ac:dyDescent="0.25">
      <c r="A239" t="s">
        <v>985</v>
      </c>
      <c r="B239" s="2" t="s">
        <v>984</v>
      </c>
      <c r="C239">
        <f>$C$2*Families!J195</f>
        <v>0</v>
      </c>
      <c r="D239">
        <f>$D$2*Novelty!D195</f>
        <v>4.0000000000000008E-2</v>
      </c>
      <c r="E239">
        <f>$E$2*VLOOKUP(A239,Interdisciplinarity!$K$3:$M$258,3,0)</f>
        <v>5.000000000000001E-3</v>
      </c>
      <c r="F239">
        <f t="shared" si="12"/>
        <v>0.2</v>
      </c>
      <c r="G239">
        <f t="shared" si="13"/>
        <v>0.01</v>
      </c>
      <c r="H239">
        <f>$H$2*VLOOKUP(A239,Lexis_Сoefficient!$A$3:$F$257,6,0)</f>
        <v>0.12400000000000003</v>
      </c>
      <c r="I239">
        <v>1</v>
      </c>
      <c r="J239">
        <f>$J$2*VLOOKUP(A239,'Patent availability1'!$L$4:$V$261,11,0)</f>
        <v>0</v>
      </c>
      <c r="K239">
        <f t="shared" si="14"/>
        <v>0.33400000000000007</v>
      </c>
      <c r="L239" s="2" t="s">
        <v>232</v>
      </c>
      <c r="M239" t="str">
        <f t="shared" si="15"/>
        <v>WO</v>
      </c>
      <c r="N239" s="6" t="s">
        <v>125</v>
      </c>
    </row>
    <row r="240" spans="1:14" ht="22.5" customHeight="1" x14ac:dyDescent="0.25">
      <c r="A240" t="s">
        <v>917</v>
      </c>
      <c r="B240" s="2" t="s">
        <v>915</v>
      </c>
      <c r="C240">
        <f>$C$2*Families!J184</f>
        <v>0.04</v>
      </c>
      <c r="D240">
        <f>$D$2*Novelty!D184</f>
        <v>4.0000000000000008E-2</v>
      </c>
      <c r="E240">
        <f>$E$2*VLOOKUP(A240,Interdisciplinarity!$K$3:$M$258,3,0)</f>
        <v>8.5000000000000006E-2</v>
      </c>
      <c r="F240">
        <f t="shared" si="12"/>
        <v>0.2</v>
      </c>
      <c r="G240">
        <f t="shared" si="13"/>
        <v>0.01</v>
      </c>
      <c r="H240">
        <f>$H$2*VLOOKUP(A240,Lexis_Сoefficient!$A$3:$F$257,6,0)</f>
        <v>0.16400000000000003</v>
      </c>
      <c r="I240">
        <v>1</v>
      </c>
      <c r="J240">
        <f>$J$2*VLOOKUP(A240,'Patent availability1'!$L$4:$V$261,11,0)</f>
        <v>0.05</v>
      </c>
      <c r="K240">
        <f t="shared" si="14"/>
        <v>0.42400000000000015</v>
      </c>
      <c r="L240" s="2" t="s">
        <v>916</v>
      </c>
      <c r="M240" t="str">
        <f t="shared" si="15"/>
        <v>WO</v>
      </c>
      <c r="N240" s="6" t="s">
        <v>125</v>
      </c>
    </row>
    <row r="241" spans="1:14" ht="22.5" customHeight="1" x14ac:dyDescent="0.25">
      <c r="A241" t="s">
        <v>809</v>
      </c>
      <c r="B241" s="2" t="s">
        <v>807</v>
      </c>
      <c r="C241">
        <f>$C$2*Families!J164</f>
        <v>0</v>
      </c>
      <c r="D241">
        <f>$D$2*Novelty!D164</f>
        <v>4.0000000000000008E-2</v>
      </c>
      <c r="E241">
        <f>$E$2*VLOOKUP(A241,Interdisciplinarity!$K$3:$M$258,3,0)</f>
        <v>0.06</v>
      </c>
      <c r="F241">
        <f t="shared" si="12"/>
        <v>0</v>
      </c>
      <c r="G241">
        <f t="shared" si="13"/>
        <v>0.01</v>
      </c>
      <c r="H241">
        <f>$H$2*VLOOKUP(A241,Lexis_Сoefficient!$A$3:$F$257,6,0)</f>
        <v>0.16400000000000003</v>
      </c>
      <c r="I241">
        <v>0</v>
      </c>
      <c r="J241">
        <f>$J$2*VLOOKUP(A241,'Patent availability1'!$L$4:$V$261,11,0)</f>
        <v>0.05</v>
      </c>
      <c r="K241">
        <f t="shared" si="14"/>
        <v>0.22400000000000003</v>
      </c>
      <c r="L241" s="2" t="s">
        <v>808</v>
      </c>
      <c r="M241" t="str">
        <f t="shared" si="15"/>
        <v>WO</v>
      </c>
      <c r="N241" s="6" t="s">
        <v>810</v>
      </c>
    </row>
    <row r="242" spans="1:14" ht="22.5" customHeight="1" x14ac:dyDescent="0.25">
      <c r="A242" t="s">
        <v>775</v>
      </c>
      <c r="B242" s="2" t="s">
        <v>773</v>
      </c>
      <c r="C242">
        <f>$C$2*Families!J157</f>
        <v>0</v>
      </c>
      <c r="D242">
        <f>$D$2*Novelty!D157</f>
        <v>4.0000000000000008E-2</v>
      </c>
      <c r="E242">
        <f>$E$2*VLOOKUP(A242,Interdisciplinarity!$K$3:$M$258,3,0)</f>
        <v>0.06</v>
      </c>
      <c r="F242">
        <f t="shared" si="12"/>
        <v>0</v>
      </c>
      <c r="G242">
        <f t="shared" si="13"/>
        <v>0.01</v>
      </c>
      <c r="H242">
        <f>$H$2*VLOOKUP(A242,Lexis_Сoefficient!$A$3:$F$257,6,0)</f>
        <v>0.12200000000000003</v>
      </c>
      <c r="I242">
        <v>0</v>
      </c>
      <c r="J242">
        <f>$J$2*VLOOKUP(A242,'Patent availability1'!$L$4:$V$261,11,0)</f>
        <v>0.05</v>
      </c>
      <c r="K242">
        <f t="shared" si="14"/>
        <v>0.18200000000000005</v>
      </c>
      <c r="L242" s="2" t="s">
        <v>774</v>
      </c>
      <c r="M242" t="str">
        <f t="shared" si="15"/>
        <v>WO</v>
      </c>
      <c r="N242" s="6" t="s">
        <v>777</v>
      </c>
    </row>
    <row r="243" spans="1:14" ht="22.5" customHeight="1" x14ac:dyDescent="0.25">
      <c r="A243" t="s">
        <v>665</v>
      </c>
      <c r="B243" s="2" t="s">
        <v>663</v>
      </c>
      <c r="C243">
        <f>$C$2*Families!J138</f>
        <v>0.04</v>
      </c>
      <c r="D243">
        <f>$D$2*Novelty!D138</f>
        <v>0.12</v>
      </c>
      <c r="E243">
        <f>$E$2*VLOOKUP(A243,Interdisciplinarity!$K$3:$M$258,3,0)</f>
        <v>0.06</v>
      </c>
      <c r="F243">
        <f t="shared" si="12"/>
        <v>0</v>
      </c>
      <c r="G243">
        <f t="shared" si="13"/>
        <v>0.01</v>
      </c>
      <c r="H243">
        <f>$H$2*VLOOKUP(A243,Lexis_Сoefficient!$A$3:$F$257,6,0)</f>
        <v>0.20800000000000002</v>
      </c>
      <c r="I243">
        <v>0</v>
      </c>
      <c r="J243">
        <f>$J$2*VLOOKUP(A243,'Patent availability1'!$L$4:$V$261,11,0)</f>
        <v>0</v>
      </c>
      <c r="K243">
        <f t="shared" si="14"/>
        <v>0.21800000000000003</v>
      </c>
      <c r="L243" s="2" t="s">
        <v>664</v>
      </c>
      <c r="M243" t="str">
        <f t="shared" si="15"/>
        <v>WO</v>
      </c>
      <c r="N243" s="6" t="s">
        <v>667</v>
      </c>
    </row>
    <row r="244" spans="1:14" ht="22.5" customHeight="1" x14ac:dyDescent="0.25">
      <c r="A244" t="s">
        <v>561</v>
      </c>
      <c r="B244" s="2" t="s">
        <v>559</v>
      </c>
      <c r="C244">
        <f>$C$2*Families!J113</f>
        <v>0.04</v>
      </c>
      <c r="D244">
        <f>$D$2*Novelty!D113</f>
        <v>0.12</v>
      </c>
      <c r="E244">
        <f>$E$2*VLOOKUP(A244,Interdisciplinarity!$K$3:$M$258,3,0)</f>
        <v>2.0000000000000004E-2</v>
      </c>
      <c r="F244">
        <f t="shared" si="12"/>
        <v>0.2</v>
      </c>
      <c r="G244">
        <f t="shared" si="13"/>
        <v>0.01</v>
      </c>
      <c r="H244">
        <f>$H$2*VLOOKUP(A244,Lexis_Сoefficient!$A$3:$F$257,6,0)</f>
        <v>0.1</v>
      </c>
      <c r="I244">
        <v>1</v>
      </c>
      <c r="J244">
        <f>$J$2*VLOOKUP(A244,'Patent availability1'!$L$4:$V$261,11,0)</f>
        <v>0</v>
      </c>
      <c r="K244">
        <f t="shared" si="14"/>
        <v>0.31000000000000005</v>
      </c>
      <c r="L244" s="2" t="s">
        <v>560</v>
      </c>
      <c r="M244" t="str">
        <f t="shared" si="15"/>
        <v>WO</v>
      </c>
      <c r="N244" s="6" t="s">
        <v>125</v>
      </c>
    </row>
    <row r="245" spans="1:14" ht="22.5" customHeight="1" x14ac:dyDescent="0.25">
      <c r="A245" t="s">
        <v>415</v>
      </c>
      <c r="B245" s="2" t="s">
        <v>413</v>
      </c>
      <c r="C245">
        <f>$C$2*Families!J85</f>
        <v>0.04</v>
      </c>
      <c r="D245">
        <f>$D$2*Novelty!D85</f>
        <v>0.12</v>
      </c>
      <c r="E245">
        <f>$E$2*VLOOKUP(A245,Interdisciplinarity!$K$3:$M$258,3,0)</f>
        <v>0.06</v>
      </c>
      <c r="F245">
        <f t="shared" si="12"/>
        <v>0.2</v>
      </c>
      <c r="G245">
        <f t="shared" si="13"/>
        <v>0.01</v>
      </c>
      <c r="H245">
        <f>$H$2*VLOOKUP(A245,Lexis_Сoefficient!$A$3:$F$257,6,0)</f>
        <v>8.8000000000000023E-2</v>
      </c>
      <c r="I245">
        <v>1</v>
      </c>
      <c r="J245">
        <f>$J$2*VLOOKUP(A245,'Patent availability1'!$L$4:$V$261,11,0)</f>
        <v>0.05</v>
      </c>
      <c r="K245">
        <f t="shared" si="14"/>
        <v>0.34800000000000009</v>
      </c>
      <c r="L245" s="2" t="s">
        <v>414</v>
      </c>
      <c r="M245" t="str">
        <f t="shared" si="15"/>
        <v>WO</v>
      </c>
      <c r="N245" s="6" t="s">
        <v>417</v>
      </c>
    </row>
    <row r="246" spans="1:14" ht="22.5" customHeight="1" x14ac:dyDescent="0.25">
      <c r="A246" t="s">
        <v>291</v>
      </c>
      <c r="B246" s="2" t="s">
        <v>289</v>
      </c>
      <c r="C246">
        <f>$C$2*Families!J54</f>
        <v>0.04</v>
      </c>
      <c r="D246">
        <f>$D$2*Novelty!D54</f>
        <v>0.17</v>
      </c>
      <c r="E246">
        <f>$E$2*VLOOKUP(A246,Interdisciplinarity!$K$3:$M$258,3,0)</f>
        <v>5.000000000000001E-3</v>
      </c>
      <c r="F246">
        <f t="shared" si="12"/>
        <v>0</v>
      </c>
      <c r="G246">
        <f t="shared" si="13"/>
        <v>0.01</v>
      </c>
      <c r="H246">
        <f>$H$2*VLOOKUP(A246,Lexis_Сoefficient!$A$3:$F$257,6,0)</f>
        <v>8.8000000000000023E-2</v>
      </c>
      <c r="I246">
        <v>0</v>
      </c>
      <c r="J246">
        <f>$J$2*VLOOKUP(A246,'Patent availability1'!$L$4:$V$261,11,0)</f>
        <v>0</v>
      </c>
      <c r="K246">
        <f t="shared" si="14"/>
        <v>9.8000000000000018E-2</v>
      </c>
      <c r="L246" s="2" t="s">
        <v>290</v>
      </c>
      <c r="M246" t="str">
        <f t="shared" si="15"/>
        <v>WO</v>
      </c>
      <c r="N246" s="6" t="s">
        <v>292</v>
      </c>
    </row>
    <row r="247" spans="1:14" ht="22.5" customHeight="1" x14ac:dyDescent="0.25">
      <c r="A247" t="s">
        <v>260</v>
      </c>
      <c r="B247" s="2" t="s">
        <v>258</v>
      </c>
      <c r="C247">
        <f>$C$2*Families!J49</f>
        <v>0.04</v>
      </c>
      <c r="D247">
        <f>$D$2*Novelty!D49</f>
        <v>0.17</v>
      </c>
      <c r="E247">
        <f>$E$2*VLOOKUP(A247,Interdisciplinarity!$K$3:$M$258,3,0)</f>
        <v>0.06</v>
      </c>
      <c r="F247">
        <f t="shared" si="12"/>
        <v>0</v>
      </c>
      <c r="G247">
        <f t="shared" si="13"/>
        <v>0.01</v>
      </c>
      <c r="H247">
        <f>$H$2*VLOOKUP(A247,Lexis_Сoefficient!$A$3:$F$257,6,0)</f>
        <v>7.0000000000000007E-2</v>
      </c>
      <c r="I247">
        <v>0</v>
      </c>
      <c r="J247">
        <f>$J$2*VLOOKUP(A247,'Patent availability1'!$L$4:$V$261,11,0)</f>
        <v>0.05</v>
      </c>
      <c r="K247">
        <f t="shared" si="14"/>
        <v>0.13</v>
      </c>
      <c r="L247" s="2" t="s">
        <v>259</v>
      </c>
      <c r="M247" t="str">
        <f t="shared" si="15"/>
        <v>WO</v>
      </c>
      <c r="N247" s="6" t="s">
        <v>262</v>
      </c>
    </row>
    <row r="248" spans="1:14" ht="22.5" customHeight="1" x14ac:dyDescent="0.25">
      <c r="A248" t="s">
        <v>245</v>
      </c>
      <c r="B248" s="2" t="s">
        <v>244</v>
      </c>
      <c r="C248">
        <f>$C$2*Families!J46</f>
        <v>0.04</v>
      </c>
      <c r="D248">
        <f>$D$2*Novelty!D46</f>
        <v>0.17</v>
      </c>
      <c r="E248">
        <f>$E$2*VLOOKUP(A248,Interdisciplinarity!$K$3:$M$258,3,0)</f>
        <v>0.06</v>
      </c>
      <c r="F248">
        <f t="shared" si="12"/>
        <v>0</v>
      </c>
      <c r="G248">
        <f t="shared" si="13"/>
        <v>0.01</v>
      </c>
      <c r="H248">
        <f>$H$2*VLOOKUP(A248,Lexis_Сoefficient!$A$3:$F$257,6,0)</f>
        <v>0.12400000000000003</v>
      </c>
      <c r="I248">
        <v>0</v>
      </c>
      <c r="J248">
        <f>$J$2*VLOOKUP(A248,'Patent availability1'!$L$4:$V$261,11,0)</f>
        <v>0</v>
      </c>
      <c r="K248">
        <f t="shared" si="14"/>
        <v>0.13400000000000004</v>
      </c>
      <c r="L248" s="2" t="s">
        <v>232</v>
      </c>
      <c r="M248" t="str">
        <f t="shared" si="15"/>
        <v>WO</v>
      </c>
      <c r="N248" s="6" t="s">
        <v>235</v>
      </c>
    </row>
    <row r="249" spans="1:14" ht="22.5" customHeight="1" x14ac:dyDescent="0.25">
      <c r="A249" t="s">
        <v>240</v>
      </c>
      <c r="B249" s="2" t="s">
        <v>239</v>
      </c>
      <c r="C249">
        <f>$C$2*Families!J45</f>
        <v>0.04</v>
      </c>
      <c r="D249">
        <f>$D$2*Novelty!D45</f>
        <v>0.17</v>
      </c>
      <c r="E249">
        <f>$E$2*VLOOKUP(A249,Interdisciplinarity!$K$3:$M$258,3,0)</f>
        <v>0.06</v>
      </c>
      <c r="F249">
        <f t="shared" si="12"/>
        <v>0</v>
      </c>
      <c r="G249">
        <f t="shared" si="13"/>
        <v>0.01</v>
      </c>
      <c r="H249">
        <f>$H$2*VLOOKUP(A249,Lexis_Сoefficient!$A$3:$F$257,6,0)</f>
        <v>0.12400000000000003</v>
      </c>
      <c r="I249">
        <v>0</v>
      </c>
      <c r="J249">
        <f>$J$2*VLOOKUP(A249,'Patent availability1'!$L$4:$V$261,11,0)</f>
        <v>0</v>
      </c>
      <c r="K249">
        <f t="shared" si="14"/>
        <v>0.13400000000000004</v>
      </c>
      <c r="L249" s="2" t="s">
        <v>232</v>
      </c>
      <c r="M249" t="str">
        <f t="shared" si="15"/>
        <v>WO</v>
      </c>
      <c r="N249" s="6" t="s">
        <v>235</v>
      </c>
    </row>
    <row r="250" spans="1:14" ht="22.5" customHeight="1" x14ac:dyDescent="0.25">
      <c r="A250" t="s">
        <v>233</v>
      </c>
      <c r="B250" s="2" t="s">
        <v>231</v>
      </c>
      <c r="C250">
        <f>$C$2*Families!J44</f>
        <v>0.04</v>
      </c>
      <c r="D250">
        <f>$D$2*Novelty!D44</f>
        <v>0.17</v>
      </c>
      <c r="E250">
        <f>$E$2*VLOOKUP(A250,Interdisciplinarity!$K$3:$M$258,3,0)</f>
        <v>0.06</v>
      </c>
      <c r="F250">
        <f t="shared" si="12"/>
        <v>0</v>
      </c>
      <c r="G250">
        <f t="shared" si="13"/>
        <v>0.01</v>
      </c>
      <c r="H250">
        <f>$H$2*VLOOKUP(A250,Lexis_Сoefficient!$A$3:$F$257,6,0)</f>
        <v>0.12400000000000003</v>
      </c>
      <c r="I250">
        <v>0</v>
      </c>
      <c r="J250">
        <f>$J$2*VLOOKUP(A250,'Patent availability1'!$L$4:$V$261,11,0)</f>
        <v>0</v>
      </c>
      <c r="K250">
        <f t="shared" si="14"/>
        <v>0.13400000000000004</v>
      </c>
      <c r="L250" s="2" t="s">
        <v>232</v>
      </c>
      <c r="M250" t="str">
        <f t="shared" si="15"/>
        <v>WO</v>
      </c>
      <c r="N250" s="6" t="s">
        <v>235</v>
      </c>
    </row>
    <row r="251" spans="1:14" ht="22.5" customHeight="1" x14ac:dyDescent="0.25">
      <c r="A251" t="s">
        <v>160</v>
      </c>
      <c r="B251" s="2" t="s">
        <v>158</v>
      </c>
      <c r="C251">
        <f>$C$2*Families!J25</f>
        <v>0</v>
      </c>
      <c r="D251">
        <f>$D$2*Novelty!D25</f>
        <v>0.17</v>
      </c>
      <c r="E251">
        <f>$E$2*VLOOKUP(A251,Interdisciplinarity!$K$3:$M$258,3,0)</f>
        <v>2.0000000000000004E-2</v>
      </c>
      <c r="F251">
        <f t="shared" si="12"/>
        <v>0</v>
      </c>
      <c r="G251">
        <f t="shared" si="13"/>
        <v>0.01</v>
      </c>
      <c r="H251">
        <f>$H$2*VLOOKUP(A251,Lexis_Сoefficient!$A$3:$F$257,6,0)</f>
        <v>5.800000000000001E-2</v>
      </c>
      <c r="I251">
        <v>0</v>
      </c>
      <c r="J251">
        <f>$J$2*VLOOKUP(A251,'Patent availability1'!$L$4:$V$261,11,0)</f>
        <v>0</v>
      </c>
      <c r="K251">
        <f t="shared" si="14"/>
        <v>6.8000000000000005E-2</v>
      </c>
      <c r="L251" s="2" t="s">
        <v>159</v>
      </c>
      <c r="M251" t="str">
        <f t="shared" si="15"/>
        <v>WO</v>
      </c>
      <c r="N251" s="6" t="s">
        <v>162</v>
      </c>
    </row>
    <row r="252" spans="1:14" ht="60" customHeight="1" x14ac:dyDescent="0.25">
      <c r="A252" t="s">
        <v>168</v>
      </c>
      <c r="B252" s="2" t="s">
        <v>166</v>
      </c>
      <c r="C252">
        <f>$C$2*Families!J26</f>
        <v>0.04</v>
      </c>
      <c r="D252">
        <f>$D$2*Novelty!D26</f>
        <v>0.17</v>
      </c>
      <c r="E252">
        <f>$E$2*VLOOKUP(A252,Interdisciplinarity!$K$3:$M$258,3,0)</f>
        <v>2.0000000000000004E-2</v>
      </c>
      <c r="F252">
        <f t="shared" si="12"/>
        <v>0</v>
      </c>
      <c r="G252">
        <f t="shared" si="13"/>
        <v>0.01</v>
      </c>
      <c r="H252">
        <f>$H$2*VLOOKUP(A252,Lexis_Сoefficient!$A$3:$F$257,6,0)</f>
        <v>5.800000000000001E-2</v>
      </c>
      <c r="I252">
        <v>0</v>
      </c>
      <c r="J252">
        <f>$J$2*VLOOKUP(A252,'Patent availability1'!$L$4:$V$261,11,0)</f>
        <v>0</v>
      </c>
      <c r="K252">
        <f t="shared" si="14"/>
        <v>6.8000000000000005E-2</v>
      </c>
      <c r="L252" s="2" t="s">
        <v>167</v>
      </c>
      <c r="M252" t="str">
        <f t="shared" si="15"/>
        <v>WO</v>
      </c>
      <c r="N252" s="6" t="s">
        <v>162</v>
      </c>
    </row>
    <row r="253" spans="1:14" ht="22.5" customHeight="1" x14ac:dyDescent="0.25">
      <c r="A253" t="s">
        <v>63</v>
      </c>
      <c r="B253" s="2" t="s">
        <v>61</v>
      </c>
      <c r="C253">
        <f>$C$2*Families!J9</f>
        <v>0</v>
      </c>
      <c r="D253">
        <f>$D$2*Novelty!D9</f>
        <v>1.0000000000000002E-2</v>
      </c>
      <c r="E253">
        <f>$E$2*VLOOKUP(A253,Interdisciplinarity!$K$3:$M$258,3,0)</f>
        <v>0.06</v>
      </c>
      <c r="F253">
        <f t="shared" si="12"/>
        <v>0.2</v>
      </c>
      <c r="G253">
        <f t="shared" si="13"/>
        <v>0.01</v>
      </c>
      <c r="H253">
        <f>$H$2*VLOOKUP(A253,Lexis_Сoefficient!$A$3:$F$257,6,0)</f>
        <v>0.248</v>
      </c>
      <c r="I253">
        <v>1</v>
      </c>
      <c r="J253">
        <f>$J$2*VLOOKUP(A253,'Patent availability1'!$L$4:$V$261,11,0)</f>
        <v>0.05</v>
      </c>
      <c r="K253">
        <f t="shared" si="14"/>
        <v>0.50800000000000001</v>
      </c>
      <c r="L253" s="2" t="s">
        <v>62</v>
      </c>
      <c r="M253" t="str">
        <f t="shared" si="15"/>
        <v>WO</v>
      </c>
      <c r="N253" s="6" t="s">
        <v>13</v>
      </c>
    </row>
    <row r="254" spans="1:14" ht="22.5" customHeight="1" x14ac:dyDescent="0.25">
      <c r="A254" t="s">
        <v>1068</v>
      </c>
      <c r="B254" s="2" t="s">
        <v>1066</v>
      </c>
      <c r="C254">
        <f>$C$2*Families!J210</f>
        <v>0</v>
      </c>
      <c r="D254">
        <f>$D$2*Novelty!D210</f>
        <v>1.0000000000000002E-2</v>
      </c>
      <c r="E254">
        <f>$E$2*VLOOKUP(A254,Interdisciplinarity!$K$3:$M$258,3,0)</f>
        <v>0.1</v>
      </c>
      <c r="F254">
        <f t="shared" si="12"/>
        <v>0.2</v>
      </c>
      <c r="G254">
        <f t="shared" si="13"/>
        <v>0.01</v>
      </c>
      <c r="H254">
        <f>$H$2*VLOOKUP(A254,Lexis_Сoefficient!$A$3:$F$257,6,0)</f>
        <v>0.30400000000000005</v>
      </c>
      <c r="I254">
        <v>1</v>
      </c>
      <c r="J254">
        <f>$J$2*VLOOKUP(A254,'Patent availability1'!$L$4:$V$261,11,0)</f>
        <v>0.05</v>
      </c>
      <c r="K254">
        <f t="shared" si="14"/>
        <v>0.56400000000000006</v>
      </c>
      <c r="L254" s="2" t="s">
        <v>1067</v>
      </c>
      <c r="M254" t="str">
        <f t="shared" si="15"/>
        <v>WO</v>
      </c>
      <c r="N254" s="6" t="s">
        <v>1070</v>
      </c>
    </row>
    <row r="255" spans="1:14" ht="22.5" customHeight="1" x14ac:dyDescent="0.25">
      <c r="A255" t="s">
        <v>1060</v>
      </c>
      <c r="B255" s="2" t="s">
        <v>1058</v>
      </c>
      <c r="C255">
        <f>$C$2*Families!J209</f>
        <v>0</v>
      </c>
      <c r="D255">
        <f>$D$2*Novelty!D209</f>
        <v>1.0000000000000002E-2</v>
      </c>
      <c r="E255">
        <f>$E$2*VLOOKUP(A255,Interdisciplinarity!$K$3:$M$258,3,0)</f>
        <v>8.5000000000000006E-2</v>
      </c>
      <c r="F255">
        <f t="shared" si="12"/>
        <v>0.2</v>
      </c>
      <c r="G255">
        <f t="shared" si="13"/>
        <v>0.01</v>
      </c>
      <c r="H255">
        <f>$H$2*VLOOKUP(A255,Lexis_Сoefficient!$A$3:$F$257,6,0)</f>
        <v>0.34600000000000003</v>
      </c>
      <c r="I255">
        <v>1</v>
      </c>
      <c r="J255">
        <f>$J$2*VLOOKUP(A255,'Patent availability1'!$L$4:$V$261,11,0)</f>
        <v>0.05</v>
      </c>
      <c r="K255">
        <f t="shared" si="14"/>
        <v>0.60600000000000009</v>
      </c>
      <c r="L255" s="2" t="s">
        <v>1059</v>
      </c>
      <c r="M255" t="str">
        <f t="shared" si="15"/>
        <v>WO</v>
      </c>
      <c r="N255" s="6" t="s">
        <v>946</v>
      </c>
    </row>
    <row r="256" spans="1:14" ht="22.5" customHeight="1" x14ac:dyDescent="0.25">
      <c r="A256" t="s">
        <v>122</v>
      </c>
      <c r="B256" s="2" t="s">
        <v>122</v>
      </c>
      <c r="C256">
        <f>$C$2*Families!J18</f>
        <v>0.04</v>
      </c>
      <c r="D256">
        <f>$D$2*Novelty!D18</f>
        <v>4.0000000000000008E-2</v>
      </c>
      <c r="E256">
        <f>$E$2*VLOOKUP(A256,Interdisciplinarity!$K$3:$M$258,3,0)</f>
        <v>2.0000000000000004E-2</v>
      </c>
      <c r="F256">
        <f t="shared" si="12"/>
        <v>0.2</v>
      </c>
      <c r="G256">
        <f t="shared" si="13"/>
        <v>0</v>
      </c>
      <c r="H256">
        <f>$H$2*VLOOKUP(A256,Lexis_Сoefficient!$A$3:$F$257,6,0)</f>
        <v>1.8000000000000002E-2</v>
      </c>
      <c r="I256">
        <v>1</v>
      </c>
      <c r="J256">
        <f>$J$2*VLOOKUP(A256,'Patent availability1'!$L$4:$V$261,11,0)</f>
        <v>0.05</v>
      </c>
      <c r="K256">
        <f t="shared" si="14"/>
        <v>0.26800000000000002</v>
      </c>
      <c r="L256" s="2" t="s">
        <v>123</v>
      </c>
      <c r="M256" t="str">
        <f t="shared" si="15"/>
        <v>ZA</v>
      </c>
      <c r="N256" s="6" t="s">
        <v>125</v>
      </c>
    </row>
    <row r="257" spans="1:14" ht="22.5" customHeight="1" x14ac:dyDescent="0.25">
      <c r="A257" t="s">
        <v>143</v>
      </c>
      <c r="B257" s="2" t="s">
        <v>141</v>
      </c>
      <c r="C257">
        <f>$C$2*Families!J22</f>
        <v>0.04</v>
      </c>
      <c r="D257">
        <f>$D$2*Novelty!D22</f>
        <v>1.0000000000000002E-2</v>
      </c>
      <c r="E257">
        <f>$E$2*VLOOKUP(A257,Interdisciplinarity!$K$3:$M$258,3,0)</f>
        <v>0.06</v>
      </c>
      <c r="F257">
        <f t="shared" si="12"/>
        <v>0</v>
      </c>
      <c r="G257">
        <f t="shared" si="13"/>
        <v>0</v>
      </c>
      <c r="H257">
        <f>$H$2*VLOOKUP(A257,Lexis_Сoefficient!$A$3:$F$257,6,0)</f>
        <v>0.26600000000000001</v>
      </c>
      <c r="I257">
        <v>0</v>
      </c>
      <c r="J257">
        <f>$J$2*VLOOKUP(A257,'Patent availability1'!$L$4:$V$261,11,0)</f>
        <v>0.05</v>
      </c>
      <c r="K257">
        <f t="shared" si="14"/>
        <v>0.316</v>
      </c>
      <c r="L257" s="2" t="s">
        <v>142</v>
      </c>
      <c r="M257" t="str">
        <f t="shared" si="15"/>
        <v>ZA</v>
      </c>
      <c r="N257" s="6" t="s">
        <v>145</v>
      </c>
    </row>
  </sheetData>
  <sortState ref="A3:O257">
    <sortCondition ref="A3:A2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77"/>
  <sheetViews>
    <sheetView workbookViewId="0"/>
  </sheetViews>
  <sheetFormatPr defaultRowHeight="15" x14ac:dyDescent="0.25"/>
  <cols>
    <col min="2" max="2" width="16.42578125" customWidth="1"/>
  </cols>
  <sheetData>
    <row r="1" spans="1:4" x14ac:dyDescent="0.25">
      <c r="A1" t="s">
        <v>0</v>
      </c>
      <c r="B1" t="s">
        <v>2</v>
      </c>
      <c r="C1" t="s">
        <v>2857</v>
      </c>
      <c r="D1" t="s">
        <v>2520</v>
      </c>
    </row>
    <row r="2" spans="1:4" x14ac:dyDescent="0.25">
      <c r="A2" t="s">
        <v>9</v>
      </c>
      <c r="B2" t="s">
        <v>11</v>
      </c>
      <c r="C2" t="str">
        <f>LEFT(A2,2)</f>
        <v>US</v>
      </c>
      <c r="D2">
        <v>1</v>
      </c>
    </row>
    <row r="3" spans="1:4" x14ac:dyDescent="0.25">
      <c r="A3" t="s">
        <v>18</v>
      </c>
      <c r="B3" t="s">
        <v>19</v>
      </c>
      <c r="C3" t="str">
        <f t="shared" ref="C3:C66" si="0">LEFT(A3,2)</f>
        <v>US</v>
      </c>
      <c r="D3">
        <v>1</v>
      </c>
    </row>
    <row r="4" spans="1:4" x14ac:dyDescent="0.25">
      <c r="A4" t="s">
        <v>1395</v>
      </c>
      <c r="B4" t="s">
        <v>26</v>
      </c>
      <c r="C4" t="str">
        <f t="shared" si="0"/>
        <v>US</v>
      </c>
      <c r="D4">
        <v>1</v>
      </c>
    </row>
    <row r="5" spans="1:4" x14ac:dyDescent="0.25">
      <c r="A5" t="s">
        <v>1397</v>
      </c>
      <c r="B5" t="s">
        <v>26</v>
      </c>
      <c r="C5" t="str">
        <f t="shared" si="0"/>
        <v>US</v>
      </c>
      <c r="D5">
        <v>1</v>
      </c>
    </row>
    <row r="6" spans="1:4" x14ac:dyDescent="0.25">
      <c r="A6" t="s">
        <v>1398</v>
      </c>
      <c r="B6" t="s">
        <v>26</v>
      </c>
      <c r="C6" t="str">
        <f t="shared" si="0"/>
        <v>NZ</v>
      </c>
      <c r="D6">
        <v>1</v>
      </c>
    </row>
    <row r="7" spans="1:4" x14ac:dyDescent="0.25">
      <c r="A7" t="s">
        <v>1399</v>
      </c>
      <c r="B7" t="s">
        <v>26</v>
      </c>
      <c r="C7" t="str">
        <f t="shared" si="0"/>
        <v>EP</v>
      </c>
      <c r="D7">
        <v>1</v>
      </c>
    </row>
    <row r="8" spans="1:4" x14ac:dyDescent="0.25">
      <c r="A8" t="s">
        <v>1399</v>
      </c>
      <c r="B8" t="s">
        <v>26</v>
      </c>
      <c r="C8" t="str">
        <f t="shared" si="0"/>
        <v>EP</v>
      </c>
      <c r="D8">
        <v>1</v>
      </c>
    </row>
    <row r="9" spans="1:4" x14ac:dyDescent="0.25">
      <c r="A9" t="s">
        <v>1400</v>
      </c>
      <c r="B9" t="s">
        <v>26</v>
      </c>
      <c r="C9" t="str">
        <f t="shared" si="0"/>
        <v>ZA</v>
      </c>
      <c r="D9">
        <v>1</v>
      </c>
    </row>
    <row r="10" spans="1:4" x14ac:dyDescent="0.25">
      <c r="A10" t="s">
        <v>1401</v>
      </c>
      <c r="B10" t="s">
        <v>26</v>
      </c>
      <c r="C10" t="str">
        <f t="shared" si="0"/>
        <v>DE</v>
      </c>
      <c r="D10">
        <v>1</v>
      </c>
    </row>
    <row r="11" spans="1:4" x14ac:dyDescent="0.25">
      <c r="A11" t="s">
        <v>1403</v>
      </c>
      <c r="B11" t="s">
        <v>34</v>
      </c>
      <c r="C11" t="str">
        <f t="shared" si="0"/>
        <v>WO</v>
      </c>
      <c r="D11">
        <v>1</v>
      </c>
    </row>
    <row r="12" spans="1:4" x14ac:dyDescent="0.25">
      <c r="A12" t="s">
        <v>34</v>
      </c>
      <c r="B12" t="s">
        <v>34</v>
      </c>
      <c r="C12" t="str">
        <f t="shared" si="0"/>
        <v>CA</v>
      </c>
      <c r="D12">
        <v>1</v>
      </c>
    </row>
    <row r="13" spans="1:4" x14ac:dyDescent="0.25">
      <c r="A13" t="s">
        <v>1406</v>
      </c>
      <c r="B13" t="s">
        <v>34</v>
      </c>
      <c r="C13" t="str">
        <f t="shared" si="0"/>
        <v>EP</v>
      </c>
      <c r="D13">
        <v>1</v>
      </c>
    </row>
    <row r="14" spans="1:4" x14ac:dyDescent="0.25">
      <c r="A14" t="s">
        <v>1406</v>
      </c>
      <c r="B14" t="s">
        <v>34</v>
      </c>
      <c r="C14" t="str">
        <f t="shared" si="0"/>
        <v>EP</v>
      </c>
      <c r="D14">
        <v>1</v>
      </c>
    </row>
    <row r="15" spans="1:4" x14ac:dyDescent="0.25">
      <c r="A15" t="s">
        <v>1409</v>
      </c>
      <c r="B15" t="s">
        <v>34</v>
      </c>
      <c r="C15" t="str">
        <f t="shared" si="0"/>
        <v>US</v>
      </c>
      <c r="D15">
        <v>1</v>
      </c>
    </row>
    <row r="16" spans="1:4" x14ac:dyDescent="0.25">
      <c r="A16" t="s">
        <v>1412</v>
      </c>
      <c r="B16" t="s">
        <v>34</v>
      </c>
      <c r="C16" t="str">
        <f t="shared" si="0"/>
        <v>US</v>
      </c>
      <c r="D16">
        <v>1</v>
      </c>
    </row>
    <row r="17" spans="1:4" x14ac:dyDescent="0.25">
      <c r="A17" t="s">
        <v>1414</v>
      </c>
      <c r="B17" t="s">
        <v>43</v>
      </c>
      <c r="C17" t="str">
        <f t="shared" si="0"/>
        <v>WO</v>
      </c>
      <c r="D17">
        <v>1</v>
      </c>
    </row>
    <row r="18" spans="1:4" x14ac:dyDescent="0.25">
      <c r="A18" t="s">
        <v>1414</v>
      </c>
      <c r="B18" t="s">
        <v>43</v>
      </c>
      <c r="C18" t="str">
        <f t="shared" si="0"/>
        <v>WO</v>
      </c>
      <c r="D18">
        <v>1</v>
      </c>
    </row>
    <row r="19" spans="1:4" x14ac:dyDescent="0.25">
      <c r="A19" t="s">
        <v>1419</v>
      </c>
      <c r="B19" t="s">
        <v>43</v>
      </c>
      <c r="C19" t="str">
        <f t="shared" si="0"/>
        <v>EP</v>
      </c>
      <c r="D19">
        <v>1</v>
      </c>
    </row>
    <row r="20" spans="1:4" x14ac:dyDescent="0.25">
      <c r="A20" t="s">
        <v>1421</v>
      </c>
      <c r="B20" t="s">
        <v>43</v>
      </c>
      <c r="C20" t="str">
        <f>LEFT(A20,4)</f>
        <v>BRPI</v>
      </c>
      <c r="D20">
        <v>1</v>
      </c>
    </row>
    <row r="21" spans="1:4" x14ac:dyDescent="0.25">
      <c r="A21" t="s">
        <v>1421</v>
      </c>
      <c r="B21" t="s">
        <v>43</v>
      </c>
      <c r="C21" t="str">
        <f t="shared" ref="C21:C24" si="1">LEFT(A21,4)</f>
        <v>BRPI</v>
      </c>
      <c r="D21">
        <v>1</v>
      </c>
    </row>
    <row r="22" spans="1:4" x14ac:dyDescent="0.25">
      <c r="A22" t="s">
        <v>1421</v>
      </c>
      <c r="B22" t="s">
        <v>43</v>
      </c>
      <c r="C22" t="str">
        <f t="shared" si="1"/>
        <v>BRPI</v>
      </c>
      <c r="D22">
        <v>1</v>
      </c>
    </row>
    <row r="23" spans="1:4" x14ac:dyDescent="0.25">
      <c r="A23" t="s">
        <v>1421</v>
      </c>
      <c r="B23" t="s">
        <v>43</v>
      </c>
      <c r="C23" t="str">
        <f t="shared" si="1"/>
        <v>BRPI</v>
      </c>
      <c r="D23">
        <v>1</v>
      </c>
    </row>
    <row r="24" spans="1:4" x14ac:dyDescent="0.25">
      <c r="A24" t="s">
        <v>1421</v>
      </c>
      <c r="B24" t="s">
        <v>43</v>
      </c>
      <c r="C24" t="str">
        <f t="shared" si="1"/>
        <v>BRPI</v>
      </c>
      <c r="D24">
        <v>1</v>
      </c>
    </row>
    <row r="25" spans="1:4" x14ac:dyDescent="0.25">
      <c r="A25" t="s">
        <v>43</v>
      </c>
      <c r="B25" t="s">
        <v>43</v>
      </c>
      <c r="C25" t="str">
        <f t="shared" si="0"/>
        <v>CA</v>
      </c>
      <c r="D25">
        <v>1</v>
      </c>
    </row>
    <row r="26" spans="1:4" x14ac:dyDescent="0.25">
      <c r="A26" t="s">
        <v>43</v>
      </c>
      <c r="B26" t="s">
        <v>43</v>
      </c>
      <c r="C26" t="str">
        <f t="shared" si="0"/>
        <v>CA</v>
      </c>
      <c r="D26">
        <v>1</v>
      </c>
    </row>
    <row r="27" spans="1:4" x14ac:dyDescent="0.25">
      <c r="A27" t="s">
        <v>1424</v>
      </c>
      <c r="B27" t="s">
        <v>43</v>
      </c>
      <c r="C27" t="str">
        <f t="shared" si="0"/>
        <v>US</v>
      </c>
      <c r="D27">
        <v>1</v>
      </c>
    </row>
    <row r="28" spans="1:4" x14ac:dyDescent="0.25">
      <c r="A28" t="s">
        <v>1427</v>
      </c>
      <c r="B28" t="s">
        <v>43</v>
      </c>
      <c r="C28" t="str">
        <f t="shared" si="0"/>
        <v>US</v>
      </c>
      <c r="D28">
        <v>1</v>
      </c>
    </row>
    <row r="29" spans="1:4" x14ac:dyDescent="0.25">
      <c r="A29" t="s">
        <v>1429</v>
      </c>
      <c r="B29" t="s">
        <v>43</v>
      </c>
      <c r="C29" t="str">
        <f t="shared" si="0"/>
        <v>AU</v>
      </c>
      <c r="D29">
        <v>1</v>
      </c>
    </row>
    <row r="30" spans="1:4" x14ac:dyDescent="0.25">
      <c r="A30" t="s">
        <v>1429</v>
      </c>
      <c r="B30" t="s">
        <v>43</v>
      </c>
      <c r="C30" t="str">
        <f t="shared" si="0"/>
        <v>AU</v>
      </c>
      <c r="D30">
        <v>1</v>
      </c>
    </row>
    <row r="31" spans="1:4" x14ac:dyDescent="0.25">
      <c r="A31" t="s">
        <v>1431</v>
      </c>
      <c r="B31" t="s">
        <v>43</v>
      </c>
      <c r="C31" t="str">
        <f t="shared" si="0"/>
        <v>MX</v>
      </c>
      <c r="D31">
        <v>1</v>
      </c>
    </row>
    <row r="32" spans="1:4" x14ac:dyDescent="0.25">
      <c r="A32" t="s">
        <v>1432</v>
      </c>
      <c r="B32" t="s">
        <v>43</v>
      </c>
      <c r="C32" t="str">
        <f t="shared" si="0"/>
        <v>KR</v>
      </c>
      <c r="D32">
        <v>1</v>
      </c>
    </row>
    <row r="33" spans="1:4" x14ac:dyDescent="0.25">
      <c r="A33" t="s">
        <v>1434</v>
      </c>
      <c r="B33" t="s">
        <v>43</v>
      </c>
      <c r="C33" t="str">
        <f t="shared" si="0"/>
        <v>KR</v>
      </c>
      <c r="D33">
        <v>1</v>
      </c>
    </row>
    <row r="34" spans="1:4" x14ac:dyDescent="0.25">
      <c r="A34" t="s">
        <v>1435</v>
      </c>
      <c r="B34" t="s">
        <v>43</v>
      </c>
      <c r="C34" t="str">
        <f t="shared" si="0"/>
        <v>CN</v>
      </c>
      <c r="D34">
        <v>1</v>
      </c>
    </row>
    <row r="35" spans="1:4" x14ac:dyDescent="0.25">
      <c r="A35" t="s">
        <v>1435</v>
      </c>
      <c r="B35" t="s">
        <v>43</v>
      </c>
      <c r="C35" t="str">
        <f t="shared" si="0"/>
        <v>CN</v>
      </c>
      <c r="D35">
        <v>1</v>
      </c>
    </row>
    <row r="36" spans="1:4" x14ac:dyDescent="0.25">
      <c r="A36" t="s">
        <v>1436</v>
      </c>
      <c r="B36" t="s">
        <v>43</v>
      </c>
      <c r="C36" t="str">
        <f t="shared" si="0"/>
        <v>JP</v>
      </c>
      <c r="D36">
        <v>1</v>
      </c>
    </row>
    <row r="37" spans="1:4" x14ac:dyDescent="0.25">
      <c r="A37" t="s">
        <v>1438</v>
      </c>
      <c r="B37" t="s">
        <v>43</v>
      </c>
      <c r="C37" t="str">
        <f t="shared" si="0"/>
        <v>JP</v>
      </c>
      <c r="D37">
        <v>1</v>
      </c>
    </row>
    <row r="38" spans="1:4" x14ac:dyDescent="0.25">
      <c r="A38" t="s">
        <v>1439</v>
      </c>
      <c r="B38" t="s">
        <v>43</v>
      </c>
      <c r="C38" t="str">
        <f t="shared" si="0"/>
        <v>IN</v>
      </c>
      <c r="D38">
        <v>1</v>
      </c>
    </row>
    <row r="39" spans="1:4" x14ac:dyDescent="0.25">
      <c r="A39" t="s">
        <v>1441</v>
      </c>
      <c r="B39" t="s">
        <v>43</v>
      </c>
      <c r="C39" t="str">
        <f t="shared" si="0"/>
        <v>IN</v>
      </c>
      <c r="D39">
        <v>1</v>
      </c>
    </row>
    <row r="40" spans="1:4" x14ac:dyDescent="0.25">
      <c r="A40" t="s">
        <v>1442</v>
      </c>
      <c r="B40" t="s">
        <v>43</v>
      </c>
      <c r="C40" t="str">
        <f t="shared" si="0"/>
        <v>TH</v>
      </c>
      <c r="D40">
        <v>1</v>
      </c>
    </row>
    <row r="41" spans="1:4" x14ac:dyDescent="0.25">
      <c r="A41" t="s">
        <v>1443</v>
      </c>
      <c r="B41" t="s">
        <v>43</v>
      </c>
      <c r="C41" t="str">
        <f t="shared" si="0"/>
        <v>RU</v>
      </c>
      <c r="D41">
        <v>1</v>
      </c>
    </row>
    <row r="42" spans="1:4" x14ac:dyDescent="0.25">
      <c r="A42" t="s">
        <v>1445</v>
      </c>
      <c r="B42" t="s">
        <v>43</v>
      </c>
      <c r="C42" t="str">
        <f t="shared" si="0"/>
        <v>RU</v>
      </c>
      <c r="D42">
        <v>1</v>
      </c>
    </row>
    <row r="43" spans="1:4" x14ac:dyDescent="0.25">
      <c r="A43" t="s">
        <v>1446</v>
      </c>
      <c r="B43" t="s">
        <v>43</v>
      </c>
      <c r="C43" t="str">
        <f t="shared" si="0"/>
        <v>ZA</v>
      </c>
      <c r="D43">
        <v>1</v>
      </c>
    </row>
    <row r="44" spans="1:4" x14ac:dyDescent="0.25">
      <c r="A44" t="s">
        <v>50</v>
      </c>
      <c r="B44" t="s">
        <v>50</v>
      </c>
      <c r="C44" t="str">
        <f t="shared" si="0"/>
        <v>RU</v>
      </c>
      <c r="D44">
        <v>1</v>
      </c>
    </row>
    <row r="45" spans="1:4" x14ac:dyDescent="0.25">
      <c r="A45" t="s">
        <v>60</v>
      </c>
      <c r="B45" t="s">
        <v>60</v>
      </c>
      <c r="C45" t="str">
        <f t="shared" si="0"/>
        <v>RU</v>
      </c>
      <c r="D45">
        <v>1</v>
      </c>
    </row>
    <row r="46" spans="1:4" x14ac:dyDescent="0.25">
      <c r="A46" t="s">
        <v>1449</v>
      </c>
      <c r="B46" t="s">
        <v>60</v>
      </c>
      <c r="C46" t="str">
        <f t="shared" si="0"/>
        <v>RU</v>
      </c>
      <c r="D46">
        <v>1</v>
      </c>
    </row>
    <row r="47" spans="1:4" x14ac:dyDescent="0.25">
      <c r="A47" t="s">
        <v>63</v>
      </c>
      <c r="B47" t="s">
        <v>63</v>
      </c>
      <c r="C47" t="str">
        <f t="shared" si="0"/>
        <v>WO</v>
      </c>
      <c r="D47">
        <v>1</v>
      </c>
    </row>
    <row r="48" spans="1:4" x14ac:dyDescent="0.25">
      <c r="A48" t="s">
        <v>1451</v>
      </c>
      <c r="B48" t="s">
        <v>63</v>
      </c>
      <c r="C48" t="str">
        <f t="shared" si="0"/>
        <v>EP</v>
      </c>
      <c r="D48">
        <v>1</v>
      </c>
    </row>
    <row r="49" spans="1:4" x14ac:dyDescent="0.25">
      <c r="A49" t="s">
        <v>1451</v>
      </c>
      <c r="B49" t="s">
        <v>63</v>
      </c>
      <c r="C49" t="str">
        <f t="shared" si="0"/>
        <v>EP</v>
      </c>
      <c r="D49">
        <v>1</v>
      </c>
    </row>
    <row r="50" spans="1:4" x14ac:dyDescent="0.25">
      <c r="A50" t="s">
        <v>1452</v>
      </c>
      <c r="B50" t="s">
        <v>63</v>
      </c>
      <c r="C50" t="str">
        <f t="shared" si="0"/>
        <v>AU</v>
      </c>
      <c r="D50">
        <v>1</v>
      </c>
    </row>
    <row r="51" spans="1:4" x14ac:dyDescent="0.25">
      <c r="A51" t="s">
        <v>1453</v>
      </c>
      <c r="B51" t="s">
        <v>63</v>
      </c>
      <c r="C51" t="str">
        <f t="shared" si="0"/>
        <v>AU</v>
      </c>
      <c r="D51">
        <v>1</v>
      </c>
    </row>
    <row r="52" spans="1:4" x14ac:dyDescent="0.25">
      <c r="A52" t="s">
        <v>1454</v>
      </c>
      <c r="B52" t="s">
        <v>63</v>
      </c>
      <c r="C52" t="str">
        <f t="shared" si="0"/>
        <v>US</v>
      </c>
      <c r="D52">
        <v>1</v>
      </c>
    </row>
    <row r="53" spans="1:4" x14ac:dyDescent="0.25">
      <c r="A53" t="s">
        <v>1455</v>
      </c>
      <c r="B53" t="s">
        <v>63</v>
      </c>
      <c r="C53" t="str">
        <f t="shared" si="0"/>
        <v>US</v>
      </c>
      <c r="D53">
        <v>1</v>
      </c>
    </row>
    <row r="54" spans="1:4" x14ac:dyDescent="0.25">
      <c r="A54" t="s">
        <v>1457</v>
      </c>
      <c r="B54" t="s">
        <v>63</v>
      </c>
      <c r="C54" t="str">
        <f t="shared" si="0"/>
        <v>JP</v>
      </c>
      <c r="D54">
        <v>1</v>
      </c>
    </row>
    <row r="55" spans="1:4" x14ac:dyDescent="0.25">
      <c r="A55" t="s">
        <v>1458</v>
      </c>
      <c r="B55" t="s">
        <v>63</v>
      </c>
      <c r="C55" t="str">
        <f t="shared" si="0"/>
        <v>ZA</v>
      </c>
      <c r="D55">
        <v>1</v>
      </c>
    </row>
    <row r="56" spans="1:4" x14ac:dyDescent="0.25">
      <c r="A56" t="s">
        <v>1459</v>
      </c>
      <c r="B56" t="s">
        <v>71</v>
      </c>
      <c r="C56" t="str">
        <f t="shared" si="0"/>
        <v>WO</v>
      </c>
      <c r="D56">
        <v>1</v>
      </c>
    </row>
    <row r="57" spans="1:4" x14ac:dyDescent="0.25">
      <c r="A57" t="s">
        <v>1459</v>
      </c>
      <c r="B57" t="s">
        <v>71</v>
      </c>
      <c r="C57" t="str">
        <f t="shared" si="0"/>
        <v>WO</v>
      </c>
      <c r="D57">
        <v>1</v>
      </c>
    </row>
    <row r="58" spans="1:4" x14ac:dyDescent="0.25">
      <c r="A58" t="s">
        <v>1461</v>
      </c>
      <c r="B58" t="s">
        <v>71</v>
      </c>
      <c r="C58" t="str">
        <f t="shared" si="0"/>
        <v>EP</v>
      </c>
      <c r="D58">
        <v>1</v>
      </c>
    </row>
    <row r="59" spans="1:4" x14ac:dyDescent="0.25">
      <c r="A59" t="s">
        <v>1462</v>
      </c>
      <c r="B59" t="s">
        <v>71</v>
      </c>
      <c r="C59" t="str">
        <f t="shared" si="0"/>
        <v>CA</v>
      </c>
      <c r="D59">
        <v>1</v>
      </c>
    </row>
    <row r="60" spans="1:4" x14ac:dyDescent="0.25">
      <c r="A60" t="s">
        <v>71</v>
      </c>
      <c r="B60" t="s">
        <v>71</v>
      </c>
      <c r="C60" t="str">
        <f t="shared" si="0"/>
        <v>AU</v>
      </c>
      <c r="D60">
        <v>1</v>
      </c>
    </row>
    <row r="61" spans="1:4" x14ac:dyDescent="0.25">
      <c r="A61" t="s">
        <v>1465</v>
      </c>
      <c r="B61" t="s">
        <v>71</v>
      </c>
      <c r="C61" t="str">
        <f t="shared" si="0"/>
        <v>US</v>
      </c>
      <c r="D61">
        <v>1</v>
      </c>
    </row>
    <row r="62" spans="1:4" x14ac:dyDescent="0.25">
      <c r="A62" t="s">
        <v>1467</v>
      </c>
      <c r="B62" t="s">
        <v>71</v>
      </c>
      <c r="C62" t="str">
        <f t="shared" si="0"/>
        <v>US</v>
      </c>
      <c r="D62">
        <v>1</v>
      </c>
    </row>
    <row r="63" spans="1:4" x14ac:dyDescent="0.25">
      <c r="A63" t="s">
        <v>1468</v>
      </c>
      <c r="B63" t="s">
        <v>71</v>
      </c>
      <c r="C63" t="str">
        <f t="shared" si="0"/>
        <v>CN</v>
      </c>
      <c r="D63">
        <v>1</v>
      </c>
    </row>
    <row r="64" spans="1:4" x14ac:dyDescent="0.25">
      <c r="A64" t="s">
        <v>1469</v>
      </c>
      <c r="B64" t="s">
        <v>71</v>
      </c>
      <c r="C64" t="str">
        <f t="shared" si="0"/>
        <v>IN</v>
      </c>
      <c r="D64">
        <v>1</v>
      </c>
    </row>
    <row r="65" spans="1:4" x14ac:dyDescent="0.25">
      <c r="A65" t="s">
        <v>1470</v>
      </c>
      <c r="B65" t="s">
        <v>71</v>
      </c>
      <c r="C65" t="str">
        <f t="shared" si="0"/>
        <v>RU</v>
      </c>
      <c r="D65">
        <v>1</v>
      </c>
    </row>
    <row r="66" spans="1:4" x14ac:dyDescent="0.25">
      <c r="A66" t="s">
        <v>1472</v>
      </c>
      <c r="B66" t="s">
        <v>80</v>
      </c>
      <c r="C66" t="str">
        <f t="shared" si="0"/>
        <v>WO</v>
      </c>
      <c r="D66">
        <v>1</v>
      </c>
    </row>
    <row r="67" spans="1:4" x14ac:dyDescent="0.25">
      <c r="A67" t="s">
        <v>1472</v>
      </c>
      <c r="B67" t="s">
        <v>80</v>
      </c>
      <c r="C67" t="str">
        <f t="shared" ref="C67:C130" si="2">LEFT(A67,2)</f>
        <v>WO</v>
      </c>
      <c r="D67">
        <v>1</v>
      </c>
    </row>
    <row r="68" spans="1:4" x14ac:dyDescent="0.25">
      <c r="A68" t="s">
        <v>80</v>
      </c>
      <c r="B68" t="s">
        <v>80</v>
      </c>
      <c r="C68" t="str">
        <f t="shared" si="2"/>
        <v>CA</v>
      </c>
      <c r="D68">
        <v>1</v>
      </c>
    </row>
    <row r="69" spans="1:4" x14ac:dyDescent="0.25">
      <c r="A69" t="s">
        <v>80</v>
      </c>
      <c r="B69" t="s">
        <v>80</v>
      </c>
      <c r="C69" t="str">
        <f t="shared" si="2"/>
        <v>CA</v>
      </c>
      <c r="D69">
        <v>1</v>
      </c>
    </row>
    <row r="70" spans="1:4" x14ac:dyDescent="0.25">
      <c r="A70" t="s">
        <v>1475</v>
      </c>
      <c r="B70" t="s">
        <v>80</v>
      </c>
      <c r="C70" t="str">
        <f t="shared" si="2"/>
        <v>US</v>
      </c>
      <c r="D70">
        <v>1</v>
      </c>
    </row>
    <row r="71" spans="1:4" x14ac:dyDescent="0.25">
      <c r="A71" t="s">
        <v>1477</v>
      </c>
      <c r="B71" t="s">
        <v>80</v>
      </c>
      <c r="C71" t="str">
        <f t="shared" si="2"/>
        <v>US</v>
      </c>
      <c r="D71">
        <v>1</v>
      </c>
    </row>
    <row r="72" spans="1:4" x14ac:dyDescent="0.25">
      <c r="A72" t="s">
        <v>1478</v>
      </c>
      <c r="B72" t="s">
        <v>80</v>
      </c>
      <c r="C72" t="str">
        <f t="shared" si="2"/>
        <v>CN</v>
      </c>
      <c r="D72">
        <v>1</v>
      </c>
    </row>
    <row r="73" spans="1:4" x14ac:dyDescent="0.25">
      <c r="A73" t="s">
        <v>1478</v>
      </c>
      <c r="B73" t="s">
        <v>80</v>
      </c>
      <c r="C73" t="str">
        <f t="shared" si="2"/>
        <v>CN</v>
      </c>
      <c r="D73">
        <v>1</v>
      </c>
    </row>
    <row r="74" spans="1:4" x14ac:dyDescent="0.25">
      <c r="A74" t="s">
        <v>1479</v>
      </c>
      <c r="B74" t="s">
        <v>80</v>
      </c>
      <c r="C74" t="str">
        <f t="shared" si="2"/>
        <v>KR</v>
      </c>
      <c r="D74">
        <v>1</v>
      </c>
    </row>
    <row r="75" spans="1:4" x14ac:dyDescent="0.25">
      <c r="A75" t="s">
        <v>1482</v>
      </c>
      <c r="B75" t="s">
        <v>80</v>
      </c>
      <c r="C75" t="str">
        <f t="shared" si="2"/>
        <v>TH</v>
      </c>
      <c r="D75">
        <v>1</v>
      </c>
    </row>
    <row r="76" spans="1:4" x14ac:dyDescent="0.25">
      <c r="A76" t="s">
        <v>1483</v>
      </c>
      <c r="B76" t="s">
        <v>80</v>
      </c>
      <c r="C76" t="str">
        <f t="shared" si="2"/>
        <v>RU</v>
      </c>
      <c r="D76">
        <v>1</v>
      </c>
    </row>
    <row r="77" spans="1:4" x14ac:dyDescent="0.25">
      <c r="A77" t="s">
        <v>1484</v>
      </c>
      <c r="B77" t="s">
        <v>80</v>
      </c>
      <c r="C77" t="str">
        <f t="shared" si="2"/>
        <v>IN</v>
      </c>
      <c r="D77">
        <v>1</v>
      </c>
    </row>
    <row r="78" spans="1:4" x14ac:dyDescent="0.25">
      <c r="A78" t="s">
        <v>87</v>
      </c>
      <c r="B78" t="s">
        <v>87</v>
      </c>
      <c r="C78" t="str">
        <f t="shared" si="2"/>
        <v>EA</v>
      </c>
      <c r="D78">
        <v>1</v>
      </c>
    </row>
    <row r="79" spans="1:4" x14ac:dyDescent="0.25">
      <c r="A79" t="s">
        <v>1487</v>
      </c>
      <c r="B79" t="s">
        <v>87</v>
      </c>
      <c r="C79" t="str">
        <f t="shared" si="2"/>
        <v>EA</v>
      </c>
      <c r="D79">
        <v>1</v>
      </c>
    </row>
    <row r="80" spans="1:4" x14ac:dyDescent="0.25">
      <c r="A80" t="s">
        <v>1488</v>
      </c>
      <c r="B80" t="s">
        <v>87</v>
      </c>
      <c r="C80" t="str">
        <f t="shared" si="2"/>
        <v>RU</v>
      </c>
      <c r="D80">
        <v>1</v>
      </c>
    </row>
    <row r="81" spans="1:4" x14ac:dyDescent="0.25">
      <c r="A81" t="s">
        <v>93</v>
      </c>
      <c r="B81" t="s">
        <v>93</v>
      </c>
      <c r="C81" t="str">
        <f t="shared" si="2"/>
        <v>RU</v>
      </c>
      <c r="D81">
        <v>1</v>
      </c>
    </row>
    <row r="82" spans="1:4" x14ac:dyDescent="0.25">
      <c r="A82" t="s">
        <v>100</v>
      </c>
      <c r="B82" t="s">
        <v>100</v>
      </c>
      <c r="C82" t="str">
        <f t="shared" si="2"/>
        <v>RU</v>
      </c>
      <c r="D82">
        <v>1</v>
      </c>
    </row>
    <row r="83" spans="1:4" x14ac:dyDescent="0.25">
      <c r="A83" t="s">
        <v>1494</v>
      </c>
      <c r="B83" t="s">
        <v>100</v>
      </c>
      <c r="C83" t="str">
        <f t="shared" si="2"/>
        <v>CA</v>
      </c>
      <c r="D83">
        <v>1</v>
      </c>
    </row>
    <row r="84" spans="1:4" x14ac:dyDescent="0.25">
      <c r="A84" t="s">
        <v>1496</v>
      </c>
      <c r="B84" t="s">
        <v>100</v>
      </c>
      <c r="C84" t="str">
        <f t="shared" si="2"/>
        <v>EA</v>
      </c>
      <c r="D84">
        <v>1</v>
      </c>
    </row>
    <row r="85" spans="1:4" x14ac:dyDescent="0.25">
      <c r="A85" t="s">
        <v>1497</v>
      </c>
      <c r="B85" t="s">
        <v>100</v>
      </c>
      <c r="C85" t="str">
        <f t="shared" si="2"/>
        <v>US</v>
      </c>
      <c r="D85">
        <v>1</v>
      </c>
    </row>
    <row r="86" spans="1:4" x14ac:dyDescent="0.25">
      <c r="A86" t="s">
        <v>1499</v>
      </c>
      <c r="B86" t="s">
        <v>100</v>
      </c>
      <c r="C86" t="str">
        <f t="shared" si="2"/>
        <v>WO</v>
      </c>
      <c r="D86">
        <v>1</v>
      </c>
    </row>
    <row r="87" spans="1:4" x14ac:dyDescent="0.25">
      <c r="A87" t="s">
        <v>1499</v>
      </c>
      <c r="B87" t="s">
        <v>100</v>
      </c>
      <c r="C87" t="str">
        <f t="shared" si="2"/>
        <v>WO</v>
      </c>
      <c r="D87">
        <v>1</v>
      </c>
    </row>
    <row r="88" spans="1:4" x14ac:dyDescent="0.25">
      <c r="A88" t="s">
        <v>1502</v>
      </c>
      <c r="B88" t="s">
        <v>100</v>
      </c>
      <c r="C88" t="str">
        <f t="shared" si="2"/>
        <v>EP</v>
      </c>
      <c r="D88">
        <v>1</v>
      </c>
    </row>
    <row r="89" spans="1:4" x14ac:dyDescent="0.25">
      <c r="A89" t="s">
        <v>1502</v>
      </c>
      <c r="B89" t="s">
        <v>100</v>
      </c>
      <c r="C89" t="str">
        <f t="shared" si="2"/>
        <v>EP</v>
      </c>
      <c r="D89">
        <v>1</v>
      </c>
    </row>
    <row r="90" spans="1:4" x14ac:dyDescent="0.25">
      <c r="A90" t="s">
        <v>1504</v>
      </c>
      <c r="B90" t="s">
        <v>100</v>
      </c>
      <c r="C90" t="str">
        <f t="shared" si="2"/>
        <v>IN</v>
      </c>
      <c r="D90">
        <v>1</v>
      </c>
    </row>
    <row r="91" spans="1:4" x14ac:dyDescent="0.25">
      <c r="A91" t="s">
        <v>1506</v>
      </c>
      <c r="B91" t="s">
        <v>100</v>
      </c>
      <c r="C91" t="str">
        <f t="shared" si="2"/>
        <v>CN</v>
      </c>
      <c r="D91">
        <v>1</v>
      </c>
    </row>
    <row r="92" spans="1:4" x14ac:dyDescent="0.25">
      <c r="A92" t="s">
        <v>106</v>
      </c>
      <c r="B92" t="s">
        <v>106</v>
      </c>
      <c r="C92" t="str">
        <f t="shared" si="2"/>
        <v>RU</v>
      </c>
      <c r="D92">
        <v>1</v>
      </c>
    </row>
    <row r="93" spans="1:4" x14ac:dyDescent="0.25">
      <c r="A93" t="s">
        <v>110</v>
      </c>
      <c r="B93" t="s">
        <v>110</v>
      </c>
      <c r="C93" t="str">
        <f t="shared" si="2"/>
        <v>RU</v>
      </c>
      <c r="D93">
        <v>1</v>
      </c>
    </row>
    <row r="94" spans="1:4" x14ac:dyDescent="0.25">
      <c r="A94" t="s">
        <v>115</v>
      </c>
      <c r="B94" t="s">
        <v>115</v>
      </c>
      <c r="C94" t="str">
        <f t="shared" si="2"/>
        <v>WO</v>
      </c>
      <c r="D94">
        <v>1</v>
      </c>
    </row>
    <row r="95" spans="1:4" x14ac:dyDescent="0.25">
      <c r="A95" t="s">
        <v>1509</v>
      </c>
      <c r="B95" t="s">
        <v>115</v>
      </c>
      <c r="C95" t="str">
        <f t="shared" si="2"/>
        <v>AU</v>
      </c>
      <c r="D95">
        <v>1</v>
      </c>
    </row>
    <row r="96" spans="1:4" x14ac:dyDescent="0.25">
      <c r="A96" t="s">
        <v>1509</v>
      </c>
      <c r="B96" t="s">
        <v>115</v>
      </c>
      <c r="C96" t="str">
        <f t="shared" si="2"/>
        <v>AU</v>
      </c>
      <c r="D96">
        <v>1</v>
      </c>
    </row>
    <row r="97" spans="1:4" x14ac:dyDescent="0.25">
      <c r="A97" t="s">
        <v>122</v>
      </c>
      <c r="B97" t="s">
        <v>122</v>
      </c>
      <c r="C97" t="str">
        <f t="shared" si="2"/>
        <v>ZA</v>
      </c>
      <c r="D97">
        <v>1</v>
      </c>
    </row>
    <row r="98" spans="1:4" x14ac:dyDescent="0.25">
      <c r="A98" t="s">
        <v>127</v>
      </c>
      <c r="B98" t="s">
        <v>127</v>
      </c>
      <c r="C98" t="str">
        <f t="shared" si="2"/>
        <v>RU</v>
      </c>
      <c r="D98">
        <v>1</v>
      </c>
    </row>
    <row r="99" spans="1:4" x14ac:dyDescent="0.25">
      <c r="A99" t="s">
        <v>131</v>
      </c>
      <c r="B99" t="s">
        <v>131</v>
      </c>
      <c r="C99" t="str">
        <f t="shared" si="2"/>
        <v>US</v>
      </c>
      <c r="D99">
        <v>1</v>
      </c>
    </row>
    <row r="100" spans="1:4" x14ac:dyDescent="0.25">
      <c r="A100" t="s">
        <v>136</v>
      </c>
      <c r="B100" t="s">
        <v>136</v>
      </c>
      <c r="C100" t="str">
        <f t="shared" si="2"/>
        <v>CN</v>
      </c>
      <c r="D100">
        <v>1</v>
      </c>
    </row>
    <row r="101" spans="1:4" x14ac:dyDescent="0.25">
      <c r="A101" t="s">
        <v>143</v>
      </c>
      <c r="B101" t="s">
        <v>143</v>
      </c>
      <c r="C101" t="str">
        <f t="shared" si="2"/>
        <v>ZA</v>
      </c>
      <c r="D101">
        <v>1</v>
      </c>
    </row>
    <row r="102" spans="1:4" x14ac:dyDescent="0.25">
      <c r="A102" t="s">
        <v>1516</v>
      </c>
      <c r="B102" t="s">
        <v>143</v>
      </c>
      <c r="C102" t="str">
        <f t="shared" si="2"/>
        <v>IN</v>
      </c>
      <c r="D102">
        <v>1</v>
      </c>
    </row>
    <row r="103" spans="1:4" x14ac:dyDescent="0.25">
      <c r="A103" t="s">
        <v>1517</v>
      </c>
      <c r="B103" t="s">
        <v>143</v>
      </c>
      <c r="C103" t="str">
        <f t="shared" si="2"/>
        <v>EP</v>
      </c>
      <c r="D103">
        <v>1</v>
      </c>
    </row>
    <row r="104" spans="1:4" x14ac:dyDescent="0.25">
      <c r="A104" t="s">
        <v>1517</v>
      </c>
      <c r="B104" t="s">
        <v>143</v>
      </c>
      <c r="C104" t="str">
        <f t="shared" si="2"/>
        <v>EP</v>
      </c>
      <c r="D104">
        <v>1</v>
      </c>
    </row>
    <row r="105" spans="1:4" x14ac:dyDescent="0.25">
      <c r="A105" t="s">
        <v>1518</v>
      </c>
      <c r="B105" t="s">
        <v>143</v>
      </c>
      <c r="C105" t="str">
        <f t="shared" si="2"/>
        <v>BR</v>
      </c>
      <c r="D105">
        <v>1</v>
      </c>
    </row>
    <row r="106" spans="1:4" x14ac:dyDescent="0.25">
      <c r="A106" t="s">
        <v>1520</v>
      </c>
      <c r="B106" t="s">
        <v>143</v>
      </c>
      <c r="C106" t="str">
        <f t="shared" ref="C106:C107" si="3">LEFT(A106,4)</f>
        <v>BRPI</v>
      </c>
      <c r="D106">
        <v>1</v>
      </c>
    </row>
    <row r="107" spans="1:4" x14ac:dyDescent="0.25">
      <c r="A107" t="s">
        <v>1520</v>
      </c>
      <c r="B107" t="s">
        <v>143</v>
      </c>
      <c r="C107" t="str">
        <f t="shared" si="3"/>
        <v>BRPI</v>
      </c>
      <c r="D107">
        <v>1</v>
      </c>
    </row>
    <row r="108" spans="1:4" x14ac:dyDescent="0.25">
      <c r="A108" t="s">
        <v>1521</v>
      </c>
      <c r="B108" t="s">
        <v>143</v>
      </c>
      <c r="C108" t="str">
        <f t="shared" si="2"/>
        <v>AU</v>
      </c>
      <c r="D108">
        <v>1</v>
      </c>
    </row>
    <row r="109" spans="1:4" x14ac:dyDescent="0.25">
      <c r="A109" t="s">
        <v>1522</v>
      </c>
      <c r="B109" t="s">
        <v>143</v>
      </c>
      <c r="C109" t="str">
        <f t="shared" si="2"/>
        <v>AU</v>
      </c>
      <c r="D109">
        <v>1</v>
      </c>
    </row>
    <row r="110" spans="1:4" x14ac:dyDescent="0.25">
      <c r="A110" t="s">
        <v>1523</v>
      </c>
      <c r="B110" t="s">
        <v>143</v>
      </c>
      <c r="C110" t="str">
        <f t="shared" si="2"/>
        <v>JP</v>
      </c>
      <c r="D110">
        <v>1</v>
      </c>
    </row>
    <row r="111" spans="1:4" x14ac:dyDescent="0.25">
      <c r="A111" t="s">
        <v>1524</v>
      </c>
      <c r="B111" t="s">
        <v>143</v>
      </c>
      <c r="C111" t="str">
        <f t="shared" si="2"/>
        <v>JP</v>
      </c>
      <c r="D111">
        <v>1</v>
      </c>
    </row>
    <row r="112" spans="1:4" x14ac:dyDescent="0.25">
      <c r="A112" t="s">
        <v>1525</v>
      </c>
      <c r="B112" t="s">
        <v>143</v>
      </c>
      <c r="C112" t="str">
        <f t="shared" si="2"/>
        <v>US</v>
      </c>
      <c r="D112">
        <v>1</v>
      </c>
    </row>
    <row r="113" spans="1:4" x14ac:dyDescent="0.25">
      <c r="A113" t="s">
        <v>1526</v>
      </c>
      <c r="B113" t="s">
        <v>143</v>
      </c>
      <c r="C113" t="str">
        <f t="shared" si="2"/>
        <v>AT</v>
      </c>
      <c r="D113">
        <v>1</v>
      </c>
    </row>
    <row r="114" spans="1:4" x14ac:dyDescent="0.25">
      <c r="A114" t="s">
        <v>1528</v>
      </c>
      <c r="B114" t="s">
        <v>143</v>
      </c>
      <c r="C114" t="str">
        <f t="shared" si="2"/>
        <v>DE</v>
      </c>
      <c r="D114">
        <v>1</v>
      </c>
    </row>
    <row r="115" spans="1:4" x14ac:dyDescent="0.25">
      <c r="A115" t="s">
        <v>1528</v>
      </c>
      <c r="B115" t="s">
        <v>143</v>
      </c>
      <c r="C115" t="str">
        <f t="shared" si="2"/>
        <v>DE</v>
      </c>
      <c r="D115">
        <v>1</v>
      </c>
    </row>
    <row r="116" spans="1:4" x14ac:dyDescent="0.25">
      <c r="A116" t="s">
        <v>1530</v>
      </c>
      <c r="B116" t="s">
        <v>143</v>
      </c>
      <c r="C116" t="str">
        <f t="shared" si="2"/>
        <v>GR</v>
      </c>
      <c r="D116">
        <v>1</v>
      </c>
    </row>
    <row r="117" spans="1:4" x14ac:dyDescent="0.25">
      <c r="A117" t="s">
        <v>1532</v>
      </c>
      <c r="B117" t="s">
        <v>143</v>
      </c>
      <c r="C117" t="str">
        <f t="shared" si="2"/>
        <v>ES</v>
      </c>
      <c r="D117">
        <v>1</v>
      </c>
    </row>
    <row r="118" spans="1:4" x14ac:dyDescent="0.25">
      <c r="A118" t="s">
        <v>1533</v>
      </c>
      <c r="B118" t="s">
        <v>143</v>
      </c>
      <c r="C118" t="str">
        <f t="shared" si="2"/>
        <v>CA</v>
      </c>
      <c r="D118">
        <v>1</v>
      </c>
    </row>
    <row r="119" spans="1:4" x14ac:dyDescent="0.25">
      <c r="A119" t="s">
        <v>150</v>
      </c>
      <c r="B119" t="s">
        <v>150</v>
      </c>
      <c r="C119" t="str">
        <f t="shared" si="2"/>
        <v>RU</v>
      </c>
      <c r="D119">
        <v>1</v>
      </c>
    </row>
    <row r="120" spans="1:4" x14ac:dyDescent="0.25">
      <c r="A120" t="s">
        <v>153</v>
      </c>
      <c r="B120" t="s">
        <v>153</v>
      </c>
      <c r="C120" t="str">
        <f t="shared" si="2"/>
        <v>CN</v>
      </c>
      <c r="D120">
        <v>1</v>
      </c>
    </row>
    <row r="121" spans="1:4" x14ac:dyDescent="0.25">
      <c r="A121" t="s">
        <v>160</v>
      </c>
      <c r="B121" t="s">
        <v>160</v>
      </c>
      <c r="C121" t="str">
        <f t="shared" si="2"/>
        <v>WO</v>
      </c>
      <c r="D121">
        <v>1</v>
      </c>
    </row>
    <row r="122" spans="1:4" x14ac:dyDescent="0.25">
      <c r="A122" t="s">
        <v>1537</v>
      </c>
      <c r="B122" t="s">
        <v>160</v>
      </c>
      <c r="C122" t="str">
        <f t="shared" si="2"/>
        <v>US</v>
      </c>
      <c r="D122">
        <v>1</v>
      </c>
    </row>
    <row r="123" spans="1:4" x14ac:dyDescent="0.25">
      <c r="A123" t="s">
        <v>168</v>
      </c>
      <c r="B123" t="s">
        <v>168</v>
      </c>
      <c r="C123" t="str">
        <f t="shared" si="2"/>
        <v>WO</v>
      </c>
      <c r="D123">
        <v>1</v>
      </c>
    </row>
    <row r="124" spans="1:4" x14ac:dyDescent="0.25">
      <c r="A124" t="s">
        <v>168</v>
      </c>
      <c r="B124" t="s">
        <v>168</v>
      </c>
      <c r="C124" t="str">
        <f t="shared" si="2"/>
        <v>WO</v>
      </c>
      <c r="D124">
        <v>1</v>
      </c>
    </row>
    <row r="125" spans="1:4" x14ac:dyDescent="0.25">
      <c r="A125" t="s">
        <v>1542</v>
      </c>
      <c r="B125" t="s">
        <v>168</v>
      </c>
      <c r="C125" t="str">
        <f t="shared" si="2"/>
        <v>US</v>
      </c>
      <c r="D125">
        <v>1</v>
      </c>
    </row>
    <row r="126" spans="1:4" x14ac:dyDescent="0.25">
      <c r="A126" t="s">
        <v>172</v>
      </c>
      <c r="B126" t="s">
        <v>172</v>
      </c>
      <c r="C126" t="str">
        <f t="shared" si="2"/>
        <v>CN</v>
      </c>
      <c r="D126">
        <v>1</v>
      </c>
    </row>
    <row r="127" spans="1:4" x14ac:dyDescent="0.25">
      <c r="A127" t="s">
        <v>177</v>
      </c>
      <c r="B127" t="s">
        <v>177</v>
      </c>
      <c r="C127" t="str">
        <f t="shared" si="2"/>
        <v>CN</v>
      </c>
      <c r="D127">
        <v>1</v>
      </c>
    </row>
    <row r="128" spans="1:4" x14ac:dyDescent="0.25">
      <c r="A128" t="s">
        <v>180</v>
      </c>
      <c r="B128" t="s">
        <v>180</v>
      </c>
      <c r="C128" t="str">
        <f t="shared" si="2"/>
        <v>CN</v>
      </c>
      <c r="D128">
        <v>1</v>
      </c>
    </row>
    <row r="129" spans="1:4" x14ac:dyDescent="0.25">
      <c r="A129" t="s">
        <v>183</v>
      </c>
      <c r="B129" t="s">
        <v>183</v>
      </c>
      <c r="C129" t="str">
        <f t="shared" si="2"/>
        <v>CN</v>
      </c>
      <c r="D129">
        <v>1</v>
      </c>
    </row>
    <row r="130" spans="1:4" x14ac:dyDescent="0.25">
      <c r="A130" t="s">
        <v>186</v>
      </c>
      <c r="B130" t="s">
        <v>186</v>
      </c>
      <c r="C130" t="str">
        <f t="shared" si="2"/>
        <v>CN</v>
      </c>
      <c r="D130">
        <v>1</v>
      </c>
    </row>
    <row r="131" spans="1:4" x14ac:dyDescent="0.25">
      <c r="A131" t="s">
        <v>191</v>
      </c>
      <c r="B131" t="s">
        <v>191</v>
      </c>
      <c r="C131" t="str">
        <f t="shared" ref="C131:C194" si="4">LEFT(A131,2)</f>
        <v>CN</v>
      </c>
      <c r="D131">
        <v>1</v>
      </c>
    </row>
    <row r="132" spans="1:4" x14ac:dyDescent="0.25">
      <c r="A132" t="s">
        <v>196</v>
      </c>
      <c r="B132" t="s">
        <v>196</v>
      </c>
      <c r="C132" t="str">
        <f t="shared" si="4"/>
        <v>CN</v>
      </c>
      <c r="D132">
        <v>1</v>
      </c>
    </row>
    <row r="133" spans="1:4" x14ac:dyDescent="0.25">
      <c r="A133" t="s">
        <v>200</v>
      </c>
      <c r="B133" t="s">
        <v>200</v>
      </c>
      <c r="C133" t="str">
        <f t="shared" si="4"/>
        <v>CN</v>
      </c>
      <c r="D133">
        <v>1</v>
      </c>
    </row>
    <row r="134" spans="1:4" x14ac:dyDescent="0.25">
      <c r="A134" t="s">
        <v>204</v>
      </c>
      <c r="B134" t="s">
        <v>204</v>
      </c>
      <c r="C134" t="str">
        <f t="shared" si="4"/>
        <v>CN</v>
      </c>
      <c r="D134">
        <v>1</v>
      </c>
    </row>
    <row r="135" spans="1:4" x14ac:dyDescent="0.25">
      <c r="A135" t="s">
        <v>208</v>
      </c>
      <c r="B135" t="s">
        <v>208</v>
      </c>
      <c r="C135" t="str">
        <f t="shared" si="4"/>
        <v>CN</v>
      </c>
      <c r="D135">
        <v>1</v>
      </c>
    </row>
    <row r="136" spans="1:4" x14ac:dyDescent="0.25">
      <c r="A136" t="s">
        <v>211</v>
      </c>
      <c r="B136" t="s">
        <v>211</v>
      </c>
      <c r="C136" t="str">
        <f t="shared" si="4"/>
        <v>CN</v>
      </c>
      <c r="D136">
        <v>1</v>
      </c>
    </row>
    <row r="137" spans="1:4" x14ac:dyDescent="0.25">
      <c r="A137" t="s">
        <v>213</v>
      </c>
      <c r="B137" t="s">
        <v>213</v>
      </c>
      <c r="C137" t="str">
        <f t="shared" si="4"/>
        <v>CN</v>
      </c>
      <c r="D137">
        <v>1</v>
      </c>
    </row>
    <row r="138" spans="1:4" x14ac:dyDescent="0.25">
      <c r="A138" t="s">
        <v>215</v>
      </c>
      <c r="B138" t="s">
        <v>215</v>
      </c>
      <c r="C138" t="str">
        <f t="shared" si="4"/>
        <v>CN</v>
      </c>
      <c r="D138">
        <v>1</v>
      </c>
    </row>
    <row r="139" spans="1:4" x14ac:dyDescent="0.25">
      <c r="A139" t="s">
        <v>217</v>
      </c>
      <c r="B139" t="s">
        <v>217</v>
      </c>
      <c r="C139" t="str">
        <f t="shared" si="4"/>
        <v>CN</v>
      </c>
      <c r="D139">
        <v>1</v>
      </c>
    </row>
    <row r="140" spans="1:4" x14ac:dyDescent="0.25">
      <c r="A140" t="s">
        <v>219</v>
      </c>
      <c r="B140" t="s">
        <v>219</v>
      </c>
      <c r="C140" t="str">
        <f t="shared" si="4"/>
        <v>CN</v>
      </c>
      <c r="D140">
        <v>1</v>
      </c>
    </row>
    <row r="141" spans="1:4" x14ac:dyDescent="0.25">
      <c r="A141" t="s">
        <v>221</v>
      </c>
      <c r="B141" t="s">
        <v>221</v>
      </c>
      <c r="C141" t="str">
        <f t="shared" si="4"/>
        <v>CN</v>
      </c>
      <c r="D141">
        <v>1</v>
      </c>
    </row>
    <row r="142" spans="1:4" x14ac:dyDescent="0.25">
      <c r="A142" t="s">
        <v>227</v>
      </c>
      <c r="B142" t="s">
        <v>227</v>
      </c>
      <c r="C142" t="str">
        <f t="shared" si="4"/>
        <v>CN</v>
      </c>
      <c r="D142">
        <v>1</v>
      </c>
    </row>
    <row r="143" spans="1:4" x14ac:dyDescent="0.25">
      <c r="A143" t="s">
        <v>233</v>
      </c>
      <c r="B143" t="s">
        <v>233</v>
      </c>
      <c r="C143" t="str">
        <f t="shared" si="4"/>
        <v>WO</v>
      </c>
      <c r="D143">
        <v>1</v>
      </c>
    </row>
    <row r="144" spans="1:4" x14ac:dyDescent="0.25">
      <c r="A144" t="s">
        <v>1548</v>
      </c>
      <c r="B144" t="s">
        <v>233</v>
      </c>
      <c r="C144" t="str">
        <f t="shared" si="4"/>
        <v>CN</v>
      </c>
      <c r="D144">
        <v>1</v>
      </c>
    </row>
    <row r="145" spans="1:4" x14ac:dyDescent="0.25">
      <c r="A145" t="s">
        <v>240</v>
      </c>
      <c r="B145" t="s">
        <v>240</v>
      </c>
      <c r="C145" t="str">
        <f t="shared" si="4"/>
        <v>WO</v>
      </c>
      <c r="D145">
        <v>1</v>
      </c>
    </row>
    <row r="146" spans="1:4" x14ac:dyDescent="0.25">
      <c r="A146" t="s">
        <v>1549</v>
      </c>
      <c r="B146" t="s">
        <v>240</v>
      </c>
      <c r="C146" t="str">
        <f t="shared" si="4"/>
        <v>CN</v>
      </c>
      <c r="D146">
        <v>1</v>
      </c>
    </row>
    <row r="147" spans="1:4" x14ac:dyDescent="0.25">
      <c r="A147" t="s">
        <v>245</v>
      </c>
      <c r="B147" t="s">
        <v>245</v>
      </c>
      <c r="C147" t="str">
        <f t="shared" si="4"/>
        <v>WO</v>
      </c>
      <c r="D147">
        <v>1</v>
      </c>
    </row>
    <row r="148" spans="1:4" x14ac:dyDescent="0.25">
      <c r="A148" t="s">
        <v>1550</v>
      </c>
      <c r="B148" t="s">
        <v>245</v>
      </c>
      <c r="C148" t="str">
        <f t="shared" si="4"/>
        <v>CN</v>
      </c>
      <c r="D148">
        <v>1</v>
      </c>
    </row>
    <row r="149" spans="1:4" x14ac:dyDescent="0.25">
      <c r="A149" t="s">
        <v>248</v>
      </c>
      <c r="B149" t="s">
        <v>248</v>
      </c>
      <c r="C149" t="str">
        <f t="shared" si="4"/>
        <v>CN</v>
      </c>
      <c r="D149">
        <v>1</v>
      </c>
    </row>
    <row r="150" spans="1:4" x14ac:dyDescent="0.25">
      <c r="A150" t="s">
        <v>254</v>
      </c>
      <c r="B150" t="s">
        <v>254</v>
      </c>
      <c r="C150" t="str">
        <f t="shared" si="4"/>
        <v>US</v>
      </c>
      <c r="D150">
        <v>1</v>
      </c>
    </row>
    <row r="151" spans="1:4" x14ac:dyDescent="0.25">
      <c r="A151" t="s">
        <v>1552</v>
      </c>
      <c r="B151" t="s">
        <v>254</v>
      </c>
      <c r="C151" t="str">
        <f t="shared" si="4"/>
        <v>WO</v>
      </c>
      <c r="D151">
        <v>1</v>
      </c>
    </row>
    <row r="152" spans="1:4" x14ac:dyDescent="0.25">
      <c r="A152" t="s">
        <v>1553</v>
      </c>
      <c r="B152" t="s">
        <v>254</v>
      </c>
      <c r="C152" t="str">
        <f t="shared" si="4"/>
        <v>CN</v>
      </c>
      <c r="D152">
        <v>1</v>
      </c>
    </row>
    <row r="153" spans="1:4" x14ac:dyDescent="0.25">
      <c r="A153" t="s">
        <v>260</v>
      </c>
      <c r="B153" t="s">
        <v>260</v>
      </c>
      <c r="C153" t="str">
        <f t="shared" si="4"/>
        <v>WO</v>
      </c>
      <c r="D153">
        <v>1</v>
      </c>
    </row>
    <row r="154" spans="1:4" x14ac:dyDescent="0.25">
      <c r="A154" t="s">
        <v>1556</v>
      </c>
      <c r="B154" t="s">
        <v>260</v>
      </c>
      <c r="C154" t="str">
        <f t="shared" si="4"/>
        <v>JP</v>
      </c>
      <c r="D154">
        <v>1</v>
      </c>
    </row>
    <row r="155" spans="1:4" x14ac:dyDescent="0.25">
      <c r="A155" t="s">
        <v>1558</v>
      </c>
      <c r="B155" t="s">
        <v>260</v>
      </c>
      <c r="C155" t="str">
        <f t="shared" si="4"/>
        <v>TW</v>
      </c>
      <c r="D155">
        <v>1</v>
      </c>
    </row>
    <row r="156" spans="1:4" x14ac:dyDescent="0.25">
      <c r="A156" t="s">
        <v>1561</v>
      </c>
      <c r="B156" t="s">
        <v>260</v>
      </c>
      <c r="C156" t="str">
        <f t="shared" si="4"/>
        <v>TW</v>
      </c>
      <c r="D156">
        <v>1</v>
      </c>
    </row>
    <row r="157" spans="1:4" x14ac:dyDescent="0.25">
      <c r="A157" t="s">
        <v>266</v>
      </c>
      <c r="B157" t="s">
        <v>266</v>
      </c>
      <c r="C157" t="str">
        <f t="shared" si="4"/>
        <v>CN</v>
      </c>
      <c r="D157">
        <v>1</v>
      </c>
    </row>
    <row r="158" spans="1:4" x14ac:dyDescent="0.25">
      <c r="A158" t="s">
        <v>271</v>
      </c>
      <c r="B158" t="s">
        <v>271</v>
      </c>
      <c r="C158" t="str">
        <f t="shared" si="4"/>
        <v>CN</v>
      </c>
      <c r="D158">
        <v>1</v>
      </c>
    </row>
    <row r="159" spans="1:4" x14ac:dyDescent="0.25">
      <c r="A159" t="s">
        <v>276</v>
      </c>
      <c r="B159" t="s">
        <v>276</v>
      </c>
      <c r="C159" t="str">
        <f t="shared" si="4"/>
        <v>CN</v>
      </c>
      <c r="D159">
        <v>1</v>
      </c>
    </row>
    <row r="160" spans="1:4" x14ac:dyDescent="0.25">
      <c r="A160" t="s">
        <v>283</v>
      </c>
      <c r="B160" t="s">
        <v>283</v>
      </c>
      <c r="C160" t="str">
        <f t="shared" si="4"/>
        <v>CA</v>
      </c>
      <c r="D160">
        <v>1</v>
      </c>
    </row>
    <row r="161" spans="1:4" x14ac:dyDescent="0.25">
      <c r="A161" t="s">
        <v>1566</v>
      </c>
      <c r="B161" t="s">
        <v>283</v>
      </c>
      <c r="C161" t="str">
        <f t="shared" si="4"/>
        <v>WO</v>
      </c>
      <c r="D161">
        <v>1</v>
      </c>
    </row>
    <row r="162" spans="1:4" x14ac:dyDescent="0.25">
      <c r="A162" t="s">
        <v>1567</v>
      </c>
      <c r="B162" t="s">
        <v>283</v>
      </c>
      <c r="C162" t="str">
        <f t="shared" si="4"/>
        <v>AU</v>
      </c>
      <c r="D162">
        <v>1</v>
      </c>
    </row>
    <row r="163" spans="1:4" x14ac:dyDescent="0.25">
      <c r="A163" t="s">
        <v>1569</v>
      </c>
      <c r="B163" t="s">
        <v>283</v>
      </c>
      <c r="C163" t="str">
        <f t="shared" si="4"/>
        <v>BR</v>
      </c>
      <c r="D163">
        <v>1</v>
      </c>
    </row>
    <row r="164" spans="1:4" x14ac:dyDescent="0.25">
      <c r="A164" t="s">
        <v>1570</v>
      </c>
      <c r="B164" t="s">
        <v>283</v>
      </c>
      <c r="C164" t="str">
        <f t="shared" si="4"/>
        <v>CN</v>
      </c>
      <c r="D164">
        <v>1</v>
      </c>
    </row>
    <row r="165" spans="1:4" x14ac:dyDescent="0.25">
      <c r="A165" t="s">
        <v>1571</v>
      </c>
      <c r="B165" t="s">
        <v>291</v>
      </c>
      <c r="C165" t="str">
        <f t="shared" si="4"/>
        <v>WO</v>
      </c>
      <c r="D165">
        <v>1</v>
      </c>
    </row>
    <row r="166" spans="1:4" x14ac:dyDescent="0.25">
      <c r="A166" t="s">
        <v>291</v>
      </c>
      <c r="B166" t="s">
        <v>291</v>
      </c>
      <c r="C166" t="str">
        <f t="shared" si="4"/>
        <v>WO</v>
      </c>
      <c r="D166">
        <v>1</v>
      </c>
    </row>
    <row r="167" spans="1:4" x14ac:dyDescent="0.25">
      <c r="A167" t="s">
        <v>1572</v>
      </c>
      <c r="B167" t="s">
        <v>291</v>
      </c>
      <c r="C167" t="str">
        <f t="shared" si="4"/>
        <v>AU</v>
      </c>
      <c r="D167">
        <v>1</v>
      </c>
    </row>
    <row r="168" spans="1:4" x14ac:dyDescent="0.25">
      <c r="A168" t="s">
        <v>1573</v>
      </c>
      <c r="B168" t="s">
        <v>291</v>
      </c>
      <c r="C168" t="str">
        <f t="shared" si="4"/>
        <v>BR</v>
      </c>
      <c r="D168">
        <v>1</v>
      </c>
    </row>
    <row r="169" spans="1:4" x14ac:dyDescent="0.25">
      <c r="A169" t="s">
        <v>296</v>
      </c>
      <c r="B169" t="s">
        <v>296</v>
      </c>
      <c r="C169" t="str">
        <f t="shared" si="4"/>
        <v>US</v>
      </c>
      <c r="D169">
        <v>1</v>
      </c>
    </row>
    <row r="170" spans="1:4" x14ac:dyDescent="0.25">
      <c r="A170" t="s">
        <v>1575</v>
      </c>
      <c r="B170" t="s">
        <v>296</v>
      </c>
      <c r="C170" t="str">
        <f t="shared" si="4"/>
        <v>WO</v>
      </c>
      <c r="D170">
        <v>1</v>
      </c>
    </row>
    <row r="171" spans="1:4" x14ac:dyDescent="0.25">
      <c r="A171" t="s">
        <v>1576</v>
      </c>
      <c r="B171" t="s">
        <v>296</v>
      </c>
      <c r="C171" t="str">
        <f t="shared" si="4"/>
        <v>CN</v>
      </c>
      <c r="D171">
        <v>1</v>
      </c>
    </row>
    <row r="172" spans="1:4" x14ac:dyDescent="0.25">
      <c r="A172" t="s">
        <v>302</v>
      </c>
      <c r="B172" t="s">
        <v>302</v>
      </c>
      <c r="C172" t="str">
        <f t="shared" si="4"/>
        <v>US</v>
      </c>
      <c r="D172">
        <v>1</v>
      </c>
    </row>
    <row r="173" spans="1:4" x14ac:dyDescent="0.25">
      <c r="A173" t="s">
        <v>1578</v>
      </c>
      <c r="B173" t="s">
        <v>302</v>
      </c>
      <c r="C173" t="str">
        <f t="shared" si="4"/>
        <v>WO</v>
      </c>
      <c r="D173">
        <v>1</v>
      </c>
    </row>
    <row r="174" spans="1:4" x14ac:dyDescent="0.25">
      <c r="A174" t="s">
        <v>1579</v>
      </c>
      <c r="B174" t="s">
        <v>302</v>
      </c>
      <c r="C174" t="str">
        <f t="shared" si="4"/>
        <v>CN</v>
      </c>
      <c r="D174">
        <v>1</v>
      </c>
    </row>
    <row r="175" spans="1:4" x14ac:dyDescent="0.25">
      <c r="A175" t="s">
        <v>307</v>
      </c>
      <c r="B175" t="s">
        <v>307</v>
      </c>
      <c r="C175" t="str">
        <f t="shared" si="4"/>
        <v>US</v>
      </c>
      <c r="D175">
        <v>1</v>
      </c>
    </row>
    <row r="176" spans="1:4" x14ac:dyDescent="0.25">
      <c r="A176" t="s">
        <v>1581</v>
      </c>
      <c r="B176" t="s">
        <v>307</v>
      </c>
      <c r="C176" t="str">
        <f t="shared" si="4"/>
        <v>WO</v>
      </c>
      <c r="D176">
        <v>1</v>
      </c>
    </row>
    <row r="177" spans="1:4" x14ac:dyDescent="0.25">
      <c r="A177" t="s">
        <v>1582</v>
      </c>
      <c r="B177" t="s">
        <v>307</v>
      </c>
      <c r="C177" t="str">
        <f t="shared" si="4"/>
        <v>CN</v>
      </c>
      <c r="D177">
        <v>1</v>
      </c>
    </row>
    <row r="178" spans="1:4" x14ac:dyDescent="0.25">
      <c r="A178" t="s">
        <v>311</v>
      </c>
      <c r="B178" t="s">
        <v>311</v>
      </c>
      <c r="C178" t="str">
        <f t="shared" si="4"/>
        <v>CN</v>
      </c>
      <c r="D178">
        <v>1</v>
      </c>
    </row>
    <row r="179" spans="1:4" x14ac:dyDescent="0.25">
      <c r="A179" t="s">
        <v>317</v>
      </c>
      <c r="B179" t="s">
        <v>317</v>
      </c>
      <c r="C179" t="str">
        <f t="shared" si="4"/>
        <v>US</v>
      </c>
      <c r="D179">
        <v>1</v>
      </c>
    </row>
    <row r="180" spans="1:4" x14ac:dyDescent="0.25">
      <c r="A180" t="s">
        <v>1585</v>
      </c>
      <c r="B180" t="s">
        <v>317</v>
      </c>
      <c r="C180" t="str">
        <f t="shared" si="4"/>
        <v>WO</v>
      </c>
      <c r="D180">
        <v>1</v>
      </c>
    </row>
    <row r="181" spans="1:4" x14ac:dyDescent="0.25">
      <c r="A181" t="s">
        <v>325</v>
      </c>
      <c r="B181" t="s">
        <v>325</v>
      </c>
      <c r="C181" t="str">
        <f t="shared" si="4"/>
        <v>CA</v>
      </c>
      <c r="D181">
        <v>1</v>
      </c>
    </row>
    <row r="182" spans="1:4" x14ac:dyDescent="0.25">
      <c r="A182" t="s">
        <v>1590</v>
      </c>
      <c r="B182" t="s">
        <v>325</v>
      </c>
      <c r="C182" t="str">
        <f t="shared" si="4"/>
        <v>CA</v>
      </c>
      <c r="D182">
        <v>1</v>
      </c>
    </row>
    <row r="183" spans="1:4" x14ac:dyDescent="0.25">
      <c r="A183" t="s">
        <v>1591</v>
      </c>
      <c r="B183" t="s">
        <v>325</v>
      </c>
      <c r="C183" t="str">
        <f t="shared" si="4"/>
        <v>CA</v>
      </c>
      <c r="D183">
        <v>1</v>
      </c>
    </row>
    <row r="184" spans="1:4" x14ac:dyDescent="0.25">
      <c r="A184" t="s">
        <v>1592</v>
      </c>
      <c r="B184" t="s">
        <v>325</v>
      </c>
      <c r="C184" t="str">
        <f t="shared" si="4"/>
        <v>WO</v>
      </c>
      <c r="D184">
        <v>1</v>
      </c>
    </row>
    <row r="185" spans="1:4" x14ac:dyDescent="0.25">
      <c r="A185" t="s">
        <v>1593</v>
      </c>
      <c r="B185" t="s">
        <v>325</v>
      </c>
      <c r="C185" t="str">
        <f t="shared" si="4"/>
        <v>WO</v>
      </c>
      <c r="D185">
        <v>1</v>
      </c>
    </row>
    <row r="186" spans="1:4" x14ac:dyDescent="0.25">
      <c r="A186" t="s">
        <v>1594</v>
      </c>
      <c r="B186" t="s">
        <v>325</v>
      </c>
      <c r="C186" t="str">
        <f t="shared" si="4"/>
        <v>WO</v>
      </c>
      <c r="D186">
        <v>1</v>
      </c>
    </row>
    <row r="187" spans="1:4" x14ac:dyDescent="0.25">
      <c r="A187" t="s">
        <v>1595</v>
      </c>
      <c r="B187" t="s">
        <v>325</v>
      </c>
      <c r="C187" t="str">
        <f t="shared" si="4"/>
        <v>BR</v>
      </c>
      <c r="D187">
        <v>1</v>
      </c>
    </row>
    <row r="188" spans="1:4" x14ac:dyDescent="0.25">
      <c r="A188" t="s">
        <v>1595</v>
      </c>
      <c r="B188" t="s">
        <v>325</v>
      </c>
      <c r="C188" t="str">
        <f t="shared" si="4"/>
        <v>BR</v>
      </c>
      <c r="D188">
        <v>1</v>
      </c>
    </row>
    <row r="189" spans="1:4" x14ac:dyDescent="0.25">
      <c r="A189" t="s">
        <v>1597</v>
      </c>
      <c r="B189" t="s">
        <v>325</v>
      </c>
      <c r="C189" t="str">
        <f t="shared" si="4"/>
        <v>BR</v>
      </c>
      <c r="D189">
        <v>1</v>
      </c>
    </row>
    <row r="190" spans="1:4" x14ac:dyDescent="0.25">
      <c r="A190" t="s">
        <v>1598</v>
      </c>
      <c r="B190" t="s">
        <v>325</v>
      </c>
      <c r="C190" t="str">
        <f t="shared" si="4"/>
        <v>BR</v>
      </c>
      <c r="D190">
        <v>1</v>
      </c>
    </row>
    <row r="191" spans="1:4" x14ac:dyDescent="0.25">
      <c r="A191" t="s">
        <v>1598</v>
      </c>
      <c r="B191" t="s">
        <v>325</v>
      </c>
      <c r="C191" t="str">
        <f t="shared" si="4"/>
        <v>BR</v>
      </c>
      <c r="D191">
        <v>1</v>
      </c>
    </row>
    <row r="192" spans="1:4" x14ac:dyDescent="0.25">
      <c r="A192" t="s">
        <v>1599</v>
      </c>
      <c r="B192" t="s">
        <v>325</v>
      </c>
      <c r="C192" t="str">
        <f t="shared" si="4"/>
        <v>US</v>
      </c>
      <c r="D192">
        <v>1</v>
      </c>
    </row>
    <row r="193" spans="1:4" x14ac:dyDescent="0.25">
      <c r="A193" t="s">
        <v>1601</v>
      </c>
      <c r="B193" t="s">
        <v>325</v>
      </c>
      <c r="C193" t="str">
        <f t="shared" si="4"/>
        <v>CN</v>
      </c>
      <c r="D193">
        <v>1</v>
      </c>
    </row>
    <row r="194" spans="1:4" x14ac:dyDescent="0.25">
      <c r="A194" t="s">
        <v>1602</v>
      </c>
      <c r="B194" t="s">
        <v>325</v>
      </c>
      <c r="C194" t="str">
        <f t="shared" si="4"/>
        <v>CN</v>
      </c>
      <c r="D194">
        <v>1</v>
      </c>
    </row>
    <row r="195" spans="1:4" x14ac:dyDescent="0.25">
      <c r="A195" t="s">
        <v>1603</v>
      </c>
      <c r="B195" t="s">
        <v>325</v>
      </c>
      <c r="C195" t="str">
        <f t="shared" ref="C195:C258" si="5">LEFT(A195,2)</f>
        <v>CN</v>
      </c>
      <c r="D195">
        <v>1</v>
      </c>
    </row>
    <row r="196" spans="1:4" x14ac:dyDescent="0.25">
      <c r="A196" t="s">
        <v>331</v>
      </c>
      <c r="B196" t="s">
        <v>331</v>
      </c>
      <c r="C196" t="str">
        <f t="shared" si="5"/>
        <v>CN</v>
      </c>
      <c r="D196">
        <v>1</v>
      </c>
    </row>
    <row r="197" spans="1:4" x14ac:dyDescent="0.25">
      <c r="A197" t="s">
        <v>335</v>
      </c>
      <c r="B197" t="s">
        <v>335</v>
      </c>
      <c r="C197" t="str">
        <f t="shared" si="5"/>
        <v>CN</v>
      </c>
      <c r="D197">
        <v>1</v>
      </c>
    </row>
    <row r="198" spans="1:4" x14ac:dyDescent="0.25">
      <c r="A198" t="s">
        <v>338</v>
      </c>
      <c r="B198" t="s">
        <v>338</v>
      </c>
      <c r="C198" t="str">
        <f t="shared" si="5"/>
        <v>CN</v>
      </c>
      <c r="D198">
        <v>1</v>
      </c>
    </row>
    <row r="199" spans="1:4" x14ac:dyDescent="0.25">
      <c r="A199" t="s">
        <v>342</v>
      </c>
      <c r="B199" t="s">
        <v>342</v>
      </c>
      <c r="C199" t="str">
        <f t="shared" si="5"/>
        <v>CN</v>
      </c>
      <c r="D199">
        <v>1</v>
      </c>
    </row>
    <row r="200" spans="1:4" x14ac:dyDescent="0.25">
      <c r="A200" t="s">
        <v>345</v>
      </c>
      <c r="B200" t="s">
        <v>345</v>
      </c>
      <c r="C200" t="str">
        <f t="shared" si="5"/>
        <v>CN</v>
      </c>
      <c r="D200">
        <v>1</v>
      </c>
    </row>
    <row r="201" spans="1:4" x14ac:dyDescent="0.25">
      <c r="A201" t="s">
        <v>349</v>
      </c>
      <c r="B201" t="s">
        <v>349</v>
      </c>
      <c r="C201" t="str">
        <f t="shared" si="5"/>
        <v>CN</v>
      </c>
      <c r="D201">
        <v>1</v>
      </c>
    </row>
    <row r="202" spans="1:4" x14ac:dyDescent="0.25">
      <c r="A202" t="s">
        <v>352</v>
      </c>
      <c r="B202" t="s">
        <v>352</v>
      </c>
      <c r="C202" t="str">
        <f t="shared" si="5"/>
        <v>CN</v>
      </c>
      <c r="D202">
        <v>1</v>
      </c>
    </row>
    <row r="203" spans="1:4" x14ac:dyDescent="0.25">
      <c r="A203" t="s">
        <v>355</v>
      </c>
      <c r="B203" t="s">
        <v>355</v>
      </c>
      <c r="C203" t="str">
        <f t="shared" si="5"/>
        <v>CN</v>
      </c>
      <c r="D203">
        <v>1</v>
      </c>
    </row>
    <row r="204" spans="1:4" x14ac:dyDescent="0.25">
      <c r="A204" t="s">
        <v>358</v>
      </c>
      <c r="B204" t="s">
        <v>358</v>
      </c>
      <c r="C204" t="str">
        <f t="shared" si="5"/>
        <v>CN</v>
      </c>
      <c r="D204">
        <v>1</v>
      </c>
    </row>
    <row r="205" spans="1:4" x14ac:dyDescent="0.25">
      <c r="A205" t="s">
        <v>361</v>
      </c>
      <c r="B205" t="s">
        <v>361</v>
      </c>
      <c r="C205" t="str">
        <f t="shared" si="5"/>
        <v>CN</v>
      </c>
      <c r="D205">
        <v>1</v>
      </c>
    </row>
    <row r="206" spans="1:4" x14ac:dyDescent="0.25">
      <c r="A206" t="s">
        <v>364</v>
      </c>
      <c r="B206" t="s">
        <v>364</v>
      </c>
      <c r="C206" t="str">
        <f t="shared" si="5"/>
        <v>CN</v>
      </c>
      <c r="D206">
        <v>1</v>
      </c>
    </row>
    <row r="207" spans="1:4" x14ac:dyDescent="0.25">
      <c r="A207" t="s">
        <v>369</v>
      </c>
      <c r="B207" t="s">
        <v>369</v>
      </c>
      <c r="C207" t="str">
        <f t="shared" si="5"/>
        <v>CN</v>
      </c>
      <c r="D207">
        <v>1</v>
      </c>
    </row>
    <row r="208" spans="1:4" x14ac:dyDescent="0.25">
      <c r="A208" t="s">
        <v>374</v>
      </c>
      <c r="B208" t="s">
        <v>374</v>
      </c>
      <c r="C208" t="str">
        <f t="shared" si="5"/>
        <v>CN</v>
      </c>
      <c r="D208">
        <v>1</v>
      </c>
    </row>
    <row r="209" spans="1:4" x14ac:dyDescent="0.25">
      <c r="A209" t="s">
        <v>378</v>
      </c>
      <c r="B209" t="s">
        <v>378</v>
      </c>
      <c r="C209" t="str">
        <f t="shared" si="5"/>
        <v>CN</v>
      </c>
      <c r="D209">
        <v>1</v>
      </c>
    </row>
    <row r="210" spans="1:4" x14ac:dyDescent="0.25">
      <c r="A210" t="s">
        <v>382</v>
      </c>
      <c r="B210" t="s">
        <v>382</v>
      </c>
      <c r="C210" t="str">
        <f t="shared" si="5"/>
        <v>CN</v>
      </c>
      <c r="D210">
        <v>1</v>
      </c>
    </row>
    <row r="211" spans="1:4" x14ac:dyDescent="0.25">
      <c r="A211" t="s">
        <v>384</v>
      </c>
      <c r="B211" t="s">
        <v>384</v>
      </c>
      <c r="C211" t="str">
        <f t="shared" si="5"/>
        <v>CN</v>
      </c>
      <c r="D211">
        <v>1</v>
      </c>
    </row>
    <row r="212" spans="1:4" x14ac:dyDescent="0.25">
      <c r="A212" t="s">
        <v>387</v>
      </c>
      <c r="B212" t="s">
        <v>387</v>
      </c>
      <c r="C212" t="str">
        <f t="shared" si="5"/>
        <v>CN</v>
      </c>
      <c r="D212">
        <v>1</v>
      </c>
    </row>
    <row r="213" spans="1:4" x14ac:dyDescent="0.25">
      <c r="A213" t="s">
        <v>389</v>
      </c>
      <c r="B213" t="s">
        <v>389</v>
      </c>
      <c r="C213" t="str">
        <f t="shared" si="5"/>
        <v>CN</v>
      </c>
      <c r="D213">
        <v>1</v>
      </c>
    </row>
    <row r="214" spans="1:4" x14ac:dyDescent="0.25">
      <c r="A214" t="s">
        <v>391</v>
      </c>
      <c r="B214" t="s">
        <v>391</v>
      </c>
      <c r="C214" t="str">
        <f t="shared" si="5"/>
        <v>CN</v>
      </c>
      <c r="D214">
        <v>1</v>
      </c>
    </row>
    <row r="215" spans="1:4" x14ac:dyDescent="0.25">
      <c r="A215" t="s">
        <v>393</v>
      </c>
      <c r="B215" t="s">
        <v>393</v>
      </c>
      <c r="C215" t="str">
        <f t="shared" si="5"/>
        <v>CN</v>
      </c>
      <c r="D215">
        <v>1</v>
      </c>
    </row>
    <row r="216" spans="1:4" x14ac:dyDescent="0.25">
      <c r="A216" t="s">
        <v>395</v>
      </c>
      <c r="B216" t="s">
        <v>395</v>
      </c>
      <c r="C216" t="str">
        <f t="shared" si="5"/>
        <v>CN</v>
      </c>
      <c r="D216">
        <v>1</v>
      </c>
    </row>
    <row r="217" spans="1:4" x14ac:dyDescent="0.25">
      <c r="A217" t="s">
        <v>400</v>
      </c>
      <c r="B217" t="s">
        <v>400</v>
      </c>
      <c r="C217" t="str">
        <f t="shared" si="5"/>
        <v>CN</v>
      </c>
      <c r="D217">
        <v>1</v>
      </c>
    </row>
    <row r="218" spans="1:4" x14ac:dyDescent="0.25">
      <c r="A218" t="s">
        <v>404</v>
      </c>
      <c r="B218" t="s">
        <v>404</v>
      </c>
      <c r="C218" t="str">
        <f t="shared" si="5"/>
        <v>CN</v>
      </c>
      <c r="D218">
        <v>1</v>
      </c>
    </row>
    <row r="219" spans="1:4" x14ac:dyDescent="0.25">
      <c r="A219" t="s">
        <v>408</v>
      </c>
      <c r="B219" t="s">
        <v>408</v>
      </c>
      <c r="C219" t="str">
        <f t="shared" si="5"/>
        <v>CN</v>
      </c>
      <c r="D219">
        <v>1</v>
      </c>
    </row>
    <row r="220" spans="1:4" x14ac:dyDescent="0.25">
      <c r="A220" t="s">
        <v>415</v>
      </c>
      <c r="B220" t="s">
        <v>415</v>
      </c>
      <c r="C220" t="str">
        <f t="shared" si="5"/>
        <v>WO</v>
      </c>
      <c r="D220">
        <v>1</v>
      </c>
    </row>
    <row r="221" spans="1:4" x14ac:dyDescent="0.25">
      <c r="A221" t="s">
        <v>1609</v>
      </c>
      <c r="B221" t="s">
        <v>415</v>
      </c>
      <c r="C221" t="str">
        <f t="shared" si="5"/>
        <v>US</v>
      </c>
      <c r="D221">
        <v>1</v>
      </c>
    </row>
    <row r="222" spans="1:4" x14ac:dyDescent="0.25">
      <c r="A222" t="s">
        <v>1611</v>
      </c>
      <c r="B222" t="s">
        <v>415</v>
      </c>
      <c r="C222" t="str">
        <f t="shared" si="5"/>
        <v>US</v>
      </c>
      <c r="D222">
        <v>1</v>
      </c>
    </row>
    <row r="223" spans="1:4" x14ac:dyDescent="0.25">
      <c r="A223" t="s">
        <v>1612</v>
      </c>
      <c r="B223" t="s">
        <v>415</v>
      </c>
      <c r="C223" t="str">
        <f t="shared" si="5"/>
        <v>SG</v>
      </c>
      <c r="D223">
        <v>1</v>
      </c>
    </row>
    <row r="224" spans="1:4" x14ac:dyDescent="0.25">
      <c r="A224" t="s">
        <v>1613</v>
      </c>
      <c r="B224" t="s">
        <v>415</v>
      </c>
      <c r="C224" t="str">
        <f t="shared" si="5"/>
        <v>CN</v>
      </c>
      <c r="D224">
        <v>1</v>
      </c>
    </row>
    <row r="225" spans="1:4" x14ac:dyDescent="0.25">
      <c r="A225" t="s">
        <v>421</v>
      </c>
      <c r="B225" t="s">
        <v>421</v>
      </c>
      <c r="C225" t="str">
        <f t="shared" si="5"/>
        <v>CN</v>
      </c>
      <c r="D225">
        <v>1</v>
      </c>
    </row>
    <row r="226" spans="1:4" x14ac:dyDescent="0.25">
      <c r="A226" t="s">
        <v>426</v>
      </c>
      <c r="B226" t="s">
        <v>426</v>
      </c>
      <c r="C226" t="str">
        <f t="shared" si="5"/>
        <v>RU</v>
      </c>
      <c r="D226">
        <v>1</v>
      </c>
    </row>
    <row r="227" spans="1:4" x14ac:dyDescent="0.25">
      <c r="A227" t="s">
        <v>1617</v>
      </c>
      <c r="B227" t="s">
        <v>432</v>
      </c>
      <c r="C227" t="str">
        <f t="shared" si="5"/>
        <v>CA</v>
      </c>
      <c r="D227">
        <v>1</v>
      </c>
    </row>
    <row r="228" spans="1:4" x14ac:dyDescent="0.25">
      <c r="A228" t="s">
        <v>432</v>
      </c>
      <c r="B228" t="s">
        <v>432</v>
      </c>
      <c r="C228" t="str">
        <f t="shared" si="5"/>
        <v>CA</v>
      </c>
      <c r="D228">
        <v>1</v>
      </c>
    </row>
    <row r="229" spans="1:4" x14ac:dyDescent="0.25">
      <c r="A229" t="s">
        <v>1619</v>
      </c>
      <c r="B229" t="s">
        <v>432</v>
      </c>
      <c r="C229" t="str">
        <f t="shared" si="5"/>
        <v>WO</v>
      </c>
      <c r="D229">
        <v>1</v>
      </c>
    </row>
    <row r="230" spans="1:4" x14ac:dyDescent="0.25">
      <c r="A230" t="s">
        <v>1620</v>
      </c>
      <c r="B230" t="s">
        <v>432</v>
      </c>
      <c r="C230" t="str">
        <f t="shared" si="5"/>
        <v>WO</v>
      </c>
      <c r="D230">
        <v>1</v>
      </c>
    </row>
    <row r="231" spans="1:4" x14ac:dyDescent="0.25">
      <c r="A231" t="s">
        <v>1621</v>
      </c>
      <c r="B231" t="s">
        <v>432</v>
      </c>
      <c r="C231" t="str">
        <f t="shared" si="5"/>
        <v>AU</v>
      </c>
      <c r="D231">
        <v>1</v>
      </c>
    </row>
    <row r="232" spans="1:4" x14ac:dyDescent="0.25">
      <c r="A232" t="s">
        <v>1622</v>
      </c>
      <c r="B232" t="s">
        <v>432</v>
      </c>
      <c r="C232" t="str">
        <f t="shared" si="5"/>
        <v>AU</v>
      </c>
      <c r="D232">
        <v>1</v>
      </c>
    </row>
    <row r="233" spans="1:4" x14ac:dyDescent="0.25">
      <c r="A233" t="s">
        <v>1623</v>
      </c>
      <c r="B233" t="s">
        <v>432</v>
      </c>
      <c r="C233" t="str">
        <f t="shared" si="5"/>
        <v>EA</v>
      </c>
      <c r="D233">
        <v>1</v>
      </c>
    </row>
    <row r="234" spans="1:4" x14ac:dyDescent="0.25">
      <c r="A234" t="s">
        <v>1624</v>
      </c>
      <c r="B234" t="s">
        <v>432</v>
      </c>
      <c r="C234" t="str">
        <f t="shared" si="5"/>
        <v>EA</v>
      </c>
      <c r="D234">
        <v>1</v>
      </c>
    </row>
    <row r="235" spans="1:4" x14ac:dyDescent="0.25">
      <c r="A235" t="s">
        <v>1625</v>
      </c>
      <c r="B235" t="s">
        <v>432</v>
      </c>
      <c r="C235" t="str">
        <f t="shared" si="5"/>
        <v>US</v>
      </c>
      <c r="D235">
        <v>1</v>
      </c>
    </row>
    <row r="236" spans="1:4" x14ac:dyDescent="0.25">
      <c r="A236" t="s">
        <v>1627</v>
      </c>
      <c r="B236" t="s">
        <v>432</v>
      </c>
      <c r="C236" t="str">
        <f t="shared" si="5"/>
        <v>US</v>
      </c>
      <c r="D236">
        <v>1</v>
      </c>
    </row>
    <row r="237" spans="1:4" x14ac:dyDescent="0.25">
      <c r="A237" t="s">
        <v>1629</v>
      </c>
      <c r="B237" t="s">
        <v>432</v>
      </c>
      <c r="C237" t="str">
        <f t="shared" si="5"/>
        <v>BR</v>
      </c>
      <c r="D237">
        <v>1</v>
      </c>
    </row>
    <row r="238" spans="1:4" x14ac:dyDescent="0.25">
      <c r="A238" t="s">
        <v>1629</v>
      </c>
      <c r="B238" t="s">
        <v>432</v>
      </c>
      <c r="C238" t="str">
        <f t="shared" si="5"/>
        <v>BR</v>
      </c>
      <c r="D238">
        <v>1</v>
      </c>
    </row>
    <row r="239" spans="1:4" x14ac:dyDescent="0.25">
      <c r="A239" t="s">
        <v>1630</v>
      </c>
      <c r="B239" t="s">
        <v>432</v>
      </c>
      <c r="C239" t="str">
        <f t="shared" si="5"/>
        <v>BR</v>
      </c>
      <c r="D239">
        <v>1</v>
      </c>
    </row>
    <row r="240" spans="1:4" x14ac:dyDescent="0.25">
      <c r="A240" t="s">
        <v>1630</v>
      </c>
      <c r="B240" t="s">
        <v>432</v>
      </c>
      <c r="C240" t="str">
        <f t="shared" si="5"/>
        <v>BR</v>
      </c>
      <c r="D240">
        <v>1</v>
      </c>
    </row>
    <row r="241" spans="1:4" x14ac:dyDescent="0.25">
      <c r="A241" t="s">
        <v>1631</v>
      </c>
      <c r="B241" t="s">
        <v>432</v>
      </c>
      <c r="C241" t="str">
        <f t="shared" si="5"/>
        <v>CN</v>
      </c>
      <c r="D241">
        <v>1</v>
      </c>
    </row>
    <row r="242" spans="1:4" x14ac:dyDescent="0.25">
      <c r="A242" t="s">
        <v>1633</v>
      </c>
      <c r="B242" t="s">
        <v>432</v>
      </c>
      <c r="C242" t="str">
        <f t="shared" si="5"/>
        <v>MX</v>
      </c>
      <c r="D242">
        <v>1</v>
      </c>
    </row>
    <row r="243" spans="1:4" x14ac:dyDescent="0.25">
      <c r="A243" t="s">
        <v>1634</v>
      </c>
      <c r="B243" t="s">
        <v>432</v>
      </c>
      <c r="C243" t="str">
        <f t="shared" si="5"/>
        <v>MX</v>
      </c>
      <c r="D243">
        <v>1</v>
      </c>
    </row>
    <row r="244" spans="1:4" x14ac:dyDescent="0.25">
      <c r="A244" t="s">
        <v>1635</v>
      </c>
      <c r="B244" t="s">
        <v>432</v>
      </c>
      <c r="C244" t="str">
        <f t="shared" si="5"/>
        <v>IN</v>
      </c>
      <c r="D244">
        <v>1</v>
      </c>
    </row>
    <row r="245" spans="1:4" x14ac:dyDescent="0.25">
      <c r="A245" t="s">
        <v>1636</v>
      </c>
      <c r="B245" t="s">
        <v>432</v>
      </c>
      <c r="C245" t="str">
        <f t="shared" si="5"/>
        <v>IN</v>
      </c>
      <c r="D245">
        <v>1</v>
      </c>
    </row>
    <row r="246" spans="1:4" x14ac:dyDescent="0.25">
      <c r="A246" t="s">
        <v>1637</v>
      </c>
      <c r="B246" t="s">
        <v>432</v>
      </c>
      <c r="C246" t="str">
        <f t="shared" si="5"/>
        <v>CN</v>
      </c>
      <c r="D246">
        <v>1</v>
      </c>
    </row>
    <row r="247" spans="1:4" x14ac:dyDescent="0.25">
      <c r="A247" t="s">
        <v>437</v>
      </c>
      <c r="B247" t="s">
        <v>437</v>
      </c>
      <c r="C247" t="str">
        <f t="shared" si="5"/>
        <v>CN</v>
      </c>
      <c r="D247">
        <v>1</v>
      </c>
    </row>
    <row r="248" spans="1:4" x14ac:dyDescent="0.25">
      <c r="A248" t="s">
        <v>442</v>
      </c>
      <c r="B248" t="s">
        <v>442</v>
      </c>
      <c r="C248" t="str">
        <f t="shared" si="5"/>
        <v>CN</v>
      </c>
      <c r="D248">
        <v>1</v>
      </c>
    </row>
    <row r="249" spans="1:4" x14ac:dyDescent="0.25">
      <c r="A249" t="s">
        <v>442</v>
      </c>
      <c r="B249" t="s">
        <v>442</v>
      </c>
      <c r="C249" t="str">
        <f t="shared" si="5"/>
        <v>CN</v>
      </c>
      <c r="D249">
        <v>1</v>
      </c>
    </row>
    <row r="250" spans="1:4" x14ac:dyDescent="0.25">
      <c r="A250" t="s">
        <v>447</v>
      </c>
      <c r="B250" t="s">
        <v>447</v>
      </c>
      <c r="C250" t="str">
        <f t="shared" si="5"/>
        <v>CN</v>
      </c>
      <c r="D250">
        <v>1</v>
      </c>
    </row>
    <row r="251" spans="1:4" x14ac:dyDescent="0.25">
      <c r="A251" t="s">
        <v>447</v>
      </c>
      <c r="B251" t="s">
        <v>447</v>
      </c>
      <c r="C251" t="str">
        <f t="shared" si="5"/>
        <v>CN</v>
      </c>
      <c r="D251">
        <v>1</v>
      </c>
    </row>
    <row r="252" spans="1:4" x14ac:dyDescent="0.25">
      <c r="A252" t="s">
        <v>452</v>
      </c>
      <c r="B252" t="s">
        <v>452</v>
      </c>
      <c r="C252" t="str">
        <f t="shared" si="5"/>
        <v>US</v>
      </c>
      <c r="D252">
        <v>1</v>
      </c>
    </row>
    <row r="253" spans="1:4" x14ac:dyDescent="0.25">
      <c r="A253" t="s">
        <v>1641</v>
      </c>
      <c r="B253" t="s">
        <v>452</v>
      </c>
      <c r="C253" t="str">
        <f t="shared" si="5"/>
        <v>US</v>
      </c>
      <c r="D253">
        <v>1</v>
      </c>
    </row>
    <row r="254" spans="1:4" x14ac:dyDescent="0.25">
      <c r="A254" t="s">
        <v>458</v>
      </c>
      <c r="B254" t="s">
        <v>458</v>
      </c>
      <c r="C254" t="str">
        <f t="shared" si="5"/>
        <v>CN</v>
      </c>
      <c r="D254">
        <v>1</v>
      </c>
    </row>
    <row r="255" spans="1:4" x14ac:dyDescent="0.25">
      <c r="A255" t="s">
        <v>458</v>
      </c>
      <c r="B255" t="s">
        <v>458</v>
      </c>
      <c r="C255" t="str">
        <f t="shared" si="5"/>
        <v>CN</v>
      </c>
      <c r="D255">
        <v>1</v>
      </c>
    </row>
    <row r="256" spans="1:4" x14ac:dyDescent="0.25">
      <c r="A256" t="s">
        <v>463</v>
      </c>
      <c r="B256" t="s">
        <v>463</v>
      </c>
      <c r="C256" t="str">
        <f t="shared" si="5"/>
        <v>CN</v>
      </c>
      <c r="D256">
        <v>1</v>
      </c>
    </row>
    <row r="257" spans="1:4" x14ac:dyDescent="0.25">
      <c r="A257" t="s">
        <v>463</v>
      </c>
      <c r="B257" t="s">
        <v>463</v>
      </c>
      <c r="C257" t="str">
        <f t="shared" si="5"/>
        <v>CN</v>
      </c>
      <c r="D257">
        <v>1</v>
      </c>
    </row>
    <row r="258" spans="1:4" x14ac:dyDescent="0.25">
      <c r="A258" t="s">
        <v>466</v>
      </c>
      <c r="B258" t="s">
        <v>466</v>
      </c>
      <c r="C258" t="str">
        <f t="shared" si="5"/>
        <v>CN</v>
      </c>
      <c r="D258">
        <v>1</v>
      </c>
    </row>
    <row r="259" spans="1:4" x14ac:dyDescent="0.25">
      <c r="A259" t="s">
        <v>466</v>
      </c>
      <c r="B259" t="s">
        <v>466</v>
      </c>
      <c r="C259" t="str">
        <f t="shared" ref="C259:C322" si="6">LEFT(A259,2)</f>
        <v>CN</v>
      </c>
      <c r="D259">
        <v>1</v>
      </c>
    </row>
    <row r="260" spans="1:4" x14ac:dyDescent="0.25">
      <c r="A260" t="s">
        <v>469</v>
      </c>
      <c r="B260" t="s">
        <v>469</v>
      </c>
      <c r="C260" t="str">
        <f t="shared" si="6"/>
        <v>CN</v>
      </c>
      <c r="D260">
        <v>1</v>
      </c>
    </row>
    <row r="261" spans="1:4" x14ac:dyDescent="0.25">
      <c r="A261" t="s">
        <v>469</v>
      </c>
      <c r="B261" t="s">
        <v>469</v>
      </c>
      <c r="C261" t="str">
        <f t="shared" si="6"/>
        <v>CN</v>
      </c>
      <c r="D261">
        <v>1</v>
      </c>
    </row>
    <row r="262" spans="1:4" x14ac:dyDescent="0.25">
      <c r="A262" t="s">
        <v>472</v>
      </c>
      <c r="B262" t="s">
        <v>472</v>
      </c>
      <c r="C262" t="str">
        <f t="shared" si="6"/>
        <v>CN</v>
      </c>
      <c r="D262">
        <v>1</v>
      </c>
    </row>
    <row r="263" spans="1:4" x14ac:dyDescent="0.25">
      <c r="A263" t="s">
        <v>472</v>
      </c>
      <c r="B263" t="s">
        <v>472</v>
      </c>
      <c r="C263" t="str">
        <f t="shared" si="6"/>
        <v>CN</v>
      </c>
      <c r="D263">
        <v>1</v>
      </c>
    </row>
    <row r="264" spans="1:4" x14ac:dyDescent="0.25">
      <c r="A264" t="s">
        <v>478</v>
      </c>
      <c r="B264" t="s">
        <v>478</v>
      </c>
      <c r="C264" t="str">
        <f t="shared" si="6"/>
        <v>CN</v>
      </c>
      <c r="D264">
        <v>1</v>
      </c>
    </row>
    <row r="265" spans="1:4" x14ac:dyDescent="0.25">
      <c r="A265" t="s">
        <v>478</v>
      </c>
      <c r="B265" t="s">
        <v>478</v>
      </c>
      <c r="C265" t="str">
        <f t="shared" si="6"/>
        <v>CN</v>
      </c>
      <c r="D265">
        <v>1</v>
      </c>
    </row>
    <row r="266" spans="1:4" x14ac:dyDescent="0.25">
      <c r="A266" t="s">
        <v>483</v>
      </c>
      <c r="B266" t="s">
        <v>483</v>
      </c>
      <c r="C266" t="str">
        <f t="shared" si="6"/>
        <v>CN</v>
      </c>
      <c r="D266">
        <v>1</v>
      </c>
    </row>
    <row r="267" spans="1:4" x14ac:dyDescent="0.25">
      <c r="A267" t="s">
        <v>483</v>
      </c>
      <c r="B267" t="s">
        <v>483</v>
      </c>
      <c r="C267" t="str">
        <f t="shared" si="6"/>
        <v>CN</v>
      </c>
      <c r="D267">
        <v>1</v>
      </c>
    </row>
    <row r="268" spans="1:4" x14ac:dyDescent="0.25">
      <c r="A268" t="s">
        <v>488</v>
      </c>
      <c r="B268" t="s">
        <v>488</v>
      </c>
      <c r="C268" t="str">
        <f t="shared" si="6"/>
        <v>CN</v>
      </c>
      <c r="D268">
        <v>1</v>
      </c>
    </row>
    <row r="269" spans="1:4" x14ac:dyDescent="0.25">
      <c r="A269" t="s">
        <v>488</v>
      </c>
      <c r="B269" t="s">
        <v>488</v>
      </c>
      <c r="C269" t="str">
        <f t="shared" si="6"/>
        <v>CN</v>
      </c>
      <c r="D269">
        <v>1</v>
      </c>
    </row>
    <row r="270" spans="1:4" x14ac:dyDescent="0.25">
      <c r="A270" t="s">
        <v>493</v>
      </c>
      <c r="B270" t="s">
        <v>493</v>
      </c>
      <c r="C270" t="str">
        <f t="shared" si="6"/>
        <v>CN</v>
      </c>
      <c r="D270">
        <v>1</v>
      </c>
    </row>
    <row r="271" spans="1:4" x14ac:dyDescent="0.25">
      <c r="A271" t="s">
        <v>493</v>
      </c>
      <c r="B271" t="s">
        <v>493</v>
      </c>
      <c r="C271" t="str">
        <f t="shared" si="6"/>
        <v>CN</v>
      </c>
      <c r="D271">
        <v>1</v>
      </c>
    </row>
    <row r="272" spans="1:4" x14ac:dyDescent="0.25">
      <c r="A272" t="s">
        <v>498</v>
      </c>
      <c r="B272" t="s">
        <v>498</v>
      </c>
      <c r="C272" t="str">
        <f t="shared" si="6"/>
        <v>CN</v>
      </c>
      <c r="D272">
        <v>1</v>
      </c>
    </row>
    <row r="273" spans="1:4" x14ac:dyDescent="0.25">
      <c r="A273" t="s">
        <v>504</v>
      </c>
      <c r="B273" t="s">
        <v>504</v>
      </c>
      <c r="C273" t="str">
        <f t="shared" si="6"/>
        <v>CN</v>
      </c>
      <c r="D273">
        <v>1</v>
      </c>
    </row>
    <row r="274" spans="1:4" x14ac:dyDescent="0.25">
      <c r="A274" t="s">
        <v>504</v>
      </c>
      <c r="B274" t="s">
        <v>504</v>
      </c>
      <c r="C274" t="str">
        <f t="shared" si="6"/>
        <v>CN</v>
      </c>
      <c r="D274">
        <v>1</v>
      </c>
    </row>
    <row r="275" spans="1:4" x14ac:dyDescent="0.25">
      <c r="A275" t="s">
        <v>509</v>
      </c>
      <c r="B275" t="s">
        <v>509</v>
      </c>
      <c r="C275" t="str">
        <f t="shared" si="6"/>
        <v>CN</v>
      </c>
      <c r="D275">
        <v>1</v>
      </c>
    </row>
    <row r="276" spans="1:4" x14ac:dyDescent="0.25">
      <c r="A276" t="s">
        <v>515</v>
      </c>
      <c r="B276" t="s">
        <v>515</v>
      </c>
      <c r="C276" t="str">
        <f t="shared" si="6"/>
        <v>CN</v>
      </c>
      <c r="D276">
        <v>1</v>
      </c>
    </row>
    <row r="277" spans="1:4" x14ac:dyDescent="0.25">
      <c r="A277" t="s">
        <v>515</v>
      </c>
      <c r="B277" t="s">
        <v>515</v>
      </c>
      <c r="C277" t="str">
        <f t="shared" si="6"/>
        <v>CN</v>
      </c>
      <c r="D277">
        <v>1</v>
      </c>
    </row>
    <row r="278" spans="1:4" x14ac:dyDescent="0.25">
      <c r="A278" t="s">
        <v>519</v>
      </c>
      <c r="B278" t="s">
        <v>519</v>
      </c>
      <c r="C278" t="str">
        <f t="shared" si="6"/>
        <v>RU</v>
      </c>
      <c r="D278">
        <v>1</v>
      </c>
    </row>
    <row r="279" spans="1:4" x14ac:dyDescent="0.25">
      <c r="A279" t="s">
        <v>524</v>
      </c>
      <c r="B279" t="s">
        <v>524</v>
      </c>
      <c r="C279" t="str">
        <f t="shared" si="6"/>
        <v>CN</v>
      </c>
      <c r="D279">
        <v>1</v>
      </c>
    </row>
    <row r="280" spans="1:4" x14ac:dyDescent="0.25">
      <c r="A280" t="s">
        <v>524</v>
      </c>
      <c r="B280" t="s">
        <v>524</v>
      </c>
      <c r="C280" t="str">
        <f t="shared" si="6"/>
        <v>CN</v>
      </c>
      <c r="D280">
        <v>1</v>
      </c>
    </row>
    <row r="281" spans="1:4" x14ac:dyDescent="0.25">
      <c r="A281" t="s">
        <v>530</v>
      </c>
      <c r="B281" t="s">
        <v>530</v>
      </c>
      <c r="C281" t="str">
        <f t="shared" si="6"/>
        <v>US</v>
      </c>
      <c r="D281">
        <v>1</v>
      </c>
    </row>
    <row r="282" spans="1:4" x14ac:dyDescent="0.25">
      <c r="A282" t="s">
        <v>1649</v>
      </c>
      <c r="B282" t="s">
        <v>530</v>
      </c>
      <c r="C282" t="str">
        <f t="shared" si="6"/>
        <v>US</v>
      </c>
      <c r="D282">
        <v>1</v>
      </c>
    </row>
    <row r="283" spans="1:4" x14ac:dyDescent="0.25">
      <c r="A283" t="s">
        <v>1650</v>
      </c>
      <c r="B283" t="s">
        <v>530</v>
      </c>
      <c r="C283" t="str">
        <f t="shared" si="6"/>
        <v>US</v>
      </c>
      <c r="D283">
        <v>1</v>
      </c>
    </row>
    <row r="284" spans="1:4" x14ac:dyDescent="0.25">
      <c r="A284" t="s">
        <v>1652</v>
      </c>
      <c r="B284" t="s">
        <v>530</v>
      </c>
      <c r="C284" t="str">
        <f t="shared" si="6"/>
        <v>US</v>
      </c>
      <c r="D284">
        <v>1</v>
      </c>
    </row>
    <row r="285" spans="1:4" x14ac:dyDescent="0.25">
      <c r="A285" t="s">
        <v>1653</v>
      </c>
      <c r="B285" t="s">
        <v>530</v>
      </c>
      <c r="C285" t="str">
        <f t="shared" si="6"/>
        <v>WO</v>
      </c>
      <c r="D285">
        <v>1</v>
      </c>
    </row>
    <row r="286" spans="1:4" x14ac:dyDescent="0.25">
      <c r="A286" t="s">
        <v>1653</v>
      </c>
      <c r="B286" t="s">
        <v>530</v>
      </c>
      <c r="C286" t="str">
        <f t="shared" si="6"/>
        <v>WO</v>
      </c>
      <c r="D286">
        <v>1</v>
      </c>
    </row>
    <row r="287" spans="1:4" x14ac:dyDescent="0.25">
      <c r="A287" t="s">
        <v>1656</v>
      </c>
      <c r="B287" t="s">
        <v>530</v>
      </c>
      <c r="C287" t="str">
        <f t="shared" si="6"/>
        <v>TW</v>
      </c>
      <c r="D287">
        <v>1</v>
      </c>
    </row>
    <row r="288" spans="1:4" x14ac:dyDescent="0.25">
      <c r="A288" t="s">
        <v>1658</v>
      </c>
      <c r="B288" t="s">
        <v>530</v>
      </c>
      <c r="C288" t="str">
        <f t="shared" si="6"/>
        <v>TW</v>
      </c>
      <c r="D288">
        <v>1</v>
      </c>
    </row>
    <row r="289" spans="1:4" x14ac:dyDescent="0.25">
      <c r="A289" t="s">
        <v>1659</v>
      </c>
      <c r="B289" t="s">
        <v>530</v>
      </c>
      <c r="C289" t="str">
        <f t="shared" si="6"/>
        <v>KR</v>
      </c>
      <c r="D289">
        <v>1</v>
      </c>
    </row>
    <row r="290" spans="1:4" x14ac:dyDescent="0.25">
      <c r="A290" t="s">
        <v>1661</v>
      </c>
      <c r="B290" t="s">
        <v>530</v>
      </c>
      <c r="C290" t="str">
        <f t="shared" si="6"/>
        <v>CN</v>
      </c>
      <c r="D290">
        <v>1</v>
      </c>
    </row>
    <row r="291" spans="1:4" x14ac:dyDescent="0.25">
      <c r="A291" t="s">
        <v>537</v>
      </c>
      <c r="B291" t="s">
        <v>537</v>
      </c>
      <c r="C291" t="str">
        <f t="shared" si="6"/>
        <v>CN</v>
      </c>
      <c r="D291">
        <v>1</v>
      </c>
    </row>
    <row r="292" spans="1:4" x14ac:dyDescent="0.25">
      <c r="A292" t="s">
        <v>537</v>
      </c>
      <c r="B292" t="s">
        <v>537</v>
      </c>
      <c r="C292" t="str">
        <f t="shared" si="6"/>
        <v>CN</v>
      </c>
      <c r="D292">
        <v>1</v>
      </c>
    </row>
    <row r="293" spans="1:4" x14ac:dyDescent="0.25">
      <c r="A293" t="s">
        <v>543</v>
      </c>
      <c r="B293" t="s">
        <v>543</v>
      </c>
      <c r="C293" t="str">
        <f t="shared" si="6"/>
        <v>CN</v>
      </c>
      <c r="D293">
        <v>1</v>
      </c>
    </row>
    <row r="294" spans="1:4" x14ac:dyDescent="0.25">
      <c r="A294" t="s">
        <v>543</v>
      </c>
      <c r="B294" t="s">
        <v>543</v>
      </c>
      <c r="C294" t="str">
        <f t="shared" si="6"/>
        <v>CN</v>
      </c>
      <c r="D294">
        <v>1</v>
      </c>
    </row>
    <row r="295" spans="1:4" x14ac:dyDescent="0.25">
      <c r="A295" t="s">
        <v>548</v>
      </c>
      <c r="B295" t="s">
        <v>548</v>
      </c>
      <c r="C295" t="str">
        <f t="shared" si="6"/>
        <v>CN</v>
      </c>
      <c r="D295">
        <v>1</v>
      </c>
    </row>
    <row r="296" spans="1:4" x14ac:dyDescent="0.25">
      <c r="A296" t="s">
        <v>548</v>
      </c>
      <c r="B296" t="s">
        <v>548</v>
      </c>
      <c r="C296" t="str">
        <f t="shared" si="6"/>
        <v>CN</v>
      </c>
      <c r="D296">
        <v>1</v>
      </c>
    </row>
    <row r="297" spans="1:4" x14ac:dyDescent="0.25">
      <c r="A297" t="s">
        <v>554</v>
      </c>
      <c r="B297" t="s">
        <v>554</v>
      </c>
      <c r="C297" t="str">
        <f t="shared" si="6"/>
        <v>RU</v>
      </c>
      <c r="D297">
        <v>1</v>
      </c>
    </row>
    <row r="298" spans="1:4" x14ac:dyDescent="0.25">
      <c r="A298" t="s">
        <v>1664</v>
      </c>
      <c r="B298" t="s">
        <v>554</v>
      </c>
      <c r="C298" t="str">
        <f t="shared" si="6"/>
        <v>WO</v>
      </c>
      <c r="D298">
        <v>1</v>
      </c>
    </row>
    <row r="299" spans="1:4" x14ac:dyDescent="0.25">
      <c r="A299" t="s">
        <v>1665</v>
      </c>
      <c r="B299" t="s">
        <v>554</v>
      </c>
      <c r="C299" t="str">
        <f t="shared" si="6"/>
        <v>EA</v>
      </c>
      <c r="D299">
        <v>1</v>
      </c>
    </row>
    <row r="300" spans="1:4" x14ac:dyDescent="0.25">
      <c r="A300" t="s">
        <v>1666</v>
      </c>
      <c r="B300" t="s">
        <v>554</v>
      </c>
      <c r="C300" t="str">
        <f t="shared" si="6"/>
        <v>EP</v>
      </c>
      <c r="D300">
        <v>1</v>
      </c>
    </row>
    <row r="301" spans="1:4" x14ac:dyDescent="0.25">
      <c r="A301" t="s">
        <v>1666</v>
      </c>
      <c r="B301" t="s">
        <v>554</v>
      </c>
      <c r="C301" t="str">
        <f t="shared" si="6"/>
        <v>EP</v>
      </c>
      <c r="D301">
        <v>1</v>
      </c>
    </row>
    <row r="302" spans="1:4" x14ac:dyDescent="0.25">
      <c r="A302" t="s">
        <v>1668</v>
      </c>
      <c r="B302" t="s">
        <v>554</v>
      </c>
      <c r="C302" t="str">
        <f t="shared" si="6"/>
        <v>US</v>
      </c>
      <c r="D302">
        <v>1</v>
      </c>
    </row>
    <row r="303" spans="1:4" x14ac:dyDescent="0.25">
      <c r="A303" t="s">
        <v>1670</v>
      </c>
      <c r="B303" t="s">
        <v>561</v>
      </c>
      <c r="C303" t="str">
        <f t="shared" si="6"/>
        <v>WO</v>
      </c>
      <c r="D303">
        <v>1</v>
      </c>
    </row>
    <row r="304" spans="1:4" x14ac:dyDescent="0.25">
      <c r="A304" t="s">
        <v>561</v>
      </c>
      <c r="B304" t="s">
        <v>561</v>
      </c>
      <c r="C304" t="str">
        <f t="shared" si="6"/>
        <v>WO</v>
      </c>
      <c r="D304">
        <v>1</v>
      </c>
    </row>
    <row r="305" spans="1:4" x14ac:dyDescent="0.25">
      <c r="A305" t="s">
        <v>1672</v>
      </c>
      <c r="B305" t="s">
        <v>561</v>
      </c>
      <c r="C305" t="str">
        <f t="shared" si="6"/>
        <v>WO</v>
      </c>
      <c r="D305">
        <v>1</v>
      </c>
    </row>
    <row r="306" spans="1:4" x14ac:dyDescent="0.25">
      <c r="A306" t="s">
        <v>566</v>
      </c>
      <c r="B306" t="s">
        <v>566</v>
      </c>
      <c r="C306" t="str">
        <f t="shared" si="6"/>
        <v>CN</v>
      </c>
      <c r="D306">
        <v>1</v>
      </c>
    </row>
    <row r="307" spans="1:4" x14ac:dyDescent="0.25">
      <c r="A307" t="s">
        <v>571</v>
      </c>
      <c r="B307" t="s">
        <v>571</v>
      </c>
      <c r="C307" t="str">
        <f t="shared" si="6"/>
        <v>CN</v>
      </c>
      <c r="D307">
        <v>1</v>
      </c>
    </row>
    <row r="308" spans="1:4" x14ac:dyDescent="0.25">
      <c r="A308" t="s">
        <v>571</v>
      </c>
      <c r="B308" t="s">
        <v>571</v>
      </c>
      <c r="C308" t="str">
        <f t="shared" si="6"/>
        <v>CN</v>
      </c>
      <c r="D308">
        <v>1</v>
      </c>
    </row>
    <row r="309" spans="1:4" x14ac:dyDescent="0.25">
      <c r="A309" t="s">
        <v>573</v>
      </c>
      <c r="B309" t="s">
        <v>573</v>
      </c>
      <c r="C309" t="str">
        <f t="shared" si="6"/>
        <v>CN</v>
      </c>
      <c r="D309">
        <v>1</v>
      </c>
    </row>
    <row r="310" spans="1:4" x14ac:dyDescent="0.25">
      <c r="A310" t="s">
        <v>575</v>
      </c>
      <c r="B310" t="s">
        <v>575</v>
      </c>
      <c r="C310" t="str">
        <f t="shared" si="6"/>
        <v>CN</v>
      </c>
      <c r="D310">
        <v>1</v>
      </c>
    </row>
    <row r="311" spans="1:4" x14ac:dyDescent="0.25">
      <c r="A311" t="s">
        <v>579</v>
      </c>
      <c r="B311" t="s">
        <v>579</v>
      </c>
      <c r="C311" t="str">
        <f t="shared" si="6"/>
        <v>CN</v>
      </c>
      <c r="D311">
        <v>1</v>
      </c>
    </row>
    <row r="312" spans="1:4" x14ac:dyDescent="0.25">
      <c r="A312" t="s">
        <v>579</v>
      </c>
      <c r="B312" t="s">
        <v>579</v>
      </c>
      <c r="C312" t="str">
        <f t="shared" si="6"/>
        <v>CN</v>
      </c>
      <c r="D312">
        <v>1</v>
      </c>
    </row>
    <row r="313" spans="1:4" x14ac:dyDescent="0.25">
      <c r="A313" t="s">
        <v>583</v>
      </c>
      <c r="B313" t="s">
        <v>583</v>
      </c>
      <c r="C313" t="str">
        <f t="shared" si="6"/>
        <v>CN</v>
      </c>
      <c r="D313">
        <v>1</v>
      </c>
    </row>
    <row r="314" spans="1:4" x14ac:dyDescent="0.25">
      <c r="A314" t="s">
        <v>583</v>
      </c>
      <c r="B314" t="s">
        <v>583</v>
      </c>
      <c r="C314" t="str">
        <f t="shared" si="6"/>
        <v>CN</v>
      </c>
      <c r="D314">
        <v>1</v>
      </c>
    </row>
    <row r="315" spans="1:4" x14ac:dyDescent="0.25">
      <c r="A315" t="s">
        <v>587</v>
      </c>
      <c r="B315" t="s">
        <v>587</v>
      </c>
      <c r="C315" t="str">
        <f t="shared" si="6"/>
        <v>CN</v>
      </c>
      <c r="D315">
        <v>1</v>
      </c>
    </row>
    <row r="316" spans="1:4" x14ac:dyDescent="0.25">
      <c r="A316" t="s">
        <v>587</v>
      </c>
      <c r="B316" t="s">
        <v>587</v>
      </c>
      <c r="C316" t="str">
        <f t="shared" si="6"/>
        <v>CN</v>
      </c>
      <c r="D316">
        <v>1</v>
      </c>
    </row>
    <row r="317" spans="1:4" x14ac:dyDescent="0.25">
      <c r="A317" t="s">
        <v>591</v>
      </c>
      <c r="B317" t="s">
        <v>591</v>
      </c>
      <c r="C317" t="str">
        <f t="shared" si="6"/>
        <v>CN</v>
      </c>
      <c r="D317">
        <v>1</v>
      </c>
    </row>
    <row r="318" spans="1:4" x14ac:dyDescent="0.25">
      <c r="A318" t="s">
        <v>591</v>
      </c>
      <c r="B318" t="s">
        <v>591</v>
      </c>
      <c r="C318" t="str">
        <f t="shared" si="6"/>
        <v>CN</v>
      </c>
      <c r="D318">
        <v>1</v>
      </c>
    </row>
    <row r="319" spans="1:4" x14ac:dyDescent="0.25">
      <c r="A319" t="s">
        <v>594</v>
      </c>
      <c r="B319" t="s">
        <v>594</v>
      </c>
      <c r="C319" t="str">
        <f t="shared" si="6"/>
        <v>CN</v>
      </c>
      <c r="D319">
        <v>1</v>
      </c>
    </row>
    <row r="320" spans="1:4" x14ac:dyDescent="0.25">
      <c r="A320" t="s">
        <v>594</v>
      </c>
      <c r="B320" t="s">
        <v>594</v>
      </c>
      <c r="C320" t="str">
        <f t="shared" si="6"/>
        <v>CN</v>
      </c>
      <c r="D320">
        <v>1</v>
      </c>
    </row>
    <row r="321" spans="1:4" x14ac:dyDescent="0.25">
      <c r="A321" t="s">
        <v>598</v>
      </c>
      <c r="B321" t="s">
        <v>598</v>
      </c>
      <c r="C321" t="str">
        <f t="shared" si="6"/>
        <v>CN</v>
      </c>
      <c r="D321">
        <v>1</v>
      </c>
    </row>
    <row r="322" spans="1:4" x14ac:dyDescent="0.25">
      <c r="A322" t="s">
        <v>598</v>
      </c>
      <c r="B322" t="s">
        <v>598</v>
      </c>
      <c r="C322" t="str">
        <f t="shared" si="6"/>
        <v>CN</v>
      </c>
      <c r="D322">
        <v>1</v>
      </c>
    </row>
    <row r="323" spans="1:4" x14ac:dyDescent="0.25">
      <c r="A323" t="s">
        <v>602</v>
      </c>
      <c r="B323" t="s">
        <v>602</v>
      </c>
      <c r="C323" t="str">
        <f t="shared" ref="C323:C386" si="7">LEFT(A323,2)</f>
        <v>CN</v>
      </c>
      <c r="D323">
        <v>1</v>
      </c>
    </row>
    <row r="324" spans="1:4" x14ac:dyDescent="0.25">
      <c r="A324" t="s">
        <v>602</v>
      </c>
      <c r="B324" t="s">
        <v>602</v>
      </c>
      <c r="C324" t="str">
        <f t="shared" si="7"/>
        <v>CN</v>
      </c>
      <c r="D324">
        <v>1</v>
      </c>
    </row>
    <row r="325" spans="1:4" x14ac:dyDescent="0.25">
      <c r="A325" t="s">
        <v>606</v>
      </c>
      <c r="B325" t="s">
        <v>606</v>
      </c>
      <c r="C325" t="str">
        <f t="shared" si="7"/>
        <v>CN</v>
      </c>
      <c r="D325">
        <v>1</v>
      </c>
    </row>
    <row r="326" spans="1:4" x14ac:dyDescent="0.25">
      <c r="A326" t="s">
        <v>606</v>
      </c>
      <c r="B326" t="s">
        <v>606</v>
      </c>
      <c r="C326" t="str">
        <f t="shared" si="7"/>
        <v>CN</v>
      </c>
      <c r="D326">
        <v>1</v>
      </c>
    </row>
    <row r="327" spans="1:4" x14ac:dyDescent="0.25">
      <c r="A327" t="s">
        <v>609</v>
      </c>
      <c r="B327" t="s">
        <v>609</v>
      </c>
      <c r="C327" t="str">
        <f t="shared" si="7"/>
        <v>CN</v>
      </c>
      <c r="D327">
        <v>1</v>
      </c>
    </row>
    <row r="328" spans="1:4" x14ac:dyDescent="0.25">
      <c r="A328" t="s">
        <v>609</v>
      </c>
      <c r="B328" t="s">
        <v>609</v>
      </c>
      <c r="C328" t="str">
        <f t="shared" si="7"/>
        <v>CN</v>
      </c>
      <c r="D328">
        <v>1</v>
      </c>
    </row>
    <row r="329" spans="1:4" x14ac:dyDescent="0.25">
      <c r="A329" t="s">
        <v>612</v>
      </c>
      <c r="B329" t="s">
        <v>612</v>
      </c>
      <c r="C329" t="str">
        <f t="shared" si="7"/>
        <v>CN</v>
      </c>
      <c r="D329">
        <v>1</v>
      </c>
    </row>
    <row r="330" spans="1:4" x14ac:dyDescent="0.25">
      <c r="A330" t="s">
        <v>612</v>
      </c>
      <c r="B330" t="s">
        <v>612</v>
      </c>
      <c r="C330" t="str">
        <f t="shared" si="7"/>
        <v>CN</v>
      </c>
      <c r="D330">
        <v>1</v>
      </c>
    </row>
    <row r="331" spans="1:4" x14ac:dyDescent="0.25">
      <c r="A331" t="s">
        <v>615</v>
      </c>
      <c r="B331" t="s">
        <v>615</v>
      </c>
      <c r="C331" t="str">
        <f t="shared" si="7"/>
        <v>CN</v>
      </c>
      <c r="D331">
        <v>1</v>
      </c>
    </row>
    <row r="332" spans="1:4" x14ac:dyDescent="0.25">
      <c r="A332" t="s">
        <v>618</v>
      </c>
      <c r="B332" t="s">
        <v>618</v>
      </c>
      <c r="C332" t="str">
        <f t="shared" si="7"/>
        <v>CN</v>
      </c>
      <c r="D332">
        <v>1</v>
      </c>
    </row>
    <row r="333" spans="1:4" x14ac:dyDescent="0.25">
      <c r="A333" t="s">
        <v>622</v>
      </c>
      <c r="B333" t="s">
        <v>622</v>
      </c>
      <c r="C333" t="str">
        <f t="shared" si="7"/>
        <v>CN</v>
      </c>
      <c r="D333">
        <v>1</v>
      </c>
    </row>
    <row r="334" spans="1:4" x14ac:dyDescent="0.25">
      <c r="A334" t="s">
        <v>622</v>
      </c>
      <c r="B334" t="s">
        <v>622</v>
      </c>
      <c r="C334" t="str">
        <f t="shared" si="7"/>
        <v>CN</v>
      </c>
      <c r="D334">
        <v>1</v>
      </c>
    </row>
    <row r="335" spans="1:4" x14ac:dyDescent="0.25">
      <c r="A335" t="s">
        <v>629</v>
      </c>
      <c r="B335" t="s">
        <v>629</v>
      </c>
      <c r="C335" t="str">
        <f t="shared" si="7"/>
        <v>RU</v>
      </c>
      <c r="D335">
        <v>1</v>
      </c>
    </row>
    <row r="336" spans="1:4" x14ac:dyDescent="0.25">
      <c r="A336" t="s">
        <v>1683</v>
      </c>
      <c r="B336" t="s">
        <v>629</v>
      </c>
      <c r="C336" t="str">
        <f t="shared" si="7"/>
        <v>WO</v>
      </c>
      <c r="D336">
        <v>1</v>
      </c>
    </row>
    <row r="337" spans="1:4" x14ac:dyDescent="0.25">
      <c r="A337" t="s">
        <v>1684</v>
      </c>
      <c r="B337" t="s">
        <v>629</v>
      </c>
      <c r="C337" t="str">
        <f t="shared" si="7"/>
        <v>EP</v>
      </c>
      <c r="D337">
        <v>1</v>
      </c>
    </row>
    <row r="338" spans="1:4" x14ac:dyDescent="0.25">
      <c r="A338" t="s">
        <v>1684</v>
      </c>
      <c r="B338" t="s">
        <v>629</v>
      </c>
      <c r="C338" t="str">
        <f t="shared" si="7"/>
        <v>EP</v>
      </c>
      <c r="D338">
        <v>1</v>
      </c>
    </row>
    <row r="339" spans="1:4" x14ac:dyDescent="0.25">
      <c r="A339" t="s">
        <v>1685</v>
      </c>
      <c r="B339" t="s">
        <v>629</v>
      </c>
      <c r="C339" t="str">
        <f t="shared" si="7"/>
        <v>EA</v>
      </c>
      <c r="D339">
        <v>1</v>
      </c>
    </row>
    <row r="340" spans="1:4" x14ac:dyDescent="0.25">
      <c r="A340" t="s">
        <v>1686</v>
      </c>
      <c r="B340" t="s">
        <v>629</v>
      </c>
      <c r="C340" t="str">
        <f t="shared" si="7"/>
        <v>US</v>
      </c>
      <c r="D340">
        <v>1</v>
      </c>
    </row>
    <row r="341" spans="1:4" x14ac:dyDescent="0.25">
      <c r="A341" t="s">
        <v>1688</v>
      </c>
      <c r="B341" t="s">
        <v>629</v>
      </c>
      <c r="C341" t="str">
        <f t="shared" si="7"/>
        <v>CN</v>
      </c>
      <c r="D341">
        <v>1</v>
      </c>
    </row>
    <row r="342" spans="1:4" x14ac:dyDescent="0.25">
      <c r="A342" t="s">
        <v>635</v>
      </c>
      <c r="B342" t="s">
        <v>635</v>
      </c>
      <c r="C342" t="str">
        <f t="shared" si="7"/>
        <v>CN</v>
      </c>
      <c r="D342">
        <v>1</v>
      </c>
    </row>
    <row r="343" spans="1:4" x14ac:dyDescent="0.25">
      <c r="A343" t="s">
        <v>635</v>
      </c>
      <c r="B343" t="s">
        <v>635</v>
      </c>
      <c r="C343" t="str">
        <f t="shared" si="7"/>
        <v>CN</v>
      </c>
      <c r="D343">
        <v>1</v>
      </c>
    </row>
    <row r="344" spans="1:4" x14ac:dyDescent="0.25">
      <c r="A344" t="s">
        <v>639</v>
      </c>
      <c r="B344" t="s">
        <v>639</v>
      </c>
      <c r="C344" t="str">
        <f t="shared" si="7"/>
        <v>CN</v>
      </c>
      <c r="D344">
        <v>1</v>
      </c>
    </row>
    <row r="345" spans="1:4" x14ac:dyDescent="0.25">
      <c r="A345" t="s">
        <v>639</v>
      </c>
      <c r="B345" t="s">
        <v>639</v>
      </c>
      <c r="C345" t="str">
        <f t="shared" si="7"/>
        <v>CN</v>
      </c>
      <c r="D345">
        <v>1</v>
      </c>
    </row>
    <row r="346" spans="1:4" x14ac:dyDescent="0.25">
      <c r="A346" t="s">
        <v>644</v>
      </c>
      <c r="B346" t="s">
        <v>644</v>
      </c>
      <c r="C346" t="str">
        <f t="shared" si="7"/>
        <v>CN</v>
      </c>
      <c r="D346">
        <v>1</v>
      </c>
    </row>
    <row r="347" spans="1:4" x14ac:dyDescent="0.25">
      <c r="A347" t="s">
        <v>644</v>
      </c>
      <c r="B347" t="s">
        <v>644</v>
      </c>
      <c r="C347" t="str">
        <f t="shared" si="7"/>
        <v>CN</v>
      </c>
      <c r="D347">
        <v>1</v>
      </c>
    </row>
    <row r="348" spans="1:4" x14ac:dyDescent="0.25">
      <c r="A348" t="s">
        <v>648</v>
      </c>
      <c r="B348" t="s">
        <v>648</v>
      </c>
      <c r="C348" t="str">
        <f t="shared" si="7"/>
        <v>RU</v>
      </c>
      <c r="D348">
        <v>1</v>
      </c>
    </row>
    <row r="349" spans="1:4" x14ac:dyDescent="0.25">
      <c r="A349" t="s">
        <v>1691</v>
      </c>
      <c r="B349" t="s">
        <v>648</v>
      </c>
      <c r="C349" t="str">
        <f t="shared" si="7"/>
        <v>CA</v>
      </c>
      <c r="D349">
        <v>1</v>
      </c>
    </row>
    <row r="350" spans="1:4" x14ac:dyDescent="0.25">
      <c r="A350" t="s">
        <v>1693</v>
      </c>
      <c r="B350" t="s">
        <v>648</v>
      </c>
      <c r="C350" t="str">
        <f t="shared" si="7"/>
        <v>WO</v>
      </c>
      <c r="D350">
        <v>1</v>
      </c>
    </row>
    <row r="351" spans="1:4" x14ac:dyDescent="0.25">
      <c r="A351" t="s">
        <v>1694</v>
      </c>
      <c r="B351" t="s">
        <v>648</v>
      </c>
      <c r="C351" t="str">
        <f t="shared" si="7"/>
        <v>BR</v>
      </c>
      <c r="D351">
        <v>1</v>
      </c>
    </row>
    <row r="352" spans="1:4" x14ac:dyDescent="0.25">
      <c r="A352" t="s">
        <v>1694</v>
      </c>
      <c r="B352" t="s">
        <v>648</v>
      </c>
      <c r="C352" t="str">
        <f t="shared" si="7"/>
        <v>BR</v>
      </c>
      <c r="D352">
        <v>1</v>
      </c>
    </row>
    <row r="353" spans="1:4" x14ac:dyDescent="0.25">
      <c r="A353" t="s">
        <v>1696</v>
      </c>
      <c r="B353" t="s">
        <v>648</v>
      </c>
      <c r="C353" t="str">
        <f t="shared" si="7"/>
        <v>AU</v>
      </c>
      <c r="D353">
        <v>1</v>
      </c>
    </row>
    <row r="354" spans="1:4" x14ac:dyDescent="0.25">
      <c r="A354" t="s">
        <v>1696</v>
      </c>
      <c r="B354" t="s">
        <v>648</v>
      </c>
      <c r="C354" t="str">
        <f t="shared" si="7"/>
        <v>AU</v>
      </c>
      <c r="D354">
        <v>1</v>
      </c>
    </row>
    <row r="355" spans="1:4" x14ac:dyDescent="0.25">
      <c r="A355" t="s">
        <v>1697</v>
      </c>
      <c r="B355" t="s">
        <v>648</v>
      </c>
      <c r="C355" t="str">
        <f t="shared" si="7"/>
        <v>EA</v>
      </c>
      <c r="D355">
        <v>1</v>
      </c>
    </row>
    <row r="356" spans="1:4" x14ac:dyDescent="0.25">
      <c r="A356" t="s">
        <v>1698</v>
      </c>
      <c r="B356" t="s">
        <v>648</v>
      </c>
      <c r="C356" t="str">
        <f t="shared" si="7"/>
        <v>EP</v>
      </c>
      <c r="D356">
        <v>1</v>
      </c>
    </row>
    <row r="357" spans="1:4" x14ac:dyDescent="0.25">
      <c r="A357" t="s">
        <v>1698</v>
      </c>
      <c r="B357" t="s">
        <v>648</v>
      </c>
      <c r="C357" t="str">
        <f t="shared" si="7"/>
        <v>EP</v>
      </c>
      <c r="D357">
        <v>1</v>
      </c>
    </row>
    <row r="358" spans="1:4" x14ac:dyDescent="0.25">
      <c r="A358" t="s">
        <v>1699</v>
      </c>
      <c r="B358" t="s">
        <v>648</v>
      </c>
      <c r="C358" t="str">
        <f t="shared" si="7"/>
        <v>US</v>
      </c>
      <c r="D358">
        <v>1</v>
      </c>
    </row>
    <row r="359" spans="1:4" x14ac:dyDescent="0.25">
      <c r="A359" t="s">
        <v>1701</v>
      </c>
      <c r="B359" t="s">
        <v>648</v>
      </c>
      <c r="C359" t="str">
        <f t="shared" si="7"/>
        <v>US</v>
      </c>
      <c r="D359">
        <v>1</v>
      </c>
    </row>
    <row r="360" spans="1:4" x14ac:dyDescent="0.25">
      <c r="A360" t="s">
        <v>1702</v>
      </c>
      <c r="B360" t="s">
        <v>648</v>
      </c>
      <c r="C360" t="str">
        <f t="shared" si="7"/>
        <v>IN</v>
      </c>
      <c r="D360">
        <v>1</v>
      </c>
    </row>
    <row r="361" spans="1:4" x14ac:dyDescent="0.25">
      <c r="A361" t="s">
        <v>1704</v>
      </c>
      <c r="B361" t="s">
        <v>648</v>
      </c>
      <c r="C361" t="str">
        <f t="shared" si="7"/>
        <v>CN</v>
      </c>
      <c r="D361">
        <v>1</v>
      </c>
    </row>
    <row r="362" spans="1:4" x14ac:dyDescent="0.25">
      <c r="A362" t="s">
        <v>654</v>
      </c>
      <c r="B362" t="s">
        <v>654</v>
      </c>
      <c r="C362" t="str">
        <f t="shared" si="7"/>
        <v>CN</v>
      </c>
      <c r="D362">
        <v>1</v>
      </c>
    </row>
    <row r="363" spans="1:4" x14ac:dyDescent="0.25">
      <c r="A363" t="s">
        <v>654</v>
      </c>
      <c r="B363" t="s">
        <v>654</v>
      </c>
      <c r="C363" t="str">
        <f t="shared" si="7"/>
        <v>CN</v>
      </c>
      <c r="D363">
        <v>1</v>
      </c>
    </row>
    <row r="364" spans="1:4" x14ac:dyDescent="0.25">
      <c r="A364" t="s">
        <v>659</v>
      </c>
      <c r="B364" t="s">
        <v>659</v>
      </c>
      <c r="C364" t="str">
        <f t="shared" si="7"/>
        <v>CN</v>
      </c>
      <c r="D364">
        <v>1</v>
      </c>
    </row>
    <row r="365" spans="1:4" x14ac:dyDescent="0.25">
      <c r="A365" t="s">
        <v>659</v>
      </c>
      <c r="B365" t="s">
        <v>659</v>
      </c>
      <c r="C365" t="str">
        <f t="shared" si="7"/>
        <v>CN</v>
      </c>
      <c r="D365">
        <v>1</v>
      </c>
    </row>
    <row r="366" spans="1:4" x14ac:dyDescent="0.25">
      <c r="A366" t="s">
        <v>665</v>
      </c>
      <c r="B366" t="s">
        <v>665</v>
      </c>
      <c r="C366" t="str">
        <f t="shared" si="7"/>
        <v>WO</v>
      </c>
      <c r="D366">
        <v>1</v>
      </c>
    </row>
    <row r="367" spans="1:4" x14ac:dyDescent="0.25">
      <c r="A367" t="s">
        <v>1708</v>
      </c>
      <c r="B367" t="s">
        <v>665</v>
      </c>
      <c r="C367" t="str">
        <f t="shared" si="7"/>
        <v>BR</v>
      </c>
      <c r="D367">
        <v>1</v>
      </c>
    </row>
    <row r="368" spans="1:4" x14ac:dyDescent="0.25">
      <c r="A368" t="s">
        <v>1708</v>
      </c>
      <c r="B368" t="s">
        <v>665</v>
      </c>
      <c r="C368" t="str">
        <f t="shared" si="7"/>
        <v>BR</v>
      </c>
      <c r="D368">
        <v>1</v>
      </c>
    </row>
    <row r="369" spans="1:4" x14ac:dyDescent="0.25">
      <c r="A369" t="s">
        <v>1710</v>
      </c>
      <c r="B369" t="s">
        <v>665</v>
      </c>
      <c r="C369" t="str">
        <f t="shared" si="7"/>
        <v>EP</v>
      </c>
      <c r="D369">
        <v>1</v>
      </c>
    </row>
    <row r="370" spans="1:4" x14ac:dyDescent="0.25">
      <c r="A370" t="s">
        <v>1711</v>
      </c>
      <c r="B370" t="s">
        <v>665</v>
      </c>
      <c r="C370" t="str">
        <f t="shared" si="7"/>
        <v>US</v>
      </c>
      <c r="D370">
        <v>1</v>
      </c>
    </row>
    <row r="371" spans="1:4" x14ac:dyDescent="0.25">
      <c r="A371" t="s">
        <v>1713</v>
      </c>
      <c r="B371" t="s">
        <v>665</v>
      </c>
      <c r="C371" t="str">
        <f t="shared" si="7"/>
        <v>KR</v>
      </c>
      <c r="D371">
        <v>1</v>
      </c>
    </row>
    <row r="372" spans="1:4" x14ac:dyDescent="0.25">
      <c r="A372" t="s">
        <v>1715</v>
      </c>
      <c r="B372" t="s">
        <v>665</v>
      </c>
      <c r="C372" t="str">
        <f t="shared" si="7"/>
        <v>CN</v>
      </c>
      <c r="D372">
        <v>1</v>
      </c>
    </row>
    <row r="373" spans="1:4" x14ac:dyDescent="0.25">
      <c r="A373" t="s">
        <v>1717</v>
      </c>
      <c r="B373" t="s">
        <v>665</v>
      </c>
      <c r="C373" t="str">
        <f t="shared" si="7"/>
        <v>JP</v>
      </c>
      <c r="D373">
        <v>1</v>
      </c>
    </row>
    <row r="374" spans="1:4" x14ac:dyDescent="0.25">
      <c r="A374" t="s">
        <v>672</v>
      </c>
      <c r="B374" t="s">
        <v>672</v>
      </c>
      <c r="C374" t="str">
        <f t="shared" si="7"/>
        <v>CN</v>
      </c>
      <c r="D374">
        <v>1</v>
      </c>
    </row>
    <row r="375" spans="1:4" x14ac:dyDescent="0.25">
      <c r="A375" t="s">
        <v>672</v>
      </c>
      <c r="B375" t="s">
        <v>672</v>
      </c>
      <c r="C375" t="str">
        <f t="shared" si="7"/>
        <v>CN</v>
      </c>
      <c r="D375">
        <v>1</v>
      </c>
    </row>
    <row r="376" spans="1:4" x14ac:dyDescent="0.25">
      <c r="A376" t="s">
        <v>676</v>
      </c>
      <c r="B376" t="s">
        <v>676</v>
      </c>
      <c r="C376" t="str">
        <f t="shared" si="7"/>
        <v>CN</v>
      </c>
      <c r="D376">
        <v>1</v>
      </c>
    </row>
    <row r="377" spans="1:4" x14ac:dyDescent="0.25">
      <c r="A377" t="s">
        <v>681</v>
      </c>
      <c r="B377" t="s">
        <v>681</v>
      </c>
      <c r="C377" t="str">
        <f t="shared" si="7"/>
        <v>CN</v>
      </c>
      <c r="D377">
        <v>1</v>
      </c>
    </row>
    <row r="378" spans="1:4" x14ac:dyDescent="0.25">
      <c r="A378" t="s">
        <v>681</v>
      </c>
      <c r="B378" t="s">
        <v>681</v>
      </c>
      <c r="C378" t="str">
        <f t="shared" si="7"/>
        <v>CN</v>
      </c>
      <c r="D378">
        <v>1</v>
      </c>
    </row>
    <row r="379" spans="1:4" x14ac:dyDescent="0.25">
      <c r="A379" t="s">
        <v>687</v>
      </c>
      <c r="B379" t="s">
        <v>687</v>
      </c>
      <c r="C379" t="str">
        <f t="shared" si="7"/>
        <v>US</v>
      </c>
      <c r="D379">
        <v>1</v>
      </c>
    </row>
    <row r="380" spans="1:4" x14ac:dyDescent="0.25">
      <c r="A380" t="s">
        <v>1721</v>
      </c>
      <c r="B380" t="s">
        <v>687</v>
      </c>
      <c r="C380" t="str">
        <f t="shared" si="7"/>
        <v>US</v>
      </c>
      <c r="D380">
        <v>1</v>
      </c>
    </row>
    <row r="381" spans="1:4" x14ac:dyDescent="0.25">
      <c r="A381" t="s">
        <v>1722</v>
      </c>
      <c r="B381" t="s">
        <v>687</v>
      </c>
      <c r="C381" t="str">
        <f t="shared" si="7"/>
        <v>CA</v>
      </c>
      <c r="D381">
        <v>1</v>
      </c>
    </row>
    <row r="382" spans="1:4" x14ac:dyDescent="0.25">
      <c r="A382" t="s">
        <v>1725</v>
      </c>
      <c r="B382" t="s">
        <v>687</v>
      </c>
      <c r="C382" t="str">
        <f t="shared" si="7"/>
        <v>WO</v>
      </c>
      <c r="D382">
        <v>1</v>
      </c>
    </row>
    <row r="383" spans="1:4" x14ac:dyDescent="0.25">
      <c r="A383" t="s">
        <v>1726</v>
      </c>
      <c r="B383" t="s">
        <v>687</v>
      </c>
      <c r="C383" t="str">
        <f t="shared" si="7"/>
        <v>US</v>
      </c>
      <c r="D383">
        <v>1</v>
      </c>
    </row>
    <row r="384" spans="1:4" x14ac:dyDescent="0.25">
      <c r="A384" t="s">
        <v>1728</v>
      </c>
      <c r="B384" t="s">
        <v>687</v>
      </c>
      <c r="C384" t="str">
        <f t="shared" si="7"/>
        <v>US</v>
      </c>
      <c r="D384">
        <v>1</v>
      </c>
    </row>
    <row r="385" spans="1:4" x14ac:dyDescent="0.25">
      <c r="A385" t="s">
        <v>1729</v>
      </c>
      <c r="B385" t="s">
        <v>687</v>
      </c>
      <c r="C385" t="str">
        <f t="shared" si="7"/>
        <v>BR</v>
      </c>
      <c r="D385">
        <v>1</v>
      </c>
    </row>
    <row r="386" spans="1:4" x14ac:dyDescent="0.25">
      <c r="A386" t="s">
        <v>1729</v>
      </c>
      <c r="B386" t="s">
        <v>687</v>
      </c>
      <c r="C386" t="str">
        <f t="shared" si="7"/>
        <v>BR</v>
      </c>
      <c r="D386">
        <v>1</v>
      </c>
    </row>
    <row r="387" spans="1:4" x14ac:dyDescent="0.25">
      <c r="A387" t="s">
        <v>1731</v>
      </c>
      <c r="B387" t="s">
        <v>687</v>
      </c>
      <c r="C387" t="str">
        <f t="shared" ref="C387:C450" si="8">LEFT(A387,2)</f>
        <v>EP</v>
      </c>
      <c r="D387">
        <v>1</v>
      </c>
    </row>
    <row r="388" spans="1:4" x14ac:dyDescent="0.25">
      <c r="A388" t="s">
        <v>1731</v>
      </c>
      <c r="B388" t="s">
        <v>687</v>
      </c>
      <c r="C388" t="str">
        <f t="shared" si="8"/>
        <v>EP</v>
      </c>
      <c r="D388">
        <v>1</v>
      </c>
    </row>
    <row r="389" spans="1:4" x14ac:dyDescent="0.25">
      <c r="A389" t="s">
        <v>1732</v>
      </c>
      <c r="B389" t="s">
        <v>687</v>
      </c>
      <c r="C389" t="str">
        <f t="shared" si="8"/>
        <v>HK</v>
      </c>
      <c r="D389">
        <v>1</v>
      </c>
    </row>
    <row r="390" spans="1:4" x14ac:dyDescent="0.25">
      <c r="A390" t="s">
        <v>1734</v>
      </c>
      <c r="B390" t="s">
        <v>687</v>
      </c>
      <c r="C390" t="str">
        <f t="shared" si="8"/>
        <v>CN</v>
      </c>
      <c r="D390">
        <v>1</v>
      </c>
    </row>
    <row r="391" spans="1:4" x14ac:dyDescent="0.25">
      <c r="A391" t="s">
        <v>1735</v>
      </c>
      <c r="B391" t="s">
        <v>687</v>
      </c>
      <c r="C391" t="str">
        <f t="shared" si="8"/>
        <v>MX</v>
      </c>
      <c r="D391">
        <v>1</v>
      </c>
    </row>
    <row r="392" spans="1:4" x14ac:dyDescent="0.25">
      <c r="A392" t="s">
        <v>1736</v>
      </c>
      <c r="B392" t="s">
        <v>687</v>
      </c>
      <c r="C392" t="str">
        <f t="shared" si="8"/>
        <v>IN</v>
      </c>
      <c r="D392">
        <v>1</v>
      </c>
    </row>
    <row r="393" spans="1:4" x14ac:dyDescent="0.25">
      <c r="A393" t="s">
        <v>1738</v>
      </c>
      <c r="B393" t="s">
        <v>687</v>
      </c>
      <c r="C393" t="str">
        <f t="shared" si="8"/>
        <v>TH</v>
      </c>
      <c r="D393">
        <v>1</v>
      </c>
    </row>
    <row r="394" spans="1:4" x14ac:dyDescent="0.25">
      <c r="A394" t="s">
        <v>694</v>
      </c>
      <c r="B394" t="s">
        <v>694</v>
      </c>
      <c r="C394" t="str">
        <f t="shared" si="8"/>
        <v>CN</v>
      </c>
      <c r="D394">
        <v>1</v>
      </c>
    </row>
    <row r="395" spans="1:4" x14ac:dyDescent="0.25">
      <c r="A395" t="s">
        <v>694</v>
      </c>
      <c r="B395" t="s">
        <v>694</v>
      </c>
      <c r="C395" t="str">
        <f t="shared" si="8"/>
        <v>CN</v>
      </c>
      <c r="D395">
        <v>1</v>
      </c>
    </row>
    <row r="396" spans="1:4" x14ac:dyDescent="0.25">
      <c r="A396" t="s">
        <v>700</v>
      </c>
      <c r="B396" t="s">
        <v>700</v>
      </c>
      <c r="C396" t="str">
        <f t="shared" si="8"/>
        <v>CN</v>
      </c>
      <c r="D396">
        <v>1</v>
      </c>
    </row>
    <row r="397" spans="1:4" x14ac:dyDescent="0.25">
      <c r="A397" t="s">
        <v>700</v>
      </c>
      <c r="B397" t="s">
        <v>700</v>
      </c>
      <c r="C397" t="str">
        <f t="shared" si="8"/>
        <v>CN</v>
      </c>
      <c r="D397">
        <v>1</v>
      </c>
    </row>
    <row r="398" spans="1:4" x14ac:dyDescent="0.25">
      <c r="A398" t="s">
        <v>705</v>
      </c>
      <c r="B398" t="s">
        <v>705</v>
      </c>
      <c r="C398" t="str">
        <f t="shared" si="8"/>
        <v>RU</v>
      </c>
      <c r="D398">
        <v>1</v>
      </c>
    </row>
    <row r="399" spans="1:4" x14ac:dyDescent="0.25">
      <c r="A399" t="s">
        <v>709</v>
      </c>
      <c r="B399" t="s">
        <v>709</v>
      </c>
      <c r="C399" t="str">
        <f t="shared" si="8"/>
        <v>CN</v>
      </c>
      <c r="D399">
        <v>1</v>
      </c>
    </row>
    <row r="400" spans="1:4" x14ac:dyDescent="0.25">
      <c r="A400" t="s">
        <v>709</v>
      </c>
      <c r="B400" t="s">
        <v>709</v>
      </c>
      <c r="C400" t="str">
        <f t="shared" si="8"/>
        <v>CN</v>
      </c>
      <c r="D400">
        <v>1</v>
      </c>
    </row>
    <row r="401" spans="1:4" x14ac:dyDescent="0.25">
      <c r="A401" t="s">
        <v>714</v>
      </c>
      <c r="B401" t="s">
        <v>714</v>
      </c>
      <c r="C401" t="str">
        <f t="shared" si="8"/>
        <v>CN</v>
      </c>
      <c r="D401">
        <v>1</v>
      </c>
    </row>
    <row r="402" spans="1:4" x14ac:dyDescent="0.25">
      <c r="A402" t="s">
        <v>714</v>
      </c>
      <c r="B402" t="s">
        <v>714</v>
      </c>
      <c r="C402" t="str">
        <f t="shared" si="8"/>
        <v>CN</v>
      </c>
      <c r="D402">
        <v>1</v>
      </c>
    </row>
    <row r="403" spans="1:4" x14ac:dyDescent="0.25">
      <c r="A403" t="s">
        <v>719</v>
      </c>
      <c r="B403" t="s">
        <v>719</v>
      </c>
      <c r="C403" t="str">
        <f t="shared" si="8"/>
        <v>CN</v>
      </c>
      <c r="D403">
        <v>1</v>
      </c>
    </row>
    <row r="404" spans="1:4" x14ac:dyDescent="0.25">
      <c r="A404" t="s">
        <v>719</v>
      </c>
      <c r="B404" t="s">
        <v>719</v>
      </c>
      <c r="C404" t="str">
        <f t="shared" si="8"/>
        <v>CN</v>
      </c>
      <c r="D404">
        <v>1</v>
      </c>
    </row>
    <row r="405" spans="1:4" x14ac:dyDescent="0.25">
      <c r="A405" t="s">
        <v>723</v>
      </c>
      <c r="B405" t="s">
        <v>723</v>
      </c>
      <c r="C405" t="str">
        <f t="shared" si="8"/>
        <v>CN</v>
      </c>
      <c r="D405">
        <v>1</v>
      </c>
    </row>
    <row r="406" spans="1:4" x14ac:dyDescent="0.25">
      <c r="A406" t="s">
        <v>723</v>
      </c>
      <c r="B406" t="s">
        <v>723</v>
      </c>
      <c r="C406" t="str">
        <f t="shared" si="8"/>
        <v>CN</v>
      </c>
      <c r="D406">
        <v>1</v>
      </c>
    </row>
    <row r="407" spans="1:4" x14ac:dyDescent="0.25">
      <c r="A407" t="s">
        <v>729</v>
      </c>
      <c r="B407" t="s">
        <v>729</v>
      </c>
      <c r="C407" t="str">
        <f t="shared" si="8"/>
        <v>US</v>
      </c>
      <c r="D407">
        <v>1</v>
      </c>
    </row>
    <row r="408" spans="1:4" x14ac:dyDescent="0.25">
      <c r="A408" t="s">
        <v>1747</v>
      </c>
      <c r="B408" t="s">
        <v>729</v>
      </c>
      <c r="C408" t="str">
        <f t="shared" si="8"/>
        <v>US</v>
      </c>
      <c r="D408">
        <v>1</v>
      </c>
    </row>
    <row r="409" spans="1:4" x14ac:dyDescent="0.25">
      <c r="A409" t="s">
        <v>1748</v>
      </c>
      <c r="B409" t="s">
        <v>729</v>
      </c>
      <c r="C409" t="str">
        <f t="shared" si="8"/>
        <v>WO</v>
      </c>
      <c r="D409">
        <v>1</v>
      </c>
    </row>
    <row r="410" spans="1:4" x14ac:dyDescent="0.25">
      <c r="A410" t="s">
        <v>1751</v>
      </c>
      <c r="B410" t="s">
        <v>729</v>
      </c>
      <c r="C410" t="str">
        <f t="shared" si="8"/>
        <v>EP</v>
      </c>
      <c r="D410">
        <v>1</v>
      </c>
    </row>
    <row r="411" spans="1:4" x14ac:dyDescent="0.25">
      <c r="A411" t="s">
        <v>1752</v>
      </c>
      <c r="B411" t="s">
        <v>729</v>
      </c>
      <c r="C411" t="str">
        <f t="shared" si="8"/>
        <v>CN</v>
      </c>
      <c r="D411">
        <v>1</v>
      </c>
    </row>
    <row r="412" spans="1:4" x14ac:dyDescent="0.25">
      <c r="A412" t="s">
        <v>1752</v>
      </c>
      <c r="B412" t="s">
        <v>729</v>
      </c>
      <c r="C412" t="str">
        <f t="shared" si="8"/>
        <v>CN</v>
      </c>
      <c r="D412">
        <v>1</v>
      </c>
    </row>
    <row r="413" spans="1:4" x14ac:dyDescent="0.25">
      <c r="A413" t="s">
        <v>1754</v>
      </c>
      <c r="B413" t="s">
        <v>729</v>
      </c>
      <c r="C413" t="str">
        <f t="shared" si="8"/>
        <v>KR</v>
      </c>
      <c r="D413">
        <v>1</v>
      </c>
    </row>
    <row r="414" spans="1:4" x14ac:dyDescent="0.25">
      <c r="A414" t="s">
        <v>1755</v>
      </c>
      <c r="B414" t="s">
        <v>729</v>
      </c>
      <c r="C414" t="str">
        <f t="shared" si="8"/>
        <v>IN</v>
      </c>
      <c r="D414">
        <v>1</v>
      </c>
    </row>
    <row r="415" spans="1:4" x14ac:dyDescent="0.25">
      <c r="A415" t="s">
        <v>737</v>
      </c>
      <c r="B415" t="s">
        <v>737</v>
      </c>
      <c r="C415" t="str">
        <f t="shared" si="8"/>
        <v>CA</v>
      </c>
      <c r="D415">
        <v>1</v>
      </c>
    </row>
    <row r="416" spans="1:4" x14ac:dyDescent="0.25">
      <c r="A416" t="s">
        <v>1758</v>
      </c>
      <c r="B416" t="s">
        <v>737</v>
      </c>
      <c r="C416" t="str">
        <f t="shared" si="8"/>
        <v>US</v>
      </c>
      <c r="D416">
        <v>1</v>
      </c>
    </row>
    <row r="417" spans="1:4" x14ac:dyDescent="0.25">
      <c r="A417" t="s">
        <v>1760</v>
      </c>
      <c r="B417" t="s">
        <v>737</v>
      </c>
      <c r="C417" t="str">
        <f t="shared" si="8"/>
        <v>US</v>
      </c>
      <c r="D417">
        <v>1</v>
      </c>
    </row>
    <row r="418" spans="1:4" x14ac:dyDescent="0.25">
      <c r="A418" t="s">
        <v>1761</v>
      </c>
      <c r="B418" t="s">
        <v>737</v>
      </c>
      <c r="C418" t="str">
        <f t="shared" si="8"/>
        <v>US</v>
      </c>
      <c r="D418">
        <v>1</v>
      </c>
    </row>
    <row r="419" spans="1:4" x14ac:dyDescent="0.25">
      <c r="A419" t="s">
        <v>1763</v>
      </c>
      <c r="B419" t="s">
        <v>737</v>
      </c>
      <c r="C419" t="str">
        <f t="shared" si="8"/>
        <v>US</v>
      </c>
      <c r="D419">
        <v>1</v>
      </c>
    </row>
    <row r="420" spans="1:4" x14ac:dyDescent="0.25">
      <c r="A420" t="s">
        <v>1765</v>
      </c>
      <c r="B420" t="s">
        <v>737</v>
      </c>
      <c r="C420" t="str">
        <f t="shared" si="8"/>
        <v>US</v>
      </c>
      <c r="D420">
        <v>1</v>
      </c>
    </row>
    <row r="421" spans="1:4" x14ac:dyDescent="0.25">
      <c r="A421" t="s">
        <v>1766</v>
      </c>
      <c r="B421" t="s">
        <v>737</v>
      </c>
      <c r="C421" t="str">
        <f t="shared" si="8"/>
        <v>US</v>
      </c>
      <c r="D421">
        <v>1</v>
      </c>
    </row>
    <row r="422" spans="1:4" x14ac:dyDescent="0.25">
      <c r="A422" t="s">
        <v>1768</v>
      </c>
      <c r="B422" t="s">
        <v>737</v>
      </c>
      <c r="C422" t="str">
        <f t="shared" si="8"/>
        <v>US</v>
      </c>
      <c r="D422">
        <v>1</v>
      </c>
    </row>
    <row r="423" spans="1:4" x14ac:dyDescent="0.25">
      <c r="A423" t="s">
        <v>1769</v>
      </c>
      <c r="B423" t="s">
        <v>737</v>
      </c>
      <c r="C423" t="str">
        <f t="shared" si="8"/>
        <v>US</v>
      </c>
      <c r="D423">
        <v>1</v>
      </c>
    </row>
    <row r="424" spans="1:4" x14ac:dyDescent="0.25">
      <c r="A424" t="s">
        <v>1771</v>
      </c>
      <c r="B424" t="s">
        <v>737</v>
      </c>
      <c r="C424" t="str">
        <f t="shared" si="8"/>
        <v>US</v>
      </c>
      <c r="D424">
        <v>1</v>
      </c>
    </row>
    <row r="425" spans="1:4" x14ac:dyDescent="0.25">
      <c r="A425" t="s">
        <v>1772</v>
      </c>
      <c r="B425" t="s">
        <v>737</v>
      </c>
      <c r="C425" t="str">
        <f t="shared" si="8"/>
        <v>US</v>
      </c>
      <c r="D425">
        <v>1</v>
      </c>
    </row>
    <row r="426" spans="1:4" x14ac:dyDescent="0.25">
      <c r="A426" t="s">
        <v>1774</v>
      </c>
      <c r="B426" t="s">
        <v>737</v>
      </c>
      <c r="C426" t="str">
        <f t="shared" si="8"/>
        <v>US</v>
      </c>
      <c r="D426">
        <v>1</v>
      </c>
    </row>
    <row r="427" spans="1:4" x14ac:dyDescent="0.25">
      <c r="A427" t="s">
        <v>1775</v>
      </c>
      <c r="B427" t="s">
        <v>737</v>
      </c>
      <c r="C427" t="str">
        <f t="shared" si="8"/>
        <v>BR</v>
      </c>
      <c r="D427">
        <v>1</v>
      </c>
    </row>
    <row r="428" spans="1:4" x14ac:dyDescent="0.25">
      <c r="A428" t="s">
        <v>1775</v>
      </c>
      <c r="B428" t="s">
        <v>737</v>
      </c>
      <c r="C428" t="str">
        <f t="shared" si="8"/>
        <v>BR</v>
      </c>
      <c r="D428">
        <v>1</v>
      </c>
    </row>
    <row r="429" spans="1:4" x14ac:dyDescent="0.25">
      <c r="A429" t="s">
        <v>1775</v>
      </c>
      <c r="B429" t="s">
        <v>737</v>
      </c>
      <c r="C429" t="str">
        <f t="shared" si="8"/>
        <v>BR</v>
      </c>
      <c r="D429">
        <v>1</v>
      </c>
    </row>
    <row r="430" spans="1:4" x14ac:dyDescent="0.25">
      <c r="A430" t="s">
        <v>1775</v>
      </c>
      <c r="B430" t="s">
        <v>737</v>
      </c>
      <c r="C430" t="str">
        <f t="shared" si="8"/>
        <v>BR</v>
      </c>
      <c r="D430">
        <v>1</v>
      </c>
    </row>
    <row r="431" spans="1:4" x14ac:dyDescent="0.25">
      <c r="A431" t="s">
        <v>1777</v>
      </c>
      <c r="B431" t="s">
        <v>737</v>
      </c>
      <c r="C431" t="str">
        <f t="shared" si="8"/>
        <v>WO</v>
      </c>
      <c r="D431">
        <v>1</v>
      </c>
    </row>
    <row r="432" spans="1:4" x14ac:dyDescent="0.25">
      <c r="A432" t="s">
        <v>1777</v>
      </c>
      <c r="B432" t="s">
        <v>737</v>
      </c>
      <c r="C432" t="str">
        <f t="shared" si="8"/>
        <v>WO</v>
      </c>
      <c r="D432">
        <v>1</v>
      </c>
    </row>
    <row r="433" spans="1:4" x14ac:dyDescent="0.25">
      <c r="A433" t="s">
        <v>1779</v>
      </c>
      <c r="B433" t="s">
        <v>737</v>
      </c>
      <c r="C433" t="str">
        <f t="shared" si="8"/>
        <v>EP</v>
      </c>
      <c r="D433">
        <v>1</v>
      </c>
    </row>
    <row r="434" spans="1:4" x14ac:dyDescent="0.25">
      <c r="A434" t="s">
        <v>1779</v>
      </c>
      <c r="B434" t="s">
        <v>737</v>
      </c>
      <c r="C434" t="str">
        <f t="shared" si="8"/>
        <v>EP</v>
      </c>
      <c r="D434">
        <v>1</v>
      </c>
    </row>
    <row r="435" spans="1:4" x14ac:dyDescent="0.25">
      <c r="A435" t="s">
        <v>1781</v>
      </c>
      <c r="B435" t="s">
        <v>737</v>
      </c>
      <c r="C435" t="str">
        <f t="shared" si="8"/>
        <v>JP</v>
      </c>
      <c r="D435">
        <v>1</v>
      </c>
    </row>
    <row r="436" spans="1:4" x14ac:dyDescent="0.25">
      <c r="A436" t="s">
        <v>1784</v>
      </c>
      <c r="B436" t="s">
        <v>737</v>
      </c>
      <c r="C436" t="str">
        <f t="shared" si="8"/>
        <v>JP</v>
      </c>
      <c r="D436">
        <v>1</v>
      </c>
    </row>
    <row r="437" spans="1:4" x14ac:dyDescent="0.25">
      <c r="A437" t="s">
        <v>1785</v>
      </c>
      <c r="B437" t="s">
        <v>737</v>
      </c>
      <c r="C437" t="str">
        <f t="shared" si="8"/>
        <v>KR</v>
      </c>
      <c r="D437">
        <v>1</v>
      </c>
    </row>
    <row r="438" spans="1:4" x14ac:dyDescent="0.25">
      <c r="A438" t="s">
        <v>1787</v>
      </c>
      <c r="B438" t="s">
        <v>737</v>
      </c>
      <c r="C438" t="str">
        <f t="shared" si="8"/>
        <v>KR</v>
      </c>
      <c r="D438">
        <v>1</v>
      </c>
    </row>
    <row r="439" spans="1:4" x14ac:dyDescent="0.25">
      <c r="A439" t="s">
        <v>1788</v>
      </c>
      <c r="B439" t="s">
        <v>737</v>
      </c>
      <c r="C439" t="str">
        <f t="shared" si="8"/>
        <v>MX</v>
      </c>
      <c r="D439">
        <v>1</v>
      </c>
    </row>
    <row r="440" spans="1:4" x14ac:dyDescent="0.25">
      <c r="A440" t="s">
        <v>1790</v>
      </c>
      <c r="B440" t="s">
        <v>737</v>
      </c>
      <c r="C440" t="str">
        <f t="shared" si="8"/>
        <v>MX</v>
      </c>
      <c r="D440">
        <v>1</v>
      </c>
    </row>
    <row r="441" spans="1:4" x14ac:dyDescent="0.25">
      <c r="A441" t="s">
        <v>1791</v>
      </c>
      <c r="B441" t="s">
        <v>737</v>
      </c>
      <c r="C441" t="str">
        <f t="shared" si="8"/>
        <v>SG</v>
      </c>
      <c r="D441">
        <v>1</v>
      </c>
    </row>
    <row r="442" spans="1:4" x14ac:dyDescent="0.25">
      <c r="A442" t="s">
        <v>1793</v>
      </c>
      <c r="B442" t="s">
        <v>737</v>
      </c>
      <c r="C442" t="str">
        <f t="shared" si="8"/>
        <v>CN</v>
      </c>
      <c r="D442">
        <v>1</v>
      </c>
    </row>
    <row r="443" spans="1:4" x14ac:dyDescent="0.25">
      <c r="A443" t="s">
        <v>1795</v>
      </c>
      <c r="B443" t="s">
        <v>737</v>
      </c>
      <c r="C443" t="str">
        <f t="shared" si="8"/>
        <v>IN</v>
      </c>
      <c r="D443">
        <v>1</v>
      </c>
    </row>
    <row r="444" spans="1:4" x14ac:dyDescent="0.25">
      <c r="A444" t="s">
        <v>1796</v>
      </c>
      <c r="B444" t="s">
        <v>737</v>
      </c>
      <c r="C444" t="str">
        <f t="shared" si="8"/>
        <v>IN</v>
      </c>
      <c r="D444">
        <v>1</v>
      </c>
    </row>
    <row r="445" spans="1:4" x14ac:dyDescent="0.25">
      <c r="A445" t="s">
        <v>1797</v>
      </c>
      <c r="B445" t="s">
        <v>745</v>
      </c>
      <c r="C445" t="str">
        <f t="shared" si="8"/>
        <v>US</v>
      </c>
      <c r="D445">
        <v>1</v>
      </c>
    </row>
    <row r="446" spans="1:4" x14ac:dyDescent="0.25">
      <c r="A446" t="s">
        <v>1798</v>
      </c>
      <c r="B446" t="s">
        <v>745</v>
      </c>
      <c r="C446" t="str">
        <f t="shared" si="8"/>
        <v>US</v>
      </c>
      <c r="D446">
        <v>1</v>
      </c>
    </row>
    <row r="447" spans="1:4" x14ac:dyDescent="0.25">
      <c r="A447" t="s">
        <v>1799</v>
      </c>
      <c r="B447" t="s">
        <v>745</v>
      </c>
      <c r="C447" t="str">
        <f t="shared" si="8"/>
        <v>US</v>
      </c>
      <c r="D447">
        <v>1</v>
      </c>
    </row>
    <row r="448" spans="1:4" x14ac:dyDescent="0.25">
      <c r="A448" t="s">
        <v>1801</v>
      </c>
      <c r="B448" t="s">
        <v>745</v>
      </c>
      <c r="C448" t="str">
        <f t="shared" si="8"/>
        <v>US</v>
      </c>
      <c r="D448">
        <v>1</v>
      </c>
    </row>
    <row r="449" spans="1:4" x14ac:dyDescent="0.25">
      <c r="A449" t="s">
        <v>1802</v>
      </c>
      <c r="B449" t="s">
        <v>751</v>
      </c>
      <c r="C449" t="str">
        <f t="shared" si="8"/>
        <v>US</v>
      </c>
      <c r="D449">
        <v>1</v>
      </c>
    </row>
    <row r="450" spans="1:4" x14ac:dyDescent="0.25">
      <c r="A450" t="s">
        <v>1803</v>
      </c>
      <c r="B450" t="s">
        <v>751</v>
      </c>
      <c r="C450" t="str">
        <f t="shared" si="8"/>
        <v>US</v>
      </c>
      <c r="D450">
        <v>1</v>
      </c>
    </row>
    <row r="451" spans="1:4" x14ac:dyDescent="0.25">
      <c r="A451" t="s">
        <v>1805</v>
      </c>
      <c r="B451" t="s">
        <v>751</v>
      </c>
      <c r="C451" t="str">
        <f t="shared" ref="C451:C514" si="9">LEFT(A451,2)</f>
        <v>US</v>
      </c>
      <c r="D451">
        <v>1</v>
      </c>
    </row>
    <row r="452" spans="1:4" x14ac:dyDescent="0.25">
      <c r="A452" t="s">
        <v>1806</v>
      </c>
      <c r="B452" t="s">
        <v>751</v>
      </c>
      <c r="C452" t="str">
        <f t="shared" si="9"/>
        <v>US</v>
      </c>
      <c r="D452">
        <v>1</v>
      </c>
    </row>
    <row r="453" spans="1:4" x14ac:dyDescent="0.25">
      <c r="A453" t="s">
        <v>756</v>
      </c>
      <c r="B453" t="s">
        <v>756</v>
      </c>
      <c r="C453" t="str">
        <f t="shared" si="9"/>
        <v>CN</v>
      </c>
      <c r="D453">
        <v>1</v>
      </c>
    </row>
    <row r="454" spans="1:4" x14ac:dyDescent="0.25">
      <c r="A454" t="s">
        <v>756</v>
      </c>
      <c r="B454" t="s">
        <v>756</v>
      </c>
      <c r="C454" t="str">
        <f t="shared" si="9"/>
        <v>CN</v>
      </c>
      <c r="D454">
        <v>1</v>
      </c>
    </row>
    <row r="455" spans="1:4" x14ac:dyDescent="0.25">
      <c r="A455" t="s">
        <v>760</v>
      </c>
      <c r="B455" t="s">
        <v>760</v>
      </c>
      <c r="C455" t="str">
        <f t="shared" si="9"/>
        <v>CN</v>
      </c>
      <c r="D455">
        <v>1</v>
      </c>
    </row>
    <row r="456" spans="1:4" x14ac:dyDescent="0.25">
      <c r="A456" t="s">
        <v>767</v>
      </c>
      <c r="B456" t="s">
        <v>767</v>
      </c>
      <c r="C456" t="str">
        <f t="shared" si="9"/>
        <v>US</v>
      </c>
      <c r="D456">
        <v>1</v>
      </c>
    </row>
    <row r="457" spans="1:4" x14ac:dyDescent="0.25">
      <c r="A457" t="s">
        <v>1810</v>
      </c>
      <c r="B457" t="s">
        <v>767</v>
      </c>
      <c r="C457" t="str">
        <f t="shared" si="9"/>
        <v>US</v>
      </c>
      <c r="D457">
        <v>1</v>
      </c>
    </row>
    <row r="458" spans="1:4" x14ac:dyDescent="0.25">
      <c r="A458" t="s">
        <v>1811</v>
      </c>
      <c r="B458" t="s">
        <v>767</v>
      </c>
      <c r="C458" t="str">
        <f t="shared" si="9"/>
        <v>AU</v>
      </c>
      <c r="D458">
        <v>1</v>
      </c>
    </row>
    <row r="459" spans="1:4" x14ac:dyDescent="0.25">
      <c r="A459" t="s">
        <v>1811</v>
      </c>
      <c r="B459" t="s">
        <v>767</v>
      </c>
      <c r="C459" t="str">
        <f t="shared" si="9"/>
        <v>AU</v>
      </c>
      <c r="D459">
        <v>1</v>
      </c>
    </row>
    <row r="460" spans="1:4" x14ac:dyDescent="0.25">
      <c r="A460" t="s">
        <v>1814</v>
      </c>
      <c r="B460" t="s">
        <v>767</v>
      </c>
      <c r="C460" t="str">
        <f t="shared" si="9"/>
        <v>BR</v>
      </c>
      <c r="D460">
        <v>1</v>
      </c>
    </row>
    <row r="461" spans="1:4" x14ac:dyDescent="0.25">
      <c r="A461" t="s">
        <v>1814</v>
      </c>
      <c r="B461" t="s">
        <v>767</v>
      </c>
      <c r="C461" t="str">
        <f t="shared" si="9"/>
        <v>BR</v>
      </c>
      <c r="D461">
        <v>1</v>
      </c>
    </row>
    <row r="462" spans="1:4" x14ac:dyDescent="0.25">
      <c r="A462" t="s">
        <v>1817</v>
      </c>
      <c r="B462" t="s">
        <v>767</v>
      </c>
      <c r="C462" t="str">
        <f t="shared" si="9"/>
        <v>CN</v>
      </c>
      <c r="D462">
        <v>1</v>
      </c>
    </row>
    <row r="463" spans="1:4" x14ac:dyDescent="0.25">
      <c r="A463" t="s">
        <v>1817</v>
      </c>
      <c r="B463" t="s">
        <v>767</v>
      </c>
      <c r="C463" t="str">
        <f t="shared" si="9"/>
        <v>CN</v>
      </c>
      <c r="D463">
        <v>1</v>
      </c>
    </row>
    <row r="464" spans="1:4" x14ac:dyDescent="0.25">
      <c r="A464" t="s">
        <v>1819</v>
      </c>
      <c r="B464" t="s">
        <v>767</v>
      </c>
      <c r="C464" t="str">
        <f t="shared" si="9"/>
        <v>RU</v>
      </c>
      <c r="D464">
        <v>1</v>
      </c>
    </row>
    <row r="465" spans="1:4" x14ac:dyDescent="0.25">
      <c r="A465" t="s">
        <v>1822</v>
      </c>
      <c r="B465" t="s">
        <v>767</v>
      </c>
      <c r="C465" t="str">
        <f t="shared" si="9"/>
        <v>RU</v>
      </c>
      <c r="D465">
        <v>1</v>
      </c>
    </row>
    <row r="466" spans="1:4" x14ac:dyDescent="0.25">
      <c r="A466" t="s">
        <v>1823</v>
      </c>
      <c r="B466" t="s">
        <v>767</v>
      </c>
      <c r="C466" t="str">
        <f t="shared" si="9"/>
        <v>ZA</v>
      </c>
      <c r="D466">
        <v>1</v>
      </c>
    </row>
    <row r="467" spans="1:4" x14ac:dyDescent="0.25">
      <c r="A467" t="s">
        <v>775</v>
      </c>
      <c r="B467" t="s">
        <v>775</v>
      </c>
      <c r="C467" t="str">
        <f t="shared" si="9"/>
        <v>WO</v>
      </c>
      <c r="D467">
        <v>1</v>
      </c>
    </row>
    <row r="468" spans="1:4" x14ac:dyDescent="0.25">
      <c r="A468" t="s">
        <v>1827</v>
      </c>
      <c r="B468" t="s">
        <v>775</v>
      </c>
      <c r="C468" t="str">
        <f t="shared" si="9"/>
        <v>AU</v>
      </c>
      <c r="D468">
        <v>1</v>
      </c>
    </row>
    <row r="469" spans="1:4" x14ac:dyDescent="0.25">
      <c r="A469" t="s">
        <v>1827</v>
      </c>
      <c r="B469" t="s">
        <v>775</v>
      </c>
      <c r="C469" t="str">
        <f t="shared" si="9"/>
        <v>AU</v>
      </c>
      <c r="D469">
        <v>1</v>
      </c>
    </row>
    <row r="470" spans="1:4" x14ac:dyDescent="0.25">
      <c r="A470" t="s">
        <v>1828</v>
      </c>
      <c r="B470" t="s">
        <v>775</v>
      </c>
      <c r="C470" t="str">
        <f t="shared" si="9"/>
        <v>US</v>
      </c>
      <c r="D470">
        <v>1</v>
      </c>
    </row>
    <row r="471" spans="1:4" x14ac:dyDescent="0.25">
      <c r="A471" t="s">
        <v>1830</v>
      </c>
      <c r="B471" t="s">
        <v>775</v>
      </c>
      <c r="C471" t="str">
        <f t="shared" si="9"/>
        <v>US</v>
      </c>
      <c r="D471">
        <v>1</v>
      </c>
    </row>
    <row r="472" spans="1:4" x14ac:dyDescent="0.25">
      <c r="A472" t="s">
        <v>1831</v>
      </c>
      <c r="B472" t="s">
        <v>775</v>
      </c>
      <c r="C472" t="str">
        <f t="shared" si="9"/>
        <v>EP</v>
      </c>
      <c r="D472">
        <v>1</v>
      </c>
    </row>
    <row r="473" spans="1:4" x14ac:dyDescent="0.25">
      <c r="A473" t="s">
        <v>1832</v>
      </c>
      <c r="B473" t="s">
        <v>775</v>
      </c>
      <c r="C473" t="str">
        <f t="shared" si="9"/>
        <v>TW</v>
      </c>
      <c r="D473">
        <v>1</v>
      </c>
    </row>
    <row r="474" spans="1:4" x14ac:dyDescent="0.25">
      <c r="A474" t="s">
        <v>1834</v>
      </c>
      <c r="B474" t="s">
        <v>775</v>
      </c>
      <c r="C474" t="str">
        <f t="shared" si="9"/>
        <v>MX</v>
      </c>
      <c r="D474">
        <v>1</v>
      </c>
    </row>
    <row r="475" spans="1:4" x14ac:dyDescent="0.25">
      <c r="A475" t="s">
        <v>1835</v>
      </c>
      <c r="B475" t="s">
        <v>775</v>
      </c>
      <c r="C475" t="str">
        <f t="shared" si="9"/>
        <v>MX</v>
      </c>
      <c r="D475">
        <v>1</v>
      </c>
    </row>
    <row r="476" spans="1:4" x14ac:dyDescent="0.25">
      <c r="A476" t="s">
        <v>1836</v>
      </c>
      <c r="B476" t="s">
        <v>775</v>
      </c>
      <c r="C476" t="str">
        <f t="shared" si="9"/>
        <v>CN</v>
      </c>
      <c r="D476">
        <v>1</v>
      </c>
    </row>
    <row r="477" spans="1:4" x14ac:dyDescent="0.25">
      <c r="A477" t="s">
        <v>1836</v>
      </c>
      <c r="B477" t="s">
        <v>775</v>
      </c>
      <c r="C477" t="str">
        <f t="shared" si="9"/>
        <v>CN</v>
      </c>
      <c r="D477">
        <v>1</v>
      </c>
    </row>
    <row r="478" spans="1:4" x14ac:dyDescent="0.25">
      <c r="A478" t="s">
        <v>1837</v>
      </c>
      <c r="B478" t="s">
        <v>775</v>
      </c>
      <c r="C478" t="str">
        <f t="shared" si="9"/>
        <v>KR</v>
      </c>
      <c r="D478">
        <v>1</v>
      </c>
    </row>
    <row r="479" spans="1:4" x14ac:dyDescent="0.25">
      <c r="A479" t="s">
        <v>1839</v>
      </c>
      <c r="B479" t="s">
        <v>775</v>
      </c>
      <c r="C479" t="str">
        <f t="shared" si="9"/>
        <v>JP</v>
      </c>
      <c r="D479">
        <v>1</v>
      </c>
    </row>
    <row r="480" spans="1:4" x14ac:dyDescent="0.25">
      <c r="A480" t="s">
        <v>1841</v>
      </c>
      <c r="B480" t="s">
        <v>775</v>
      </c>
      <c r="C480" t="str">
        <f t="shared" si="9"/>
        <v>IN</v>
      </c>
      <c r="D480">
        <v>1</v>
      </c>
    </row>
    <row r="481" spans="1:4" x14ac:dyDescent="0.25">
      <c r="A481" t="s">
        <v>782</v>
      </c>
      <c r="B481" t="s">
        <v>782</v>
      </c>
      <c r="C481" t="str">
        <f t="shared" si="9"/>
        <v>CN</v>
      </c>
      <c r="D481">
        <v>1</v>
      </c>
    </row>
    <row r="482" spans="1:4" x14ac:dyDescent="0.25">
      <c r="A482" t="s">
        <v>782</v>
      </c>
      <c r="B482" t="s">
        <v>782</v>
      </c>
      <c r="C482" t="str">
        <f t="shared" si="9"/>
        <v>CN</v>
      </c>
      <c r="D482">
        <v>1</v>
      </c>
    </row>
    <row r="483" spans="1:4" x14ac:dyDescent="0.25">
      <c r="A483" t="s">
        <v>786</v>
      </c>
      <c r="B483" t="s">
        <v>786</v>
      </c>
      <c r="C483" t="str">
        <f t="shared" si="9"/>
        <v>CN</v>
      </c>
      <c r="D483">
        <v>1</v>
      </c>
    </row>
    <row r="484" spans="1:4" x14ac:dyDescent="0.25">
      <c r="A484" t="s">
        <v>789</v>
      </c>
      <c r="B484" t="s">
        <v>789</v>
      </c>
      <c r="C484" t="str">
        <f t="shared" si="9"/>
        <v>CN</v>
      </c>
      <c r="D484">
        <v>1</v>
      </c>
    </row>
    <row r="485" spans="1:4" x14ac:dyDescent="0.25">
      <c r="A485" t="s">
        <v>794</v>
      </c>
      <c r="B485" t="s">
        <v>794</v>
      </c>
      <c r="C485" t="str">
        <f t="shared" si="9"/>
        <v>CN</v>
      </c>
      <c r="D485">
        <v>1</v>
      </c>
    </row>
    <row r="486" spans="1:4" x14ac:dyDescent="0.25">
      <c r="A486" t="s">
        <v>794</v>
      </c>
      <c r="B486" t="s">
        <v>794</v>
      </c>
      <c r="C486" t="str">
        <f t="shared" si="9"/>
        <v>CN</v>
      </c>
      <c r="D486">
        <v>1</v>
      </c>
    </row>
    <row r="487" spans="1:4" x14ac:dyDescent="0.25">
      <c r="A487" t="s">
        <v>799</v>
      </c>
      <c r="B487" t="s">
        <v>799</v>
      </c>
      <c r="C487" t="str">
        <f t="shared" si="9"/>
        <v>CN</v>
      </c>
      <c r="D487">
        <v>1</v>
      </c>
    </row>
    <row r="488" spans="1:4" x14ac:dyDescent="0.25">
      <c r="A488" t="s">
        <v>799</v>
      </c>
      <c r="B488" t="s">
        <v>799</v>
      </c>
      <c r="C488" t="str">
        <f t="shared" si="9"/>
        <v>CN</v>
      </c>
      <c r="D488">
        <v>1</v>
      </c>
    </row>
    <row r="489" spans="1:4" x14ac:dyDescent="0.25">
      <c r="A489" t="s">
        <v>804</v>
      </c>
      <c r="B489" t="s">
        <v>804</v>
      </c>
      <c r="C489" t="str">
        <f t="shared" si="9"/>
        <v>CN</v>
      </c>
      <c r="D489">
        <v>1</v>
      </c>
    </row>
    <row r="490" spans="1:4" x14ac:dyDescent="0.25">
      <c r="A490" t="s">
        <v>804</v>
      </c>
      <c r="B490" t="s">
        <v>804</v>
      </c>
      <c r="C490" t="str">
        <f t="shared" si="9"/>
        <v>CN</v>
      </c>
      <c r="D490">
        <v>1</v>
      </c>
    </row>
    <row r="491" spans="1:4" x14ac:dyDescent="0.25">
      <c r="A491" t="s">
        <v>809</v>
      </c>
      <c r="B491" t="s">
        <v>809</v>
      </c>
      <c r="C491" t="str">
        <f t="shared" si="9"/>
        <v>WO</v>
      </c>
      <c r="D491">
        <v>1</v>
      </c>
    </row>
    <row r="492" spans="1:4" x14ac:dyDescent="0.25">
      <c r="A492" t="s">
        <v>1849</v>
      </c>
      <c r="B492" t="s">
        <v>809</v>
      </c>
      <c r="C492" t="str">
        <f t="shared" si="9"/>
        <v>AU</v>
      </c>
      <c r="D492">
        <v>1</v>
      </c>
    </row>
    <row r="493" spans="1:4" x14ac:dyDescent="0.25">
      <c r="A493" t="s">
        <v>1849</v>
      </c>
      <c r="B493" t="s">
        <v>809</v>
      </c>
      <c r="C493" t="str">
        <f t="shared" si="9"/>
        <v>AU</v>
      </c>
      <c r="D493">
        <v>1</v>
      </c>
    </row>
    <row r="494" spans="1:4" x14ac:dyDescent="0.25">
      <c r="A494" t="s">
        <v>1850</v>
      </c>
      <c r="B494" t="s">
        <v>809</v>
      </c>
      <c r="C494" t="str">
        <f t="shared" si="9"/>
        <v>US</v>
      </c>
      <c r="D494">
        <v>1</v>
      </c>
    </row>
    <row r="495" spans="1:4" x14ac:dyDescent="0.25">
      <c r="A495" t="s">
        <v>1852</v>
      </c>
      <c r="B495" t="s">
        <v>809</v>
      </c>
      <c r="C495" t="str">
        <f t="shared" si="9"/>
        <v>US</v>
      </c>
      <c r="D495">
        <v>1</v>
      </c>
    </row>
    <row r="496" spans="1:4" x14ac:dyDescent="0.25">
      <c r="A496" t="s">
        <v>1853</v>
      </c>
      <c r="B496" t="s">
        <v>809</v>
      </c>
      <c r="C496" t="str">
        <f t="shared" si="9"/>
        <v>EP</v>
      </c>
      <c r="D496">
        <v>1</v>
      </c>
    </row>
    <row r="497" spans="1:4" x14ac:dyDescent="0.25">
      <c r="A497" t="s">
        <v>1854</v>
      </c>
      <c r="B497" t="s">
        <v>809</v>
      </c>
      <c r="C497" t="str">
        <f t="shared" si="9"/>
        <v>TW</v>
      </c>
      <c r="D497">
        <v>1</v>
      </c>
    </row>
    <row r="498" spans="1:4" x14ac:dyDescent="0.25">
      <c r="A498" t="s">
        <v>1856</v>
      </c>
      <c r="B498" t="s">
        <v>809</v>
      </c>
      <c r="C498" t="str">
        <f t="shared" si="9"/>
        <v>MX</v>
      </c>
      <c r="D498">
        <v>1</v>
      </c>
    </row>
    <row r="499" spans="1:4" x14ac:dyDescent="0.25">
      <c r="A499" t="s">
        <v>1857</v>
      </c>
      <c r="B499" t="s">
        <v>809</v>
      </c>
      <c r="C499" t="str">
        <f t="shared" si="9"/>
        <v>CN</v>
      </c>
      <c r="D499">
        <v>1</v>
      </c>
    </row>
    <row r="500" spans="1:4" x14ac:dyDescent="0.25">
      <c r="A500" t="s">
        <v>1857</v>
      </c>
      <c r="B500" t="s">
        <v>809</v>
      </c>
      <c r="C500" t="str">
        <f t="shared" si="9"/>
        <v>CN</v>
      </c>
      <c r="D500">
        <v>1</v>
      </c>
    </row>
    <row r="501" spans="1:4" x14ac:dyDescent="0.25">
      <c r="A501" t="s">
        <v>1858</v>
      </c>
      <c r="B501" t="s">
        <v>809</v>
      </c>
      <c r="C501" t="str">
        <f t="shared" si="9"/>
        <v>KR</v>
      </c>
      <c r="D501">
        <v>1</v>
      </c>
    </row>
    <row r="502" spans="1:4" x14ac:dyDescent="0.25">
      <c r="A502" t="s">
        <v>1859</v>
      </c>
      <c r="B502" t="s">
        <v>809</v>
      </c>
      <c r="C502" t="str">
        <f t="shared" si="9"/>
        <v>JP</v>
      </c>
      <c r="D502">
        <v>1</v>
      </c>
    </row>
    <row r="503" spans="1:4" x14ac:dyDescent="0.25">
      <c r="A503" t="s">
        <v>1861</v>
      </c>
      <c r="B503" t="s">
        <v>809</v>
      </c>
      <c r="C503" t="str">
        <f t="shared" si="9"/>
        <v>IN</v>
      </c>
      <c r="D503">
        <v>1</v>
      </c>
    </row>
    <row r="504" spans="1:4" x14ac:dyDescent="0.25">
      <c r="A504" t="s">
        <v>815</v>
      </c>
      <c r="B504" t="s">
        <v>815</v>
      </c>
      <c r="C504" t="str">
        <f t="shared" si="9"/>
        <v>CN</v>
      </c>
      <c r="D504">
        <v>1</v>
      </c>
    </row>
    <row r="505" spans="1:4" x14ac:dyDescent="0.25">
      <c r="A505" t="s">
        <v>815</v>
      </c>
      <c r="B505" t="s">
        <v>815</v>
      </c>
      <c r="C505" t="str">
        <f t="shared" si="9"/>
        <v>CN</v>
      </c>
      <c r="D505">
        <v>1</v>
      </c>
    </row>
    <row r="506" spans="1:4" x14ac:dyDescent="0.25">
      <c r="A506" t="s">
        <v>821</v>
      </c>
      <c r="B506" t="s">
        <v>821</v>
      </c>
      <c r="C506" t="str">
        <f t="shared" si="9"/>
        <v>CN</v>
      </c>
      <c r="D506">
        <v>1</v>
      </c>
    </row>
    <row r="507" spans="1:4" x14ac:dyDescent="0.25">
      <c r="A507" t="s">
        <v>821</v>
      </c>
      <c r="B507" t="s">
        <v>821</v>
      </c>
      <c r="C507" t="str">
        <f t="shared" si="9"/>
        <v>CN</v>
      </c>
      <c r="D507">
        <v>1</v>
      </c>
    </row>
    <row r="508" spans="1:4" x14ac:dyDescent="0.25">
      <c r="A508" t="s">
        <v>1864</v>
      </c>
      <c r="B508" t="s">
        <v>821</v>
      </c>
      <c r="C508" t="str">
        <f t="shared" si="9"/>
        <v>KR</v>
      </c>
      <c r="D508">
        <v>1</v>
      </c>
    </row>
    <row r="509" spans="1:4" x14ac:dyDescent="0.25">
      <c r="A509" t="s">
        <v>1867</v>
      </c>
      <c r="B509" t="s">
        <v>821</v>
      </c>
      <c r="C509" t="str">
        <f t="shared" si="9"/>
        <v>KR</v>
      </c>
      <c r="D509">
        <v>1</v>
      </c>
    </row>
    <row r="510" spans="1:4" x14ac:dyDescent="0.25">
      <c r="A510" t="s">
        <v>1868</v>
      </c>
      <c r="B510" t="s">
        <v>821</v>
      </c>
      <c r="C510" t="str">
        <f t="shared" si="9"/>
        <v>JP</v>
      </c>
      <c r="D510">
        <v>1</v>
      </c>
    </row>
    <row r="511" spans="1:4" x14ac:dyDescent="0.25">
      <c r="A511" t="s">
        <v>1871</v>
      </c>
      <c r="B511" t="s">
        <v>821</v>
      </c>
      <c r="C511" t="str">
        <f t="shared" si="9"/>
        <v>JP</v>
      </c>
      <c r="D511">
        <v>1</v>
      </c>
    </row>
    <row r="512" spans="1:4" x14ac:dyDescent="0.25">
      <c r="A512" t="s">
        <v>1872</v>
      </c>
      <c r="B512" t="s">
        <v>821</v>
      </c>
      <c r="C512" t="str">
        <f t="shared" si="9"/>
        <v>IN</v>
      </c>
      <c r="D512">
        <v>1</v>
      </c>
    </row>
    <row r="513" spans="1:4" x14ac:dyDescent="0.25">
      <c r="A513" t="s">
        <v>1874</v>
      </c>
      <c r="B513" t="s">
        <v>821</v>
      </c>
      <c r="C513" t="str">
        <f t="shared" si="9"/>
        <v>IN</v>
      </c>
      <c r="D513">
        <v>1</v>
      </c>
    </row>
    <row r="514" spans="1:4" x14ac:dyDescent="0.25">
      <c r="A514" t="s">
        <v>1875</v>
      </c>
      <c r="B514" t="s">
        <v>821</v>
      </c>
      <c r="C514" t="str">
        <f t="shared" si="9"/>
        <v>MY</v>
      </c>
      <c r="D514">
        <v>1</v>
      </c>
    </row>
    <row r="515" spans="1:4" x14ac:dyDescent="0.25">
      <c r="A515" t="s">
        <v>1877</v>
      </c>
      <c r="B515" t="s">
        <v>821</v>
      </c>
      <c r="C515" t="str">
        <f t="shared" ref="C515:C578" si="10">LEFT(A515,2)</f>
        <v>WO</v>
      </c>
      <c r="D515">
        <v>1</v>
      </c>
    </row>
    <row r="516" spans="1:4" x14ac:dyDescent="0.25">
      <c r="A516" t="s">
        <v>1879</v>
      </c>
      <c r="B516" t="s">
        <v>821</v>
      </c>
      <c r="C516" t="str">
        <f t="shared" si="10"/>
        <v>AU</v>
      </c>
      <c r="D516">
        <v>1</v>
      </c>
    </row>
    <row r="517" spans="1:4" x14ac:dyDescent="0.25">
      <c r="A517" t="s">
        <v>1879</v>
      </c>
      <c r="B517" t="s">
        <v>821</v>
      </c>
      <c r="C517" t="str">
        <f t="shared" si="10"/>
        <v>AU</v>
      </c>
      <c r="D517">
        <v>1</v>
      </c>
    </row>
    <row r="518" spans="1:4" x14ac:dyDescent="0.25">
      <c r="A518" t="s">
        <v>1880</v>
      </c>
      <c r="B518" t="s">
        <v>821</v>
      </c>
      <c r="C518" t="str">
        <f t="shared" si="10"/>
        <v>SG</v>
      </c>
      <c r="D518">
        <v>1</v>
      </c>
    </row>
    <row r="519" spans="1:4" x14ac:dyDescent="0.25">
      <c r="A519" t="s">
        <v>1881</v>
      </c>
      <c r="B519" t="s">
        <v>821</v>
      </c>
      <c r="C519" t="str">
        <f t="shared" si="10"/>
        <v>EP</v>
      </c>
      <c r="D519">
        <v>1</v>
      </c>
    </row>
    <row r="520" spans="1:4" x14ac:dyDescent="0.25">
      <c r="A520" t="s">
        <v>1881</v>
      </c>
      <c r="B520" t="s">
        <v>821</v>
      </c>
      <c r="C520" t="str">
        <f t="shared" si="10"/>
        <v>EP</v>
      </c>
      <c r="D520">
        <v>1</v>
      </c>
    </row>
    <row r="521" spans="1:4" x14ac:dyDescent="0.25">
      <c r="A521" t="s">
        <v>1881</v>
      </c>
      <c r="B521" t="s">
        <v>821</v>
      </c>
      <c r="C521" t="str">
        <f t="shared" si="10"/>
        <v>EP</v>
      </c>
      <c r="D521">
        <v>1</v>
      </c>
    </row>
    <row r="522" spans="1:4" x14ac:dyDescent="0.25">
      <c r="A522" t="s">
        <v>1883</v>
      </c>
      <c r="B522" t="s">
        <v>821</v>
      </c>
      <c r="C522" t="str">
        <f t="shared" si="10"/>
        <v>US</v>
      </c>
      <c r="D522">
        <v>1</v>
      </c>
    </row>
    <row r="523" spans="1:4" x14ac:dyDescent="0.25">
      <c r="A523" t="s">
        <v>1885</v>
      </c>
      <c r="B523" t="s">
        <v>821</v>
      </c>
      <c r="C523" t="str">
        <f t="shared" si="10"/>
        <v>US</v>
      </c>
      <c r="D523">
        <v>1</v>
      </c>
    </row>
    <row r="524" spans="1:4" x14ac:dyDescent="0.25">
      <c r="A524" t="s">
        <v>1886</v>
      </c>
      <c r="B524" t="s">
        <v>821</v>
      </c>
      <c r="C524" t="str">
        <f t="shared" si="10"/>
        <v>BR</v>
      </c>
      <c r="D524">
        <v>1</v>
      </c>
    </row>
    <row r="525" spans="1:4" x14ac:dyDescent="0.25">
      <c r="A525" t="s">
        <v>1886</v>
      </c>
      <c r="B525" t="s">
        <v>821</v>
      </c>
      <c r="C525" t="str">
        <f t="shared" si="10"/>
        <v>BR</v>
      </c>
      <c r="D525">
        <v>1</v>
      </c>
    </row>
    <row r="526" spans="1:4" x14ac:dyDescent="0.25">
      <c r="A526" t="s">
        <v>1886</v>
      </c>
      <c r="B526" t="s">
        <v>821</v>
      </c>
      <c r="C526" t="str">
        <f t="shared" si="10"/>
        <v>BR</v>
      </c>
      <c r="D526">
        <v>1</v>
      </c>
    </row>
    <row r="527" spans="1:4" x14ac:dyDescent="0.25">
      <c r="A527" t="s">
        <v>1888</v>
      </c>
      <c r="B527" t="s">
        <v>821</v>
      </c>
      <c r="C527" t="str">
        <f t="shared" si="10"/>
        <v>ZA</v>
      </c>
      <c r="D527">
        <v>1</v>
      </c>
    </row>
    <row r="528" spans="1:4" x14ac:dyDescent="0.25">
      <c r="A528" t="s">
        <v>1890</v>
      </c>
      <c r="B528" t="s">
        <v>821</v>
      </c>
      <c r="C528" t="str">
        <f t="shared" si="10"/>
        <v>DK</v>
      </c>
      <c r="D528">
        <v>1</v>
      </c>
    </row>
    <row r="529" spans="1:4" x14ac:dyDescent="0.25">
      <c r="A529" t="s">
        <v>829</v>
      </c>
      <c r="B529" t="s">
        <v>829</v>
      </c>
      <c r="C529" t="str">
        <f t="shared" si="10"/>
        <v>CN</v>
      </c>
      <c r="D529">
        <v>1</v>
      </c>
    </row>
    <row r="530" spans="1:4" x14ac:dyDescent="0.25">
      <c r="A530" t="s">
        <v>829</v>
      </c>
      <c r="B530" t="s">
        <v>829</v>
      </c>
      <c r="C530" t="str">
        <f t="shared" si="10"/>
        <v>CN</v>
      </c>
      <c r="D530">
        <v>1</v>
      </c>
    </row>
    <row r="531" spans="1:4" x14ac:dyDescent="0.25">
      <c r="A531" t="s">
        <v>835</v>
      </c>
      <c r="B531" t="s">
        <v>835</v>
      </c>
      <c r="C531" t="str">
        <f t="shared" si="10"/>
        <v>CN</v>
      </c>
      <c r="D531">
        <v>1</v>
      </c>
    </row>
    <row r="532" spans="1:4" x14ac:dyDescent="0.25">
      <c r="A532" t="s">
        <v>835</v>
      </c>
      <c r="B532" t="s">
        <v>835</v>
      </c>
      <c r="C532" t="str">
        <f t="shared" si="10"/>
        <v>CN</v>
      </c>
      <c r="D532">
        <v>1</v>
      </c>
    </row>
    <row r="533" spans="1:4" x14ac:dyDescent="0.25">
      <c r="A533" t="s">
        <v>840</v>
      </c>
      <c r="B533" t="s">
        <v>840</v>
      </c>
      <c r="C533" t="str">
        <f t="shared" si="10"/>
        <v>CN</v>
      </c>
      <c r="D533">
        <v>1</v>
      </c>
    </row>
    <row r="534" spans="1:4" x14ac:dyDescent="0.25">
      <c r="A534" t="s">
        <v>840</v>
      </c>
      <c r="B534" t="s">
        <v>840</v>
      </c>
      <c r="C534" t="str">
        <f t="shared" si="10"/>
        <v>CN</v>
      </c>
      <c r="D534">
        <v>1</v>
      </c>
    </row>
    <row r="535" spans="1:4" x14ac:dyDescent="0.25">
      <c r="A535" t="s">
        <v>844</v>
      </c>
      <c r="B535" t="s">
        <v>844</v>
      </c>
      <c r="C535" t="str">
        <f t="shared" si="10"/>
        <v>CN</v>
      </c>
      <c r="D535">
        <v>1</v>
      </c>
    </row>
    <row r="536" spans="1:4" x14ac:dyDescent="0.25">
      <c r="A536" t="s">
        <v>844</v>
      </c>
      <c r="B536" t="s">
        <v>844</v>
      </c>
      <c r="C536" t="str">
        <f t="shared" si="10"/>
        <v>CN</v>
      </c>
      <c r="D536">
        <v>1</v>
      </c>
    </row>
    <row r="537" spans="1:4" x14ac:dyDescent="0.25">
      <c r="A537" t="s">
        <v>847</v>
      </c>
      <c r="B537" t="s">
        <v>847</v>
      </c>
      <c r="C537" t="str">
        <f t="shared" si="10"/>
        <v>CN</v>
      </c>
      <c r="D537">
        <v>1</v>
      </c>
    </row>
    <row r="538" spans="1:4" x14ac:dyDescent="0.25">
      <c r="A538" t="s">
        <v>850</v>
      </c>
      <c r="B538" t="s">
        <v>850</v>
      </c>
      <c r="C538" t="str">
        <f t="shared" si="10"/>
        <v>CN</v>
      </c>
      <c r="D538">
        <v>1</v>
      </c>
    </row>
    <row r="539" spans="1:4" x14ac:dyDescent="0.25">
      <c r="A539" t="s">
        <v>850</v>
      </c>
      <c r="B539" t="s">
        <v>850</v>
      </c>
      <c r="C539" t="str">
        <f t="shared" si="10"/>
        <v>CN</v>
      </c>
      <c r="D539">
        <v>1</v>
      </c>
    </row>
    <row r="540" spans="1:4" x14ac:dyDescent="0.25">
      <c r="A540" t="s">
        <v>854</v>
      </c>
      <c r="B540" t="s">
        <v>854</v>
      </c>
      <c r="C540" t="str">
        <f t="shared" si="10"/>
        <v>CN</v>
      </c>
      <c r="D540">
        <v>1</v>
      </c>
    </row>
    <row r="541" spans="1:4" x14ac:dyDescent="0.25">
      <c r="A541" t="s">
        <v>854</v>
      </c>
      <c r="B541" t="s">
        <v>854</v>
      </c>
      <c r="C541" t="str">
        <f t="shared" si="10"/>
        <v>CN</v>
      </c>
      <c r="D541">
        <v>1</v>
      </c>
    </row>
    <row r="542" spans="1:4" x14ac:dyDescent="0.25">
      <c r="A542" t="s">
        <v>856</v>
      </c>
      <c r="B542" t="s">
        <v>856</v>
      </c>
      <c r="C542" t="str">
        <f t="shared" si="10"/>
        <v>CN</v>
      </c>
      <c r="D542">
        <v>1</v>
      </c>
    </row>
    <row r="543" spans="1:4" x14ac:dyDescent="0.25">
      <c r="A543" t="s">
        <v>861</v>
      </c>
      <c r="B543" t="s">
        <v>861</v>
      </c>
      <c r="C543" t="str">
        <f t="shared" si="10"/>
        <v>US</v>
      </c>
      <c r="D543">
        <v>1</v>
      </c>
    </row>
    <row r="544" spans="1:4" x14ac:dyDescent="0.25">
      <c r="A544" t="s">
        <v>1897</v>
      </c>
      <c r="B544" t="s">
        <v>861</v>
      </c>
      <c r="C544" t="str">
        <f t="shared" si="10"/>
        <v>US</v>
      </c>
      <c r="D544">
        <v>1</v>
      </c>
    </row>
    <row r="545" spans="1:4" x14ac:dyDescent="0.25">
      <c r="A545" t="s">
        <v>1898</v>
      </c>
      <c r="B545" t="s">
        <v>861</v>
      </c>
      <c r="C545" t="str">
        <f t="shared" si="10"/>
        <v>US</v>
      </c>
      <c r="D545">
        <v>1</v>
      </c>
    </row>
    <row r="546" spans="1:4" x14ac:dyDescent="0.25">
      <c r="A546" t="s">
        <v>1900</v>
      </c>
      <c r="B546" t="s">
        <v>861</v>
      </c>
      <c r="C546" t="str">
        <f t="shared" si="10"/>
        <v>US</v>
      </c>
      <c r="D546">
        <v>1</v>
      </c>
    </row>
    <row r="547" spans="1:4" x14ac:dyDescent="0.25">
      <c r="A547" t="s">
        <v>867</v>
      </c>
      <c r="B547" t="s">
        <v>867</v>
      </c>
      <c r="C547" t="str">
        <f t="shared" si="10"/>
        <v>RU</v>
      </c>
      <c r="D547">
        <v>1</v>
      </c>
    </row>
    <row r="548" spans="1:4" x14ac:dyDescent="0.25">
      <c r="A548" t="s">
        <v>871</v>
      </c>
      <c r="B548" t="s">
        <v>871</v>
      </c>
      <c r="C548" t="str">
        <f t="shared" si="10"/>
        <v>CN</v>
      </c>
      <c r="D548">
        <v>1</v>
      </c>
    </row>
    <row r="549" spans="1:4" x14ac:dyDescent="0.25">
      <c r="A549" t="s">
        <v>871</v>
      </c>
      <c r="B549" t="s">
        <v>871</v>
      </c>
      <c r="C549" t="str">
        <f t="shared" si="10"/>
        <v>CN</v>
      </c>
      <c r="D549">
        <v>1</v>
      </c>
    </row>
    <row r="550" spans="1:4" x14ac:dyDescent="0.25">
      <c r="A550" t="s">
        <v>876</v>
      </c>
      <c r="B550" t="s">
        <v>876</v>
      </c>
      <c r="C550" t="str">
        <f t="shared" si="10"/>
        <v>CN</v>
      </c>
      <c r="D550">
        <v>1</v>
      </c>
    </row>
    <row r="551" spans="1:4" x14ac:dyDescent="0.25">
      <c r="A551" t="s">
        <v>876</v>
      </c>
      <c r="B551" t="s">
        <v>876</v>
      </c>
      <c r="C551" t="str">
        <f t="shared" si="10"/>
        <v>CN</v>
      </c>
      <c r="D551">
        <v>1</v>
      </c>
    </row>
    <row r="552" spans="1:4" x14ac:dyDescent="0.25">
      <c r="A552" t="s">
        <v>881</v>
      </c>
      <c r="B552" t="s">
        <v>881</v>
      </c>
      <c r="C552" t="str">
        <f t="shared" si="10"/>
        <v>CN</v>
      </c>
      <c r="D552">
        <v>1</v>
      </c>
    </row>
    <row r="553" spans="1:4" x14ac:dyDescent="0.25">
      <c r="A553" t="s">
        <v>887</v>
      </c>
      <c r="B553" t="s">
        <v>887</v>
      </c>
      <c r="C553" t="str">
        <f t="shared" si="10"/>
        <v>CN</v>
      </c>
      <c r="D553">
        <v>1</v>
      </c>
    </row>
    <row r="554" spans="1:4" x14ac:dyDescent="0.25">
      <c r="A554" t="s">
        <v>887</v>
      </c>
      <c r="B554" t="s">
        <v>887</v>
      </c>
      <c r="C554" t="str">
        <f t="shared" si="10"/>
        <v>CN</v>
      </c>
      <c r="D554">
        <v>1</v>
      </c>
    </row>
    <row r="555" spans="1:4" x14ac:dyDescent="0.25">
      <c r="A555" t="s">
        <v>895</v>
      </c>
      <c r="B555" t="s">
        <v>895</v>
      </c>
      <c r="C555" t="str">
        <f t="shared" si="10"/>
        <v>JP</v>
      </c>
      <c r="D555">
        <v>1</v>
      </c>
    </row>
    <row r="556" spans="1:4" x14ac:dyDescent="0.25">
      <c r="A556" t="s">
        <v>1908</v>
      </c>
      <c r="B556" t="s">
        <v>895</v>
      </c>
      <c r="C556" t="str">
        <f t="shared" si="10"/>
        <v>JP</v>
      </c>
      <c r="D556">
        <v>1</v>
      </c>
    </row>
    <row r="557" spans="1:4" x14ac:dyDescent="0.25">
      <c r="A557" t="s">
        <v>902</v>
      </c>
      <c r="B557" t="s">
        <v>902</v>
      </c>
      <c r="C557" t="str">
        <f t="shared" si="10"/>
        <v>US</v>
      </c>
      <c r="D557">
        <v>1</v>
      </c>
    </row>
    <row r="558" spans="1:4" x14ac:dyDescent="0.25">
      <c r="A558" t="s">
        <v>1909</v>
      </c>
      <c r="B558" t="s">
        <v>902</v>
      </c>
      <c r="C558" t="str">
        <f t="shared" si="10"/>
        <v>US</v>
      </c>
      <c r="D558">
        <v>1</v>
      </c>
    </row>
    <row r="559" spans="1:4" x14ac:dyDescent="0.25">
      <c r="A559" t="s">
        <v>1910</v>
      </c>
      <c r="B559" t="s">
        <v>902</v>
      </c>
      <c r="C559" t="str">
        <f t="shared" si="10"/>
        <v>WO</v>
      </c>
      <c r="D559">
        <v>1</v>
      </c>
    </row>
    <row r="560" spans="1:4" x14ac:dyDescent="0.25">
      <c r="A560" t="s">
        <v>1910</v>
      </c>
      <c r="B560" t="s">
        <v>902</v>
      </c>
      <c r="C560" t="str">
        <f t="shared" si="10"/>
        <v>WO</v>
      </c>
      <c r="D560">
        <v>1</v>
      </c>
    </row>
    <row r="561" spans="1:4" x14ac:dyDescent="0.25">
      <c r="A561" t="s">
        <v>1913</v>
      </c>
      <c r="B561" t="s">
        <v>902</v>
      </c>
      <c r="C561" t="str">
        <f t="shared" si="10"/>
        <v>CN</v>
      </c>
      <c r="D561">
        <v>1</v>
      </c>
    </row>
    <row r="562" spans="1:4" x14ac:dyDescent="0.25">
      <c r="A562" t="s">
        <v>1913</v>
      </c>
      <c r="B562" t="s">
        <v>902</v>
      </c>
      <c r="C562" t="str">
        <f t="shared" si="10"/>
        <v>CN</v>
      </c>
      <c r="D562">
        <v>1</v>
      </c>
    </row>
    <row r="563" spans="1:4" x14ac:dyDescent="0.25">
      <c r="A563" t="s">
        <v>1914</v>
      </c>
      <c r="B563" t="s">
        <v>902</v>
      </c>
      <c r="C563" t="str">
        <f t="shared" si="10"/>
        <v>ZA</v>
      </c>
      <c r="D563">
        <v>1</v>
      </c>
    </row>
    <row r="564" spans="1:4" x14ac:dyDescent="0.25">
      <c r="A564" t="s">
        <v>911</v>
      </c>
      <c r="B564" t="s">
        <v>911</v>
      </c>
      <c r="C564" t="str">
        <f t="shared" si="10"/>
        <v>RU</v>
      </c>
      <c r="D564">
        <v>1</v>
      </c>
    </row>
    <row r="565" spans="1:4" x14ac:dyDescent="0.25">
      <c r="A565" t="s">
        <v>1917</v>
      </c>
      <c r="B565" t="s">
        <v>911</v>
      </c>
      <c r="C565" t="str">
        <f t="shared" si="10"/>
        <v>RU</v>
      </c>
      <c r="D565">
        <v>1</v>
      </c>
    </row>
    <row r="566" spans="1:4" x14ac:dyDescent="0.25">
      <c r="A566" t="s">
        <v>917</v>
      </c>
      <c r="B566" t="s">
        <v>917</v>
      </c>
      <c r="C566" t="str">
        <f t="shared" si="10"/>
        <v>WO</v>
      </c>
      <c r="D566">
        <v>1</v>
      </c>
    </row>
    <row r="567" spans="1:4" x14ac:dyDescent="0.25">
      <c r="A567" t="s">
        <v>917</v>
      </c>
      <c r="B567" t="s">
        <v>917</v>
      </c>
      <c r="C567" t="str">
        <f t="shared" si="10"/>
        <v>WO</v>
      </c>
      <c r="D567">
        <v>1</v>
      </c>
    </row>
    <row r="568" spans="1:4" x14ac:dyDescent="0.25">
      <c r="A568" t="s">
        <v>1919</v>
      </c>
      <c r="B568" t="s">
        <v>917</v>
      </c>
      <c r="C568" t="str">
        <f t="shared" si="10"/>
        <v>US</v>
      </c>
      <c r="D568">
        <v>1</v>
      </c>
    </row>
    <row r="569" spans="1:4" x14ac:dyDescent="0.25">
      <c r="A569" t="s">
        <v>1921</v>
      </c>
      <c r="B569" t="s">
        <v>917</v>
      </c>
      <c r="C569" t="str">
        <f t="shared" si="10"/>
        <v>US</v>
      </c>
      <c r="D569">
        <v>1</v>
      </c>
    </row>
    <row r="570" spans="1:4" x14ac:dyDescent="0.25">
      <c r="A570" t="s">
        <v>1922</v>
      </c>
      <c r="B570" t="s">
        <v>917</v>
      </c>
      <c r="C570" t="str">
        <f t="shared" si="10"/>
        <v>US</v>
      </c>
      <c r="D570">
        <v>1</v>
      </c>
    </row>
    <row r="571" spans="1:4" x14ac:dyDescent="0.25">
      <c r="A571" t="s">
        <v>1924</v>
      </c>
      <c r="B571" t="s">
        <v>917</v>
      </c>
      <c r="C571" t="str">
        <f t="shared" si="10"/>
        <v>US</v>
      </c>
      <c r="D571">
        <v>1</v>
      </c>
    </row>
    <row r="572" spans="1:4" x14ac:dyDescent="0.25">
      <c r="A572" t="s">
        <v>924</v>
      </c>
      <c r="B572" t="s">
        <v>924</v>
      </c>
      <c r="C572" t="str">
        <f t="shared" si="10"/>
        <v>CN</v>
      </c>
      <c r="D572">
        <v>1</v>
      </c>
    </row>
    <row r="573" spans="1:4" x14ac:dyDescent="0.25">
      <c r="A573" t="s">
        <v>924</v>
      </c>
      <c r="B573" t="s">
        <v>924</v>
      </c>
      <c r="C573" t="str">
        <f t="shared" si="10"/>
        <v>CN</v>
      </c>
      <c r="D573">
        <v>1</v>
      </c>
    </row>
    <row r="574" spans="1:4" x14ac:dyDescent="0.25">
      <c r="A574" t="s">
        <v>930</v>
      </c>
      <c r="B574" t="s">
        <v>930</v>
      </c>
      <c r="C574" t="str">
        <f t="shared" si="10"/>
        <v>US</v>
      </c>
      <c r="D574">
        <v>1</v>
      </c>
    </row>
    <row r="575" spans="1:4" x14ac:dyDescent="0.25">
      <c r="A575" t="s">
        <v>1927</v>
      </c>
      <c r="B575" t="s">
        <v>930</v>
      </c>
      <c r="C575" t="str">
        <f t="shared" si="10"/>
        <v>US</v>
      </c>
      <c r="D575">
        <v>1</v>
      </c>
    </row>
    <row r="576" spans="1:4" x14ac:dyDescent="0.25">
      <c r="A576" t="s">
        <v>1928</v>
      </c>
      <c r="B576" t="s">
        <v>930</v>
      </c>
      <c r="C576" t="str">
        <f t="shared" si="10"/>
        <v>US</v>
      </c>
      <c r="D576">
        <v>1</v>
      </c>
    </row>
    <row r="577" spans="1:4" x14ac:dyDescent="0.25">
      <c r="A577" t="s">
        <v>1930</v>
      </c>
      <c r="B577" t="s">
        <v>930</v>
      </c>
      <c r="C577" t="str">
        <f t="shared" si="10"/>
        <v>US</v>
      </c>
      <c r="D577">
        <v>1</v>
      </c>
    </row>
    <row r="578" spans="1:4" x14ac:dyDescent="0.25">
      <c r="A578" t="s">
        <v>1931</v>
      </c>
      <c r="B578" t="s">
        <v>930</v>
      </c>
      <c r="C578" t="str">
        <f t="shared" si="10"/>
        <v>WO</v>
      </c>
      <c r="D578">
        <v>1</v>
      </c>
    </row>
    <row r="579" spans="1:4" x14ac:dyDescent="0.25">
      <c r="A579" t="s">
        <v>1931</v>
      </c>
      <c r="B579" t="s">
        <v>930</v>
      </c>
      <c r="C579" t="str">
        <f t="shared" ref="C579:C642" si="11">LEFT(A579,2)</f>
        <v>WO</v>
      </c>
      <c r="D579">
        <v>1</v>
      </c>
    </row>
    <row r="580" spans="1:4" x14ac:dyDescent="0.25">
      <c r="A580" t="s">
        <v>1933</v>
      </c>
      <c r="B580" t="s">
        <v>930</v>
      </c>
      <c r="C580" t="str">
        <f t="shared" si="11"/>
        <v>EP</v>
      </c>
      <c r="D580">
        <v>1</v>
      </c>
    </row>
    <row r="581" spans="1:4" x14ac:dyDescent="0.25">
      <c r="A581" t="s">
        <v>1933</v>
      </c>
      <c r="B581" t="s">
        <v>930</v>
      </c>
      <c r="C581" t="str">
        <f t="shared" si="11"/>
        <v>EP</v>
      </c>
      <c r="D581">
        <v>1</v>
      </c>
    </row>
    <row r="582" spans="1:4" x14ac:dyDescent="0.25">
      <c r="A582" t="s">
        <v>1934</v>
      </c>
      <c r="B582" t="s">
        <v>930</v>
      </c>
      <c r="C582" t="str">
        <f>LEFT(A582,4)</f>
        <v>BRPI</v>
      </c>
      <c r="D582">
        <v>1</v>
      </c>
    </row>
    <row r="583" spans="1:4" x14ac:dyDescent="0.25">
      <c r="A583" t="s">
        <v>1935</v>
      </c>
      <c r="B583" t="s">
        <v>930</v>
      </c>
      <c r="C583" t="str">
        <f t="shared" si="11"/>
        <v>TW</v>
      </c>
      <c r="D583">
        <v>1</v>
      </c>
    </row>
    <row r="584" spans="1:4" x14ac:dyDescent="0.25">
      <c r="A584" t="s">
        <v>1936</v>
      </c>
      <c r="B584" t="s">
        <v>930</v>
      </c>
      <c r="C584" t="str">
        <f t="shared" si="11"/>
        <v>TW</v>
      </c>
      <c r="D584">
        <v>1</v>
      </c>
    </row>
    <row r="585" spans="1:4" x14ac:dyDescent="0.25">
      <c r="A585" t="s">
        <v>1937</v>
      </c>
      <c r="B585" t="s">
        <v>930</v>
      </c>
      <c r="C585" t="str">
        <f t="shared" si="11"/>
        <v>KR</v>
      </c>
      <c r="D585">
        <v>1</v>
      </c>
    </row>
    <row r="586" spans="1:4" x14ac:dyDescent="0.25">
      <c r="A586" t="s">
        <v>1938</v>
      </c>
      <c r="B586" t="s">
        <v>930</v>
      </c>
      <c r="C586" t="str">
        <f t="shared" si="11"/>
        <v>KR</v>
      </c>
      <c r="D586">
        <v>1</v>
      </c>
    </row>
    <row r="587" spans="1:4" x14ac:dyDescent="0.25">
      <c r="A587" t="s">
        <v>1939</v>
      </c>
      <c r="B587" t="s">
        <v>930</v>
      </c>
      <c r="C587" t="str">
        <f t="shared" si="11"/>
        <v>IN</v>
      </c>
      <c r="D587">
        <v>1</v>
      </c>
    </row>
    <row r="588" spans="1:4" x14ac:dyDescent="0.25">
      <c r="A588" t="s">
        <v>1941</v>
      </c>
      <c r="B588" t="s">
        <v>930</v>
      </c>
      <c r="C588" t="str">
        <f t="shared" si="11"/>
        <v>IN</v>
      </c>
      <c r="D588">
        <v>1</v>
      </c>
    </row>
    <row r="589" spans="1:4" x14ac:dyDescent="0.25">
      <c r="A589" t="s">
        <v>1942</v>
      </c>
      <c r="B589" t="s">
        <v>930</v>
      </c>
      <c r="C589" t="str">
        <f t="shared" si="11"/>
        <v>CN</v>
      </c>
      <c r="D589">
        <v>1</v>
      </c>
    </row>
    <row r="590" spans="1:4" x14ac:dyDescent="0.25">
      <c r="A590" t="s">
        <v>1942</v>
      </c>
      <c r="B590" t="s">
        <v>930</v>
      </c>
      <c r="C590" t="str">
        <f t="shared" si="11"/>
        <v>CN</v>
      </c>
      <c r="D590">
        <v>1</v>
      </c>
    </row>
    <row r="591" spans="1:4" x14ac:dyDescent="0.25">
      <c r="A591" t="s">
        <v>1943</v>
      </c>
      <c r="B591" t="s">
        <v>930</v>
      </c>
      <c r="C591" t="str">
        <f t="shared" si="11"/>
        <v>JP</v>
      </c>
      <c r="D591">
        <v>1</v>
      </c>
    </row>
    <row r="592" spans="1:4" x14ac:dyDescent="0.25">
      <c r="A592" t="s">
        <v>1946</v>
      </c>
      <c r="B592" t="s">
        <v>930</v>
      </c>
      <c r="C592" t="str">
        <f t="shared" si="11"/>
        <v>JP</v>
      </c>
      <c r="D592">
        <v>1</v>
      </c>
    </row>
    <row r="593" spans="1:4" x14ac:dyDescent="0.25">
      <c r="A593" t="s">
        <v>938</v>
      </c>
      <c r="B593" t="s">
        <v>938</v>
      </c>
      <c r="C593" t="str">
        <f t="shared" si="11"/>
        <v>US</v>
      </c>
      <c r="D593">
        <v>1</v>
      </c>
    </row>
    <row r="594" spans="1:4" x14ac:dyDescent="0.25">
      <c r="A594" t="s">
        <v>1948</v>
      </c>
      <c r="B594" t="s">
        <v>938</v>
      </c>
      <c r="C594" t="str">
        <f t="shared" si="11"/>
        <v>US</v>
      </c>
      <c r="D594">
        <v>1</v>
      </c>
    </row>
    <row r="595" spans="1:4" x14ac:dyDescent="0.25">
      <c r="A595" t="s">
        <v>1949</v>
      </c>
      <c r="B595" t="s">
        <v>938</v>
      </c>
      <c r="C595" t="str">
        <f t="shared" si="11"/>
        <v>US</v>
      </c>
      <c r="D595">
        <v>1</v>
      </c>
    </row>
    <row r="596" spans="1:4" x14ac:dyDescent="0.25">
      <c r="A596" t="s">
        <v>1951</v>
      </c>
      <c r="B596" t="s">
        <v>938</v>
      </c>
      <c r="C596" t="str">
        <f t="shared" si="11"/>
        <v>US</v>
      </c>
      <c r="D596">
        <v>1</v>
      </c>
    </row>
    <row r="597" spans="1:4" x14ac:dyDescent="0.25">
      <c r="A597" t="s">
        <v>1953</v>
      </c>
      <c r="B597" t="s">
        <v>938</v>
      </c>
      <c r="C597" t="str">
        <f t="shared" si="11"/>
        <v>US</v>
      </c>
      <c r="D597">
        <v>1</v>
      </c>
    </row>
    <row r="598" spans="1:4" x14ac:dyDescent="0.25">
      <c r="A598" t="s">
        <v>1954</v>
      </c>
      <c r="B598" t="s">
        <v>938</v>
      </c>
      <c r="C598" t="str">
        <f t="shared" si="11"/>
        <v>US</v>
      </c>
      <c r="D598">
        <v>1</v>
      </c>
    </row>
    <row r="599" spans="1:4" x14ac:dyDescent="0.25">
      <c r="A599" t="s">
        <v>1956</v>
      </c>
      <c r="B599" t="s">
        <v>938</v>
      </c>
      <c r="C599" t="str">
        <f t="shared" si="11"/>
        <v>US</v>
      </c>
      <c r="D599">
        <v>1</v>
      </c>
    </row>
    <row r="600" spans="1:4" x14ac:dyDescent="0.25">
      <c r="A600" t="s">
        <v>944</v>
      </c>
      <c r="B600" t="s">
        <v>944</v>
      </c>
      <c r="C600" t="str">
        <f t="shared" si="11"/>
        <v>US</v>
      </c>
      <c r="D600">
        <v>1</v>
      </c>
    </row>
    <row r="601" spans="1:4" x14ac:dyDescent="0.25">
      <c r="A601" t="s">
        <v>1959</v>
      </c>
      <c r="B601" t="s">
        <v>944</v>
      </c>
      <c r="C601" t="str">
        <f t="shared" si="11"/>
        <v>US</v>
      </c>
      <c r="D601">
        <v>1</v>
      </c>
    </row>
    <row r="602" spans="1:4" x14ac:dyDescent="0.25">
      <c r="A602" t="s">
        <v>1960</v>
      </c>
      <c r="B602" t="s">
        <v>944</v>
      </c>
      <c r="C602" t="str">
        <f t="shared" si="11"/>
        <v>CA</v>
      </c>
      <c r="D602">
        <v>1</v>
      </c>
    </row>
    <row r="603" spans="1:4" x14ac:dyDescent="0.25">
      <c r="A603" t="s">
        <v>1960</v>
      </c>
      <c r="B603" t="s">
        <v>944</v>
      </c>
      <c r="C603" t="str">
        <f t="shared" si="11"/>
        <v>CA</v>
      </c>
      <c r="D603">
        <v>1</v>
      </c>
    </row>
    <row r="604" spans="1:4" x14ac:dyDescent="0.25">
      <c r="A604" t="s">
        <v>1963</v>
      </c>
      <c r="B604" t="s">
        <v>944</v>
      </c>
      <c r="C604" t="str">
        <f t="shared" si="11"/>
        <v>AU</v>
      </c>
      <c r="D604">
        <v>1</v>
      </c>
    </row>
    <row r="605" spans="1:4" x14ac:dyDescent="0.25">
      <c r="A605" t="s">
        <v>1963</v>
      </c>
      <c r="B605" t="s">
        <v>944</v>
      </c>
      <c r="C605" t="str">
        <f t="shared" si="11"/>
        <v>AU</v>
      </c>
      <c r="D605">
        <v>1</v>
      </c>
    </row>
    <row r="606" spans="1:4" x14ac:dyDescent="0.25">
      <c r="A606" t="s">
        <v>1965</v>
      </c>
      <c r="B606" t="s">
        <v>944</v>
      </c>
      <c r="C606" t="str">
        <f t="shared" si="11"/>
        <v>US</v>
      </c>
      <c r="D606">
        <v>1</v>
      </c>
    </row>
    <row r="607" spans="1:4" x14ac:dyDescent="0.25">
      <c r="A607" t="s">
        <v>1967</v>
      </c>
      <c r="B607" t="s">
        <v>944</v>
      </c>
      <c r="C607" t="str">
        <f t="shared" si="11"/>
        <v>US</v>
      </c>
      <c r="D607">
        <v>1</v>
      </c>
    </row>
    <row r="608" spans="1:4" x14ac:dyDescent="0.25">
      <c r="A608" t="s">
        <v>1968</v>
      </c>
      <c r="B608" t="s">
        <v>944</v>
      </c>
      <c r="C608" t="str">
        <f t="shared" si="11"/>
        <v>WO</v>
      </c>
      <c r="D608">
        <v>1</v>
      </c>
    </row>
    <row r="609" spans="1:4" x14ac:dyDescent="0.25">
      <c r="A609" t="s">
        <v>1968</v>
      </c>
      <c r="B609" t="s">
        <v>944</v>
      </c>
      <c r="C609" t="str">
        <f t="shared" si="11"/>
        <v>WO</v>
      </c>
      <c r="D609">
        <v>1</v>
      </c>
    </row>
    <row r="610" spans="1:4" x14ac:dyDescent="0.25">
      <c r="A610" t="s">
        <v>1968</v>
      </c>
      <c r="B610" t="s">
        <v>944</v>
      </c>
      <c r="C610" t="str">
        <f t="shared" si="11"/>
        <v>WO</v>
      </c>
      <c r="D610">
        <v>1</v>
      </c>
    </row>
    <row r="611" spans="1:4" x14ac:dyDescent="0.25">
      <c r="A611" t="s">
        <v>1969</v>
      </c>
      <c r="B611" t="s">
        <v>944</v>
      </c>
      <c r="C611" t="str">
        <f t="shared" si="11"/>
        <v>EP</v>
      </c>
      <c r="D611">
        <v>1</v>
      </c>
    </row>
    <row r="612" spans="1:4" x14ac:dyDescent="0.25">
      <c r="A612" t="s">
        <v>1969</v>
      </c>
      <c r="B612" t="s">
        <v>944</v>
      </c>
      <c r="C612" t="str">
        <f t="shared" si="11"/>
        <v>EP</v>
      </c>
      <c r="D612">
        <v>1</v>
      </c>
    </row>
    <row r="613" spans="1:4" x14ac:dyDescent="0.25">
      <c r="A613" t="s">
        <v>1970</v>
      </c>
      <c r="B613" t="s">
        <v>944</v>
      </c>
      <c r="C613" t="str">
        <f t="shared" si="11"/>
        <v>KR</v>
      </c>
      <c r="D613">
        <v>1</v>
      </c>
    </row>
    <row r="614" spans="1:4" x14ac:dyDescent="0.25">
      <c r="A614" t="s">
        <v>1972</v>
      </c>
      <c r="B614" t="s">
        <v>944</v>
      </c>
      <c r="C614" t="str">
        <f t="shared" si="11"/>
        <v>KR</v>
      </c>
      <c r="D614">
        <v>1</v>
      </c>
    </row>
    <row r="615" spans="1:4" x14ac:dyDescent="0.25">
      <c r="A615" t="s">
        <v>1973</v>
      </c>
      <c r="B615" t="s">
        <v>944</v>
      </c>
      <c r="C615" t="str">
        <f t="shared" si="11"/>
        <v>IN</v>
      </c>
      <c r="D615">
        <v>1</v>
      </c>
    </row>
    <row r="616" spans="1:4" x14ac:dyDescent="0.25">
      <c r="A616" t="s">
        <v>1975</v>
      </c>
      <c r="B616" t="s">
        <v>944</v>
      </c>
      <c r="C616" t="str">
        <f t="shared" si="11"/>
        <v>IN</v>
      </c>
      <c r="D616">
        <v>1</v>
      </c>
    </row>
    <row r="617" spans="1:4" x14ac:dyDescent="0.25">
      <c r="A617" t="s">
        <v>1976</v>
      </c>
      <c r="B617" t="s">
        <v>944</v>
      </c>
      <c r="C617" t="str">
        <f t="shared" si="11"/>
        <v>CN</v>
      </c>
      <c r="D617">
        <v>1</v>
      </c>
    </row>
    <row r="618" spans="1:4" x14ac:dyDescent="0.25">
      <c r="A618" t="s">
        <v>1976</v>
      </c>
      <c r="B618" t="s">
        <v>944</v>
      </c>
      <c r="C618" t="str">
        <f t="shared" si="11"/>
        <v>CN</v>
      </c>
      <c r="D618">
        <v>1</v>
      </c>
    </row>
    <row r="619" spans="1:4" x14ac:dyDescent="0.25">
      <c r="A619" t="s">
        <v>1977</v>
      </c>
      <c r="B619" t="s">
        <v>944</v>
      </c>
      <c r="C619" t="str">
        <f t="shared" si="11"/>
        <v>JP</v>
      </c>
      <c r="D619">
        <v>1</v>
      </c>
    </row>
    <row r="620" spans="1:4" x14ac:dyDescent="0.25">
      <c r="A620" t="s">
        <v>1979</v>
      </c>
      <c r="B620" t="s">
        <v>944</v>
      </c>
      <c r="C620" t="str">
        <f t="shared" si="11"/>
        <v>JP</v>
      </c>
      <c r="D620">
        <v>1</v>
      </c>
    </row>
    <row r="621" spans="1:4" x14ac:dyDescent="0.25">
      <c r="A621" t="s">
        <v>952</v>
      </c>
      <c r="B621" t="s">
        <v>952</v>
      </c>
      <c r="C621" t="str">
        <f t="shared" si="11"/>
        <v>JP</v>
      </c>
      <c r="D621">
        <v>1</v>
      </c>
    </row>
    <row r="622" spans="1:4" x14ac:dyDescent="0.25">
      <c r="A622" t="s">
        <v>1982</v>
      </c>
      <c r="B622" t="s">
        <v>952</v>
      </c>
      <c r="C622" t="str">
        <f t="shared" si="11"/>
        <v>JP</v>
      </c>
      <c r="D622">
        <v>1</v>
      </c>
    </row>
    <row r="623" spans="1:4" x14ac:dyDescent="0.25">
      <c r="A623" t="s">
        <v>1983</v>
      </c>
      <c r="B623" t="s">
        <v>959</v>
      </c>
      <c r="C623" t="str">
        <f t="shared" si="11"/>
        <v>WO</v>
      </c>
      <c r="D623">
        <v>1</v>
      </c>
    </row>
    <row r="624" spans="1:4" x14ac:dyDescent="0.25">
      <c r="A624" t="s">
        <v>1986</v>
      </c>
      <c r="B624" t="s">
        <v>959</v>
      </c>
      <c r="C624" t="str">
        <f t="shared" si="11"/>
        <v>EP</v>
      </c>
      <c r="D624">
        <v>1</v>
      </c>
    </row>
    <row r="625" spans="1:4" x14ac:dyDescent="0.25">
      <c r="A625" t="s">
        <v>1986</v>
      </c>
      <c r="B625" t="s">
        <v>959</v>
      </c>
      <c r="C625" t="str">
        <f t="shared" si="11"/>
        <v>EP</v>
      </c>
      <c r="D625">
        <v>1</v>
      </c>
    </row>
    <row r="626" spans="1:4" x14ac:dyDescent="0.25">
      <c r="A626" t="s">
        <v>1988</v>
      </c>
      <c r="B626" t="s">
        <v>959</v>
      </c>
      <c r="C626" t="str">
        <f t="shared" si="11"/>
        <v>US</v>
      </c>
      <c r="D626">
        <v>1</v>
      </c>
    </row>
    <row r="627" spans="1:4" x14ac:dyDescent="0.25">
      <c r="A627" t="s">
        <v>959</v>
      </c>
      <c r="B627" t="s">
        <v>959</v>
      </c>
      <c r="C627" t="str">
        <f t="shared" si="11"/>
        <v>JP</v>
      </c>
      <c r="D627">
        <v>1</v>
      </c>
    </row>
    <row r="628" spans="1:4" x14ac:dyDescent="0.25">
      <c r="A628" t="s">
        <v>1991</v>
      </c>
      <c r="B628" t="s">
        <v>959</v>
      </c>
      <c r="C628" t="str">
        <f t="shared" si="11"/>
        <v>TW</v>
      </c>
      <c r="D628">
        <v>1</v>
      </c>
    </row>
    <row r="629" spans="1:4" x14ac:dyDescent="0.25">
      <c r="A629" t="s">
        <v>1993</v>
      </c>
      <c r="B629" t="s">
        <v>959</v>
      </c>
      <c r="C629" t="str">
        <f t="shared" si="11"/>
        <v>KR</v>
      </c>
      <c r="D629">
        <v>1</v>
      </c>
    </row>
    <row r="630" spans="1:4" x14ac:dyDescent="0.25">
      <c r="A630" t="s">
        <v>1995</v>
      </c>
      <c r="B630" t="s">
        <v>959</v>
      </c>
      <c r="C630" t="str">
        <f t="shared" si="11"/>
        <v>CN</v>
      </c>
      <c r="D630">
        <v>1</v>
      </c>
    </row>
    <row r="631" spans="1:4" x14ac:dyDescent="0.25">
      <c r="A631" t="s">
        <v>1996</v>
      </c>
      <c r="B631" t="s">
        <v>959</v>
      </c>
      <c r="C631" t="str">
        <f t="shared" si="11"/>
        <v>IN</v>
      </c>
      <c r="D631">
        <v>1</v>
      </c>
    </row>
    <row r="632" spans="1:4" x14ac:dyDescent="0.25">
      <c r="A632" t="s">
        <v>965</v>
      </c>
      <c r="B632" t="s">
        <v>965</v>
      </c>
      <c r="C632" t="str">
        <f t="shared" si="11"/>
        <v>RU</v>
      </c>
      <c r="D632">
        <v>1</v>
      </c>
    </row>
    <row r="633" spans="1:4" x14ac:dyDescent="0.25">
      <c r="A633" t="s">
        <v>971</v>
      </c>
      <c r="B633" t="s">
        <v>971</v>
      </c>
      <c r="C633" t="str">
        <f t="shared" si="11"/>
        <v>RU</v>
      </c>
      <c r="D633">
        <v>1</v>
      </c>
    </row>
    <row r="634" spans="1:4" x14ac:dyDescent="0.25">
      <c r="A634" t="s">
        <v>2002</v>
      </c>
      <c r="B634" t="s">
        <v>971</v>
      </c>
      <c r="C634" t="str">
        <f t="shared" si="11"/>
        <v>RU</v>
      </c>
      <c r="D634">
        <v>1</v>
      </c>
    </row>
    <row r="635" spans="1:4" x14ac:dyDescent="0.25">
      <c r="A635" t="s">
        <v>2003</v>
      </c>
      <c r="B635" t="s">
        <v>971</v>
      </c>
      <c r="C635" t="str">
        <f t="shared" si="11"/>
        <v>EA</v>
      </c>
      <c r="D635">
        <v>1</v>
      </c>
    </row>
    <row r="636" spans="1:4" x14ac:dyDescent="0.25">
      <c r="A636" t="s">
        <v>2006</v>
      </c>
      <c r="B636" t="s">
        <v>971</v>
      </c>
      <c r="C636" t="str">
        <f t="shared" si="11"/>
        <v>EA</v>
      </c>
      <c r="D636">
        <v>1</v>
      </c>
    </row>
    <row r="637" spans="1:4" x14ac:dyDescent="0.25">
      <c r="A637" t="s">
        <v>976</v>
      </c>
      <c r="B637" t="s">
        <v>976</v>
      </c>
      <c r="C637" t="str">
        <f t="shared" si="11"/>
        <v>RU</v>
      </c>
      <c r="D637">
        <v>1</v>
      </c>
    </row>
    <row r="638" spans="1:4" x14ac:dyDescent="0.25">
      <c r="A638" t="s">
        <v>980</v>
      </c>
      <c r="B638" t="s">
        <v>980</v>
      </c>
      <c r="C638" t="str">
        <f t="shared" si="11"/>
        <v>RU</v>
      </c>
      <c r="D638">
        <v>1</v>
      </c>
    </row>
    <row r="639" spans="1:4" x14ac:dyDescent="0.25">
      <c r="A639" t="s">
        <v>985</v>
      </c>
      <c r="B639" t="s">
        <v>985</v>
      </c>
      <c r="C639" t="str">
        <f t="shared" si="11"/>
        <v>WO</v>
      </c>
      <c r="D639">
        <v>1</v>
      </c>
    </row>
    <row r="640" spans="1:4" x14ac:dyDescent="0.25">
      <c r="A640" t="s">
        <v>2009</v>
      </c>
      <c r="B640" t="s">
        <v>985</v>
      </c>
      <c r="C640" t="str">
        <f t="shared" si="11"/>
        <v>AU</v>
      </c>
      <c r="D640">
        <v>1</v>
      </c>
    </row>
    <row r="641" spans="1:4" x14ac:dyDescent="0.25">
      <c r="A641" t="s">
        <v>990</v>
      </c>
      <c r="B641" t="s">
        <v>990</v>
      </c>
      <c r="C641" t="str">
        <f t="shared" si="11"/>
        <v>RU</v>
      </c>
      <c r="D641">
        <v>1</v>
      </c>
    </row>
    <row r="642" spans="1:4" x14ac:dyDescent="0.25">
      <c r="A642" t="s">
        <v>996</v>
      </c>
      <c r="B642" t="s">
        <v>996</v>
      </c>
      <c r="C642" t="str">
        <f t="shared" si="11"/>
        <v>WO</v>
      </c>
      <c r="D642">
        <v>1</v>
      </c>
    </row>
    <row r="643" spans="1:4" x14ac:dyDescent="0.25">
      <c r="A643" t="s">
        <v>2010</v>
      </c>
      <c r="B643" t="s">
        <v>996</v>
      </c>
      <c r="C643" t="str">
        <f t="shared" ref="C643:C706" si="12">LEFT(A643,2)</f>
        <v>EP</v>
      </c>
      <c r="D643">
        <v>1</v>
      </c>
    </row>
    <row r="644" spans="1:4" x14ac:dyDescent="0.25">
      <c r="A644" t="s">
        <v>2011</v>
      </c>
      <c r="B644" t="s">
        <v>996</v>
      </c>
      <c r="C644" t="str">
        <f t="shared" si="12"/>
        <v>AU</v>
      </c>
      <c r="D644">
        <v>1</v>
      </c>
    </row>
    <row r="645" spans="1:4" x14ac:dyDescent="0.25">
      <c r="A645" t="s">
        <v>2012</v>
      </c>
      <c r="B645" t="s">
        <v>996</v>
      </c>
      <c r="C645" t="str">
        <f t="shared" si="12"/>
        <v>US</v>
      </c>
      <c r="D645">
        <v>1</v>
      </c>
    </row>
    <row r="646" spans="1:4" x14ac:dyDescent="0.25">
      <c r="A646" t="s">
        <v>1001</v>
      </c>
      <c r="B646" t="s">
        <v>1001</v>
      </c>
      <c r="C646" t="str">
        <f t="shared" si="12"/>
        <v>RU</v>
      </c>
      <c r="D646">
        <v>1</v>
      </c>
    </row>
    <row r="647" spans="1:4" x14ac:dyDescent="0.25">
      <c r="A647" t="s">
        <v>1006</v>
      </c>
      <c r="B647" t="s">
        <v>1006</v>
      </c>
      <c r="C647" t="str">
        <f t="shared" si="12"/>
        <v>NO</v>
      </c>
      <c r="D647">
        <v>1</v>
      </c>
    </row>
    <row r="648" spans="1:4" x14ac:dyDescent="0.25">
      <c r="A648" t="s">
        <v>1006</v>
      </c>
      <c r="B648" t="s">
        <v>1006</v>
      </c>
      <c r="C648" t="str">
        <f t="shared" si="12"/>
        <v>NO</v>
      </c>
      <c r="D648">
        <v>1</v>
      </c>
    </row>
    <row r="649" spans="1:4" x14ac:dyDescent="0.25">
      <c r="A649" t="s">
        <v>2015</v>
      </c>
      <c r="B649" t="s">
        <v>1006</v>
      </c>
      <c r="C649" t="str">
        <f t="shared" si="12"/>
        <v>NO</v>
      </c>
      <c r="D649">
        <v>1</v>
      </c>
    </row>
    <row r="650" spans="1:4" x14ac:dyDescent="0.25">
      <c r="A650" t="s">
        <v>2016</v>
      </c>
      <c r="B650" t="s">
        <v>1006</v>
      </c>
      <c r="C650" t="str">
        <f t="shared" si="12"/>
        <v>US</v>
      </c>
      <c r="D650">
        <v>1</v>
      </c>
    </row>
    <row r="651" spans="1:4" x14ac:dyDescent="0.25">
      <c r="A651" t="s">
        <v>1012</v>
      </c>
      <c r="B651" t="s">
        <v>1014</v>
      </c>
      <c r="C651" t="str">
        <f t="shared" si="12"/>
        <v>US</v>
      </c>
      <c r="D651">
        <v>1</v>
      </c>
    </row>
    <row r="652" spans="1:4" x14ac:dyDescent="0.25">
      <c r="A652" t="s">
        <v>1018</v>
      </c>
      <c r="B652" t="s">
        <v>1018</v>
      </c>
      <c r="C652" t="str">
        <f t="shared" si="12"/>
        <v>RU</v>
      </c>
      <c r="D652">
        <v>1</v>
      </c>
    </row>
    <row r="653" spans="1:4" x14ac:dyDescent="0.25">
      <c r="A653" t="s">
        <v>2018</v>
      </c>
      <c r="B653" t="s">
        <v>1024</v>
      </c>
      <c r="C653" t="str">
        <f t="shared" si="12"/>
        <v>US</v>
      </c>
      <c r="D653">
        <v>1</v>
      </c>
    </row>
    <row r="654" spans="1:4" x14ac:dyDescent="0.25">
      <c r="A654" t="s">
        <v>2020</v>
      </c>
      <c r="B654" t="s">
        <v>1024</v>
      </c>
      <c r="C654" t="str">
        <f t="shared" si="12"/>
        <v>US</v>
      </c>
      <c r="D654">
        <v>1</v>
      </c>
    </row>
    <row r="655" spans="1:4" x14ac:dyDescent="0.25">
      <c r="A655" t="s">
        <v>1029</v>
      </c>
      <c r="B655" t="s">
        <v>1030</v>
      </c>
      <c r="C655" t="str">
        <f t="shared" si="12"/>
        <v>US</v>
      </c>
      <c r="D655">
        <v>1</v>
      </c>
    </row>
    <row r="656" spans="1:4" x14ac:dyDescent="0.25">
      <c r="A656" t="s">
        <v>1034</v>
      </c>
      <c r="B656" t="s">
        <v>1034</v>
      </c>
      <c r="C656" t="str">
        <f t="shared" si="12"/>
        <v>RU</v>
      </c>
      <c r="D656">
        <v>1</v>
      </c>
    </row>
    <row r="657" spans="1:4" x14ac:dyDescent="0.25">
      <c r="A657" t="s">
        <v>1038</v>
      </c>
      <c r="B657" t="s">
        <v>1038</v>
      </c>
      <c r="C657" t="str">
        <f t="shared" si="12"/>
        <v>RU</v>
      </c>
      <c r="D657">
        <v>1</v>
      </c>
    </row>
    <row r="658" spans="1:4" x14ac:dyDescent="0.25">
      <c r="A658" t="s">
        <v>1040</v>
      </c>
      <c r="B658" t="s">
        <v>1041</v>
      </c>
      <c r="C658" t="str">
        <f t="shared" si="12"/>
        <v>US</v>
      </c>
      <c r="D658">
        <v>1</v>
      </c>
    </row>
    <row r="659" spans="1:4" x14ac:dyDescent="0.25">
      <c r="A659" t="s">
        <v>2026</v>
      </c>
      <c r="B659" t="s">
        <v>1047</v>
      </c>
      <c r="C659" t="str">
        <f t="shared" si="12"/>
        <v>US</v>
      </c>
      <c r="D659">
        <v>1</v>
      </c>
    </row>
    <row r="660" spans="1:4" x14ac:dyDescent="0.25">
      <c r="A660" t="s">
        <v>2029</v>
      </c>
      <c r="B660" t="s">
        <v>1047</v>
      </c>
      <c r="C660" t="str">
        <f t="shared" si="12"/>
        <v>US</v>
      </c>
      <c r="D660">
        <v>1</v>
      </c>
    </row>
    <row r="661" spans="1:4" x14ac:dyDescent="0.25">
      <c r="A661" t="s">
        <v>2031</v>
      </c>
      <c r="B661" t="s">
        <v>1047</v>
      </c>
      <c r="C661" t="str">
        <f t="shared" si="12"/>
        <v>US</v>
      </c>
      <c r="D661">
        <v>1</v>
      </c>
    </row>
    <row r="662" spans="1:4" x14ac:dyDescent="0.25">
      <c r="A662" t="s">
        <v>1055</v>
      </c>
      <c r="B662" t="s">
        <v>1055</v>
      </c>
      <c r="C662" t="str">
        <f t="shared" si="12"/>
        <v>RU</v>
      </c>
      <c r="D662">
        <v>1</v>
      </c>
    </row>
    <row r="663" spans="1:4" x14ac:dyDescent="0.25">
      <c r="A663" t="s">
        <v>1055</v>
      </c>
      <c r="B663" t="s">
        <v>1055</v>
      </c>
      <c r="C663" t="str">
        <f t="shared" si="12"/>
        <v>RU</v>
      </c>
      <c r="D663">
        <v>1</v>
      </c>
    </row>
    <row r="664" spans="1:4" x14ac:dyDescent="0.25">
      <c r="A664" t="s">
        <v>2034</v>
      </c>
      <c r="B664" t="s">
        <v>1055</v>
      </c>
      <c r="C664" t="str">
        <f t="shared" si="12"/>
        <v>RU</v>
      </c>
      <c r="D664">
        <v>1</v>
      </c>
    </row>
    <row r="665" spans="1:4" x14ac:dyDescent="0.25">
      <c r="A665" t="s">
        <v>1060</v>
      </c>
      <c r="B665" t="s">
        <v>1060</v>
      </c>
      <c r="C665" t="str">
        <f t="shared" si="12"/>
        <v>WO</v>
      </c>
      <c r="D665">
        <v>1</v>
      </c>
    </row>
    <row r="666" spans="1:4" x14ac:dyDescent="0.25">
      <c r="A666" t="s">
        <v>2036</v>
      </c>
      <c r="B666" t="s">
        <v>1060</v>
      </c>
      <c r="C666" t="str">
        <f t="shared" si="12"/>
        <v>EP</v>
      </c>
      <c r="D666">
        <v>1</v>
      </c>
    </row>
    <row r="667" spans="1:4" x14ac:dyDescent="0.25">
      <c r="A667" t="s">
        <v>2036</v>
      </c>
      <c r="B667" t="s">
        <v>1060</v>
      </c>
      <c r="C667" t="str">
        <f t="shared" si="12"/>
        <v>EP</v>
      </c>
      <c r="D667">
        <v>1</v>
      </c>
    </row>
    <row r="668" spans="1:4" x14ac:dyDescent="0.25">
      <c r="A668" t="s">
        <v>2037</v>
      </c>
      <c r="B668" t="s">
        <v>1060</v>
      </c>
      <c r="C668" t="str">
        <f t="shared" si="12"/>
        <v>BR</v>
      </c>
      <c r="D668">
        <v>1</v>
      </c>
    </row>
    <row r="669" spans="1:4" x14ac:dyDescent="0.25">
      <c r="A669" t="s">
        <v>2038</v>
      </c>
      <c r="B669" t="s">
        <v>1060</v>
      </c>
      <c r="C669" t="str">
        <f>LEFT(A669,4)</f>
        <v>BRPI</v>
      </c>
      <c r="D669">
        <v>1</v>
      </c>
    </row>
    <row r="670" spans="1:4" x14ac:dyDescent="0.25">
      <c r="A670" t="s">
        <v>2039</v>
      </c>
      <c r="B670" t="s">
        <v>1060</v>
      </c>
      <c r="C670" t="str">
        <f t="shared" si="12"/>
        <v>AU</v>
      </c>
      <c r="D670">
        <v>1</v>
      </c>
    </row>
    <row r="671" spans="1:4" x14ac:dyDescent="0.25">
      <c r="A671" t="s">
        <v>2040</v>
      </c>
      <c r="B671" t="s">
        <v>1060</v>
      </c>
      <c r="C671" t="str">
        <f t="shared" si="12"/>
        <v>US</v>
      </c>
      <c r="D671">
        <v>1</v>
      </c>
    </row>
    <row r="672" spans="1:4" x14ac:dyDescent="0.25">
      <c r="A672" t="s">
        <v>2042</v>
      </c>
      <c r="B672" t="s">
        <v>1060</v>
      </c>
      <c r="C672" t="str">
        <f t="shared" si="12"/>
        <v>CN</v>
      </c>
      <c r="D672">
        <v>1</v>
      </c>
    </row>
    <row r="673" spans="1:4" x14ac:dyDescent="0.25">
      <c r="A673" t="s">
        <v>2043</v>
      </c>
      <c r="B673" t="s">
        <v>1060</v>
      </c>
      <c r="C673" t="str">
        <f t="shared" si="12"/>
        <v>US</v>
      </c>
      <c r="D673">
        <v>1</v>
      </c>
    </row>
    <row r="674" spans="1:4" x14ac:dyDescent="0.25">
      <c r="A674" t="s">
        <v>2044</v>
      </c>
      <c r="B674" t="s">
        <v>1060</v>
      </c>
      <c r="C674" t="str">
        <f t="shared" si="12"/>
        <v>KR</v>
      </c>
      <c r="D674">
        <v>1</v>
      </c>
    </row>
    <row r="675" spans="1:4" x14ac:dyDescent="0.25">
      <c r="A675" t="s">
        <v>2046</v>
      </c>
      <c r="B675" t="s">
        <v>1060</v>
      </c>
      <c r="C675" t="str">
        <f t="shared" si="12"/>
        <v>KR</v>
      </c>
      <c r="D675">
        <v>1</v>
      </c>
    </row>
    <row r="676" spans="1:4" x14ac:dyDescent="0.25">
      <c r="A676" t="s">
        <v>2047</v>
      </c>
      <c r="B676" t="s">
        <v>1060</v>
      </c>
      <c r="C676" t="str">
        <f t="shared" si="12"/>
        <v>JP</v>
      </c>
      <c r="D676">
        <v>1</v>
      </c>
    </row>
    <row r="677" spans="1:4" x14ac:dyDescent="0.25">
      <c r="A677" t="s">
        <v>2048</v>
      </c>
      <c r="B677" t="s">
        <v>1060</v>
      </c>
      <c r="C677" t="str">
        <f t="shared" si="12"/>
        <v>IN</v>
      </c>
      <c r="D677">
        <v>1</v>
      </c>
    </row>
    <row r="678" spans="1:4" x14ac:dyDescent="0.25">
      <c r="A678" t="s">
        <v>2049</v>
      </c>
      <c r="B678" t="s">
        <v>1060</v>
      </c>
      <c r="C678" t="str">
        <f t="shared" si="12"/>
        <v>RU</v>
      </c>
      <c r="D678">
        <v>1</v>
      </c>
    </row>
    <row r="679" spans="1:4" x14ac:dyDescent="0.25">
      <c r="A679" t="s">
        <v>1068</v>
      </c>
      <c r="B679" t="s">
        <v>1068</v>
      </c>
      <c r="C679" t="str">
        <f t="shared" si="12"/>
        <v>WO</v>
      </c>
      <c r="D679">
        <v>1</v>
      </c>
    </row>
    <row r="680" spans="1:4" x14ac:dyDescent="0.25">
      <c r="A680" t="s">
        <v>2052</v>
      </c>
      <c r="B680" t="s">
        <v>1068</v>
      </c>
      <c r="C680" t="str">
        <f t="shared" si="12"/>
        <v>EP</v>
      </c>
      <c r="D680">
        <v>1</v>
      </c>
    </row>
    <row r="681" spans="1:4" x14ac:dyDescent="0.25">
      <c r="A681" t="s">
        <v>2052</v>
      </c>
      <c r="B681" t="s">
        <v>1068</v>
      </c>
      <c r="C681" t="str">
        <f t="shared" si="12"/>
        <v>EP</v>
      </c>
      <c r="D681">
        <v>1</v>
      </c>
    </row>
    <row r="682" spans="1:4" x14ac:dyDescent="0.25">
      <c r="A682" t="s">
        <v>2053</v>
      </c>
      <c r="B682" t="s">
        <v>1068</v>
      </c>
      <c r="C682" t="str">
        <f t="shared" si="12"/>
        <v>AU</v>
      </c>
      <c r="D682">
        <v>1</v>
      </c>
    </row>
    <row r="683" spans="1:4" x14ac:dyDescent="0.25">
      <c r="A683" t="s">
        <v>2054</v>
      </c>
      <c r="B683" t="s">
        <v>1068</v>
      </c>
      <c r="C683" t="str">
        <f t="shared" si="12"/>
        <v>US</v>
      </c>
      <c r="D683">
        <v>1</v>
      </c>
    </row>
    <row r="684" spans="1:4" x14ac:dyDescent="0.25">
      <c r="A684" t="s">
        <v>2055</v>
      </c>
      <c r="B684" t="s">
        <v>1068</v>
      </c>
      <c r="C684" t="str">
        <f t="shared" si="12"/>
        <v>KR</v>
      </c>
      <c r="D684">
        <v>1</v>
      </c>
    </row>
    <row r="685" spans="1:4" x14ac:dyDescent="0.25">
      <c r="A685" t="s">
        <v>2057</v>
      </c>
      <c r="B685" t="s">
        <v>1068</v>
      </c>
      <c r="C685" t="str">
        <f t="shared" si="12"/>
        <v>KR</v>
      </c>
      <c r="D685">
        <v>1</v>
      </c>
    </row>
    <row r="686" spans="1:4" x14ac:dyDescent="0.25">
      <c r="A686" t="s">
        <v>2058</v>
      </c>
      <c r="B686" t="s">
        <v>1068</v>
      </c>
      <c r="C686" t="str">
        <f t="shared" si="12"/>
        <v>US</v>
      </c>
      <c r="D686">
        <v>1</v>
      </c>
    </row>
    <row r="687" spans="1:4" x14ac:dyDescent="0.25">
      <c r="A687" t="s">
        <v>2059</v>
      </c>
      <c r="B687" t="s">
        <v>1068</v>
      </c>
      <c r="C687" t="str">
        <f t="shared" si="12"/>
        <v>JP</v>
      </c>
      <c r="D687">
        <v>1</v>
      </c>
    </row>
    <row r="688" spans="1:4" x14ac:dyDescent="0.25">
      <c r="A688" t="s">
        <v>2060</v>
      </c>
      <c r="B688" t="s">
        <v>1068</v>
      </c>
      <c r="C688" t="str">
        <f t="shared" si="12"/>
        <v>JP</v>
      </c>
      <c r="D688">
        <v>1</v>
      </c>
    </row>
    <row r="689" spans="1:4" x14ac:dyDescent="0.25">
      <c r="A689" t="s">
        <v>1076</v>
      </c>
      <c r="B689" t="s">
        <v>1076</v>
      </c>
      <c r="C689" t="str">
        <f t="shared" si="12"/>
        <v>RU</v>
      </c>
      <c r="D689">
        <v>1</v>
      </c>
    </row>
    <row r="690" spans="1:4" x14ac:dyDescent="0.25">
      <c r="A690" t="s">
        <v>2063</v>
      </c>
      <c r="B690" t="s">
        <v>1076</v>
      </c>
      <c r="C690" t="str">
        <f t="shared" si="12"/>
        <v>SU</v>
      </c>
      <c r="D690">
        <v>1</v>
      </c>
    </row>
    <row r="691" spans="1:4" x14ac:dyDescent="0.25">
      <c r="A691" t="s">
        <v>1080</v>
      </c>
      <c r="B691" t="s">
        <v>1081</v>
      </c>
      <c r="C691" t="str">
        <f t="shared" si="12"/>
        <v>US</v>
      </c>
      <c r="D691">
        <v>1</v>
      </c>
    </row>
    <row r="692" spans="1:4" x14ac:dyDescent="0.25">
      <c r="A692" t="s">
        <v>1085</v>
      </c>
      <c r="B692" t="s">
        <v>1086</v>
      </c>
      <c r="C692" t="str">
        <f t="shared" si="12"/>
        <v>US</v>
      </c>
      <c r="D692">
        <v>1</v>
      </c>
    </row>
    <row r="693" spans="1:4" x14ac:dyDescent="0.25">
      <c r="A693" t="s">
        <v>1092</v>
      </c>
      <c r="B693" t="s">
        <v>1092</v>
      </c>
      <c r="C693" t="str">
        <f t="shared" si="12"/>
        <v>CA</v>
      </c>
      <c r="D693">
        <v>1</v>
      </c>
    </row>
    <row r="694" spans="1:4" x14ac:dyDescent="0.25">
      <c r="A694" t="s">
        <v>2066</v>
      </c>
      <c r="B694" t="s">
        <v>1092</v>
      </c>
      <c r="C694" t="str">
        <f t="shared" si="12"/>
        <v>WO</v>
      </c>
      <c r="D694">
        <v>1</v>
      </c>
    </row>
    <row r="695" spans="1:4" x14ac:dyDescent="0.25">
      <c r="A695" t="s">
        <v>2067</v>
      </c>
      <c r="B695" t="s">
        <v>1092</v>
      </c>
      <c r="C695" t="str">
        <f>LEFT(A695,4)</f>
        <v>BRPI</v>
      </c>
      <c r="D695">
        <v>1</v>
      </c>
    </row>
    <row r="696" spans="1:4" x14ac:dyDescent="0.25">
      <c r="A696" t="s">
        <v>2068</v>
      </c>
      <c r="B696" t="s">
        <v>1092</v>
      </c>
      <c r="C696" t="str">
        <f t="shared" si="12"/>
        <v>BR</v>
      </c>
      <c r="D696">
        <v>1</v>
      </c>
    </row>
    <row r="697" spans="1:4" x14ac:dyDescent="0.25">
      <c r="A697" t="s">
        <v>2067</v>
      </c>
      <c r="B697" t="s">
        <v>1092</v>
      </c>
      <c r="C697" t="str">
        <f>LEFT(A697,4)</f>
        <v>BRPI</v>
      </c>
      <c r="D697">
        <v>1</v>
      </c>
    </row>
    <row r="698" spans="1:4" x14ac:dyDescent="0.25">
      <c r="A698" t="s">
        <v>2069</v>
      </c>
      <c r="B698" t="s">
        <v>1092</v>
      </c>
      <c r="C698" t="str">
        <f t="shared" si="12"/>
        <v>EP</v>
      </c>
      <c r="D698">
        <v>1</v>
      </c>
    </row>
    <row r="699" spans="1:4" x14ac:dyDescent="0.25">
      <c r="A699" t="s">
        <v>2069</v>
      </c>
      <c r="B699" t="s">
        <v>1092</v>
      </c>
      <c r="C699" t="str">
        <f t="shared" si="12"/>
        <v>EP</v>
      </c>
      <c r="D699">
        <v>1</v>
      </c>
    </row>
    <row r="700" spans="1:4" x14ac:dyDescent="0.25">
      <c r="A700" t="s">
        <v>2070</v>
      </c>
      <c r="B700" t="s">
        <v>1092</v>
      </c>
      <c r="C700" t="str">
        <f t="shared" si="12"/>
        <v>AU</v>
      </c>
      <c r="D700">
        <v>1</v>
      </c>
    </row>
    <row r="701" spans="1:4" x14ac:dyDescent="0.25">
      <c r="A701" t="s">
        <v>2071</v>
      </c>
      <c r="B701" t="s">
        <v>1092</v>
      </c>
      <c r="C701" t="str">
        <f t="shared" si="12"/>
        <v>NZ</v>
      </c>
      <c r="D701">
        <v>1</v>
      </c>
    </row>
    <row r="702" spans="1:4" x14ac:dyDescent="0.25">
      <c r="A702" t="s">
        <v>2072</v>
      </c>
      <c r="B702" t="s">
        <v>1092</v>
      </c>
      <c r="C702" t="str">
        <f t="shared" si="12"/>
        <v>KR</v>
      </c>
      <c r="D702">
        <v>1</v>
      </c>
    </row>
    <row r="703" spans="1:4" x14ac:dyDescent="0.25">
      <c r="A703" t="s">
        <v>2074</v>
      </c>
      <c r="B703" t="s">
        <v>1092</v>
      </c>
      <c r="C703" t="str">
        <f t="shared" si="12"/>
        <v>JP</v>
      </c>
      <c r="D703">
        <v>1</v>
      </c>
    </row>
    <row r="704" spans="1:4" x14ac:dyDescent="0.25">
      <c r="A704" t="s">
        <v>2075</v>
      </c>
      <c r="B704" t="s">
        <v>1092</v>
      </c>
      <c r="C704" t="str">
        <f t="shared" si="12"/>
        <v>ZA</v>
      </c>
      <c r="D704">
        <v>1</v>
      </c>
    </row>
    <row r="705" spans="1:4" x14ac:dyDescent="0.25">
      <c r="A705" t="s">
        <v>1099</v>
      </c>
      <c r="B705" t="s">
        <v>1099</v>
      </c>
      <c r="C705" t="str">
        <f t="shared" si="12"/>
        <v>GB</v>
      </c>
      <c r="D705">
        <v>1</v>
      </c>
    </row>
    <row r="706" spans="1:4" x14ac:dyDescent="0.25">
      <c r="A706" t="s">
        <v>2077</v>
      </c>
      <c r="B706" t="s">
        <v>1099</v>
      </c>
      <c r="C706" t="str">
        <f t="shared" si="12"/>
        <v>NO</v>
      </c>
      <c r="D706">
        <v>1</v>
      </c>
    </row>
    <row r="707" spans="1:4" x14ac:dyDescent="0.25">
      <c r="A707" t="s">
        <v>2077</v>
      </c>
      <c r="B707" t="s">
        <v>1099</v>
      </c>
      <c r="C707" t="str">
        <f t="shared" ref="C707:C770" si="13">LEFT(A707,2)</f>
        <v>NO</v>
      </c>
      <c r="D707">
        <v>1</v>
      </c>
    </row>
    <row r="708" spans="1:4" x14ac:dyDescent="0.25">
      <c r="A708" t="s">
        <v>2079</v>
      </c>
      <c r="B708" t="s">
        <v>1099</v>
      </c>
      <c r="C708" t="str">
        <f t="shared" si="13"/>
        <v>NO</v>
      </c>
      <c r="D708">
        <v>1</v>
      </c>
    </row>
    <row r="709" spans="1:4" x14ac:dyDescent="0.25">
      <c r="A709" t="s">
        <v>2080</v>
      </c>
      <c r="B709" t="s">
        <v>1099</v>
      </c>
      <c r="C709" t="str">
        <f t="shared" si="13"/>
        <v>AU</v>
      </c>
      <c r="D709">
        <v>1</v>
      </c>
    </row>
    <row r="710" spans="1:4" x14ac:dyDescent="0.25">
      <c r="A710" t="s">
        <v>2081</v>
      </c>
      <c r="B710" t="s">
        <v>1099</v>
      </c>
      <c r="C710" t="str">
        <f t="shared" si="13"/>
        <v>AU</v>
      </c>
      <c r="D710">
        <v>1</v>
      </c>
    </row>
    <row r="711" spans="1:4" x14ac:dyDescent="0.25">
      <c r="A711" t="s">
        <v>2082</v>
      </c>
      <c r="B711" t="s">
        <v>1099</v>
      </c>
      <c r="C711" t="str">
        <f t="shared" si="13"/>
        <v>KR</v>
      </c>
      <c r="D711">
        <v>1</v>
      </c>
    </row>
    <row r="712" spans="1:4" x14ac:dyDescent="0.25">
      <c r="A712" t="s">
        <v>2083</v>
      </c>
      <c r="B712" t="s">
        <v>1099</v>
      </c>
      <c r="C712" t="str">
        <f t="shared" si="13"/>
        <v>KR</v>
      </c>
      <c r="D712">
        <v>1</v>
      </c>
    </row>
    <row r="713" spans="1:4" x14ac:dyDescent="0.25">
      <c r="A713" t="s">
        <v>2084</v>
      </c>
      <c r="B713" t="s">
        <v>1099</v>
      </c>
      <c r="C713" t="str">
        <f t="shared" si="13"/>
        <v>CN</v>
      </c>
      <c r="D713">
        <v>1</v>
      </c>
    </row>
    <row r="714" spans="1:4" x14ac:dyDescent="0.25">
      <c r="A714" t="s">
        <v>2085</v>
      </c>
      <c r="B714" t="s">
        <v>1099</v>
      </c>
      <c r="C714" t="str">
        <f t="shared" si="13"/>
        <v>CN</v>
      </c>
      <c r="D714">
        <v>1</v>
      </c>
    </row>
    <row r="715" spans="1:4" x14ac:dyDescent="0.25">
      <c r="A715" t="s">
        <v>2086</v>
      </c>
      <c r="B715" t="s">
        <v>1099</v>
      </c>
      <c r="C715" t="str">
        <f t="shared" si="13"/>
        <v>US</v>
      </c>
      <c r="D715">
        <v>1</v>
      </c>
    </row>
    <row r="716" spans="1:4" x14ac:dyDescent="0.25">
      <c r="A716" t="s">
        <v>2087</v>
      </c>
      <c r="B716" t="s">
        <v>1099</v>
      </c>
      <c r="C716" t="str">
        <f t="shared" si="13"/>
        <v>JP</v>
      </c>
      <c r="D716">
        <v>1</v>
      </c>
    </row>
    <row r="717" spans="1:4" x14ac:dyDescent="0.25">
      <c r="A717" t="s">
        <v>2088</v>
      </c>
      <c r="B717" t="s">
        <v>1099</v>
      </c>
      <c r="C717" t="str">
        <f t="shared" si="13"/>
        <v>JP</v>
      </c>
      <c r="D717">
        <v>1</v>
      </c>
    </row>
    <row r="718" spans="1:4" x14ac:dyDescent="0.25">
      <c r="A718" t="s">
        <v>2089</v>
      </c>
      <c r="B718" t="s">
        <v>1099</v>
      </c>
      <c r="C718" t="str">
        <f t="shared" si="13"/>
        <v>CA</v>
      </c>
      <c r="D718">
        <v>1</v>
      </c>
    </row>
    <row r="719" spans="1:4" x14ac:dyDescent="0.25">
      <c r="A719" t="s">
        <v>2089</v>
      </c>
      <c r="B719" t="s">
        <v>1099</v>
      </c>
      <c r="C719" t="str">
        <f t="shared" si="13"/>
        <v>CA</v>
      </c>
      <c r="D719">
        <v>1</v>
      </c>
    </row>
    <row r="720" spans="1:4" x14ac:dyDescent="0.25">
      <c r="A720" t="s">
        <v>2091</v>
      </c>
      <c r="B720" t="s">
        <v>1099</v>
      </c>
      <c r="C720" t="str">
        <f t="shared" si="13"/>
        <v>EP</v>
      </c>
      <c r="D720">
        <v>1</v>
      </c>
    </row>
    <row r="721" spans="1:4" x14ac:dyDescent="0.25">
      <c r="A721" t="s">
        <v>2091</v>
      </c>
      <c r="B721" t="s">
        <v>1099</v>
      </c>
      <c r="C721" t="str">
        <f t="shared" si="13"/>
        <v>EP</v>
      </c>
      <c r="D721">
        <v>1</v>
      </c>
    </row>
    <row r="722" spans="1:4" x14ac:dyDescent="0.25">
      <c r="A722" t="s">
        <v>2091</v>
      </c>
      <c r="B722" t="s">
        <v>1099</v>
      </c>
      <c r="C722" t="str">
        <f t="shared" si="13"/>
        <v>EP</v>
      </c>
      <c r="D722">
        <v>1</v>
      </c>
    </row>
    <row r="723" spans="1:4" x14ac:dyDescent="0.25">
      <c r="A723" t="s">
        <v>2092</v>
      </c>
      <c r="B723" t="s">
        <v>1099</v>
      </c>
      <c r="C723" t="str">
        <f t="shared" si="13"/>
        <v>ZA</v>
      </c>
      <c r="D723">
        <v>1</v>
      </c>
    </row>
    <row r="724" spans="1:4" x14ac:dyDescent="0.25">
      <c r="A724" t="s">
        <v>2093</v>
      </c>
      <c r="B724" t="s">
        <v>1099</v>
      </c>
      <c r="C724" t="str">
        <f t="shared" si="13"/>
        <v>IN</v>
      </c>
      <c r="D724">
        <v>1</v>
      </c>
    </row>
    <row r="725" spans="1:4" x14ac:dyDescent="0.25">
      <c r="A725" t="s">
        <v>2094</v>
      </c>
      <c r="B725" t="s">
        <v>1099</v>
      </c>
      <c r="C725" t="str">
        <f t="shared" si="13"/>
        <v>AT</v>
      </c>
      <c r="D725">
        <v>1</v>
      </c>
    </row>
    <row r="726" spans="1:4" x14ac:dyDescent="0.25">
      <c r="A726" t="s">
        <v>2095</v>
      </c>
      <c r="B726" t="s">
        <v>1099</v>
      </c>
      <c r="C726" t="str">
        <f t="shared" si="13"/>
        <v>DK</v>
      </c>
      <c r="D726">
        <v>1</v>
      </c>
    </row>
    <row r="727" spans="1:4" x14ac:dyDescent="0.25">
      <c r="A727" t="s">
        <v>2096</v>
      </c>
      <c r="B727" t="s">
        <v>1099</v>
      </c>
      <c r="C727" t="str">
        <f t="shared" si="13"/>
        <v>GR</v>
      </c>
      <c r="D727">
        <v>1</v>
      </c>
    </row>
    <row r="728" spans="1:4" x14ac:dyDescent="0.25">
      <c r="A728" t="s">
        <v>2097</v>
      </c>
      <c r="B728" t="s">
        <v>1099</v>
      </c>
      <c r="C728" t="str">
        <f t="shared" si="13"/>
        <v>ES</v>
      </c>
      <c r="D728">
        <v>1</v>
      </c>
    </row>
    <row r="729" spans="1:4" x14ac:dyDescent="0.25">
      <c r="A729" t="s">
        <v>2099</v>
      </c>
      <c r="B729" t="s">
        <v>1099</v>
      </c>
      <c r="C729" t="str">
        <f t="shared" si="13"/>
        <v>DE</v>
      </c>
      <c r="D729">
        <v>1</v>
      </c>
    </row>
    <row r="730" spans="1:4" x14ac:dyDescent="0.25">
      <c r="A730" t="s">
        <v>2099</v>
      </c>
      <c r="B730" t="s">
        <v>1099</v>
      </c>
      <c r="C730" t="str">
        <f t="shared" si="13"/>
        <v>DE</v>
      </c>
      <c r="D730">
        <v>1</v>
      </c>
    </row>
    <row r="731" spans="1:4" x14ac:dyDescent="0.25">
      <c r="A731" t="s">
        <v>2100</v>
      </c>
      <c r="B731" t="s">
        <v>1099</v>
      </c>
      <c r="C731" t="str">
        <f t="shared" si="13"/>
        <v>RU</v>
      </c>
      <c r="D731">
        <v>1</v>
      </c>
    </row>
    <row r="732" spans="1:4" x14ac:dyDescent="0.25">
      <c r="A732" t="s">
        <v>2101</v>
      </c>
      <c r="B732" t="s">
        <v>1099</v>
      </c>
      <c r="C732" t="str">
        <f t="shared" si="13"/>
        <v>SU</v>
      </c>
      <c r="D732">
        <v>1</v>
      </c>
    </row>
    <row r="733" spans="1:4" x14ac:dyDescent="0.25">
      <c r="A733" t="s">
        <v>1108</v>
      </c>
      <c r="B733" t="s">
        <v>1108</v>
      </c>
      <c r="C733" t="str">
        <f t="shared" si="13"/>
        <v>GB</v>
      </c>
      <c r="D733">
        <v>1</v>
      </c>
    </row>
    <row r="734" spans="1:4" x14ac:dyDescent="0.25">
      <c r="A734" t="s">
        <v>2102</v>
      </c>
      <c r="B734" t="s">
        <v>1108</v>
      </c>
      <c r="C734" t="str">
        <f t="shared" si="13"/>
        <v>CA</v>
      </c>
      <c r="D734">
        <v>1</v>
      </c>
    </row>
    <row r="735" spans="1:4" x14ac:dyDescent="0.25">
      <c r="A735" t="s">
        <v>2102</v>
      </c>
      <c r="B735" t="s">
        <v>1108</v>
      </c>
      <c r="C735" t="str">
        <f t="shared" si="13"/>
        <v>CA</v>
      </c>
      <c r="D735">
        <v>1</v>
      </c>
    </row>
    <row r="736" spans="1:4" x14ac:dyDescent="0.25">
      <c r="A736" t="s">
        <v>2104</v>
      </c>
      <c r="B736" t="s">
        <v>1108</v>
      </c>
      <c r="C736" t="str">
        <f t="shared" si="13"/>
        <v>EP</v>
      </c>
      <c r="D736">
        <v>1</v>
      </c>
    </row>
    <row r="737" spans="1:4" x14ac:dyDescent="0.25">
      <c r="A737" t="s">
        <v>2104</v>
      </c>
      <c r="B737" t="s">
        <v>1108</v>
      </c>
      <c r="C737" t="str">
        <f t="shared" si="13"/>
        <v>EP</v>
      </c>
      <c r="D737">
        <v>1</v>
      </c>
    </row>
    <row r="738" spans="1:4" x14ac:dyDescent="0.25">
      <c r="A738" t="s">
        <v>2104</v>
      </c>
      <c r="B738" t="s">
        <v>1108</v>
      </c>
      <c r="C738" t="str">
        <f t="shared" si="13"/>
        <v>EP</v>
      </c>
      <c r="D738">
        <v>1</v>
      </c>
    </row>
    <row r="739" spans="1:4" x14ac:dyDescent="0.25">
      <c r="A739" t="s">
        <v>2105</v>
      </c>
      <c r="B739" t="s">
        <v>1108</v>
      </c>
      <c r="C739" t="str">
        <f t="shared" si="13"/>
        <v>AU</v>
      </c>
      <c r="D739">
        <v>1</v>
      </c>
    </row>
    <row r="740" spans="1:4" x14ac:dyDescent="0.25">
      <c r="A740" t="s">
        <v>2106</v>
      </c>
      <c r="B740" t="s">
        <v>1108</v>
      </c>
      <c r="C740" t="str">
        <f t="shared" si="13"/>
        <v>AU</v>
      </c>
      <c r="D740">
        <v>1</v>
      </c>
    </row>
    <row r="741" spans="1:4" x14ac:dyDescent="0.25">
      <c r="A741" t="s">
        <v>2107</v>
      </c>
      <c r="B741" t="s">
        <v>1108</v>
      </c>
      <c r="C741" t="str">
        <f t="shared" si="13"/>
        <v>CN</v>
      </c>
      <c r="D741">
        <v>1</v>
      </c>
    </row>
    <row r="742" spans="1:4" x14ac:dyDescent="0.25">
      <c r="A742" t="s">
        <v>2108</v>
      </c>
      <c r="B742" t="s">
        <v>1108</v>
      </c>
      <c r="C742" t="str">
        <f t="shared" si="13"/>
        <v>CN</v>
      </c>
      <c r="D742">
        <v>1</v>
      </c>
    </row>
    <row r="743" spans="1:4" x14ac:dyDescent="0.25">
      <c r="A743" t="s">
        <v>2109</v>
      </c>
      <c r="B743" t="s">
        <v>1108</v>
      </c>
      <c r="C743" t="str">
        <f t="shared" si="13"/>
        <v>US</v>
      </c>
      <c r="D743">
        <v>1</v>
      </c>
    </row>
    <row r="744" spans="1:4" x14ac:dyDescent="0.25">
      <c r="A744" t="s">
        <v>2110</v>
      </c>
      <c r="B744" t="s">
        <v>1108</v>
      </c>
      <c r="C744" t="str">
        <f t="shared" si="13"/>
        <v>JP</v>
      </c>
      <c r="D744">
        <v>1</v>
      </c>
    </row>
    <row r="745" spans="1:4" x14ac:dyDescent="0.25">
      <c r="A745" t="s">
        <v>2111</v>
      </c>
      <c r="B745" t="s">
        <v>1108</v>
      </c>
      <c r="C745" t="str">
        <f t="shared" si="13"/>
        <v>JP</v>
      </c>
      <c r="D745">
        <v>1</v>
      </c>
    </row>
    <row r="746" spans="1:4" x14ac:dyDescent="0.25">
      <c r="A746" t="s">
        <v>2112</v>
      </c>
      <c r="B746" t="s">
        <v>1108</v>
      </c>
      <c r="C746" t="str">
        <f t="shared" si="13"/>
        <v>US</v>
      </c>
      <c r="D746">
        <v>1</v>
      </c>
    </row>
    <row r="747" spans="1:4" x14ac:dyDescent="0.25">
      <c r="A747" t="s">
        <v>2114</v>
      </c>
      <c r="B747" t="s">
        <v>1108</v>
      </c>
      <c r="C747" t="str">
        <f t="shared" si="13"/>
        <v>US</v>
      </c>
      <c r="D747">
        <v>1</v>
      </c>
    </row>
    <row r="748" spans="1:4" x14ac:dyDescent="0.25">
      <c r="A748" t="s">
        <v>2115</v>
      </c>
      <c r="B748" t="s">
        <v>1108</v>
      </c>
      <c r="C748" t="str">
        <f t="shared" si="13"/>
        <v>CN</v>
      </c>
      <c r="D748">
        <v>1</v>
      </c>
    </row>
    <row r="749" spans="1:4" x14ac:dyDescent="0.25">
      <c r="A749" t="s">
        <v>2116</v>
      </c>
      <c r="B749" t="s">
        <v>1108</v>
      </c>
      <c r="C749" t="str">
        <f t="shared" si="13"/>
        <v>CN</v>
      </c>
      <c r="D749">
        <v>1</v>
      </c>
    </row>
    <row r="750" spans="1:4" x14ac:dyDescent="0.25">
      <c r="A750" t="s">
        <v>2117</v>
      </c>
      <c r="B750" t="s">
        <v>1108</v>
      </c>
      <c r="C750" t="str">
        <f t="shared" si="13"/>
        <v>ZA</v>
      </c>
      <c r="D750">
        <v>1</v>
      </c>
    </row>
    <row r="751" spans="1:4" x14ac:dyDescent="0.25">
      <c r="A751" t="s">
        <v>2118</v>
      </c>
      <c r="B751" t="s">
        <v>1108</v>
      </c>
      <c r="C751" t="str">
        <f t="shared" si="13"/>
        <v>IN</v>
      </c>
      <c r="D751">
        <v>1</v>
      </c>
    </row>
    <row r="752" spans="1:4" x14ac:dyDescent="0.25">
      <c r="A752" t="s">
        <v>2119</v>
      </c>
      <c r="B752" t="s">
        <v>1108</v>
      </c>
      <c r="C752" t="str">
        <f t="shared" si="13"/>
        <v>AT</v>
      </c>
      <c r="D752">
        <v>1</v>
      </c>
    </row>
    <row r="753" spans="1:4" x14ac:dyDescent="0.25">
      <c r="A753" t="s">
        <v>2120</v>
      </c>
      <c r="B753" t="s">
        <v>1108</v>
      </c>
      <c r="C753" t="str">
        <f t="shared" si="13"/>
        <v>DE</v>
      </c>
      <c r="D753">
        <v>1</v>
      </c>
    </row>
    <row r="754" spans="1:4" x14ac:dyDescent="0.25">
      <c r="A754" t="s">
        <v>2120</v>
      </c>
      <c r="B754" t="s">
        <v>1108</v>
      </c>
      <c r="C754" t="str">
        <f t="shared" si="13"/>
        <v>DE</v>
      </c>
      <c r="D754">
        <v>1</v>
      </c>
    </row>
    <row r="755" spans="1:4" x14ac:dyDescent="0.25">
      <c r="A755" t="s">
        <v>2121</v>
      </c>
      <c r="B755" t="s">
        <v>1108</v>
      </c>
      <c r="C755" t="str">
        <f t="shared" si="13"/>
        <v>ES</v>
      </c>
      <c r="D755">
        <v>1</v>
      </c>
    </row>
    <row r="756" spans="1:4" x14ac:dyDescent="0.25">
      <c r="A756" t="s">
        <v>2122</v>
      </c>
      <c r="B756" t="s">
        <v>1108</v>
      </c>
      <c r="C756" t="str">
        <f t="shared" si="13"/>
        <v>DK</v>
      </c>
      <c r="D756">
        <v>1</v>
      </c>
    </row>
    <row r="757" spans="1:4" x14ac:dyDescent="0.25">
      <c r="A757" t="s">
        <v>2123</v>
      </c>
      <c r="B757" t="s">
        <v>1108</v>
      </c>
      <c r="C757" t="str">
        <f t="shared" si="13"/>
        <v>GR</v>
      </c>
      <c r="D757">
        <v>1</v>
      </c>
    </row>
    <row r="758" spans="1:4" x14ac:dyDescent="0.25">
      <c r="A758" t="s">
        <v>1116</v>
      </c>
      <c r="B758" t="s">
        <v>1116</v>
      </c>
      <c r="C758" t="str">
        <f t="shared" si="13"/>
        <v>CA</v>
      </c>
      <c r="D758">
        <v>1</v>
      </c>
    </row>
    <row r="759" spans="1:4" x14ac:dyDescent="0.25">
      <c r="A759" t="s">
        <v>2124</v>
      </c>
      <c r="B759" t="s">
        <v>1116</v>
      </c>
      <c r="C759" t="str">
        <f t="shared" si="13"/>
        <v>WO</v>
      </c>
      <c r="D759">
        <v>1</v>
      </c>
    </row>
    <row r="760" spans="1:4" x14ac:dyDescent="0.25">
      <c r="A760" t="s">
        <v>2125</v>
      </c>
      <c r="B760" t="s">
        <v>1116</v>
      </c>
      <c r="C760" t="str">
        <f t="shared" si="13"/>
        <v>EP</v>
      </c>
      <c r="D760">
        <v>1</v>
      </c>
    </row>
    <row r="761" spans="1:4" x14ac:dyDescent="0.25">
      <c r="A761" t="s">
        <v>2126</v>
      </c>
      <c r="B761" t="s">
        <v>1116</v>
      </c>
      <c r="C761" t="str">
        <f t="shared" si="13"/>
        <v>AU</v>
      </c>
      <c r="D761">
        <v>1</v>
      </c>
    </row>
    <row r="762" spans="1:4" x14ac:dyDescent="0.25">
      <c r="A762" t="s">
        <v>2127</v>
      </c>
      <c r="B762" t="s">
        <v>1116</v>
      </c>
      <c r="C762" t="str">
        <f t="shared" si="13"/>
        <v>JP</v>
      </c>
      <c r="D762">
        <v>1</v>
      </c>
    </row>
    <row r="763" spans="1:4" x14ac:dyDescent="0.25">
      <c r="A763" t="s">
        <v>1123</v>
      </c>
      <c r="B763" t="s">
        <v>1123</v>
      </c>
      <c r="C763" t="str">
        <f t="shared" si="13"/>
        <v>CA</v>
      </c>
      <c r="D763">
        <v>1</v>
      </c>
    </row>
    <row r="764" spans="1:4" x14ac:dyDescent="0.25">
      <c r="A764" t="s">
        <v>2128</v>
      </c>
      <c r="B764" t="s">
        <v>1123</v>
      </c>
      <c r="C764" t="str">
        <f t="shared" si="13"/>
        <v>WO</v>
      </c>
      <c r="D764">
        <v>1</v>
      </c>
    </row>
    <row r="765" spans="1:4" x14ac:dyDescent="0.25">
      <c r="A765" t="s">
        <v>2129</v>
      </c>
      <c r="B765" t="s">
        <v>1123</v>
      </c>
      <c r="C765" t="str">
        <f t="shared" si="13"/>
        <v>EP</v>
      </c>
      <c r="D765">
        <v>1</v>
      </c>
    </row>
    <row r="766" spans="1:4" x14ac:dyDescent="0.25">
      <c r="A766" t="s">
        <v>2130</v>
      </c>
      <c r="B766" t="s">
        <v>1123</v>
      </c>
      <c r="C766" t="str">
        <f t="shared" si="13"/>
        <v>AU</v>
      </c>
      <c r="D766">
        <v>1</v>
      </c>
    </row>
    <row r="767" spans="1:4" x14ac:dyDescent="0.25">
      <c r="A767" t="s">
        <v>2131</v>
      </c>
      <c r="B767" t="s">
        <v>1123</v>
      </c>
      <c r="C767" t="str">
        <f t="shared" si="13"/>
        <v>AU</v>
      </c>
      <c r="D767">
        <v>1</v>
      </c>
    </row>
    <row r="768" spans="1:4" x14ac:dyDescent="0.25">
      <c r="A768" t="s">
        <v>2132</v>
      </c>
      <c r="B768" t="s">
        <v>1123</v>
      </c>
      <c r="C768" t="str">
        <f t="shared" si="13"/>
        <v>JP</v>
      </c>
      <c r="D768">
        <v>1</v>
      </c>
    </row>
    <row r="769" spans="1:4" x14ac:dyDescent="0.25">
      <c r="A769" t="s">
        <v>2133</v>
      </c>
      <c r="B769" t="s">
        <v>1123</v>
      </c>
      <c r="C769" t="str">
        <f t="shared" si="13"/>
        <v>US</v>
      </c>
      <c r="D769">
        <v>1</v>
      </c>
    </row>
    <row r="770" spans="1:4" x14ac:dyDescent="0.25">
      <c r="A770" t="s">
        <v>1129</v>
      </c>
      <c r="B770" t="s">
        <v>1129</v>
      </c>
      <c r="C770" t="str">
        <f t="shared" si="13"/>
        <v>CA</v>
      </c>
      <c r="D770">
        <v>1</v>
      </c>
    </row>
    <row r="771" spans="1:4" x14ac:dyDescent="0.25">
      <c r="A771" t="s">
        <v>1129</v>
      </c>
      <c r="B771" t="s">
        <v>1129</v>
      </c>
      <c r="C771" t="str">
        <f t="shared" ref="C771:C834" si="14">LEFT(A771,2)</f>
        <v>CA</v>
      </c>
      <c r="D771">
        <v>1</v>
      </c>
    </row>
    <row r="772" spans="1:4" x14ac:dyDescent="0.25">
      <c r="A772" t="s">
        <v>2136</v>
      </c>
      <c r="B772" t="s">
        <v>1129</v>
      </c>
      <c r="C772" t="str">
        <f t="shared" si="14"/>
        <v>EP</v>
      </c>
      <c r="D772">
        <v>1</v>
      </c>
    </row>
    <row r="773" spans="1:4" x14ac:dyDescent="0.25">
      <c r="A773" t="s">
        <v>2136</v>
      </c>
      <c r="B773" t="s">
        <v>1129</v>
      </c>
      <c r="C773" t="str">
        <f t="shared" si="14"/>
        <v>EP</v>
      </c>
      <c r="D773">
        <v>1</v>
      </c>
    </row>
    <row r="774" spans="1:4" x14ac:dyDescent="0.25">
      <c r="A774" t="s">
        <v>2138</v>
      </c>
      <c r="B774" t="s">
        <v>1129</v>
      </c>
      <c r="C774" t="str">
        <f t="shared" si="14"/>
        <v>BR</v>
      </c>
      <c r="D774">
        <v>1</v>
      </c>
    </row>
    <row r="775" spans="1:4" x14ac:dyDescent="0.25">
      <c r="A775" t="s">
        <v>2139</v>
      </c>
      <c r="B775" t="s">
        <v>1129</v>
      </c>
      <c r="C775" t="str">
        <f t="shared" ref="C775:C776" si="15">LEFT(A775,4)</f>
        <v>BRPI</v>
      </c>
      <c r="D775">
        <v>1</v>
      </c>
    </row>
    <row r="776" spans="1:4" x14ac:dyDescent="0.25">
      <c r="A776" t="s">
        <v>2139</v>
      </c>
      <c r="B776" t="s">
        <v>1129</v>
      </c>
      <c r="C776" t="str">
        <f t="shared" si="15"/>
        <v>BRPI</v>
      </c>
      <c r="D776">
        <v>1</v>
      </c>
    </row>
    <row r="777" spans="1:4" x14ac:dyDescent="0.25">
      <c r="A777" t="s">
        <v>2140</v>
      </c>
      <c r="B777" t="s">
        <v>1129</v>
      </c>
      <c r="C777" t="str">
        <f t="shared" si="14"/>
        <v>AR</v>
      </c>
      <c r="D777">
        <v>1</v>
      </c>
    </row>
    <row r="778" spans="1:4" x14ac:dyDescent="0.25">
      <c r="A778" t="s">
        <v>2141</v>
      </c>
      <c r="B778" t="s">
        <v>1129</v>
      </c>
      <c r="C778" t="str">
        <f t="shared" si="14"/>
        <v>AU</v>
      </c>
      <c r="D778">
        <v>1</v>
      </c>
    </row>
    <row r="779" spans="1:4" x14ac:dyDescent="0.25">
      <c r="A779" t="s">
        <v>2142</v>
      </c>
      <c r="B779" t="s">
        <v>1129</v>
      </c>
      <c r="C779" t="str">
        <f t="shared" si="14"/>
        <v>AU</v>
      </c>
      <c r="D779">
        <v>1</v>
      </c>
    </row>
    <row r="780" spans="1:4" x14ac:dyDescent="0.25">
      <c r="A780" t="s">
        <v>2143</v>
      </c>
      <c r="B780" t="s">
        <v>1129</v>
      </c>
      <c r="C780" t="str">
        <f t="shared" si="14"/>
        <v>JP</v>
      </c>
      <c r="D780">
        <v>1</v>
      </c>
    </row>
    <row r="781" spans="1:4" x14ac:dyDescent="0.25">
      <c r="A781" t="s">
        <v>2144</v>
      </c>
      <c r="B781" t="s">
        <v>1129</v>
      </c>
      <c r="C781" t="str">
        <f t="shared" si="14"/>
        <v>JP</v>
      </c>
      <c r="D781">
        <v>1</v>
      </c>
    </row>
    <row r="782" spans="1:4" x14ac:dyDescent="0.25">
      <c r="A782" t="s">
        <v>2145</v>
      </c>
      <c r="B782" t="s">
        <v>1129</v>
      </c>
      <c r="C782" t="str">
        <f t="shared" si="14"/>
        <v>US</v>
      </c>
      <c r="D782">
        <v>1</v>
      </c>
    </row>
    <row r="783" spans="1:4" x14ac:dyDescent="0.25">
      <c r="A783" t="s">
        <v>2146</v>
      </c>
      <c r="B783" t="s">
        <v>1129</v>
      </c>
      <c r="C783" t="str">
        <f t="shared" si="14"/>
        <v>ZA</v>
      </c>
      <c r="D783">
        <v>1</v>
      </c>
    </row>
    <row r="784" spans="1:4" x14ac:dyDescent="0.25">
      <c r="A784" t="s">
        <v>2147</v>
      </c>
      <c r="B784" t="s">
        <v>1129</v>
      </c>
      <c r="C784" t="str">
        <f t="shared" si="14"/>
        <v>MX</v>
      </c>
      <c r="D784">
        <v>1</v>
      </c>
    </row>
    <row r="785" spans="1:4" x14ac:dyDescent="0.25">
      <c r="A785" t="s">
        <v>2148</v>
      </c>
      <c r="B785" t="s">
        <v>1129</v>
      </c>
      <c r="C785" t="str">
        <f t="shared" si="14"/>
        <v>AT</v>
      </c>
      <c r="D785">
        <v>1</v>
      </c>
    </row>
    <row r="786" spans="1:4" x14ac:dyDescent="0.25">
      <c r="A786" t="s">
        <v>2149</v>
      </c>
      <c r="B786" t="s">
        <v>1129</v>
      </c>
      <c r="C786" t="str">
        <f t="shared" si="14"/>
        <v>DE</v>
      </c>
      <c r="D786">
        <v>1</v>
      </c>
    </row>
    <row r="787" spans="1:4" x14ac:dyDescent="0.25">
      <c r="A787" t="s">
        <v>2149</v>
      </c>
      <c r="B787" t="s">
        <v>1129</v>
      </c>
      <c r="C787" t="str">
        <f t="shared" si="14"/>
        <v>DE</v>
      </c>
      <c r="D787">
        <v>1</v>
      </c>
    </row>
    <row r="788" spans="1:4" x14ac:dyDescent="0.25">
      <c r="A788" t="s">
        <v>2150</v>
      </c>
      <c r="B788" t="s">
        <v>1129</v>
      </c>
      <c r="C788" t="str">
        <f t="shared" si="14"/>
        <v>DK</v>
      </c>
      <c r="D788">
        <v>1</v>
      </c>
    </row>
    <row r="789" spans="1:4" x14ac:dyDescent="0.25">
      <c r="A789" t="s">
        <v>2151</v>
      </c>
      <c r="B789" t="s">
        <v>1129</v>
      </c>
      <c r="C789" t="str">
        <f t="shared" si="14"/>
        <v>ES</v>
      </c>
      <c r="D789">
        <v>1</v>
      </c>
    </row>
    <row r="790" spans="1:4" x14ac:dyDescent="0.25">
      <c r="A790" t="s">
        <v>1137</v>
      </c>
      <c r="B790" t="s">
        <v>1137</v>
      </c>
      <c r="C790" t="str">
        <f t="shared" si="14"/>
        <v>CA</v>
      </c>
      <c r="D790">
        <v>1</v>
      </c>
    </row>
    <row r="791" spans="1:4" x14ac:dyDescent="0.25">
      <c r="A791" t="s">
        <v>2153</v>
      </c>
      <c r="B791" t="s">
        <v>1137</v>
      </c>
      <c r="C791" t="str">
        <f t="shared" si="14"/>
        <v>EP</v>
      </c>
      <c r="D791">
        <v>1</v>
      </c>
    </row>
    <row r="792" spans="1:4" x14ac:dyDescent="0.25">
      <c r="A792" t="s">
        <v>2154</v>
      </c>
      <c r="B792" t="s">
        <v>1137</v>
      </c>
      <c r="C792" t="str">
        <f t="shared" si="14"/>
        <v>AU</v>
      </c>
      <c r="D792">
        <v>1</v>
      </c>
    </row>
    <row r="793" spans="1:4" x14ac:dyDescent="0.25">
      <c r="A793" t="s">
        <v>2155</v>
      </c>
      <c r="B793" t="s">
        <v>1137</v>
      </c>
      <c r="C793" t="str">
        <f t="shared" si="14"/>
        <v>US</v>
      </c>
      <c r="D793">
        <v>1</v>
      </c>
    </row>
    <row r="794" spans="1:4" x14ac:dyDescent="0.25">
      <c r="A794" t="s">
        <v>2156</v>
      </c>
      <c r="B794" t="s">
        <v>1137</v>
      </c>
      <c r="C794" t="str">
        <f t="shared" si="14"/>
        <v>JP</v>
      </c>
      <c r="D794">
        <v>1</v>
      </c>
    </row>
    <row r="795" spans="1:4" x14ac:dyDescent="0.25">
      <c r="A795" t="s">
        <v>2157</v>
      </c>
      <c r="B795" t="s">
        <v>1145</v>
      </c>
      <c r="C795" t="str">
        <f t="shared" si="14"/>
        <v>US</v>
      </c>
      <c r="D795">
        <v>1</v>
      </c>
    </row>
    <row r="796" spans="1:4" x14ac:dyDescent="0.25">
      <c r="A796" t="s">
        <v>2158</v>
      </c>
      <c r="B796" t="s">
        <v>1145</v>
      </c>
      <c r="C796" t="str">
        <f t="shared" si="14"/>
        <v>AU</v>
      </c>
      <c r="D796">
        <v>1</v>
      </c>
    </row>
    <row r="797" spans="1:4" x14ac:dyDescent="0.25">
      <c r="A797" t="s">
        <v>2159</v>
      </c>
      <c r="B797" t="s">
        <v>1145</v>
      </c>
      <c r="C797" t="str">
        <f t="shared" si="14"/>
        <v>AU</v>
      </c>
      <c r="D797">
        <v>1</v>
      </c>
    </row>
    <row r="798" spans="1:4" x14ac:dyDescent="0.25">
      <c r="A798" t="s">
        <v>2160</v>
      </c>
      <c r="B798" t="s">
        <v>1145</v>
      </c>
      <c r="C798" t="str">
        <f t="shared" si="14"/>
        <v>JP</v>
      </c>
      <c r="D798">
        <v>1</v>
      </c>
    </row>
    <row r="799" spans="1:4" x14ac:dyDescent="0.25">
      <c r="A799" t="s">
        <v>2161</v>
      </c>
      <c r="B799" t="s">
        <v>1145</v>
      </c>
      <c r="C799" t="str">
        <f t="shared" si="14"/>
        <v>NZ</v>
      </c>
      <c r="D799">
        <v>1</v>
      </c>
    </row>
    <row r="800" spans="1:4" x14ac:dyDescent="0.25">
      <c r="A800" t="s">
        <v>2162</v>
      </c>
      <c r="B800" t="s">
        <v>1145</v>
      </c>
      <c r="C800" t="str">
        <f t="shared" si="14"/>
        <v>CA</v>
      </c>
      <c r="D800">
        <v>1</v>
      </c>
    </row>
    <row r="801" spans="1:4" x14ac:dyDescent="0.25">
      <c r="A801" t="s">
        <v>2163</v>
      </c>
      <c r="B801" t="s">
        <v>1145</v>
      </c>
      <c r="C801" t="str">
        <f t="shared" si="14"/>
        <v>EP</v>
      </c>
      <c r="D801">
        <v>1</v>
      </c>
    </row>
    <row r="802" spans="1:4" x14ac:dyDescent="0.25">
      <c r="A802" t="s">
        <v>2163</v>
      </c>
      <c r="B802" t="s">
        <v>1145</v>
      </c>
      <c r="C802" t="str">
        <f t="shared" si="14"/>
        <v>EP</v>
      </c>
      <c r="D802">
        <v>1</v>
      </c>
    </row>
    <row r="803" spans="1:4" x14ac:dyDescent="0.25">
      <c r="A803" t="s">
        <v>2164</v>
      </c>
      <c r="B803" t="s">
        <v>1145</v>
      </c>
      <c r="C803" t="str">
        <f t="shared" si="14"/>
        <v>DE</v>
      </c>
      <c r="D803">
        <v>1</v>
      </c>
    </row>
    <row r="804" spans="1:4" x14ac:dyDescent="0.25">
      <c r="A804" t="s">
        <v>2164</v>
      </c>
      <c r="B804" t="s">
        <v>1145</v>
      </c>
      <c r="C804" t="str">
        <f t="shared" si="14"/>
        <v>DE</v>
      </c>
      <c r="D804">
        <v>1</v>
      </c>
    </row>
    <row r="805" spans="1:4" x14ac:dyDescent="0.25">
      <c r="A805" t="s">
        <v>2165</v>
      </c>
      <c r="B805" t="s">
        <v>1152</v>
      </c>
      <c r="C805" t="str">
        <f t="shared" si="14"/>
        <v>US</v>
      </c>
      <c r="D805">
        <v>1</v>
      </c>
    </row>
    <row r="806" spans="1:4" x14ac:dyDescent="0.25">
      <c r="A806" t="s">
        <v>2167</v>
      </c>
      <c r="B806" t="s">
        <v>1152</v>
      </c>
      <c r="C806" t="str">
        <f t="shared" si="14"/>
        <v>AU</v>
      </c>
      <c r="D806">
        <v>1</v>
      </c>
    </row>
    <row r="807" spans="1:4" x14ac:dyDescent="0.25">
      <c r="A807" t="s">
        <v>2168</v>
      </c>
      <c r="B807" t="s">
        <v>1152</v>
      </c>
      <c r="C807" t="str">
        <f t="shared" si="14"/>
        <v>JP</v>
      </c>
      <c r="D807">
        <v>1</v>
      </c>
    </row>
    <row r="808" spans="1:4" x14ac:dyDescent="0.25">
      <c r="A808" t="s">
        <v>2169</v>
      </c>
      <c r="B808" t="s">
        <v>1152</v>
      </c>
      <c r="C808" t="str">
        <f t="shared" si="14"/>
        <v>NZ</v>
      </c>
      <c r="D808">
        <v>1</v>
      </c>
    </row>
    <row r="809" spans="1:4" x14ac:dyDescent="0.25">
      <c r="A809" t="s">
        <v>2170</v>
      </c>
      <c r="B809" t="s">
        <v>1152</v>
      </c>
      <c r="C809" t="str">
        <f t="shared" si="14"/>
        <v>CA</v>
      </c>
      <c r="D809">
        <v>1</v>
      </c>
    </row>
    <row r="810" spans="1:4" x14ac:dyDescent="0.25">
      <c r="A810" t="s">
        <v>2173</v>
      </c>
      <c r="B810" t="s">
        <v>1152</v>
      </c>
      <c r="C810" t="str">
        <f t="shared" si="14"/>
        <v>EP</v>
      </c>
      <c r="D810">
        <v>1</v>
      </c>
    </row>
    <row r="811" spans="1:4" x14ac:dyDescent="0.25">
      <c r="A811" t="s">
        <v>2174</v>
      </c>
      <c r="B811" t="s">
        <v>1159</v>
      </c>
      <c r="C811" t="str">
        <f t="shared" si="14"/>
        <v>US</v>
      </c>
      <c r="D811">
        <v>1</v>
      </c>
    </row>
    <row r="812" spans="1:4" x14ac:dyDescent="0.25">
      <c r="A812" t="s">
        <v>2175</v>
      </c>
      <c r="B812" t="s">
        <v>1159</v>
      </c>
      <c r="C812" t="str">
        <f t="shared" si="14"/>
        <v>AU</v>
      </c>
      <c r="D812">
        <v>1</v>
      </c>
    </row>
    <row r="813" spans="1:4" x14ac:dyDescent="0.25">
      <c r="A813" t="s">
        <v>2176</v>
      </c>
      <c r="B813" t="s">
        <v>1159</v>
      </c>
      <c r="C813" t="str">
        <f t="shared" si="14"/>
        <v>AU</v>
      </c>
      <c r="D813">
        <v>1</v>
      </c>
    </row>
    <row r="814" spans="1:4" x14ac:dyDescent="0.25">
      <c r="A814" t="s">
        <v>2177</v>
      </c>
      <c r="B814" t="s">
        <v>1159</v>
      </c>
      <c r="C814" t="str">
        <f t="shared" si="14"/>
        <v>JP</v>
      </c>
      <c r="D814">
        <v>1</v>
      </c>
    </row>
    <row r="815" spans="1:4" x14ac:dyDescent="0.25">
      <c r="A815" t="s">
        <v>2178</v>
      </c>
      <c r="B815" t="s">
        <v>1159</v>
      </c>
      <c r="C815" t="str">
        <f t="shared" si="14"/>
        <v>CA</v>
      </c>
      <c r="D815">
        <v>1</v>
      </c>
    </row>
    <row r="816" spans="1:4" x14ac:dyDescent="0.25">
      <c r="A816" t="s">
        <v>2180</v>
      </c>
      <c r="B816" t="s">
        <v>1159</v>
      </c>
      <c r="C816" t="str">
        <f t="shared" si="14"/>
        <v>EP</v>
      </c>
      <c r="D816">
        <v>1</v>
      </c>
    </row>
    <row r="817" spans="1:4" x14ac:dyDescent="0.25">
      <c r="A817" t="s">
        <v>2180</v>
      </c>
      <c r="B817" t="s">
        <v>1159</v>
      </c>
      <c r="C817" t="str">
        <f t="shared" si="14"/>
        <v>EP</v>
      </c>
      <c r="D817">
        <v>1</v>
      </c>
    </row>
    <row r="818" spans="1:4" x14ac:dyDescent="0.25">
      <c r="A818" t="s">
        <v>2181</v>
      </c>
      <c r="B818" t="s">
        <v>1159</v>
      </c>
      <c r="C818" t="str">
        <f t="shared" si="14"/>
        <v>DE</v>
      </c>
      <c r="D818">
        <v>1</v>
      </c>
    </row>
    <row r="819" spans="1:4" x14ac:dyDescent="0.25">
      <c r="A819" t="s">
        <v>2181</v>
      </c>
      <c r="B819" t="s">
        <v>1159</v>
      </c>
      <c r="C819" t="str">
        <f t="shared" si="14"/>
        <v>DE</v>
      </c>
      <c r="D819">
        <v>1</v>
      </c>
    </row>
    <row r="820" spans="1:4" x14ac:dyDescent="0.25">
      <c r="A820" t="s">
        <v>1166</v>
      </c>
      <c r="B820" t="s">
        <v>1166</v>
      </c>
      <c r="C820" t="str">
        <f t="shared" si="14"/>
        <v>GB</v>
      </c>
      <c r="D820">
        <v>1</v>
      </c>
    </row>
    <row r="821" spans="1:4" x14ac:dyDescent="0.25">
      <c r="A821" t="s">
        <v>2182</v>
      </c>
      <c r="B821" t="s">
        <v>1166</v>
      </c>
      <c r="C821" t="str">
        <f t="shared" si="14"/>
        <v>NO</v>
      </c>
      <c r="D821">
        <v>1</v>
      </c>
    </row>
    <row r="822" spans="1:4" x14ac:dyDescent="0.25">
      <c r="A822" t="s">
        <v>2182</v>
      </c>
      <c r="B822" t="s">
        <v>1166</v>
      </c>
      <c r="C822" t="str">
        <f t="shared" si="14"/>
        <v>NO</v>
      </c>
      <c r="D822">
        <v>1</v>
      </c>
    </row>
    <row r="823" spans="1:4" x14ac:dyDescent="0.25">
      <c r="A823" t="s">
        <v>2183</v>
      </c>
      <c r="B823" t="s">
        <v>1166</v>
      </c>
      <c r="C823" t="str">
        <f t="shared" si="14"/>
        <v>NO</v>
      </c>
      <c r="D823">
        <v>1</v>
      </c>
    </row>
    <row r="824" spans="1:4" x14ac:dyDescent="0.25">
      <c r="A824" t="s">
        <v>2184</v>
      </c>
      <c r="B824" t="s">
        <v>1166</v>
      </c>
      <c r="C824" t="str">
        <f t="shared" si="14"/>
        <v>DK</v>
      </c>
      <c r="D824">
        <v>1</v>
      </c>
    </row>
    <row r="825" spans="1:4" x14ac:dyDescent="0.25">
      <c r="A825" t="s">
        <v>2184</v>
      </c>
      <c r="B825" t="s">
        <v>1166</v>
      </c>
      <c r="C825" t="str">
        <f t="shared" si="14"/>
        <v>DK</v>
      </c>
      <c r="D825">
        <v>1</v>
      </c>
    </row>
    <row r="826" spans="1:4" x14ac:dyDescent="0.25">
      <c r="A826" t="s">
        <v>2185</v>
      </c>
      <c r="B826" t="s">
        <v>1166</v>
      </c>
      <c r="C826" t="str">
        <f t="shared" si="14"/>
        <v>DK</v>
      </c>
      <c r="D826">
        <v>1</v>
      </c>
    </row>
    <row r="827" spans="1:4" x14ac:dyDescent="0.25">
      <c r="A827" t="s">
        <v>2186</v>
      </c>
      <c r="B827" t="s">
        <v>1166</v>
      </c>
      <c r="C827" t="str">
        <f t="shared" si="14"/>
        <v>CA</v>
      </c>
      <c r="D827">
        <v>1</v>
      </c>
    </row>
    <row r="828" spans="1:4" x14ac:dyDescent="0.25">
      <c r="A828" t="s">
        <v>2186</v>
      </c>
      <c r="B828" t="s">
        <v>1166</v>
      </c>
      <c r="C828" t="str">
        <f t="shared" si="14"/>
        <v>CA</v>
      </c>
      <c r="D828">
        <v>1</v>
      </c>
    </row>
    <row r="829" spans="1:4" x14ac:dyDescent="0.25">
      <c r="A829" t="s">
        <v>2188</v>
      </c>
      <c r="B829" t="s">
        <v>1166</v>
      </c>
      <c r="C829" t="str">
        <f t="shared" si="14"/>
        <v>EP</v>
      </c>
      <c r="D829">
        <v>1</v>
      </c>
    </row>
    <row r="830" spans="1:4" x14ac:dyDescent="0.25">
      <c r="A830" t="s">
        <v>2188</v>
      </c>
      <c r="B830" t="s">
        <v>1166</v>
      </c>
      <c r="C830" t="str">
        <f t="shared" si="14"/>
        <v>EP</v>
      </c>
      <c r="D830">
        <v>1</v>
      </c>
    </row>
    <row r="831" spans="1:4" x14ac:dyDescent="0.25">
      <c r="A831" t="s">
        <v>2189</v>
      </c>
      <c r="B831" t="s">
        <v>1166</v>
      </c>
      <c r="C831" t="str">
        <f t="shared" si="14"/>
        <v>AU</v>
      </c>
      <c r="D831">
        <v>1</v>
      </c>
    </row>
    <row r="832" spans="1:4" x14ac:dyDescent="0.25">
      <c r="A832" t="s">
        <v>2190</v>
      </c>
      <c r="B832" t="s">
        <v>1166</v>
      </c>
      <c r="C832" t="str">
        <f t="shared" si="14"/>
        <v>AU</v>
      </c>
      <c r="D832">
        <v>1</v>
      </c>
    </row>
    <row r="833" spans="1:4" x14ac:dyDescent="0.25">
      <c r="A833" t="s">
        <v>2191</v>
      </c>
      <c r="B833" t="s">
        <v>1166</v>
      </c>
      <c r="C833" t="str">
        <f t="shared" si="14"/>
        <v>KR</v>
      </c>
      <c r="D833">
        <v>1</v>
      </c>
    </row>
    <row r="834" spans="1:4" x14ac:dyDescent="0.25">
      <c r="A834" t="s">
        <v>2192</v>
      </c>
      <c r="B834" t="s">
        <v>1166</v>
      </c>
      <c r="C834" t="str">
        <f t="shared" si="14"/>
        <v>KR</v>
      </c>
      <c r="D834">
        <v>1</v>
      </c>
    </row>
    <row r="835" spans="1:4" x14ac:dyDescent="0.25">
      <c r="A835" t="s">
        <v>2193</v>
      </c>
      <c r="B835" t="s">
        <v>1166</v>
      </c>
      <c r="C835" t="str">
        <f t="shared" ref="C835:C898" si="16">LEFT(A835,2)</f>
        <v>KR</v>
      </c>
      <c r="D835">
        <v>1</v>
      </c>
    </row>
    <row r="836" spans="1:4" x14ac:dyDescent="0.25">
      <c r="A836" t="s">
        <v>2194</v>
      </c>
      <c r="B836" t="s">
        <v>1166</v>
      </c>
      <c r="C836" t="str">
        <f t="shared" si="16"/>
        <v>CN</v>
      </c>
      <c r="D836">
        <v>1</v>
      </c>
    </row>
    <row r="837" spans="1:4" x14ac:dyDescent="0.25">
      <c r="A837" t="s">
        <v>2195</v>
      </c>
      <c r="B837" t="s">
        <v>1166</v>
      </c>
      <c r="C837" t="str">
        <f t="shared" si="16"/>
        <v>CN</v>
      </c>
      <c r="D837">
        <v>1</v>
      </c>
    </row>
    <row r="838" spans="1:4" x14ac:dyDescent="0.25">
      <c r="A838" t="s">
        <v>2196</v>
      </c>
      <c r="B838" t="s">
        <v>1166</v>
      </c>
      <c r="C838" t="str">
        <f t="shared" si="16"/>
        <v>JP</v>
      </c>
      <c r="D838">
        <v>1</v>
      </c>
    </row>
    <row r="839" spans="1:4" x14ac:dyDescent="0.25">
      <c r="A839" t="s">
        <v>2197</v>
      </c>
      <c r="B839" t="s">
        <v>1166</v>
      </c>
      <c r="C839" t="str">
        <f t="shared" si="16"/>
        <v>JP</v>
      </c>
      <c r="D839">
        <v>1</v>
      </c>
    </row>
    <row r="840" spans="1:4" x14ac:dyDescent="0.25">
      <c r="A840" t="s">
        <v>2198</v>
      </c>
      <c r="B840" t="s">
        <v>1166</v>
      </c>
      <c r="C840" t="str">
        <f t="shared" si="16"/>
        <v>US</v>
      </c>
      <c r="D840">
        <v>1</v>
      </c>
    </row>
    <row r="841" spans="1:4" x14ac:dyDescent="0.25">
      <c r="A841" t="s">
        <v>2199</v>
      </c>
      <c r="B841" t="s">
        <v>1166</v>
      </c>
      <c r="C841" t="str">
        <f t="shared" si="16"/>
        <v>US</v>
      </c>
      <c r="D841">
        <v>1</v>
      </c>
    </row>
    <row r="842" spans="1:4" x14ac:dyDescent="0.25">
      <c r="A842" t="s">
        <v>2201</v>
      </c>
      <c r="B842" t="s">
        <v>1166</v>
      </c>
      <c r="C842" t="str">
        <f t="shared" si="16"/>
        <v>ZA</v>
      </c>
      <c r="D842">
        <v>1</v>
      </c>
    </row>
    <row r="843" spans="1:4" x14ac:dyDescent="0.25">
      <c r="A843" t="s">
        <v>2202</v>
      </c>
      <c r="B843" t="s">
        <v>1166</v>
      </c>
      <c r="C843" t="str">
        <f t="shared" si="16"/>
        <v>IN</v>
      </c>
      <c r="D843">
        <v>1</v>
      </c>
    </row>
    <row r="844" spans="1:4" x14ac:dyDescent="0.25">
      <c r="A844" t="s">
        <v>2203</v>
      </c>
      <c r="B844" t="s">
        <v>1166</v>
      </c>
      <c r="C844" t="str">
        <f t="shared" si="16"/>
        <v>AT</v>
      </c>
      <c r="D844">
        <v>1</v>
      </c>
    </row>
    <row r="845" spans="1:4" x14ac:dyDescent="0.25">
      <c r="A845" t="s">
        <v>2205</v>
      </c>
      <c r="B845" t="s">
        <v>1166</v>
      </c>
      <c r="C845" t="str">
        <f t="shared" si="16"/>
        <v>DE</v>
      </c>
      <c r="D845">
        <v>1</v>
      </c>
    </row>
    <row r="846" spans="1:4" x14ac:dyDescent="0.25">
      <c r="A846" t="s">
        <v>2205</v>
      </c>
      <c r="B846" t="s">
        <v>1166</v>
      </c>
      <c r="C846" t="str">
        <f t="shared" si="16"/>
        <v>DE</v>
      </c>
      <c r="D846">
        <v>1</v>
      </c>
    </row>
    <row r="847" spans="1:4" x14ac:dyDescent="0.25">
      <c r="A847" t="s">
        <v>2206</v>
      </c>
      <c r="B847" t="s">
        <v>1166</v>
      </c>
      <c r="C847" t="str">
        <f t="shared" si="16"/>
        <v>GR</v>
      </c>
      <c r="D847">
        <v>1</v>
      </c>
    </row>
    <row r="848" spans="1:4" x14ac:dyDescent="0.25">
      <c r="A848" t="s">
        <v>2207</v>
      </c>
      <c r="B848" t="s">
        <v>1166</v>
      </c>
      <c r="C848" t="str">
        <f t="shared" si="16"/>
        <v>ES</v>
      </c>
      <c r="D848">
        <v>1</v>
      </c>
    </row>
    <row r="849" spans="1:4" x14ac:dyDescent="0.25">
      <c r="A849" t="s">
        <v>2208</v>
      </c>
      <c r="B849" t="s">
        <v>1166</v>
      </c>
      <c r="C849" t="str">
        <f t="shared" si="16"/>
        <v>RU</v>
      </c>
      <c r="D849">
        <v>1</v>
      </c>
    </row>
    <row r="850" spans="1:4" x14ac:dyDescent="0.25">
      <c r="A850" t="s">
        <v>2209</v>
      </c>
      <c r="B850" t="s">
        <v>1166</v>
      </c>
      <c r="C850" t="str">
        <f t="shared" si="16"/>
        <v>SU</v>
      </c>
      <c r="D850">
        <v>1</v>
      </c>
    </row>
    <row r="851" spans="1:4" x14ac:dyDescent="0.25">
      <c r="A851" t="s">
        <v>1174</v>
      </c>
      <c r="B851" t="s">
        <v>1174</v>
      </c>
      <c r="C851" t="str">
        <f t="shared" si="16"/>
        <v>CA</v>
      </c>
      <c r="D851">
        <v>1</v>
      </c>
    </row>
    <row r="852" spans="1:4" x14ac:dyDescent="0.25">
      <c r="A852" t="s">
        <v>2211</v>
      </c>
      <c r="B852" t="s">
        <v>1174</v>
      </c>
      <c r="C852" t="str">
        <f t="shared" si="16"/>
        <v>EP</v>
      </c>
      <c r="D852">
        <v>1</v>
      </c>
    </row>
    <row r="853" spans="1:4" x14ac:dyDescent="0.25">
      <c r="A853" t="s">
        <v>2211</v>
      </c>
      <c r="B853" t="s">
        <v>1174</v>
      </c>
      <c r="C853" t="str">
        <f t="shared" si="16"/>
        <v>EP</v>
      </c>
      <c r="D853">
        <v>1</v>
      </c>
    </row>
    <row r="854" spans="1:4" x14ac:dyDescent="0.25">
      <c r="A854" t="s">
        <v>2212</v>
      </c>
      <c r="B854" t="s">
        <v>1174</v>
      </c>
      <c r="C854" t="str">
        <f t="shared" si="16"/>
        <v>AU</v>
      </c>
      <c r="D854">
        <v>1</v>
      </c>
    </row>
    <row r="855" spans="1:4" x14ac:dyDescent="0.25">
      <c r="A855" t="s">
        <v>2213</v>
      </c>
      <c r="B855" t="s">
        <v>1174</v>
      </c>
      <c r="C855" t="str">
        <f t="shared" si="16"/>
        <v>AU</v>
      </c>
      <c r="D855">
        <v>1</v>
      </c>
    </row>
    <row r="856" spans="1:4" x14ac:dyDescent="0.25">
      <c r="A856" t="s">
        <v>2214</v>
      </c>
      <c r="B856" t="s">
        <v>1174</v>
      </c>
      <c r="C856" t="str">
        <f t="shared" si="16"/>
        <v>US</v>
      </c>
      <c r="D856">
        <v>1</v>
      </c>
    </row>
    <row r="857" spans="1:4" x14ac:dyDescent="0.25">
      <c r="A857" t="s">
        <v>2216</v>
      </c>
      <c r="B857" t="s">
        <v>1174</v>
      </c>
      <c r="C857" t="str">
        <f t="shared" si="16"/>
        <v>JP</v>
      </c>
      <c r="D857">
        <v>1</v>
      </c>
    </row>
    <row r="858" spans="1:4" x14ac:dyDescent="0.25">
      <c r="A858" t="s">
        <v>2217</v>
      </c>
      <c r="B858" t="s">
        <v>1174</v>
      </c>
      <c r="C858" t="str">
        <f t="shared" si="16"/>
        <v>DE</v>
      </c>
      <c r="D858">
        <v>1</v>
      </c>
    </row>
    <row r="859" spans="1:4" x14ac:dyDescent="0.25">
      <c r="A859" t="s">
        <v>2217</v>
      </c>
      <c r="B859" t="s">
        <v>1174</v>
      </c>
      <c r="C859" t="str">
        <f t="shared" si="16"/>
        <v>DE</v>
      </c>
      <c r="D859">
        <v>1</v>
      </c>
    </row>
    <row r="860" spans="1:4" x14ac:dyDescent="0.25">
      <c r="A860" t="s">
        <v>2218</v>
      </c>
      <c r="B860" t="s">
        <v>1181</v>
      </c>
      <c r="C860" t="str">
        <f t="shared" si="16"/>
        <v>US</v>
      </c>
      <c r="D860">
        <v>1</v>
      </c>
    </row>
    <row r="861" spans="1:4" x14ac:dyDescent="0.25">
      <c r="A861" t="s">
        <v>2219</v>
      </c>
      <c r="B861" t="s">
        <v>1181</v>
      </c>
      <c r="C861" t="str">
        <f t="shared" si="16"/>
        <v>AU</v>
      </c>
      <c r="D861">
        <v>1</v>
      </c>
    </row>
    <row r="862" spans="1:4" x14ac:dyDescent="0.25">
      <c r="A862" t="s">
        <v>2220</v>
      </c>
      <c r="B862" t="s">
        <v>1181</v>
      </c>
      <c r="C862" t="str">
        <f t="shared" si="16"/>
        <v>AU</v>
      </c>
      <c r="D862">
        <v>1</v>
      </c>
    </row>
    <row r="863" spans="1:4" x14ac:dyDescent="0.25">
      <c r="A863" t="s">
        <v>2221</v>
      </c>
      <c r="B863" t="s">
        <v>1181</v>
      </c>
      <c r="C863" t="str">
        <f t="shared" si="16"/>
        <v>NZ</v>
      </c>
      <c r="D863">
        <v>1</v>
      </c>
    </row>
    <row r="864" spans="1:4" x14ac:dyDescent="0.25">
      <c r="A864" t="s">
        <v>2222</v>
      </c>
      <c r="B864" t="s">
        <v>1181</v>
      </c>
      <c r="C864" t="str">
        <f t="shared" si="16"/>
        <v>DD</v>
      </c>
      <c r="D864">
        <v>1</v>
      </c>
    </row>
    <row r="865" spans="1:4" x14ac:dyDescent="0.25">
      <c r="A865" t="s">
        <v>2224</v>
      </c>
      <c r="B865" t="s">
        <v>1187</v>
      </c>
      <c r="C865" t="str">
        <f t="shared" si="16"/>
        <v>US</v>
      </c>
      <c r="D865">
        <v>1</v>
      </c>
    </row>
    <row r="866" spans="1:4" x14ac:dyDescent="0.25">
      <c r="A866" t="s">
        <v>2225</v>
      </c>
      <c r="B866" t="s">
        <v>1187</v>
      </c>
      <c r="C866" t="str">
        <f t="shared" si="16"/>
        <v>AU</v>
      </c>
      <c r="D866">
        <v>1</v>
      </c>
    </row>
    <row r="867" spans="1:4" x14ac:dyDescent="0.25">
      <c r="A867" t="s">
        <v>2226</v>
      </c>
      <c r="B867" t="s">
        <v>1187</v>
      </c>
      <c r="C867" t="str">
        <f t="shared" si="16"/>
        <v>AU</v>
      </c>
      <c r="D867">
        <v>1</v>
      </c>
    </row>
    <row r="868" spans="1:4" x14ac:dyDescent="0.25">
      <c r="A868" t="s">
        <v>2227</v>
      </c>
      <c r="B868" t="s">
        <v>1187</v>
      </c>
      <c r="C868" t="str">
        <f t="shared" si="16"/>
        <v>NZ</v>
      </c>
      <c r="D868">
        <v>1</v>
      </c>
    </row>
    <row r="869" spans="1:4" x14ac:dyDescent="0.25">
      <c r="A869" t="s">
        <v>2228</v>
      </c>
      <c r="B869" t="s">
        <v>1187</v>
      </c>
      <c r="C869" t="str">
        <f t="shared" si="16"/>
        <v>AR</v>
      </c>
      <c r="D869">
        <v>1</v>
      </c>
    </row>
    <row r="870" spans="1:4" x14ac:dyDescent="0.25">
      <c r="A870" t="s">
        <v>2229</v>
      </c>
      <c r="B870" t="s">
        <v>1187</v>
      </c>
      <c r="C870" t="str">
        <f t="shared" si="16"/>
        <v>DD</v>
      </c>
      <c r="D870">
        <v>1</v>
      </c>
    </row>
    <row r="871" spans="1:4" x14ac:dyDescent="0.25">
      <c r="A871" t="s">
        <v>1190</v>
      </c>
      <c r="B871" t="s">
        <v>1191</v>
      </c>
      <c r="C871" t="str">
        <f t="shared" si="16"/>
        <v>US</v>
      </c>
      <c r="D871">
        <v>1</v>
      </c>
    </row>
    <row r="872" spans="1:4" x14ac:dyDescent="0.25">
      <c r="A872" t="s">
        <v>2230</v>
      </c>
      <c r="B872" t="s">
        <v>1196</v>
      </c>
      <c r="C872" t="str">
        <f t="shared" si="16"/>
        <v>US</v>
      </c>
      <c r="D872">
        <v>1</v>
      </c>
    </row>
    <row r="873" spans="1:4" x14ac:dyDescent="0.25">
      <c r="A873" t="s">
        <v>2232</v>
      </c>
      <c r="B873" t="s">
        <v>1196</v>
      </c>
      <c r="C873" t="str">
        <f t="shared" si="16"/>
        <v>CA</v>
      </c>
      <c r="D873">
        <v>1</v>
      </c>
    </row>
    <row r="874" spans="1:4" x14ac:dyDescent="0.25">
      <c r="A874" t="s">
        <v>2234</v>
      </c>
      <c r="B874" t="s">
        <v>1203</v>
      </c>
      <c r="C874" t="str">
        <f t="shared" si="16"/>
        <v>US</v>
      </c>
      <c r="D874">
        <v>1</v>
      </c>
    </row>
    <row r="875" spans="1:4" x14ac:dyDescent="0.25">
      <c r="A875" t="s">
        <v>2236</v>
      </c>
      <c r="B875" t="s">
        <v>1203</v>
      </c>
      <c r="C875" t="str">
        <f t="shared" si="16"/>
        <v>JP</v>
      </c>
      <c r="D875">
        <v>1</v>
      </c>
    </row>
    <row r="876" spans="1:4" x14ac:dyDescent="0.25">
      <c r="A876" t="s">
        <v>2237</v>
      </c>
      <c r="B876" t="s">
        <v>1203</v>
      </c>
      <c r="C876" t="str">
        <f t="shared" si="16"/>
        <v>AU</v>
      </c>
      <c r="D876">
        <v>1</v>
      </c>
    </row>
    <row r="877" spans="1:4" x14ac:dyDescent="0.25">
      <c r="A877" t="s">
        <v>2239</v>
      </c>
      <c r="B877" t="s">
        <v>1203</v>
      </c>
      <c r="C877" t="str">
        <f t="shared" si="16"/>
        <v>AU</v>
      </c>
      <c r="D877">
        <v>1</v>
      </c>
    </row>
    <row r="878" spans="1:4" x14ac:dyDescent="0.25">
      <c r="A878" t="s">
        <v>2240</v>
      </c>
      <c r="B878" t="s">
        <v>1203</v>
      </c>
      <c r="C878" t="str">
        <f t="shared" si="16"/>
        <v>US</v>
      </c>
      <c r="D878">
        <v>1</v>
      </c>
    </row>
    <row r="879" spans="1:4" x14ac:dyDescent="0.25">
      <c r="A879" t="s">
        <v>2242</v>
      </c>
      <c r="B879" t="s">
        <v>1203</v>
      </c>
      <c r="C879" t="str">
        <f t="shared" si="16"/>
        <v>CA</v>
      </c>
      <c r="D879">
        <v>1</v>
      </c>
    </row>
    <row r="880" spans="1:4" x14ac:dyDescent="0.25">
      <c r="A880" t="s">
        <v>2242</v>
      </c>
      <c r="B880" t="s">
        <v>1203</v>
      </c>
      <c r="C880" t="str">
        <f t="shared" si="16"/>
        <v>CA</v>
      </c>
      <c r="D880">
        <v>1</v>
      </c>
    </row>
    <row r="881" spans="1:4" x14ac:dyDescent="0.25">
      <c r="A881" t="s">
        <v>2243</v>
      </c>
      <c r="B881" t="s">
        <v>1203</v>
      </c>
      <c r="C881" t="str">
        <f t="shared" si="16"/>
        <v>EP</v>
      </c>
      <c r="D881">
        <v>1</v>
      </c>
    </row>
    <row r="882" spans="1:4" x14ac:dyDescent="0.25">
      <c r="A882" t="s">
        <v>2243</v>
      </c>
      <c r="B882" t="s">
        <v>1203</v>
      </c>
      <c r="C882" t="str">
        <f t="shared" si="16"/>
        <v>EP</v>
      </c>
      <c r="D882">
        <v>1</v>
      </c>
    </row>
    <row r="883" spans="1:4" x14ac:dyDescent="0.25">
      <c r="A883" t="s">
        <v>2243</v>
      </c>
      <c r="B883" t="s">
        <v>1203</v>
      </c>
      <c r="C883" t="str">
        <f t="shared" si="16"/>
        <v>EP</v>
      </c>
      <c r="D883">
        <v>1</v>
      </c>
    </row>
    <row r="884" spans="1:4" x14ac:dyDescent="0.25">
      <c r="A884" t="s">
        <v>2244</v>
      </c>
      <c r="B884" t="s">
        <v>1203</v>
      </c>
      <c r="C884" t="str">
        <f t="shared" si="16"/>
        <v>ZA</v>
      </c>
      <c r="D884">
        <v>1</v>
      </c>
    </row>
    <row r="885" spans="1:4" x14ac:dyDescent="0.25">
      <c r="A885" t="s">
        <v>2245</v>
      </c>
      <c r="B885" t="s">
        <v>1203</v>
      </c>
      <c r="C885" t="str">
        <f t="shared" si="16"/>
        <v>DE</v>
      </c>
      <c r="D885">
        <v>1</v>
      </c>
    </row>
    <row r="886" spans="1:4" x14ac:dyDescent="0.25">
      <c r="A886" t="s">
        <v>1211</v>
      </c>
      <c r="B886" t="s">
        <v>1211</v>
      </c>
      <c r="C886" t="str">
        <f t="shared" si="16"/>
        <v>EP</v>
      </c>
      <c r="D886">
        <v>1</v>
      </c>
    </row>
    <row r="887" spans="1:4" x14ac:dyDescent="0.25">
      <c r="A887" t="s">
        <v>1211</v>
      </c>
      <c r="B887" t="s">
        <v>1211</v>
      </c>
      <c r="C887" t="str">
        <f t="shared" si="16"/>
        <v>EP</v>
      </c>
      <c r="D887">
        <v>1</v>
      </c>
    </row>
    <row r="888" spans="1:4" x14ac:dyDescent="0.25">
      <c r="A888" t="s">
        <v>1211</v>
      </c>
      <c r="B888" t="s">
        <v>1211</v>
      </c>
      <c r="C888" t="str">
        <f t="shared" si="16"/>
        <v>EP</v>
      </c>
      <c r="D888">
        <v>1</v>
      </c>
    </row>
    <row r="889" spans="1:4" x14ac:dyDescent="0.25">
      <c r="A889" t="s">
        <v>2247</v>
      </c>
      <c r="B889" t="s">
        <v>1211</v>
      </c>
      <c r="C889" t="str">
        <f t="shared" si="16"/>
        <v>US</v>
      </c>
      <c r="D889">
        <v>1</v>
      </c>
    </row>
    <row r="890" spans="1:4" x14ac:dyDescent="0.25">
      <c r="A890" t="s">
        <v>2250</v>
      </c>
      <c r="B890" t="s">
        <v>1211</v>
      </c>
      <c r="C890" t="str">
        <f t="shared" si="16"/>
        <v>DE</v>
      </c>
      <c r="D890">
        <v>1</v>
      </c>
    </row>
    <row r="891" spans="1:4" x14ac:dyDescent="0.25">
      <c r="A891" t="s">
        <v>1219</v>
      </c>
      <c r="B891" t="s">
        <v>1219</v>
      </c>
      <c r="C891" t="str">
        <f t="shared" si="16"/>
        <v>AU</v>
      </c>
      <c r="D891">
        <v>1</v>
      </c>
    </row>
    <row r="892" spans="1:4" x14ac:dyDescent="0.25">
      <c r="A892" t="s">
        <v>2252</v>
      </c>
      <c r="B892" t="s">
        <v>1219</v>
      </c>
      <c r="C892" t="str">
        <f t="shared" si="16"/>
        <v>AU</v>
      </c>
      <c r="D892">
        <v>1</v>
      </c>
    </row>
    <row r="893" spans="1:4" x14ac:dyDescent="0.25">
      <c r="A893" t="s">
        <v>2253</v>
      </c>
      <c r="B893" t="s">
        <v>1219</v>
      </c>
      <c r="C893" t="str">
        <f t="shared" si="16"/>
        <v>JP</v>
      </c>
      <c r="D893">
        <v>1</v>
      </c>
    </row>
    <row r="894" spans="1:4" x14ac:dyDescent="0.25">
      <c r="A894" t="s">
        <v>2254</v>
      </c>
      <c r="B894" t="s">
        <v>1219</v>
      </c>
      <c r="C894" t="str">
        <f t="shared" si="16"/>
        <v>JP</v>
      </c>
      <c r="D894">
        <v>1</v>
      </c>
    </row>
    <row r="895" spans="1:4" x14ac:dyDescent="0.25">
      <c r="A895" t="s">
        <v>2255</v>
      </c>
      <c r="B895" t="s">
        <v>1219</v>
      </c>
      <c r="C895" t="str">
        <f t="shared" si="16"/>
        <v>JP</v>
      </c>
      <c r="D895">
        <v>1</v>
      </c>
    </row>
    <row r="896" spans="1:4" x14ac:dyDescent="0.25">
      <c r="A896" t="s">
        <v>2256</v>
      </c>
      <c r="B896" t="s">
        <v>1219</v>
      </c>
      <c r="C896" t="str">
        <f t="shared" si="16"/>
        <v>US</v>
      </c>
      <c r="D896">
        <v>1</v>
      </c>
    </row>
    <row r="897" spans="1:4" x14ac:dyDescent="0.25">
      <c r="A897" t="s">
        <v>2259</v>
      </c>
      <c r="B897" t="s">
        <v>1219</v>
      </c>
      <c r="C897" t="str">
        <f t="shared" si="16"/>
        <v>CA</v>
      </c>
      <c r="D897">
        <v>1</v>
      </c>
    </row>
    <row r="898" spans="1:4" x14ac:dyDescent="0.25">
      <c r="A898" t="s">
        <v>2261</v>
      </c>
      <c r="B898" t="s">
        <v>1219</v>
      </c>
      <c r="C898" t="str">
        <f t="shared" si="16"/>
        <v>EP</v>
      </c>
      <c r="D898">
        <v>1</v>
      </c>
    </row>
    <row r="899" spans="1:4" x14ac:dyDescent="0.25">
      <c r="A899" t="s">
        <v>2261</v>
      </c>
      <c r="B899" t="s">
        <v>1219</v>
      </c>
      <c r="C899" t="str">
        <f t="shared" ref="C899:C962" si="17">LEFT(A899,2)</f>
        <v>EP</v>
      </c>
      <c r="D899">
        <v>1</v>
      </c>
    </row>
    <row r="900" spans="1:4" x14ac:dyDescent="0.25">
      <c r="A900" t="s">
        <v>2261</v>
      </c>
      <c r="B900" t="s">
        <v>1219</v>
      </c>
      <c r="C900" t="str">
        <f t="shared" si="17"/>
        <v>EP</v>
      </c>
      <c r="D900">
        <v>1</v>
      </c>
    </row>
    <row r="901" spans="1:4" x14ac:dyDescent="0.25">
      <c r="A901" t="s">
        <v>2262</v>
      </c>
      <c r="B901" t="s">
        <v>1219</v>
      </c>
      <c r="C901" t="str">
        <f t="shared" si="17"/>
        <v>ZA</v>
      </c>
      <c r="D901">
        <v>1</v>
      </c>
    </row>
    <row r="902" spans="1:4" x14ac:dyDescent="0.25">
      <c r="A902" t="s">
        <v>2263</v>
      </c>
      <c r="B902" t="s">
        <v>1219</v>
      </c>
      <c r="C902" t="str">
        <f t="shared" si="17"/>
        <v>DE</v>
      </c>
      <c r="D902">
        <v>1</v>
      </c>
    </row>
    <row r="903" spans="1:4" x14ac:dyDescent="0.25">
      <c r="A903" t="s">
        <v>1227</v>
      </c>
      <c r="B903" t="s">
        <v>1227</v>
      </c>
      <c r="C903" t="str">
        <f t="shared" si="17"/>
        <v>NO</v>
      </c>
      <c r="D903">
        <v>1</v>
      </c>
    </row>
    <row r="904" spans="1:4" x14ac:dyDescent="0.25">
      <c r="A904" t="s">
        <v>2265</v>
      </c>
      <c r="B904" t="s">
        <v>1227</v>
      </c>
      <c r="C904" t="str">
        <f t="shared" si="17"/>
        <v>NO</v>
      </c>
      <c r="D904">
        <v>1</v>
      </c>
    </row>
    <row r="905" spans="1:4" x14ac:dyDescent="0.25">
      <c r="A905" t="s">
        <v>2265</v>
      </c>
      <c r="B905" t="s">
        <v>1227</v>
      </c>
      <c r="C905" t="str">
        <f t="shared" si="17"/>
        <v>NO</v>
      </c>
      <c r="D905">
        <v>1</v>
      </c>
    </row>
    <row r="906" spans="1:4" x14ac:dyDescent="0.25">
      <c r="A906" t="s">
        <v>2266</v>
      </c>
      <c r="B906" t="s">
        <v>1227</v>
      </c>
      <c r="C906" t="str">
        <f t="shared" si="17"/>
        <v>NZ</v>
      </c>
      <c r="D906">
        <v>1</v>
      </c>
    </row>
    <row r="907" spans="1:4" x14ac:dyDescent="0.25">
      <c r="A907" t="s">
        <v>2267</v>
      </c>
      <c r="B907" t="s">
        <v>1227</v>
      </c>
      <c r="C907" t="str">
        <f t="shared" si="17"/>
        <v>EP</v>
      </c>
      <c r="D907">
        <v>1</v>
      </c>
    </row>
    <row r="908" spans="1:4" x14ac:dyDescent="0.25">
      <c r="A908" t="s">
        <v>2267</v>
      </c>
      <c r="B908" t="s">
        <v>1227</v>
      </c>
      <c r="C908" t="str">
        <f t="shared" si="17"/>
        <v>EP</v>
      </c>
      <c r="D908">
        <v>1</v>
      </c>
    </row>
    <row r="909" spans="1:4" x14ac:dyDescent="0.25">
      <c r="A909" t="s">
        <v>2267</v>
      </c>
      <c r="B909" t="s">
        <v>1227</v>
      </c>
      <c r="C909" t="str">
        <f t="shared" si="17"/>
        <v>EP</v>
      </c>
      <c r="D909">
        <v>1</v>
      </c>
    </row>
    <row r="910" spans="1:4" x14ac:dyDescent="0.25">
      <c r="A910" t="s">
        <v>2268</v>
      </c>
      <c r="B910" t="s">
        <v>1227</v>
      </c>
      <c r="C910" t="str">
        <f t="shared" si="17"/>
        <v>ES</v>
      </c>
      <c r="D910">
        <v>1</v>
      </c>
    </row>
    <row r="911" spans="1:4" x14ac:dyDescent="0.25">
      <c r="A911" t="s">
        <v>2270</v>
      </c>
      <c r="B911" t="s">
        <v>1227</v>
      </c>
      <c r="C911" t="str">
        <f t="shared" si="17"/>
        <v>ES</v>
      </c>
      <c r="D911">
        <v>1</v>
      </c>
    </row>
    <row r="912" spans="1:4" x14ac:dyDescent="0.25">
      <c r="A912" t="s">
        <v>2271</v>
      </c>
      <c r="B912" t="s">
        <v>1227</v>
      </c>
      <c r="C912" t="str">
        <f t="shared" si="17"/>
        <v>AT</v>
      </c>
      <c r="D912">
        <v>1</v>
      </c>
    </row>
    <row r="913" spans="1:4" x14ac:dyDescent="0.25">
      <c r="A913" t="s">
        <v>2273</v>
      </c>
      <c r="B913" t="s">
        <v>1227</v>
      </c>
      <c r="C913" t="str">
        <f t="shared" si="17"/>
        <v>DE</v>
      </c>
      <c r="D913">
        <v>1</v>
      </c>
    </row>
    <row r="914" spans="1:4" x14ac:dyDescent="0.25">
      <c r="A914" t="s">
        <v>1233</v>
      </c>
      <c r="B914" t="s">
        <v>1233</v>
      </c>
      <c r="C914" t="str">
        <f t="shared" si="17"/>
        <v>DE</v>
      </c>
      <c r="D914">
        <v>1</v>
      </c>
    </row>
    <row r="915" spans="1:4" x14ac:dyDescent="0.25">
      <c r="A915" t="s">
        <v>1240</v>
      </c>
      <c r="B915" t="s">
        <v>1240</v>
      </c>
      <c r="C915" t="str">
        <f t="shared" si="17"/>
        <v>EP</v>
      </c>
      <c r="D915">
        <v>1</v>
      </c>
    </row>
    <row r="916" spans="1:4" x14ac:dyDescent="0.25">
      <c r="A916" t="s">
        <v>1240</v>
      </c>
      <c r="B916" t="s">
        <v>1240</v>
      </c>
      <c r="C916" t="str">
        <f t="shared" si="17"/>
        <v>EP</v>
      </c>
      <c r="D916">
        <v>1</v>
      </c>
    </row>
    <row r="917" spans="1:4" x14ac:dyDescent="0.25">
      <c r="A917" t="s">
        <v>2276</v>
      </c>
      <c r="B917" t="s">
        <v>1240</v>
      </c>
      <c r="C917" t="str">
        <f t="shared" si="17"/>
        <v>JP</v>
      </c>
      <c r="D917">
        <v>1</v>
      </c>
    </row>
    <row r="918" spans="1:4" x14ac:dyDescent="0.25">
      <c r="A918" t="s">
        <v>2277</v>
      </c>
      <c r="B918" t="s">
        <v>1240</v>
      </c>
      <c r="C918" t="str">
        <f t="shared" si="17"/>
        <v>JP</v>
      </c>
      <c r="D918">
        <v>1</v>
      </c>
    </row>
    <row r="919" spans="1:4" x14ac:dyDescent="0.25">
      <c r="A919" t="s">
        <v>2278</v>
      </c>
      <c r="B919" t="s">
        <v>1240</v>
      </c>
      <c r="C919" t="str">
        <f t="shared" si="17"/>
        <v>JP</v>
      </c>
      <c r="D919">
        <v>1</v>
      </c>
    </row>
    <row r="920" spans="1:4" x14ac:dyDescent="0.25">
      <c r="A920" t="s">
        <v>2279</v>
      </c>
      <c r="B920" t="s">
        <v>1240</v>
      </c>
      <c r="C920" t="str">
        <f t="shared" si="17"/>
        <v>US</v>
      </c>
      <c r="D920">
        <v>1</v>
      </c>
    </row>
    <row r="921" spans="1:4" x14ac:dyDescent="0.25">
      <c r="A921" t="s">
        <v>2280</v>
      </c>
      <c r="B921" t="s">
        <v>1240</v>
      </c>
      <c r="C921" t="str">
        <f t="shared" si="17"/>
        <v>DE</v>
      </c>
      <c r="D921">
        <v>1</v>
      </c>
    </row>
    <row r="922" spans="1:4" x14ac:dyDescent="0.25">
      <c r="A922" t="s">
        <v>1247</v>
      </c>
      <c r="B922" t="s">
        <v>1247</v>
      </c>
      <c r="C922" t="str">
        <f t="shared" si="17"/>
        <v>GB</v>
      </c>
      <c r="D922">
        <v>1</v>
      </c>
    </row>
    <row r="923" spans="1:4" x14ac:dyDescent="0.25">
      <c r="A923" t="s">
        <v>2283</v>
      </c>
      <c r="B923" t="s">
        <v>1247</v>
      </c>
      <c r="C923" t="str">
        <f t="shared" si="17"/>
        <v>GB</v>
      </c>
      <c r="D923">
        <v>1</v>
      </c>
    </row>
    <row r="924" spans="1:4" x14ac:dyDescent="0.25">
      <c r="A924" t="s">
        <v>2283</v>
      </c>
      <c r="B924" t="s">
        <v>1247</v>
      </c>
      <c r="C924" t="str">
        <f t="shared" si="17"/>
        <v>GB</v>
      </c>
      <c r="D924">
        <v>1</v>
      </c>
    </row>
    <row r="925" spans="1:4" x14ac:dyDescent="0.25">
      <c r="A925" t="s">
        <v>2284</v>
      </c>
      <c r="B925" t="s">
        <v>1247</v>
      </c>
      <c r="C925" t="str">
        <f t="shared" si="17"/>
        <v>JP</v>
      </c>
      <c r="D925">
        <v>1</v>
      </c>
    </row>
    <row r="926" spans="1:4" x14ac:dyDescent="0.25">
      <c r="A926" t="s">
        <v>2286</v>
      </c>
      <c r="B926" t="s">
        <v>1247</v>
      </c>
      <c r="C926" t="str">
        <f t="shared" si="17"/>
        <v>JP</v>
      </c>
      <c r="D926">
        <v>1</v>
      </c>
    </row>
    <row r="927" spans="1:4" x14ac:dyDescent="0.25">
      <c r="A927" t="s">
        <v>2287</v>
      </c>
      <c r="B927" t="s">
        <v>1247</v>
      </c>
      <c r="C927" t="str">
        <f t="shared" si="17"/>
        <v>JP</v>
      </c>
      <c r="D927">
        <v>1</v>
      </c>
    </row>
    <row r="928" spans="1:4" x14ac:dyDescent="0.25">
      <c r="A928" t="s">
        <v>2288</v>
      </c>
      <c r="B928" t="s">
        <v>1247</v>
      </c>
      <c r="C928" t="str">
        <f t="shared" si="17"/>
        <v>AU</v>
      </c>
      <c r="D928">
        <v>1</v>
      </c>
    </row>
    <row r="929" spans="1:4" x14ac:dyDescent="0.25">
      <c r="A929" t="s">
        <v>2289</v>
      </c>
      <c r="B929" t="s">
        <v>1247</v>
      </c>
      <c r="C929" t="str">
        <f t="shared" si="17"/>
        <v>AU</v>
      </c>
      <c r="D929">
        <v>1</v>
      </c>
    </row>
    <row r="930" spans="1:4" x14ac:dyDescent="0.25">
      <c r="A930" t="s">
        <v>2290</v>
      </c>
      <c r="B930" t="s">
        <v>1247</v>
      </c>
      <c r="C930" t="str">
        <f t="shared" si="17"/>
        <v>JP</v>
      </c>
      <c r="D930">
        <v>1</v>
      </c>
    </row>
    <row r="931" spans="1:4" x14ac:dyDescent="0.25">
      <c r="A931" t="s">
        <v>2293</v>
      </c>
      <c r="B931" t="s">
        <v>1247</v>
      </c>
      <c r="C931" t="str">
        <f t="shared" si="17"/>
        <v>JP</v>
      </c>
      <c r="D931">
        <v>1</v>
      </c>
    </row>
    <row r="932" spans="1:4" x14ac:dyDescent="0.25">
      <c r="A932" t="s">
        <v>2295</v>
      </c>
      <c r="B932" t="s">
        <v>1247</v>
      </c>
      <c r="C932" t="str">
        <f t="shared" si="17"/>
        <v>JP</v>
      </c>
      <c r="D932">
        <v>1</v>
      </c>
    </row>
    <row r="933" spans="1:4" x14ac:dyDescent="0.25">
      <c r="A933" t="s">
        <v>2296</v>
      </c>
      <c r="B933" t="s">
        <v>1247</v>
      </c>
      <c r="C933" t="str">
        <f t="shared" si="17"/>
        <v>CA</v>
      </c>
      <c r="D933">
        <v>1</v>
      </c>
    </row>
    <row r="934" spans="1:4" x14ac:dyDescent="0.25">
      <c r="A934" t="s">
        <v>2297</v>
      </c>
      <c r="B934" t="s">
        <v>1247</v>
      </c>
      <c r="C934" t="str">
        <f t="shared" si="17"/>
        <v>US</v>
      </c>
      <c r="D934">
        <v>1</v>
      </c>
    </row>
    <row r="935" spans="1:4" x14ac:dyDescent="0.25">
      <c r="A935" t="s">
        <v>2300</v>
      </c>
      <c r="B935" t="s">
        <v>1247</v>
      </c>
      <c r="C935" t="str">
        <f t="shared" si="17"/>
        <v>DE</v>
      </c>
      <c r="D935">
        <v>1</v>
      </c>
    </row>
    <row r="936" spans="1:4" x14ac:dyDescent="0.25">
      <c r="A936" t="s">
        <v>2300</v>
      </c>
      <c r="B936" t="s">
        <v>1247</v>
      </c>
      <c r="C936" t="str">
        <f t="shared" si="17"/>
        <v>DE</v>
      </c>
      <c r="D936">
        <v>1</v>
      </c>
    </row>
    <row r="937" spans="1:4" x14ac:dyDescent="0.25">
      <c r="A937" t="s">
        <v>1256</v>
      </c>
      <c r="B937" t="s">
        <v>1256</v>
      </c>
      <c r="C937" t="str">
        <f t="shared" si="17"/>
        <v>DD</v>
      </c>
      <c r="D937">
        <v>1</v>
      </c>
    </row>
    <row r="938" spans="1:4" x14ac:dyDescent="0.25">
      <c r="A938" t="s">
        <v>2303</v>
      </c>
      <c r="B938" t="s">
        <v>1256</v>
      </c>
      <c r="C938" t="str">
        <f t="shared" si="17"/>
        <v>CS</v>
      </c>
      <c r="D938">
        <v>1</v>
      </c>
    </row>
    <row r="939" spans="1:4" x14ac:dyDescent="0.25">
      <c r="A939" t="s">
        <v>2305</v>
      </c>
      <c r="B939" t="s">
        <v>1263</v>
      </c>
      <c r="C939" t="str">
        <f t="shared" si="17"/>
        <v>US</v>
      </c>
      <c r="D939">
        <v>1</v>
      </c>
    </row>
    <row r="940" spans="1:4" x14ac:dyDescent="0.25">
      <c r="A940" t="s">
        <v>2307</v>
      </c>
      <c r="B940" t="s">
        <v>1263</v>
      </c>
      <c r="C940" t="str">
        <f t="shared" si="17"/>
        <v>US</v>
      </c>
      <c r="D940">
        <v>1</v>
      </c>
    </row>
    <row r="941" spans="1:4" x14ac:dyDescent="0.25">
      <c r="A941" t="s">
        <v>2309</v>
      </c>
      <c r="B941" t="s">
        <v>1263</v>
      </c>
      <c r="C941" t="str">
        <f t="shared" si="17"/>
        <v>AU</v>
      </c>
      <c r="D941">
        <v>1</v>
      </c>
    </row>
    <row r="942" spans="1:4" x14ac:dyDescent="0.25">
      <c r="A942" t="s">
        <v>2311</v>
      </c>
      <c r="B942" t="s">
        <v>1263</v>
      </c>
      <c r="C942" t="str">
        <f t="shared" si="17"/>
        <v>AU</v>
      </c>
      <c r="D942">
        <v>1</v>
      </c>
    </row>
    <row r="943" spans="1:4" x14ac:dyDescent="0.25">
      <c r="A943" t="s">
        <v>2312</v>
      </c>
      <c r="B943" t="s">
        <v>1263</v>
      </c>
      <c r="C943" t="str">
        <f t="shared" si="17"/>
        <v>JP</v>
      </c>
      <c r="D943">
        <v>1</v>
      </c>
    </row>
    <row r="944" spans="1:4" x14ac:dyDescent="0.25">
      <c r="A944" t="s">
        <v>2313</v>
      </c>
      <c r="B944" t="s">
        <v>1263</v>
      </c>
      <c r="C944" t="str">
        <f t="shared" si="17"/>
        <v>JP</v>
      </c>
      <c r="D944">
        <v>1</v>
      </c>
    </row>
    <row r="945" spans="1:4" x14ac:dyDescent="0.25">
      <c r="A945" t="s">
        <v>2314</v>
      </c>
      <c r="B945" t="s">
        <v>1263</v>
      </c>
      <c r="C945" t="str">
        <f t="shared" si="17"/>
        <v>JP</v>
      </c>
      <c r="D945">
        <v>1</v>
      </c>
    </row>
    <row r="946" spans="1:4" x14ac:dyDescent="0.25">
      <c r="A946" t="s">
        <v>2315</v>
      </c>
      <c r="B946" t="s">
        <v>1263</v>
      </c>
      <c r="C946" t="str">
        <f t="shared" si="17"/>
        <v>CA</v>
      </c>
      <c r="D946">
        <v>1</v>
      </c>
    </row>
    <row r="947" spans="1:4" x14ac:dyDescent="0.25">
      <c r="A947" t="s">
        <v>2316</v>
      </c>
      <c r="B947" t="s">
        <v>1263</v>
      </c>
      <c r="C947" t="str">
        <f t="shared" si="17"/>
        <v>US</v>
      </c>
      <c r="D947">
        <v>1</v>
      </c>
    </row>
    <row r="948" spans="1:4" x14ac:dyDescent="0.25">
      <c r="A948" t="s">
        <v>2318</v>
      </c>
      <c r="B948" t="s">
        <v>1263</v>
      </c>
      <c r="C948" t="str">
        <f t="shared" si="17"/>
        <v>EP</v>
      </c>
      <c r="D948">
        <v>1</v>
      </c>
    </row>
    <row r="949" spans="1:4" x14ac:dyDescent="0.25">
      <c r="A949" t="s">
        <v>2318</v>
      </c>
      <c r="B949" t="s">
        <v>1263</v>
      </c>
      <c r="C949" t="str">
        <f t="shared" si="17"/>
        <v>EP</v>
      </c>
      <c r="D949">
        <v>1</v>
      </c>
    </row>
    <row r="950" spans="1:4" x14ac:dyDescent="0.25">
      <c r="A950" t="s">
        <v>2319</v>
      </c>
      <c r="B950" t="s">
        <v>1263</v>
      </c>
      <c r="C950" t="str">
        <f t="shared" si="17"/>
        <v>DE</v>
      </c>
      <c r="D950">
        <v>1</v>
      </c>
    </row>
    <row r="951" spans="1:4" x14ac:dyDescent="0.25">
      <c r="A951" t="s">
        <v>1271</v>
      </c>
      <c r="B951" t="s">
        <v>1271</v>
      </c>
      <c r="C951" t="str">
        <f t="shared" si="17"/>
        <v>DE</v>
      </c>
      <c r="D951">
        <v>1</v>
      </c>
    </row>
    <row r="952" spans="1:4" x14ac:dyDescent="0.25">
      <c r="A952" t="s">
        <v>2323</v>
      </c>
      <c r="B952" t="s">
        <v>1271</v>
      </c>
      <c r="C952" t="str">
        <f t="shared" si="17"/>
        <v>EP</v>
      </c>
      <c r="D952">
        <v>1</v>
      </c>
    </row>
    <row r="953" spans="1:4" x14ac:dyDescent="0.25">
      <c r="A953" t="s">
        <v>2323</v>
      </c>
      <c r="B953" t="s">
        <v>1271</v>
      </c>
      <c r="C953" t="str">
        <f t="shared" si="17"/>
        <v>EP</v>
      </c>
      <c r="D953">
        <v>1</v>
      </c>
    </row>
    <row r="954" spans="1:4" x14ac:dyDescent="0.25">
      <c r="A954" t="s">
        <v>2323</v>
      </c>
      <c r="B954" t="s">
        <v>1271</v>
      </c>
      <c r="C954" t="str">
        <f t="shared" si="17"/>
        <v>EP</v>
      </c>
      <c r="D954">
        <v>1</v>
      </c>
    </row>
    <row r="955" spans="1:4" x14ac:dyDescent="0.25">
      <c r="A955" t="s">
        <v>2324</v>
      </c>
      <c r="B955" t="s">
        <v>1271</v>
      </c>
      <c r="C955" t="str">
        <f t="shared" si="17"/>
        <v>DE</v>
      </c>
      <c r="D955">
        <v>1</v>
      </c>
    </row>
    <row r="956" spans="1:4" x14ac:dyDescent="0.25">
      <c r="A956" t="s">
        <v>1279</v>
      </c>
      <c r="B956" t="s">
        <v>1279</v>
      </c>
      <c r="C956" t="str">
        <f t="shared" si="17"/>
        <v>DK</v>
      </c>
      <c r="D956">
        <v>1</v>
      </c>
    </row>
    <row r="957" spans="1:4" x14ac:dyDescent="0.25">
      <c r="A957" t="s">
        <v>2327</v>
      </c>
      <c r="B957" t="s">
        <v>1279</v>
      </c>
      <c r="C957" t="str">
        <f t="shared" si="17"/>
        <v>NO</v>
      </c>
      <c r="D957">
        <v>1</v>
      </c>
    </row>
    <row r="958" spans="1:4" x14ac:dyDescent="0.25">
      <c r="A958" t="s">
        <v>2328</v>
      </c>
      <c r="B958" t="s">
        <v>1279</v>
      </c>
      <c r="C958" t="str">
        <f t="shared" si="17"/>
        <v>NO</v>
      </c>
      <c r="D958">
        <v>1</v>
      </c>
    </row>
    <row r="959" spans="1:4" x14ac:dyDescent="0.25">
      <c r="A959" t="s">
        <v>2328</v>
      </c>
      <c r="B959" t="s">
        <v>1279</v>
      </c>
      <c r="C959" t="str">
        <f t="shared" si="17"/>
        <v>NO</v>
      </c>
      <c r="D959">
        <v>1</v>
      </c>
    </row>
    <row r="960" spans="1:4" x14ac:dyDescent="0.25">
      <c r="A960" t="s">
        <v>2329</v>
      </c>
      <c r="B960" t="s">
        <v>1279</v>
      </c>
      <c r="C960" t="str">
        <f t="shared" si="17"/>
        <v>AU</v>
      </c>
      <c r="D960">
        <v>1</v>
      </c>
    </row>
    <row r="961" spans="1:4" x14ac:dyDescent="0.25">
      <c r="A961" t="s">
        <v>2331</v>
      </c>
      <c r="B961" t="s">
        <v>1279</v>
      </c>
      <c r="C961" t="str">
        <f t="shared" si="17"/>
        <v>AU</v>
      </c>
      <c r="D961">
        <v>1</v>
      </c>
    </row>
    <row r="962" spans="1:4" x14ac:dyDescent="0.25">
      <c r="A962" t="s">
        <v>2332</v>
      </c>
      <c r="B962" t="s">
        <v>1279</v>
      </c>
      <c r="C962" t="str">
        <f t="shared" si="17"/>
        <v>JP</v>
      </c>
      <c r="D962">
        <v>1</v>
      </c>
    </row>
    <row r="963" spans="1:4" x14ac:dyDescent="0.25">
      <c r="A963" t="s">
        <v>2334</v>
      </c>
      <c r="B963" t="s">
        <v>1279</v>
      </c>
      <c r="C963" t="str">
        <f t="shared" ref="C963:C1026" si="18">LEFT(A963,2)</f>
        <v>JP</v>
      </c>
      <c r="D963">
        <v>1</v>
      </c>
    </row>
    <row r="964" spans="1:4" x14ac:dyDescent="0.25">
      <c r="A964" t="s">
        <v>2335</v>
      </c>
      <c r="B964" t="s">
        <v>1279</v>
      </c>
      <c r="C964" t="str">
        <f t="shared" si="18"/>
        <v>JP</v>
      </c>
      <c r="D964">
        <v>1</v>
      </c>
    </row>
    <row r="965" spans="1:4" x14ac:dyDescent="0.25">
      <c r="A965" t="s">
        <v>2336</v>
      </c>
      <c r="B965" t="s">
        <v>1279</v>
      </c>
      <c r="C965" t="str">
        <f t="shared" si="18"/>
        <v>CA</v>
      </c>
      <c r="D965">
        <v>1</v>
      </c>
    </row>
    <row r="966" spans="1:4" x14ac:dyDescent="0.25">
      <c r="A966" t="s">
        <v>2337</v>
      </c>
      <c r="B966" t="s">
        <v>1279</v>
      </c>
      <c r="C966" t="str">
        <f t="shared" si="18"/>
        <v>US</v>
      </c>
      <c r="D966">
        <v>1</v>
      </c>
    </row>
    <row r="967" spans="1:4" x14ac:dyDescent="0.25">
      <c r="A967" t="s">
        <v>2338</v>
      </c>
      <c r="B967" t="s">
        <v>1279</v>
      </c>
      <c r="C967" t="str">
        <f t="shared" si="18"/>
        <v>EP</v>
      </c>
      <c r="D967">
        <v>1</v>
      </c>
    </row>
    <row r="968" spans="1:4" x14ac:dyDescent="0.25">
      <c r="A968" t="s">
        <v>2338</v>
      </c>
      <c r="B968" t="s">
        <v>1279</v>
      </c>
      <c r="C968" t="str">
        <f t="shared" si="18"/>
        <v>EP</v>
      </c>
      <c r="D968">
        <v>1</v>
      </c>
    </row>
    <row r="969" spans="1:4" x14ac:dyDescent="0.25">
      <c r="A969" t="s">
        <v>2338</v>
      </c>
      <c r="B969" t="s">
        <v>1279</v>
      </c>
      <c r="C969" t="str">
        <f t="shared" si="18"/>
        <v>EP</v>
      </c>
      <c r="D969">
        <v>1</v>
      </c>
    </row>
    <row r="970" spans="1:4" x14ac:dyDescent="0.25">
      <c r="A970" t="s">
        <v>2339</v>
      </c>
      <c r="B970" t="s">
        <v>1279</v>
      </c>
      <c r="C970" t="str">
        <f t="shared" si="18"/>
        <v>ZA</v>
      </c>
      <c r="D970">
        <v>1</v>
      </c>
    </row>
    <row r="971" spans="1:4" x14ac:dyDescent="0.25">
      <c r="A971" t="s">
        <v>2340</v>
      </c>
      <c r="B971" t="s">
        <v>1279</v>
      </c>
      <c r="C971" t="str">
        <f t="shared" si="18"/>
        <v>IN</v>
      </c>
      <c r="D971">
        <v>1</v>
      </c>
    </row>
    <row r="972" spans="1:4" x14ac:dyDescent="0.25">
      <c r="A972" t="s">
        <v>2341</v>
      </c>
      <c r="B972" t="s">
        <v>1279</v>
      </c>
      <c r="C972" t="str">
        <f t="shared" si="18"/>
        <v>DE</v>
      </c>
      <c r="D972">
        <v>1</v>
      </c>
    </row>
    <row r="973" spans="1:4" x14ac:dyDescent="0.25">
      <c r="A973" t="s">
        <v>1286</v>
      </c>
      <c r="B973" t="s">
        <v>1286</v>
      </c>
      <c r="C973" t="str">
        <f t="shared" si="18"/>
        <v>JP</v>
      </c>
      <c r="D973">
        <v>1</v>
      </c>
    </row>
    <row r="974" spans="1:4" x14ac:dyDescent="0.25">
      <c r="A974" t="s">
        <v>2342</v>
      </c>
      <c r="B974" t="s">
        <v>1286</v>
      </c>
      <c r="C974" t="str">
        <f t="shared" si="18"/>
        <v>AU</v>
      </c>
      <c r="D974">
        <v>1</v>
      </c>
    </row>
    <row r="975" spans="1:4" x14ac:dyDescent="0.25">
      <c r="A975" t="s">
        <v>2343</v>
      </c>
      <c r="B975" t="s">
        <v>1286</v>
      </c>
      <c r="C975" t="str">
        <f t="shared" si="18"/>
        <v>CA</v>
      </c>
      <c r="D975">
        <v>1</v>
      </c>
    </row>
    <row r="976" spans="1:4" x14ac:dyDescent="0.25">
      <c r="A976" t="s">
        <v>2344</v>
      </c>
      <c r="B976" t="s">
        <v>1286</v>
      </c>
      <c r="C976" t="str">
        <f t="shared" si="18"/>
        <v>DE</v>
      </c>
      <c r="D976">
        <v>1</v>
      </c>
    </row>
    <row r="977" spans="1:4" x14ac:dyDescent="0.25">
      <c r="A977" t="s">
        <v>1294</v>
      </c>
      <c r="B977" t="s">
        <v>1294</v>
      </c>
      <c r="C977" t="str">
        <f t="shared" si="18"/>
        <v>AU</v>
      </c>
      <c r="D977">
        <v>1</v>
      </c>
    </row>
    <row r="978" spans="1:4" x14ac:dyDescent="0.25">
      <c r="A978" t="s">
        <v>2346</v>
      </c>
      <c r="B978" t="s">
        <v>1294</v>
      </c>
      <c r="C978" t="str">
        <f t="shared" si="18"/>
        <v>AU</v>
      </c>
      <c r="D978">
        <v>1</v>
      </c>
    </row>
    <row r="979" spans="1:4" x14ac:dyDescent="0.25">
      <c r="A979" t="s">
        <v>2347</v>
      </c>
      <c r="B979" t="s">
        <v>1294</v>
      </c>
      <c r="C979" t="str">
        <f t="shared" si="18"/>
        <v>GB</v>
      </c>
      <c r="D979">
        <v>1</v>
      </c>
    </row>
    <row r="980" spans="1:4" x14ac:dyDescent="0.25">
      <c r="A980" t="s">
        <v>2347</v>
      </c>
      <c r="B980" t="s">
        <v>1294</v>
      </c>
      <c r="C980" t="str">
        <f t="shared" si="18"/>
        <v>GB</v>
      </c>
      <c r="D980">
        <v>1</v>
      </c>
    </row>
    <row r="981" spans="1:4" x14ac:dyDescent="0.25">
      <c r="A981" t="s">
        <v>2349</v>
      </c>
      <c r="B981" t="s">
        <v>1294</v>
      </c>
      <c r="C981" t="str">
        <f t="shared" si="18"/>
        <v>NZ</v>
      </c>
      <c r="D981">
        <v>1</v>
      </c>
    </row>
    <row r="982" spans="1:4" x14ac:dyDescent="0.25">
      <c r="A982" t="s">
        <v>2350</v>
      </c>
      <c r="B982" t="s">
        <v>1294</v>
      </c>
      <c r="C982" t="str">
        <f t="shared" si="18"/>
        <v>US</v>
      </c>
      <c r="D982">
        <v>1</v>
      </c>
    </row>
    <row r="983" spans="1:4" x14ac:dyDescent="0.25">
      <c r="A983" t="s">
        <v>2352</v>
      </c>
      <c r="B983" t="s">
        <v>1294</v>
      </c>
      <c r="C983" t="str">
        <f t="shared" si="18"/>
        <v>US</v>
      </c>
      <c r="D983">
        <v>1</v>
      </c>
    </row>
    <row r="984" spans="1:4" x14ac:dyDescent="0.25">
      <c r="A984" t="s">
        <v>2354</v>
      </c>
      <c r="B984" t="s">
        <v>1294</v>
      </c>
      <c r="C984" t="str">
        <f t="shared" si="18"/>
        <v>US</v>
      </c>
      <c r="D984">
        <v>1</v>
      </c>
    </row>
    <row r="985" spans="1:4" x14ac:dyDescent="0.25">
      <c r="A985" t="s">
        <v>2355</v>
      </c>
      <c r="B985" t="s">
        <v>1294</v>
      </c>
      <c r="C985" t="str">
        <f t="shared" si="18"/>
        <v>US</v>
      </c>
      <c r="D985">
        <v>1</v>
      </c>
    </row>
    <row r="986" spans="1:4" x14ac:dyDescent="0.25">
      <c r="A986" t="s">
        <v>1302</v>
      </c>
      <c r="B986" t="s">
        <v>1302</v>
      </c>
      <c r="C986" t="str">
        <f t="shared" si="18"/>
        <v>JP</v>
      </c>
      <c r="D986">
        <v>1</v>
      </c>
    </row>
    <row r="987" spans="1:4" x14ac:dyDescent="0.25">
      <c r="A987" t="s">
        <v>2357</v>
      </c>
      <c r="B987" t="s">
        <v>1302</v>
      </c>
      <c r="C987" t="str">
        <f t="shared" si="18"/>
        <v>JP</v>
      </c>
      <c r="D987">
        <v>1</v>
      </c>
    </row>
    <row r="988" spans="1:4" x14ac:dyDescent="0.25">
      <c r="A988" t="s">
        <v>1307</v>
      </c>
      <c r="B988" t="s">
        <v>1307</v>
      </c>
      <c r="C988" t="str">
        <f t="shared" si="18"/>
        <v>JP</v>
      </c>
      <c r="D988">
        <v>1</v>
      </c>
    </row>
    <row r="989" spans="1:4" x14ac:dyDescent="0.25">
      <c r="A989" t="s">
        <v>2359</v>
      </c>
      <c r="B989" t="s">
        <v>1307</v>
      </c>
      <c r="C989" t="str">
        <f t="shared" si="18"/>
        <v>JP</v>
      </c>
      <c r="D989">
        <v>1</v>
      </c>
    </row>
    <row r="990" spans="1:4" x14ac:dyDescent="0.25">
      <c r="A990" t="s">
        <v>1309</v>
      </c>
      <c r="B990" t="s">
        <v>1310</v>
      </c>
      <c r="C990" t="str">
        <f t="shared" si="18"/>
        <v>US</v>
      </c>
      <c r="D990">
        <v>1</v>
      </c>
    </row>
    <row r="991" spans="1:4" x14ac:dyDescent="0.25">
      <c r="A991" t="s">
        <v>1315</v>
      </c>
      <c r="B991" t="s">
        <v>1316</v>
      </c>
      <c r="C991" t="str">
        <f t="shared" si="18"/>
        <v>US</v>
      </c>
      <c r="D991">
        <v>1</v>
      </c>
    </row>
    <row r="992" spans="1:4" x14ac:dyDescent="0.25">
      <c r="A992" t="s">
        <v>1322</v>
      </c>
      <c r="B992" t="s">
        <v>1322</v>
      </c>
      <c r="C992" t="str">
        <f t="shared" si="18"/>
        <v>AU</v>
      </c>
      <c r="D992">
        <v>1</v>
      </c>
    </row>
    <row r="993" spans="1:4" x14ac:dyDescent="0.25">
      <c r="A993" t="s">
        <v>2360</v>
      </c>
      <c r="B993" t="s">
        <v>1322</v>
      </c>
      <c r="C993" t="str">
        <f t="shared" si="18"/>
        <v>AU</v>
      </c>
      <c r="D993">
        <v>1</v>
      </c>
    </row>
    <row r="994" spans="1:4" x14ac:dyDescent="0.25">
      <c r="A994" t="s">
        <v>2361</v>
      </c>
      <c r="B994" t="s">
        <v>1322</v>
      </c>
      <c r="C994" t="str">
        <f t="shared" si="18"/>
        <v>GB</v>
      </c>
      <c r="D994">
        <v>1</v>
      </c>
    </row>
    <row r="995" spans="1:4" x14ac:dyDescent="0.25">
      <c r="A995" t="s">
        <v>2362</v>
      </c>
      <c r="B995" t="s">
        <v>1322</v>
      </c>
      <c r="C995" t="str">
        <f t="shared" si="18"/>
        <v>JP</v>
      </c>
      <c r="D995">
        <v>1</v>
      </c>
    </row>
    <row r="996" spans="1:4" x14ac:dyDescent="0.25">
      <c r="A996" t="s">
        <v>2363</v>
      </c>
      <c r="B996" t="s">
        <v>1322</v>
      </c>
      <c r="C996" t="str">
        <f t="shared" si="18"/>
        <v>CA</v>
      </c>
      <c r="D996">
        <v>1</v>
      </c>
    </row>
    <row r="997" spans="1:4" x14ac:dyDescent="0.25">
      <c r="A997" t="s">
        <v>2364</v>
      </c>
      <c r="B997" t="s">
        <v>1322</v>
      </c>
      <c r="C997" t="str">
        <f t="shared" si="18"/>
        <v>EP</v>
      </c>
      <c r="D997">
        <v>1</v>
      </c>
    </row>
    <row r="998" spans="1:4" x14ac:dyDescent="0.25">
      <c r="A998" t="s">
        <v>2364</v>
      </c>
      <c r="B998" t="s">
        <v>1322</v>
      </c>
      <c r="C998" t="str">
        <f t="shared" si="18"/>
        <v>EP</v>
      </c>
      <c r="D998">
        <v>1</v>
      </c>
    </row>
    <row r="999" spans="1:4" x14ac:dyDescent="0.25">
      <c r="A999" t="s">
        <v>2365</v>
      </c>
      <c r="B999" t="s">
        <v>1322</v>
      </c>
      <c r="C999" t="str">
        <f t="shared" si="18"/>
        <v>DE</v>
      </c>
      <c r="D999">
        <v>1</v>
      </c>
    </row>
    <row r="1000" spans="1:4" x14ac:dyDescent="0.25">
      <c r="A1000" t="s">
        <v>1330</v>
      </c>
      <c r="B1000" t="s">
        <v>1330</v>
      </c>
      <c r="C1000" t="str">
        <f t="shared" si="18"/>
        <v>AU</v>
      </c>
      <c r="D1000">
        <v>1</v>
      </c>
    </row>
    <row r="1001" spans="1:4" x14ac:dyDescent="0.25">
      <c r="A1001" t="s">
        <v>2367</v>
      </c>
      <c r="B1001" t="s">
        <v>1330</v>
      </c>
      <c r="C1001" t="str">
        <f t="shared" si="18"/>
        <v>AU</v>
      </c>
      <c r="D1001">
        <v>1</v>
      </c>
    </row>
    <row r="1002" spans="1:4" x14ac:dyDescent="0.25">
      <c r="A1002" t="s">
        <v>2368</v>
      </c>
      <c r="B1002" t="s">
        <v>1330</v>
      </c>
      <c r="C1002" t="str">
        <f t="shared" si="18"/>
        <v>NL</v>
      </c>
      <c r="D1002">
        <v>1</v>
      </c>
    </row>
    <row r="1003" spans="1:4" x14ac:dyDescent="0.25">
      <c r="A1003" t="s">
        <v>2369</v>
      </c>
      <c r="B1003" t="s">
        <v>1330</v>
      </c>
      <c r="C1003" t="str">
        <f t="shared" si="18"/>
        <v>JP</v>
      </c>
      <c r="D1003">
        <v>1</v>
      </c>
    </row>
    <row r="1004" spans="1:4" x14ac:dyDescent="0.25">
      <c r="A1004" t="s">
        <v>2371</v>
      </c>
      <c r="B1004" t="s">
        <v>1330</v>
      </c>
      <c r="C1004" t="str">
        <f t="shared" si="18"/>
        <v>JP</v>
      </c>
      <c r="D1004">
        <v>1</v>
      </c>
    </row>
    <row r="1005" spans="1:4" x14ac:dyDescent="0.25">
      <c r="A1005" t="s">
        <v>2372</v>
      </c>
      <c r="B1005" t="s">
        <v>1330</v>
      </c>
      <c r="C1005" t="str">
        <f t="shared" si="18"/>
        <v>BR</v>
      </c>
      <c r="D1005">
        <v>1</v>
      </c>
    </row>
    <row r="1006" spans="1:4" x14ac:dyDescent="0.25">
      <c r="A1006" t="s">
        <v>2373</v>
      </c>
      <c r="B1006" t="s">
        <v>1330</v>
      </c>
      <c r="C1006" t="str">
        <f t="shared" si="18"/>
        <v>NZ</v>
      </c>
      <c r="D1006">
        <v>1</v>
      </c>
    </row>
    <row r="1007" spans="1:4" x14ac:dyDescent="0.25">
      <c r="A1007" t="s">
        <v>2374</v>
      </c>
      <c r="B1007" t="s">
        <v>1330</v>
      </c>
      <c r="C1007" t="str">
        <f t="shared" si="18"/>
        <v>CA</v>
      </c>
      <c r="D1007">
        <v>1</v>
      </c>
    </row>
    <row r="1008" spans="1:4" x14ac:dyDescent="0.25">
      <c r="A1008" t="s">
        <v>2375</v>
      </c>
      <c r="B1008" t="s">
        <v>1330</v>
      </c>
      <c r="C1008" t="str">
        <f t="shared" si="18"/>
        <v>EP</v>
      </c>
      <c r="D1008">
        <v>1</v>
      </c>
    </row>
    <row r="1009" spans="1:4" x14ac:dyDescent="0.25">
      <c r="A1009" t="s">
        <v>2375</v>
      </c>
      <c r="B1009" t="s">
        <v>1330</v>
      </c>
      <c r="C1009" t="str">
        <f t="shared" si="18"/>
        <v>EP</v>
      </c>
      <c r="D1009">
        <v>1</v>
      </c>
    </row>
    <row r="1010" spans="1:4" x14ac:dyDescent="0.25">
      <c r="A1010" t="s">
        <v>2376</v>
      </c>
      <c r="B1010" t="s">
        <v>1330</v>
      </c>
      <c r="C1010" t="str">
        <f t="shared" si="18"/>
        <v>ZA</v>
      </c>
      <c r="D1010">
        <v>1</v>
      </c>
    </row>
    <row r="1011" spans="1:4" x14ac:dyDescent="0.25">
      <c r="A1011" t="s">
        <v>2377</v>
      </c>
      <c r="B1011" t="s">
        <v>1330</v>
      </c>
      <c r="C1011" t="str">
        <f t="shared" si="18"/>
        <v>DE</v>
      </c>
      <c r="D1011">
        <v>1</v>
      </c>
    </row>
    <row r="1012" spans="1:4" x14ac:dyDescent="0.25">
      <c r="A1012" t="s">
        <v>1337</v>
      </c>
      <c r="B1012" t="s">
        <v>1337</v>
      </c>
      <c r="C1012" t="str">
        <f t="shared" si="18"/>
        <v>EP</v>
      </c>
      <c r="D1012">
        <v>1</v>
      </c>
    </row>
    <row r="1013" spans="1:4" x14ac:dyDescent="0.25">
      <c r="A1013" t="s">
        <v>2379</v>
      </c>
      <c r="B1013" t="s">
        <v>1337</v>
      </c>
      <c r="C1013" t="str">
        <f t="shared" si="18"/>
        <v>DE</v>
      </c>
      <c r="D1013">
        <v>1</v>
      </c>
    </row>
    <row r="1014" spans="1:4" x14ac:dyDescent="0.25">
      <c r="A1014" t="s">
        <v>2380</v>
      </c>
      <c r="B1014" t="s">
        <v>1337</v>
      </c>
      <c r="C1014" t="str">
        <f t="shared" si="18"/>
        <v>JP</v>
      </c>
      <c r="D1014">
        <v>1</v>
      </c>
    </row>
    <row r="1015" spans="1:4" x14ac:dyDescent="0.25">
      <c r="A1015" t="s">
        <v>1344</v>
      </c>
      <c r="B1015" t="s">
        <v>1344</v>
      </c>
      <c r="C1015" t="str">
        <f t="shared" si="18"/>
        <v>EP</v>
      </c>
      <c r="D1015">
        <v>1</v>
      </c>
    </row>
    <row r="1016" spans="1:4" x14ac:dyDescent="0.25">
      <c r="A1016" t="s">
        <v>2381</v>
      </c>
      <c r="B1016" t="s">
        <v>1344</v>
      </c>
      <c r="C1016" t="str">
        <f t="shared" si="18"/>
        <v>DE</v>
      </c>
      <c r="D1016">
        <v>1</v>
      </c>
    </row>
    <row r="1017" spans="1:4" x14ac:dyDescent="0.25">
      <c r="A1017" t="s">
        <v>2382</v>
      </c>
      <c r="B1017" t="s">
        <v>1344</v>
      </c>
      <c r="C1017" t="str">
        <f t="shared" si="18"/>
        <v>JP</v>
      </c>
      <c r="D1017">
        <v>1</v>
      </c>
    </row>
    <row r="1018" spans="1:4" x14ac:dyDescent="0.25">
      <c r="A1018" t="s">
        <v>2383</v>
      </c>
      <c r="B1018" t="s">
        <v>1349</v>
      </c>
      <c r="C1018" t="str">
        <f t="shared" si="18"/>
        <v>US</v>
      </c>
      <c r="D1018">
        <v>1</v>
      </c>
    </row>
    <row r="1019" spans="1:4" x14ac:dyDescent="0.25">
      <c r="A1019" t="s">
        <v>2384</v>
      </c>
      <c r="B1019" t="s">
        <v>1349</v>
      </c>
      <c r="C1019" t="str">
        <f t="shared" si="18"/>
        <v>US</v>
      </c>
      <c r="D1019">
        <v>1</v>
      </c>
    </row>
    <row r="1020" spans="1:4" x14ac:dyDescent="0.25">
      <c r="A1020" t="s">
        <v>2386</v>
      </c>
      <c r="B1020" t="s">
        <v>1349</v>
      </c>
      <c r="C1020" t="str">
        <f t="shared" si="18"/>
        <v>US</v>
      </c>
      <c r="D1020">
        <v>1</v>
      </c>
    </row>
    <row r="1021" spans="1:4" x14ac:dyDescent="0.25">
      <c r="A1021" t="s">
        <v>1358</v>
      </c>
      <c r="B1021" t="s">
        <v>1358</v>
      </c>
      <c r="C1021" t="str">
        <f t="shared" si="18"/>
        <v>PT</v>
      </c>
      <c r="D1021">
        <v>1</v>
      </c>
    </row>
    <row r="1022" spans="1:4" x14ac:dyDescent="0.25">
      <c r="A1022" t="s">
        <v>2389</v>
      </c>
      <c r="B1022" t="s">
        <v>1358</v>
      </c>
      <c r="C1022" t="str">
        <f t="shared" si="18"/>
        <v>IL</v>
      </c>
      <c r="D1022">
        <v>1</v>
      </c>
    </row>
    <row r="1023" spans="1:4" x14ac:dyDescent="0.25">
      <c r="A1023" t="s">
        <v>2389</v>
      </c>
      <c r="B1023" t="s">
        <v>1358</v>
      </c>
      <c r="C1023" t="str">
        <f t="shared" si="18"/>
        <v>IL</v>
      </c>
      <c r="D1023">
        <v>1</v>
      </c>
    </row>
    <row r="1024" spans="1:4" x14ac:dyDescent="0.25">
      <c r="A1024" t="s">
        <v>2390</v>
      </c>
      <c r="B1024" t="s">
        <v>1358</v>
      </c>
      <c r="C1024" t="str">
        <f t="shared" si="18"/>
        <v>DK</v>
      </c>
      <c r="D1024">
        <v>1</v>
      </c>
    </row>
    <row r="1025" spans="1:4" x14ac:dyDescent="0.25">
      <c r="A1025" t="s">
        <v>2391</v>
      </c>
      <c r="B1025" t="s">
        <v>1358</v>
      </c>
      <c r="C1025" t="str">
        <f t="shared" si="18"/>
        <v>DK</v>
      </c>
      <c r="D1025">
        <v>1</v>
      </c>
    </row>
    <row r="1026" spans="1:4" x14ac:dyDescent="0.25">
      <c r="A1026" t="s">
        <v>2391</v>
      </c>
      <c r="B1026" t="s">
        <v>1358</v>
      </c>
      <c r="C1026" t="str">
        <f t="shared" si="18"/>
        <v>DK</v>
      </c>
      <c r="D1026">
        <v>1</v>
      </c>
    </row>
    <row r="1027" spans="1:4" x14ac:dyDescent="0.25">
      <c r="A1027" t="s">
        <v>2392</v>
      </c>
      <c r="B1027" t="s">
        <v>1358</v>
      </c>
      <c r="C1027" t="str">
        <f t="shared" ref="C1027:C1090" si="19">LEFT(A1027,2)</f>
        <v>NO</v>
      </c>
      <c r="D1027">
        <v>1</v>
      </c>
    </row>
    <row r="1028" spans="1:4" x14ac:dyDescent="0.25">
      <c r="A1028" t="s">
        <v>2393</v>
      </c>
      <c r="B1028" t="s">
        <v>1358</v>
      </c>
      <c r="C1028" t="str">
        <f t="shared" si="19"/>
        <v>NL</v>
      </c>
      <c r="D1028">
        <v>1</v>
      </c>
    </row>
    <row r="1029" spans="1:4" x14ac:dyDescent="0.25">
      <c r="A1029" t="s">
        <v>2394</v>
      </c>
      <c r="B1029" t="s">
        <v>1358</v>
      </c>
      <c r="C1029" t="str">
        <f t="shared" si="19"/>
        <v>NL</v>
      </c>
      <c r="D1029">
        <v>1</v>
      </c>
    </row>
    <row r="1030" spans="1:4" x14ac:dyDescent="0.25">
      <c r="A1030" t="s">
        <v>2394</v>
      </c>
      <c r="B1030" t="s">
        <v>1358</v>
      </c>
      <c r="C1030" t="str">
        <f t="shared" si="19"/>
        <v>NL</v>
      </c>
      <c r="D1030">
        <v>1</v>
      </c>
    </row>
    <row r="1031" spans="1:4" x14ac:dyDescent="0.25">
      <c r="A1031" t="s">
        <v>2395</v>
      </c>
      <c r="B1031" t="s">
        <v>1358</v>
      </c>
      <c r="C1031" t="str">
        <f t="shared" si="19"/>
        <v>NO</v>
      </c>
      <c r="D1031">
        <v>1</v>
      </c>
    </row>
    <row r="1032" spans="1:4" x14ac:dyDescent="0.25">
      <c r="A1032" t="s">
        <v>2396</v>
      </c>
      <c r="B1032" t="s">
        <v>1358</v>
      </c>
      <c r="C1032" t="str">
        <f t="shared" si="19"/>
        <v>GB</v>
      </c>
      <c r="D1032">
        <v>1</v>
      </c>
    </row>
    <row r="1033" spans="1:4" x14ac:dyDescent="0.25">
      <c r="A1033" t="s">
        <v>2396</v>
      </c>
      <c r="B1033" t="s">
        <v>1358</v>
      </c>
      <c r="C1033" t="str">
        <f t="shared" si="19"/>
        <v>GB</v>
      </c>
      <c r="D1033">
        <v>1</v>
      </c>
    </row>
    <row r="1034" spans="1:4" x14ac:dyDescent="0.25">
      <c r="A1034" t="s">
        <v>2397</v>
      </c>
      <c r="B1034" t="s">
        <v>1358</v>
      </c>
      <c r="C1034" t="str">
        <f t="shared" si="19"/>
        <v>AU</v>
      </c>
      <c r="D1034">
        <v>1</v>
      </c>
    </row>
    <row r="1035" spans="1:4" x14ac:dyDescent="0.25">
      <c r="A1035" t="s">
        <v>2398</v>
      </c>
      <c r="B1035" t="s">
        <v>1358</v>
      </c>
      <c r="C1035" t="str">
        <f t="shared" si="19"/>
        <v>AU</v>
      </c>
      <c r="D1035">
        <v>1</v>
      </c>
    </row>
    <row r="1036" spans="1:4" x14ac:dyDescent="0.25">
      <c r="A1036" t="s">
        <v>2399</v>
      </c>
      <c r="B1036" t="s">
        <v>1358</v>
      </c>
      <c r="C1036" t="str">
        <f t="shared" si="19"/>
        <v>PH</v>
      </c>
      <c r="D1036">
        <v>1</v>
      </c>
    </row>
    <row r="1037" spans="1:4" x14ac:dyDescent="0.25">
      <c r="A1037" t="s">
        <v>2400</v>
      </c>
      <c r="B1037" t="s">
        <v>1358</v>
      </c>
      <c r="C1037" t="str">
        <f t="shared" si="19"/>
        <v>RO</v>
      </c>
      <c r="D1037">
        <v>1</v>
      </c>
    </row>
    <row r="1038" spans="1:4" x14ac:dyDescent="0.25">
      <c r="A1038" t="s">
        <v>2401</v>
      </c>
      <c r="B1038" t="s">
        <v>1358</v>
      </c>
      <c r="C1038" t="str">
        <f t="shared" si="19"/>
        <v>CA</v>
      </c>
      <c r="D1038">
        <v>1</v>
      </c>
    </row>
    <row r="1039" spans="1:4" x14ac:dyDescent="0.25">
      <c r="A1039" t="s">
        <v>2402</v>
      </c>
      <c r="B1039" t="s">
        <v>1358</v>
      </c>
      <c r="C1039" t="str">
        <f t="shared" si="19"/>
        <v>EG</v>
      </c>
      <c r="D1039">
        <v>1</v>
      </c>
    </row>
    <row r="1040" spans="1:4" x14ac:dyDescent="0.25">
      <c r="A1040" t="s">
        <v>2403</v>
      </c>
      <c r="B1040" t="s">
        <v>1358</v>
      </c>
      <c r="C1040" t="str">
        <f t="shared" si="19"/>
        <v>YU</v>
      </c>
      <c r="D1040">
        <v>1</v>
      </c>
    </row>
    <row r="1041" spans="1:4" x14ac:dyDescent="0.25">
      <c r="A1041" t="s">
        <v>2404</v>
      </c>
      <c r="B1041" t="s">
        <v>1358</v>
      </c>
      <c r="C1041" t="str">
        <f t="shared" si="19"/>
        <v>YU</v>
      </c>
      <c r="D1041">
        <v>1</v>
      </c>
    </row>
    <row r="1042" spans="1:4" x14ac:dyDescent="0.25">
      <c r="A1042" t="s">
        <v>2405</v>
      </c>
      <c r="B1042" t="s">
        <v>1358</v>
      </c>
      <c r="C1042" t="str">
        <f t="shared" si="19"/>
        <v>AT</v>
      </c>
      <c r="D1042">
        <v>1</v>
      </c>
    </row>
    <row r="1043" spans="1:4" x14ac:dyDescent="0.25">
      <c r="A1043" t="s">
        <v>2406</v>
      </c>
      <c r="B1043" t="s">
        <v>1358</v>
      </c>
      <c r="C1043" t="str">
        <f t="shared" si="19"/>
        <v>AT</v>
      </c>
      <c r="D1043">
        <v>1</v>
      </c>
    </row>
    <row r="1044" spans="1:4" x14ac:dyDescent="0.25">
      <c r="A1044" t="s">
        <v>2407</v>
      </c>
      <c r="B1044" t="s">
        <v>1358</v>
      </c>
      <c r="C1044" t="str">
        <f t="shared" si="19"/>
        <v>TR</v>
      </c>
      <c r="D1044">
        <v>1</v>
      </c>
    </row>
    <row r="1045" spans="1:4" x14ac:dyDescent="0.25">
      <c r="A1045" t="s">
        <v>2408</v>
      </c>
      <c r="B1045" t="s">
        <v>1358</v>
      </c>
      <c r="C1045" t="str">
        <f t="shared" si="19"/>
        <v>LU</v>
      </c>
      <c r="D1045">
        <v>1</v>
      </c>
    </row>
    <row r="1046" spans="1:4" x14ac:dyDescent="0.25">
      <c r="A1046" t="s">
        <v>2409</v>
      </c>
      <c r="B1046" t="s">
        <v>1358</v>
      </c>
      <c r="C1046" t="str">
        <f t="shared" si="19"/>
        <v>DE</v>
      </c>
      <c r="D1046">
        <v>1</v>
      </c>
    </row>
    <row r="1047" spans="1:4" x14ac:dyDescent="0.25">
      <c r="A1047" t="s">
        <v>2409</v>
      </c>
      <c r="B1047" t="s">
        <v>1358</v>
      </c>
      <c r="C1047" t="str">
        <f t="shared" si="19"/>
        <v>DE</v>
      </c>
      <c r="D1047">
        <v>1</v>
      </c>
    </row>
    <row r="1048" spans="1:4" x14ac:dyDescent="0.25">
      <c r="A1048" t="s">
        <v>2410</v>
      </c>
      <c r="B1048" t="s">
        <v>1358</v>
      </c>
      <c r="C1048" t="str">
        <f t="shared" si="19"/>
        <v>FR</v>
      </c>
      <c r="D1048">
        <v>1</v>
      </c>
    </row>
    <row r="1049" spans="1:4" x14ac:dyDescent="0.25">
      <c r="A1049" t="s">
        <v>2410</v>
      </c>
      <c r="B1049" t="s">
        <v>1358</v>
      </c>
      <c r="C1049" t="str">
        <f t="shared" si="19"/>
        <v>FR</v>
      </c>
      <c r="D1049">
        <v>1</v>
      </c>
    </row>
    <row r="1050" spans="1:4" x14ac:dyDescent="0.25">
      <c r="A1050" t="s">
        <v>2411</v>
      </c>
      <c r="B1050" t="s">
        <v>1358</v>
      </c>
      <c r="C1050" t="str">
        <f t="shared" si="19"/>
        <v>PL</v>
      </c>
      <c r="D1050">
        <v>1</v>
      </c>
    </row>
    <row r="1051" spans="1:4" x14ac:dyDescent="0.25">
      <c r="A1051" t="s">
        <v>2412</v>
      </c>
      <c r="B1051" t="s">
        <v>1358</v>
      </c>
      <c r="C1051" t="str">
        <f t="shared" si="19"/>
        <v>PL</v>
      </c>
      <c r="D1051">
        <v>1</v>
      </c>
    </row>
    <row r="1052" spans="1:4" x14ac:dyDescent="0.25">
      <c r="A1052" t="s">
        <v>2413</v>
      </c>
      <c r="B1052" t="s">
        <v>1358</v>
      </c>
      <c r="C1052" t="str">
        <f t="shared" si="19"/>
        <v>ES</v>
      </c>
      <c r="D1052">
        <v>1</v>
      </c>
    </row>
    <row r="1053" spans="1:4" x14ac:dyDescent="0.25">
      <c r="A1053" t="s">
        <v>2414</v>
      </c>
      <c r="B1053" t="s">
        <v>1358</v>
      </c>
      <c r="C1053" t="str">
        <f t="shared" si="19"/>
        <v>IE</v>
      </c>
      <c r="D1053">
        <v>1</v>
      </c>
    </row>
    <row r="1054" spans="1:4" x14ac:dyDescent="0.25">
      <c r="A1054" t="s">
        <v>2416</v>
      </c>
      <c r="B1054" t="s">
        <v>1358</v>
      </c>
      <c r="C1054" t="str">
        <f t="shared" si="19"/>
        <v>IE</v>
      </c>
      <c r="D1054">
        <v>1</v>
      </c>
    </row>
    <row r="1055" spans="1:4" x14ac:dyDescent="0.25">
      <c r="A1055" t="s">
        <v>2417</v>
      </c>
      <c r="B1055" t="s">
        <v>1358</v>
      </c>
      <c r="C1055" t="str">
        <f t="shared" si="19"/>
        <v>SE</v>
      </c>
      <c r="D1055">
        <v>1</v>
      </c>
    </row>
    <row r="1056" spans="1:4" x14ac:dyDescent="0.25">
      <c r="A1056" t="s">
        <v>2418</v>
      </c>
      <c r="B1056" t="s">
        <v>1358</v>
      </c>
      <c r="C1056" t="str">
        <f t="shared" si="19"/>
        <v>SE</v>
      </c>
      <c r="D1056">
        <v>1</v>
      </c>
    </row>
    <row r="1057" spans="1:4" x14ac:dyDescent="0.25">
      <c r="A1057" t="s">
        <v>2419</v>
      </c>
      <c r="B1057" t="s">
        <v>1358</v>
      </c>
      <c r="C1057" t="str">
        <f t="shared" si="19"/>
        <v>SE</v>
      </c>
      <c r="D1057">
        <v>1</v>
      </c>
    </row>
    <row r="1058" spans="1:4" x14ac:dyDescent="0.25">
      <c r="A1058" t="s">
        <v>2419</v>
      </c>
      <c r="B1058" t="s">
        <v>1358</v>
      </c>
      <c r="C1058" t="str">
        <f t="shared" si="19"/>
        <v>SE</v>
      </c>
      <c r="D1058">
        <v>1</v>
      </c>
    </row>
    <row r="1059" spans="1:4" x14ac:dyDescent="0.25">
      <c r="A1059" t="s">
        <v>2420</v>
      </c>
      <c r="B1059" t="s">
        <v>1358</v>
      </c>
      <c r="C1059" t="str">
        <f t="shared" si="19"/>
        <v>DD</v>
      </c>
      <c r="D1059">
        <v>1</v>
      </c>
    </row>
    <row r="1060" spans="1:4" x14ac:dyDescent="0.25">
      <c r="A1060" t="s">
        <v>2421</v>
      </c>
      <c r="B1060" t="s">
        <v>1358</v>
      </c>
      <c r="C1060" t="str">
        <f t="shared" si="19"/>
        <v>DD</v>
      </c>
      <c r="D1060">
        <v>1</v>
      </c>
    </row>
    <row r="1061" spans="1:4" x14ac:dyDescent="0.25">
      <c r="A1061" t="s">
        <v>2422</v>
      </c>
      <c r="B1061" t="s">
        <v>1358</v>
      </c>
      <c r="C1061" t="str">
        <f t="shared" si="19"/>
        <v>CH</v>
      </c>
      <c r="D1061">
        <v>1</v>
      </c>
    </row>
    <row r="1062" spans="1:4" x14ac:dyDescent="0.25">
      <c r="A1062" t="s">
        <v>2423</v>
      </c>
      <c r="B1062" t="s">
        <v>1358</v>
      </c>
      <c r="C1062" t="str">
        <f t="shared" si="19"/>
        <v>IN</v>
      </c>
      <c r="D1062">
        <v>1</v>
      </c>
    </row>
    <row r="1063" spans="1:4" x14ac:dyDescent="0.25">
      <c r="A1063" t="s">
        <v>2424</v>
      </c>
      <c r="B1063" t="s">
        <v>1358</v>
      </c>
      <c r="C1063" t="str">
        <f t="shared" si="19"/>
        <v>GR</v>
      </c>
      <c r="D1063">
        <v>1</v>
      </c>
    </row>
    <row r="1064" spans="1:4" x14ac:dyDescent="0.25">
      <c r="A1064" t="s">
        <v>1367</v>
      </c>
      <c r="B1064" t="s">
        <v>1367</v>
      </c>
      <c r="C1064" t="str">
        <f t="shared" si="19"/>
        <v>PT</v>
      </c>
      <c r="D1064">
        <v>1</v>
      </c>
    </row>
    <row r="1065" spans="1:4" x14ac:dyDescent="0.25">
      <c r="A1065" t="s">
        <v>2426</v>
      </c>
      <c r="B1065" t="s">
        <v>1367</v>
      </c>
      <c r="C1065" t="str">
        <f t="shared" si="19"/>
        <v>IL</v>
      </c>
      <c r="D1065">
        <v>1</v>
      </c>
    </row>
    <row r="1066" spans="1:4" x14ac:dyDescent="0.25">
      <c r="A1066" t="s">
        <v>2426</v>
      </c>
      <c r="B1066" t="s">
        <v>1367</v>
      </c>
      <c r="C1066" t="str">
        <f t="shared" si="19"/>
        <v>IL</v>
      </c>
      <c r="D1066">
        <v>1</v>
      </c>
    </row>
    <row r="1067" spans="1:4" x14ac:dyDescent="0.25">
      <c r="A1067" t="s">
        <v>2427</v>
      </c>
      <c r="B1067" t="s">
        <v>1367</v>
      </c>
      <c r="C1067" t="str">
        <f t="shared" si="19"/>
        <v>DK</v>
      </c>
      <c r="D1067">
        <v>1</v>
      </c>
    </row>
    <row r="1068" spans="1:4" x14ac:dyDescent="0.25">
      <c r="A1068" t="s">
        <v>2428</v>
      </c>
      <c r="B1068" t="s">
        <v>1367</v>
      </c>
      <c r="C1068" t="str">
        <f t="shared" si="19"/>
        <v>DK</v>
      </c>
      <c r="D1068">
        <v>1</v>
      </c>
    </row>
    <row r="1069" spans="1:4" x14ac:dyDescent="0.25">
      <c r="A1069" t="s">
        <v>2428</v>
      </c>
      <c r="B1069" t="s">
        <v>1367</v>
      </c>
      <c r="C1069" t="str">
        <f t="shared" si="19"/>
        <v>DK</v>
      </c>
      <c r="D1069">
        <v>1</v>
      </c>
    </row>
    <row r="1070" spans="1:4" x14ac:dyDescent="0.25">
      <c r="A1070" t="s">
        <v>2429</v>
      </c>
      <c r="B1070" t="s">
        <v>1367</v>
      </c>
      <c r="C1070" t="str">
        <f t="shared" si="19"/>
        <v>NL</v>
      </c>
      <c r="D1070">
        <v>1</v>
      </c>
    </row>
    <row r="1071" spans="1:4" x14ac:dyDescent="0.25">
      <c r="A1071" t="s">
        <v>2430</v>
      </c>
      <c r="B1071" t="s">
        <v>1367</v>
      </c>
      <c r="C1071" t="str">
        <f t="shared" si="19"/>
        <v>NL</v>
      </c>
      <c r="D1071">
        <v>1</v>
      </c>
    </row>
    <row r="1072" spans="1:4" x14ac:dyDescent="0.25">
      <c r="A1072" t="s">
        <v>2430</v>
      </c>
      <c r="B1072" t="s">
        <v>1367</v>
      </c>
      <c r="C1072" t="str">
        <f t="shared" si="19"/>
        <v>NL</v>
      </c>
      <c r="D1072">
        <v>1</v>
      </c>
    </row>
    <row r="1073" spans="1:4" x14ac:dyDescent="0.25">
      <c r="A1073" t="s">
        <v>2431</v>
      </c>
      <c r="B1073" t="s">
        <v>1367</v>
      </c>
      <c r="C1073" t="str">
        <f t="shared" si="19"/>
        <v>NO</v>
      </c>
      <c r="D1073">
        <v>1</v>
      </c>
    </row>
    <row r="1074" spans="1:4" x14ac:dyDescent="0.25">
      <c r="A1074" t="s">
        <v>2432</v>
      </c>
      <c r="B1074" t="s">
        <v>1367</v>
      </c>
      <c r="C1074" t="str">
        <f t="shared" si="19"/>
        <v>NO</v>
      </c>
      <c r="D1074">
        <v>1</v>
      </c>
    </row>
    <row r="1075" spans="1:4" x14ac:dyDescent="0.25">
      <c r="A1075" t="s">
        <v>2432</v>
      </c>
      <c r="B1075" t="s">
        <v>1367</v>
      </c>
      <c r="C1075" t="str">
        <f t="shared" si="19"/>
        <v>NO</v>
      </c>
      <c r="D1075">
        <v>1</v>
      </c>
    </row>
    <row r="1076" spans="1:4" x14ac:dyDescent="0.25">
      <c r="A1076" t="s">
        <v>2433</v>
      </c>
      <c r="B1076" t="s">
        <v>1367</v>
      </c>
      <c r="C1076" t="str">
        <f t="shared" si="19"/>
        <v>AU</v>
      </c>
      <c r="D1076">
        <v>1</v>
      </c>
    </row>
    <row r="1077" spans="1:4" x14ac:dyDescent="0.25">
      <c r="A1077" t="s">
        <v>2434</v>
      </c>
      <c r="B1077" t="s">
        <v>1367</v>
      </c>
      <c r="C1077" t="str">
        <f t="shared" si="19"/>
        <v>AU</v>
      </c>
      <c r="D1077">
        <v>1</v>
      </c>
    </row>
    <row r="1078" spans="1:4" x14ac:dyDescent="0.25">
      <c r="A1078" t="s">
        <v>2435</v>
      </c>
      <c r="B1078" t="s">
        <v>1367</v>
      </c>
      <c r="C1078" t="str">
        <f t="shared" si="19"/>
        <v>GB</v>
      </c>
      <c r="D1078">
        <v>1</v>
      </c>
    </row>
    <row r="1079" spans="1:4" x14ac:dyDescent="0.25">
      <c r="A1079" t="s">
        <v>2435</v>
      </c>
      <c r="B1079" t="s">
        <v>1367</v>
      </c>
      <c r="C1079" t="str">
        <f t="shared" si="19"/>
        <v>GB</v>
      </c>
      <c r="D1079">
        <v>1</v>
      </c>
    </row>
    <row r="1080" spans="1:4" x14ac:dyDescent="0.25">
      <c r="A1080" t="s">
        <v>2436</v>
      </c>
      <c r="B1080" t="s">
        <v>1367</v>
      </c>
      <c r="C1080" t="str">
        <f t="shared" si="19"/>
        <v>GB</v>
      </c>
      <c r="D1080">
        <v>1</v>
      </c>
    </row>
    <row r="1081" spans="1:4" x14ac:dyDescent="0.25">
      <c r="A1081" t="s">
        <v>2436</v>
      </c>
      <c r="B1081" t="s">
        <v>1367</v>
      </c>
      <c r="C1081" t="str">
        <f t="shared" si="19"/>
        <v>GB</v>
      </c>
      <c r="D1081">
        <v>1</v>
      </c>
    </row>
    <row r="1082" spans="1:4" x14ac:dyDescent="0.25">
      <c r="A1082" t="s">
        <v>2437</v>
      </c>
      <c r="B1082" t="s">
        <v>1367</v>
      </c>
      <c r="C1082" t="str">
        <f t="shared" si="19"/>
        <v>YU</v>
      </c>
      <c r="D1082">
        <v>1</v>
      </c>
    </row>
    <row r="1083" spans="1:4" x14ac:dyDescent="0.25">
      <c r="A1083" t="s">
        <v>2438</v>
      </c>
      <c r="B1083" t="s">
        <v>1367</v>
      </c>
      <c r="C1083" t="str">
        <f t="shared" si="19"/>
        <v>EG</v>
      </c>
      <c r="D1083">
        <v>1</v>
      </c>
    </row>
    <row r="1084" spans="1:4" x14ac:dyDescent="0.25">
      <c r="A1084" t="s">
        <v>2439</v>
      </c>
      <c r="B1084" t="s">
        <v>1367</v>
      </c>
      <c r="C1084" t="str">
        <f t="shared" si="19"/>
        <v>PH</v>
      </c>
      <c r="D1084">
        <v>1</v>
      </c>
    </row>
    <row r="1085" spans="1:4" x14ac:dyDescent="0.25">
      <c r="A1085" t="s">
        <v>2440</v>
      </c>
      <c r="B1085" t="s">
        <v>1367</v>
      </c>
      <c r="C1085" t="str">
        <f t="shared" si="19"/>
        <v>RO</v>
      </c>
      <c r="D1085">
        <v>1</v>
      </c>
    </row>
    <row r="1086" spans="1:4" x14ac:dyDescent="0.25">
      <c r="A1086" t="s">
        <v>2440</v>
      </c>
      <c r="B1086" t="s">
        <v>1367</v>
      </c>
      <c r="C1086" t="str">
        <f t="shared" si="19"/>
        <v>RO</v>
      </c>
      <c r="D1086">
        <v>1</v>
      </c>
    </row>
    <row r="1087" spans="1:4" x14ac:dyDescent="0.25">
      <c r="A1087" t="s">
        <v>2441</v>
      </c>
      <c r="B1087" t="s">
        <v>1367</v>
      </c>
      <c r="C1087" t="str">
        <f t="shared" si="19"/>
        <v>CA</v>
      </c>
      <c r="D1087">
        <v>1</v>
      </c>
    </row>
    <row r="1088" spans="1:4" x14ac:dyDescent="0.25">
      <c r="A1088" t="s">
        <v>2442</v>
      </c>
      <c r="B1088" t="s">
        <v>1367</v>
      </c>
      <c r="C1088" t="str">
        <f t="shared" si="19"/>
        <v>TR</v>
      </c>
      <c r="D1088">
        <v>1</v>
      </c>
    </row>
    <row r="1089" spans="1:4" x14ac:dyDescent="0.25">
      <c r="A1089" t="s">
        <v>2443</v>
      </c>
      <c r="B1089" t="s">
        <v>1367</v>
      </c>
      <c r="C1089" t="str">
        <f t="shared" si="19"/>
        <v>DK</v>
      </c>
      <c r="D1089">
        <v>1</v>
      </c>
    </row>
    <row r="1090" spans="1:4" x14ac:dyDescent="0.25">
      <c r="A1090" t="s">
        <v>2443</v>
      </c>
      <c r="B1090" t="s">
        <v>1367</v>
      </c>
      <c r="C1090" t="str">
        <f t="shared" si="19"/>
        <v>DK</v>
      </c>
      <c r="D1090">
        <v>1</v>
      </c>
    </row>
    <row r="1091" spans="1:4" x14ac:dyDescent="0.25">
      <c r="A1091" t="s">
        <v>2444</v>
      </c>
      <c r="B1091" t="s">
        <v>1367</v>
      </c>
      <c r="C1091" t="str">
        <f t="shared" ref="C1091:C1154" si="20">LEFT(A1091,2)</f>
        <v>DK</v>
      </c>
      <c r="D1091">
        <v>1</v>
      </c>
    </row>
    <row r="1092" spans="1:4" x14ac:dyDescent="0.25">
      <c r="A1092" t="s">
        <v>2445</v>
      </c>
      <c r="B1092" t="s">
        <v>1367</v>
      </c>
      <c r="C1092" t="str">
        <f t="shared" si="20"/>
        <v>DK</v>
      </c>
      <c r="D1092">
        <v>1</v>
      </c>
    </row>
    <row r="1093" spans="1:4" x14ac:dyDescent="0.25">
      <c r="A1093" t="s">
        <v>2446</v>
      </c>
      <c r="B1093" t="s">
        <v>1367</v>
      </c>
      <c r="C1093" t="str">
        <f t="shared" si="20"/>
        <v>AT</v>
      </c>
      <c r="D1093">
        <v>1</v>
      </c>
    </row>
    <row r="1094" spans="1:4" x14ac:dyDescent="0.25">
      <c r="A1094" t="s">
        <v>2447</v>
      </c>
      <c r="B1094" t="s">
        <v>1367</v>
      </c>
      <c r="C1094" t="str">
        <f t="shared" si="20"/>
        <v>AT</v>
      </c>
      <c r="D1094">
        <v>1</v>
      </c>
    </row>
    <row r="1095" spans="1:4" x14ac:dyDescent="0.25">
      <c r="A1095" t="s">
        <v>2448</v>
      </c>
      <c r="B1095" t="s">
        <v>1367</v>
      </c>
      <c r="C1095" t="str">
        <f t="shared" si="20"/>
        <v>US</v>
      </c>
      <c r="D1095">
        <v>1</v>
      </c>
    </row>
    <row r="1096" spans="1:4" x14ac:dyDescent="0.25">
      <c r="A1096" t="s">
        <v>2449</v>
      </c>
      <c r="B1096" t="s">
        <v>1367</v>
      </c>
      <c r="C1096" t="str">
        <f t="shared" si="20"/>
        <v>US</v>
      </c>
      <c r="D1096">
        <v>1</v>
      </c>
    </row>
    <row r="1097" spans="1:4" x14ac:dyDescent="0.25">
      <c r="A1097" t="s">
        <v>2450</v>
      </c>
      <c r="B1097" t="s">
        <v>1367</v>
      </c>
      <c r="C1097" t="str">
        <f t="shared" si="20"/>
        <v>JP</v>
      </c>
      <c r="D1097">
        <v>1</v>
      </c>
    </row>
    <row r="1098" spans="1:4" x14ac:dyDescent="0.25">
      <c r="A1098" t="s">
        <v>2451</v>
      </c>
      <c r="B1098" t="s">
        <v>1367</v>
      </c>
      <c r="C1098" t="str">
        <f t="shared" si="20"/>
        <v>JP</v>
      </c>
      <c r="D1098">
        <v>1</v>
      </c>
    </row>
    <row r="1099" spans="1:4" x14ac:dyDescent="0.25">
      <c r="A1099" t="s">
        <v>2452</v>
      </c>
      <c r="B1099" t="s">
        <v>1367</v>
      </c>
      <c r="C1099" t="str">
        <f t="shared" si="20"/>
        <v>JP</v>
      </c>
      <c r="D1099">
        <v>1</v>
      </c>
    </row>
    <row r="1100" spans="1:4" x14ac:dyDescent="0.25">
      <c r="A1100" t="s">
        <v>2453</v>
      </c>
      <c r="B1100" t="s">
        <v>1367</v>
      </c>
      <c r="C1100" t="str">
        <f t="shared" si="20"/>
        <v>JP</v>
      </c>
      <c r="D1100">
        <v>1</v>
      </c>
    </row>
    <row r="1101" spans="1:4" x14ac:dyDescent="0.25">
      <c r="A1101" t="s">
        <v>2454</v>
      </c>
      <c r="B1101" t="s">
        <v>1367</v>
      </c>
      <c r="C1101" t="str">
        <f t="shared" si="20"/>
        <v>JP</v>
      </c>
      <c r="D1101">
        <v>1</v>
      </c>
    </row>
    <row r="1102" spans="1:4" x14ac:dyDescent="0.25">
      <c r="A1102" t="s">
        <v>2455</v>
      </c>
      <c r="B1102" t="s">
        <v>1367</v>
      </c>
      <c r="C1102" t="str">
        <f t="shared" si="20"/>
        <v>JP</v>
      </c>
      <c r="D1102">
        <v>1</v>
      </c>
    </row>
    <row r="1103" spans="1:4" x14ac:dyDescent="0.25">
      <c r="A1103" t="s">
        <v>2456</v>
      </c>
      <c r="B1103" t="s">
        <v>1367</v>
      </c>
      <c r="C1103" t="str">
        <f t="shared" si="20"/>
        <v>DK</v>
      </c>
      <c r="D1103">
        <v>1</v>
      </c>
    </row>
    <row r="1104" spans="1:4" x14ac:dyDescent="0.25">
      <c r="A1104" t="s">
        <v>2456</v>
      </c>
      <c r="B1104" t="s">
        <v>1367</v>
      </c>
      <c r="C1104" t="str">
        <f t="shared" si="20"/>
        <v>DK</v>
      </c>
      <c r="D1104">
        <v>1</v>
      </c>
    </row>
    <row r="1105" spans="1:4" x14ac:dyDescent="0.25">
      <c r="A1105" t="s">
        <v>2457</v>
      </c>
      <c r="B1105" t="s">
        <v>1367</v>
      </c>
      <c r="C1105" t="str">
        <f t="shared" si="20"/>
        <v>DK</v>
      </c>
      <c r="D1105">
        <v>1</v>
      </c>
    </row>
    <row r="1106" spans="1:4" x14ac:dyDescent="0.25">
      <c r="A1106" t="s">
        <v>2458</v>
      </c>
      <c r="B1106" t="s">
        <v>1367</v>
      </c>
      <c r="C1106" t="str">
        <f t="shared" si="20"/>
        <v>DK</v>
      </c>
      <c r="D1106">
        <v>1</v>
      </c>
    </row>
    <row r="1107" spans="1:4" x14ac:dyDescent="0.25">
      <c r="A1107" t="s">
        <v>2458</v>
      </c>
      <c r="B1107" t="s">
        <v>1367</v>
      </c>
      <c r="C1107" t="str">
        <f t="shared" si="20"/>
        <v>DK</v>
      </c>
      <c r="D1107">
        <v>1</v>
      </c>
    </row>
    <row r="1108" spans="1:4" x14ac:dyDescent="0.25">
      <c r="A1108" t="s">
        <v>2459</v>
      </c>
      <c r="B1108" t="s">
        <v>1367</v>
      </c>
      <c r="C1108" t="str">
        <f t="shared" si="20"/>
        <v>DK</v>
      </c>
      <c r="D1108">
        <v>1</v>
      </c>
    </row>
    <row r="1109" spans="1:4" x14ac:dyDescent="0.25">
      <c r="A1109" t="s">
        <v>2460</v>
      </c>
      <c r="B1109" t="s">
        <v>1367</v>
      </c>
      <c r="C1109" t="str">
        <f t="shared" si="20"/>
        <v>LU</v>
      </c>
      <c r="D1109">
        <v>1</v>
      </c>
    </row>
    <row r="1110" spans="1:4" x14ac:dyDescent="0.25">
      <c r="A1110" t="s">
        <v>2461</v>
      </c>
      <c r="B1110" t="s">
        <v>1367</v>
      </c>
      <c r="C1110" t="str">
        <f t="shared" si="20"/>
        <v>DE</v>
      </c>
      <c r="D1110">
        <v>1</v>
      </c>
    </row>
    <row r="1111" spans="1:4" x14ac:dyDescent="0.25">
      <c r="A1111" t="s">
        <v>2461</v>
      </c>
      <c r="B1111" t="s">
        <v>1367</v>
      </c>
      <c r="C1111" t="str">
        <f t="shared" si="20"/>
        <v>DE</v>
      </c>
      <c r="D1111">
        <v>1</v>
      </c>
    </row>
    <row r="1112" spans="1:4" x14ac:dyDescent="0.25">
      <c r="A1112" t="s">
        <v>2462</v>
      </c>
      <c r="B1112" t="s">
        <v>1367</v>
      </c>
      <c r="C1112" t="str">
        <f t="shared" si="20"/>
        <v>FR</v>
      </c>
      <c r="D1112">
        <v>1</v>
      </c>
    </row>
    <row r="1113" spans="1:4" x14ac:dyDescent="0.25">
      <c r="A1113" t="s">
        <v>2462</v>
      </c>
      <c r="B1113" t="s">
        <v>1367</v>
      </c>
      <c r="C1113" t="str">
        <f t="shared" si="20"/>
        <v>FR</v>
      </c>
      <c r="D1113">
        <v>1</v>
      </c>
    </row>
    <row r="1114" spans="1:4" x14ac:dyDescent="0.25">
      <c r="A1114" t="s">
        <v>2463</v>
      </c>
      <c r="B1114" t="s">
        <v>1367</v>
      </c>
      <c r="C1114" t="str">
        <f t="shared" si="20"/>
        <v>PL</v>
      </c>
      <c r="D1114">
        <v>1</v>
      </c>
    </row>
    <row r="1115" spans="1:4" x14ac:dyDescent="0.25">
      <c r="A1115" t="s">
        <v>2464</v>
      </c>
      <c r="B1115" t="s">
        <v>1367</v>
      </c>
      <c r="C1115" t="str">
        <f t="shared" si="20"/>
        <v>PL</v>
      </c>
      <c r="D1115">
        <v>1</v>
      </c>
    </row>
    <row r="1116" spans="1:4" x14ac:dyDescent="0.25">
      <c r="A1116" t="s">
        <v>2465</v>
      </c>
      <c r="B1116" t="s">
        <v>1367</v>
      </c>
      <c r="C1116" t="str">
        <f t="shared" si="20"/>
        <v>ES</v>
      </c>
      <c r="D1116">
        <v>1</v>
      </c>
    </row>
    <row r="1117" spans="1:4" x14ac:dyDescent="0.25">
      <c r="A1117" t="s">
        <v>2466</v>
      </c>
      <c r="B1117" t="s">
        <v>1367</v>
      </c>
      <c r="C1117" t="str">
        <f t="shared" si="20"/>
        <v>ES</v>
      </c>
      <c r="D1117">
        <v>1</v>
      </c>
    </row>
    <row r="1118" spans="1:4" x14ac:dyDescent="0.25">
      <c r="A1118" t="s">
        <v>2467</v>
      </c>
      <c r="B1118" t="s">
        <v>1367</v>
      </c>
      <c r="C1118" t="str">
        <f t="shared" si="20"/>
        <v>AR</v>
      </c>
      <c r="D1118">
        <v>1</v>
      </c>
    </row>
    <row r="1119" spans="1:4" x14ac:dyDescent="0.25">
      <c r="A1119" t="s">
        <v>2468</v>
      </c>
      <c r="B1119" t="s">
        <v>1367</v>
      </c>
      <c r="C1119" t="str">
        <f t="shared" si="20"/>
        <v>IE</v>
      </c>
      <c r="D1119">
        <v>1</v>
      </c>
    </row>
    <row r="1120" spans="1:4" x14ac:dyDescent="0.25">
      <c r="A1120" t="s">
        <v>2469</v>
      </c>
      <c r="B1120" t="s">
        <v>1367</v>
      </c>
      <c r="C1120" t="str">
        <f t="shared" si="20"/>
        <v>IE</v>
      </c>
      <c r="D1120">
        <v>1</v>
      </c>
    </row>
    <row r="1121" spans="1:4" x14ac:dyDescent="0.25">
      <c r="A1121" t="s">
        <v>2470</v>
      </c>
      <c r="B1121" t="s">
        <v>1367</v>
      </c>
      <c r="C1121" t="str">
        <f t="shared" si="20"/>
        <v>SE</v>
      </c>
      <c r="D1121">
        <v>1</v>
      </c>
    </row>
    <row r="1122" spans="1:4" x14ac:dyDescent="0.25">
      <c r="A1122" t="s">
        <v>2471</v>
      </c>
      <c r="B1122" t="s">
        <v>1367</v>
      </c>
      <c r="C1122" t="str">
        <f t="shared" si="20"/>
        <v>SE</v>
      </c>
      <c r="D1122">
        <v>1</v>
      </c>
    </row>
    <row r="1123" spans="1:4" x14ac:dyDescent="0.25">
      <c r="A1123" t="s">
        <v>2472</v>
      </c>
      <c r="B1123" t="s">
        <v>1367</v>
      </c>
      <c r="C1123" t="str">
        <f t="shared" si="20"/>
        <v>SE</v>
      </c>
      <c r="D1123">
        <v>1</v>
      </c>
    </row>
    <row r="1124" spans="1:4" x14ac:dyDescent="0.25">
      <c r="A1124" t="s">
        <v>2472</v>
      </c>
      <c r="B1124" t="s">
        <v>1367</v>
      </c>
      <c r="C1124" t="str">
        <f t="shared" si="20"/>
        <v>SE</v>
      </c>
      <c r="D1124">
        <v>1</v>
      </c>
    </row>
    <row r="1125" spans="1:4" x14ac:dyDescent="0.25">
      <c r="A1125" t="s">
        <v>2473</v>
      </c>
      <c r="B1125" t="s">
        <v>1367</v>
      </c>
      <c r="C1125" t="str">
        <f t="shared" si="20"/>
        <v>SE</v>
      </c>
      <c r="D1125">
        <v>1</v>
      </c>
    </row>
    <row r="1126" spans="1:4" x14ac:dyDescent="0.25">
      <c r="A1126" t="s">
        <v>2474</v>
      </c>
      <c r="B1126" t="s">
        <v>1367</v>
      </c>
      <c r="C1126" t="str">
        <f t="shared" si="20"/>
        <v>SE</v>
      </c>
      <c r="D1126">
        <v>1</v>
      </c>
    </row>
    <row r="1127" spans="1:4" x14ac:dyDescent="0.25">
      <c r="A1127" t="s">
        <v>2474</v>
      </c>
      <c r="B1127" t="s">
        <v>1367</v>
      </c>
      <c r="C1127" t="str">
        <f t="shared" si="20"/>
        <v>SE</v>
      </c>
      <c r="D1127">
        <v>1</v>
      </c>
    </row>
    <row r="1128" spans="1:4" x14ac:dyDescent="0.25">
      <c r="A1128" t="s">
        <v>2475</v>
      </c>
      <c r="B1128" t="s">
        <v>1367</v>
      </c>
      <c r="C1128" t="str">
        <f t="shared" si="20"/>
        <v>SE</v>
      </c>
      <c r="D1128">
        <v>1</v>
      </c>
    </row>
    <row r="1129" spans="1:4" x14ac:dyDescent="0.25">
      <c r="A1129" t="s">
        <v>2476</v>
      </c>
      <c r="B1129" t="s">
        <v>1367</v>
      </c>
      <c r="C1129" t="str">
        <f t="shared" si="20"/>
        <v>SE</v>
      </c>
      <c r="D1129">
        <v>1</v>
      </c>
    </row>
    <row r="1130" spans="1:4" x14ac:dyDescent="0.25">
      <c r="A1130" t="s">
        <v>2476</v>
      </c>
      <c r="B1130" t="s">
        <v>1367</v>
      </c>
      <c r="C1130" t="str">
        <f t="shared" si="20"/>
        <v>SE</v>
      </c>
      <c r="D1130">
        <v>1</v>
      </c>
    </row>
    <row r="1131" spans="1:4" x14ac:dyDescent="0.25">
      <c r="A1131" t="s">
        <v>2477</v>
      </c>
      <c r="B1131" t="s">
        <v>1367</v>
      </c>
      <c r="C1131" t="str">
        <f t="shared" si="20"/>
        <v>SE</v>
      </c>
      <c r="D1131">
        <v>1</v>
      </c>
    </row>
    <row r="1132" spans="1:4" x14ac:dyDescent="0.25">
      <c r="A1132" t="s">
        <v>2478</v>
      </c>
      <c r="B1132" t="s">
        <v>1367</v>
      </c>
      <c r="C1132" t="str">
        <f t="shared" si="20"/>
        <v>DD</v>
      </c>
      <c r="D1132">
        <v>1</v>
      </c>
    </row>
    <row r="1133" spans="1:4" x14ac:dyDescent="0.25">
      <c r="A1133" t="s">
        <v>2479</v>
      </c>
      <c r="B1133" t="s">
        <v>1367</v>
      </c>
      <c r="C1133" t="str">
        <f t="shared" si="20"/>
        <v>CH</v>
      </c>
      <c r="D1133">
        <v>1</v>
      </c>
    </row>
    <row r="1134" spans="1:4" x14ac:dyDescent="0.25">
      <c r="A1134" t="s">
        <v>2480</v>
      </c>
      <c r="B1134" t="s">
        <v>1367</v>
      </c>
      <c r="C1134" t="str">
        <f t="shared" si="20"/>
        <v>GR</v>
      </c>
      <c r="D1134">
        <v>1</v>
      </c>
    </row>
    <row r="1135" spans="1:4" x14ac:dyDescent="0.25">
      <c r="A1135" t="s">
        <v>2481</v>
      </c>
      <c r="B1135" t="s">
        <v>1367</v>
      </c>
      <c r="C1135" t="str">
        <f t="shared" si="20"/>
        <v>IN</v>
      </c>
      <c r="D1135">
        <v>1</v>
      </c>
    </row>
    <row r="1136" spans="1:4" x14ac:dyDescent="0.25">
      <c r="A1136" t="s">
        <v>2482</v>
      </c>
      <c r="B1136" t="s">
        <v>1367</v>
      </c>
      <c r="C1136" t="str">
        <f t="shared" si="20"/>
        <v>HU</v>
      </c>
      <c r="D1136">
        <v>1</v>
      </c>
    </row>
    <row r="1137" spans="1:4" x14ac:dyDescent="0.25">
      <c r="A1137" t="s">
        <v>2483</v>
      </c>
      <c r="B1137" t="s">
        <v>1367</v>
      </c>
      <c r="C1137" t="str">
        <f t="shared" si="20"/>
        <v>BG</v>
      </c>
      <c r="D1137">
        <v>1</v>
      </c>
    </row>
    <row r="1138" spans="1:4" x14ac:dyDescent="0.25">
      <c r="A1138" t="s">
        <v>2457</v>
      </c>
      <c r="B1138" t="s">
        <v>1367</v>
      </c>
      <c r="C1138" t="str">
        <f t="shared" si="20"/>
        <v>DK</v>
      </c>
      <c r="D1138">
        <v>1</v>
      </c>
    </row>
    <row r="1139" spans="1:4" x14ac:dyDescent="0.25">
      <c r="A1139" t="s">
        <v>2459</v>
      </c>
      <c r="B1139" t="s">
        <v>1367</v>
      </c>
      <c r="C1139" t="str">
        <f t="shared" si="20"/>
        <v>DK</v>
      </c>
      <c r="D1139">
        <v>1</v>
      </c>
    </row>
    <row r="1140" spans="1:4" x14ac:dyDescent="0.25">
      <c r="A1140" t="s">
        <v>2484</v>
      </c>
      <c r="B1140" t="s">
        <v>1374</v>
      </c>
      <c r="C1140" t="str">
        <f t="shared" si="20"/>
        <v>US</v>
      </c>
      <c r="D1140">
        <v>1</v>
      </c>
    </row>
    <row r="1141" spans="1:4" x14ac:dyDescent="0.25">
      <c r="A1141" t="s">
        <v>2486</v>
      </c>
      <c r="B1141" t="s">
        <v>1374</v>
      </c>
      <c r="C1141" t="str">
        <f t="shared" si="20"/>
        <v>JP</v>
      </c>
      <c r="D1141">
        <v>1</v>
      </c>
    </row>
    <row r="1142" spans="1:4" x14ac:dyDescent="0.25">
      <c r="A1142" t="s">
        <v>2487</v>
      </c>
      <c r="B1142" t="s">
        <v>1374</v>
      </c>
      <c r="C1142" t="str">
        <f t="shared" si="20"/>
        <v>JP</v>
      </c>
      <c r="D1142">
        <v>1</v>
      </c>
    </row>
    <row r="1143" spans="1:4" x14ac:dyDescent="0.25">
      <c r="A1143" t="s">
        <v>2488</v>
      </c>
      <c r="B1143" t="s">
        <v>1374</v>
      </c>
      <c r="C1143" t="str">
        <f t="shared" si="20"/>
        <v>AU</v>
      </c>
      <c r="D1143">
        <v>1</v>
      </c>
    </row>
    <row r="1144" spans="1:4" x14ac:dyDescent="0.25">
      <c r="A1144" t="s">
        <v>2489</v>
      </c>
      <c r="B1144" t="s">
        <v>1374</v>
      </c>
      <c r="C1144" t="str">
        <f t="shared" si="20"/>
        <v>AU</v>
      </c>
      <c r="D1144">
        <v>1</v>
      </c>
    </row>
    <row r="1145" spans="1:4" x14ac:dyDescent="0.25">
      <c r="A1145" t="s">
        <v>2490</v>
      </c>
      <c r="B1145" t="s">
        <v>1374</v>
      </c>
      <c r="C1145" t="str">
        <f t="shared" si="20"/>
        <v>NZ</v>
      </c>
      <c r="D1145">
        <v>1</v>
      </c>
    </row>
    <row r="1146" spans="1:4" x14ac:dyDescent="0.25">
      <c r="A1146" t="s">
        <v>2491</v>
      </c>
      <c r="B1146" t="s">
        <v>1374</v>
      </c>
      <c r="C1146" t="str">
        <f t="shared" si="20"/>
        <v>CA</v>
      </c>
      <c r="D1146">
        <v>1</v>
      </c>
    </row>
    <row r="1147" spans="1:4" x14ac:dyDescent="0.25">
      <c r="A1147" t="s">
        <v>2493</v>
      </c>
      <c r="B1147" t="s">
        <v>1374</v>
      </c>
      <c r="C1147" t="str">
        <f t="shared" si="20"/>
        <v>EP</v>
      </c>
      <c r="D1147">
        <v>1</v>
      </c>
    </row>
    <row r="1148" spans="1:4" x14ac:dyDescent="0.25">
      <c r="A1148" t="s">
        <v>2493</v>
      </c>
      <c r="B1148" t="s">
        <v>1374</v>
      </c>
      <c r="C1148" t="str">
        <f t="shared" si="20"/>
        <v>EP</v>
      </c>
      <c r="D1148">
        <v>1</v>
      </c>
    </row>
    <row r="1149" spans="1:4" x14ac:dyDescent="0.25">
      <c r="A1149" t="s">
        <v>2494</v>
      </c>
      <c r="B1149" t="s">
        <v>1374</v>
      </c>
      <c r="C1149" t="str">
        <f t="shared" si="20"/>
        <v>ZA</v>
      </c>
      <c r="D1149">
        <v>1</v>
      </c>
    </row>
    <row r="1150" spans="1:4" x14ac:dyDescent="0.25">
      <c r="A1150" t="s">
        <v>2495</v>
      </c>
      <c r="B1150" t="s">
        <v>1374</v>
      </c>
      <c r="C1150" t="str">
        <f t="shared" si="20"/>
        <v>DE</v>
      </c>
      <c r="D1150">
        <v>1</v>
      </c>
    </row>
    <row r="1151" spans="1:4" x14ac:dyDescent="0.25">
      <c r="A1151" t="s">
        <v>1382</v>
      </c>
      <c r="B1151" t="s">
        <v>1382</v>
      </c>
      <c r="C1151" t="str">
        <f t="shared" si="20"/>
        <v>IT</v>
      </c>
      <c r="D1151">
        <v>1</v>
      </c>
    </row>
    <row r="1152" spans="1:4" x14ac:dyDescent="0.25">
      <c r="A1152" t="s">
        <v>2497</v>
      </c>
      <c r="B1152" t="s">
        <v>1382</v>
      </c>
      <c r="C1152" t="str">
        <f t="shared" si="20"/>
        <v>IT</v>
      </c>
      <c r="D1152">
        <v>1</v>
      </c>
    </row>
    <row r="1153" spans="1:4" x14ac:dyDescent="0.25">
      <c r="A1153" t="s">
        <v>2498</v>
      </c>
      <c r="B1153" t="s">
        <v>1382</v>
      </c>
      <c r="C1153" t="str">
        <f t="shared" si="20"/>
        <v>NL</v>
      </c>
      <c r="D1153">
        <v>1</v>
      </c>
    </row>
    <row r="1154" spans="1:4" x14ac:dyDescent="0.25">
      <c r="A1154" t="s">
        <v>2499</v>
      </c>
      <c r="B1154" t="s">
        <v>1382</v>
      </c>
      <c r="C1154" t="str">
        <f t="shared" si="20"/>
        <v>JP</v>
      </c>
      <c r="D1154">
        <v>1</v>
      </c>
    </row>
    <row r="1155" spans="1:4" x14ac:dyDescent="0.25">
      <c r="A1155" t="s">
        <v>2500</v>
      </c>
      <c r="B1155" t="s">
        <v>1382</v>
      </c>
      <c r="C1155" t="str">
        <f t="shared" ref="C1155:C1177" si="21">LEFT(A1155,2)</f>
        <v>JP</v>
      </c>
      <c r="D1155">
        <v>1</v>
      </c>
    </row>
    <row r="1156" spans="1:4" x14ac:dyDescent="0.25">
      <c r="A1156" t="s">
        <v>2501</v>
      </c>
      <c r="B1156" t="s">
        <v>1382</v>
      </c>
      <c r="C1156" t="str">
        <f t="shared" si="21"/>
        <v>JP</v>
      </c>
      <c r="D1156">
        <v>1</v>
      </c>
    </row>
    <row r="1157" spans="1:4" x14ac:dyDescent="0.25">
      <c r="A1157" t="s">
        <v>2502</v>
      </c>
      <c r="B1157" t="s">
        <v>1382</v>
      </c>
      <c r="C1157" t="str">
        <f t="shared" si="21"/>
        <v>GB</v>
      </c>
      <c r="D1157">
        <v>1</v>
      </c>
    </row>
    <row r="1158" spans="1:4" x14ac:dyDescent="0.25">
      <c r="A1158" t="s">
        <v>2502</v>
      </c>
      <c r="B1158" t="s">
        <v>1382</v>
      </c>
      <c r="C1158" t="str">
        <f t="shared" si="21"/>
        <v>GB</v>
      </c>
      <c r="D1158">
        <v>1</v>
      </c>
    </row>
    <row r="1159" spans="1:4" x14ac:dyDescent="0.25">
      <c r="A1159" t="s">
        <v>2503</v>
      </c>
      <c r="B1159" t="s">
        <v>1382</v>
      </c>
      <c r="C1159" t="str">
        <f t="shared" si="21"/>
        <v>CA</v>
      </c>
      <c r="D1159">
        <v>1</v>
      </c>
    </row>
    <row r="1160" spans="1:4" x14ac:dyDescent="0.25">
      <c r="A1160" t="s">
        <v>2504</v>
      </c>
      <c r="B1160" t="s">
        <v>1382</v>
      </c>
      <c r="C1160" t="str">
        <f t="shared" si="21"/>
        <v>DE</v>
      </c>
      <c r="D1160">
        <v>1</v>
      </c>
    </row>
    <row r="1161" spans="1:4" x14ac:dyDescent="0.25">
      <c r="A1161" t="s">
        <v>2504</v>
      </c>
      <c r="B1161" t="s">
        <v>1382</v>
      </c>
      <c r="C1161" t="str">
        <f t="shared" si="21"/>
        <v>DE</v>
      </c>
      <c r="D1161">
        <v>1</v>
      </c>
    </row>
    <row r="1162" spans="1:4" x14ac:dyDescent="0.25">
      <c r="A1162" t="s">
        <v>2505</v>
      </c>
      <c r="B1162" t="s">
        <v>1382</v>
      </c>
      <c r="C1162" t="str">
        <f t="shared" si="21"/>
        <v>FR</v>
      </c>
      <c r="D1162">
        <v>1</v>
      </c>
    </row>
    <row r="1163" spans="1:4" x14ac:dyDescent="0.25">
      <c r="A1163" t="s">
        <v>2505</v>
      </c>
      <c r="B1163" t="s">
        <v>1382</v>
      </c>
      <c r="C1163" t="str">
        <f t="shared" si="21"/>
        <v>FR</v>
      </c>
      <c r="D1163">
        <v>1</v>
      </c>
    </row>
    <row r="1164" spans="1:4" x14ac:dyDescent="0.25">
      <c r="A1164" t="s">
        <v>1390</v>
      </c>
      <c r="B1164" t="s">
        <v>1390</v>
      </c>
      <c r="C1164" t="str">
        <f t="shared" si="21"/>
        <v>IT</v>
      </c>
      <c r="D1164">
        <v>1</v>
      </c>
    </row>
    <row r="1165" spans="1:4" x14ac:dyDescent="0.25">
      <c r="A1165" t="s">
        <v>2507</v>
      </c>
      <c r="B1165" t="s">
        <v>1390</v>
      </c>
      <c r="C1165" t="str">
        <f t="shared" si="21"/>
        <v>IT</v>
      </c>
      <c r="D1165">
        <v>1</v>
      </c>
    </row>
    <row r="1166" spans="1:4" x14ac:dyDescent="0.25">
      <c r="A1166" t="s">
        <v>2508</v>
      </c>
      <c r="B1166" t="s">
        <v>1390</v>
      </c>
      <c r="C1166" t="str">
        <f t="shared" si="21"/>
        <v>NL</v>
      </c>
      <c r="D1166">
        <v>1</v>
      </c>
    </row>
    <row r="1167" spans="1:4" x14ac:dyDescent="0.25">
      <c r="A1167" t="s">
        <v>2509</v>
      </c>
      <c r="B1167" t="s">
        <v>1390</v>
      </c>
      <c r="C1167" t="str">
        <f t="shared" si="21"/>
        <v>JP</v>
      </c>
      <c r="D1167">
        <v>1</v>
      </c>
    </row>
    <row r="1168" spans="1:4" x14ac:dyDescent="0.25">
      <c r="A1168" t="s">
        <v>2510</v>
      </c>
      <c r="B1168" t="s">
        <v>1390</v>
      </c>
      <c r="C1168" t="str">
        <f t="shared" si="21"/>
        <v>JP</v>
      </c>
      <c r="D1168">
        <v>1</v>
      </c>
    </row>
    <row r="1169" spans="1:4" x14ac:dyDescent="0.25">
      <c r="A1169" t="s">
        <v>2511</v>
      </c>
      <c r="B1169" t="s">
        <v>1390</v>
      </c>
      <c r="C1169" t="str">
        <f t="shared" si="21"/>
        <v>JP</v>
      </c>
      <c r="D1169">
        <v>1</v>
      </c>
    </row>
    <row r="1170" spans="1:4" x14ac:dyDescent="0.25">
      <c r="A1170" t="s">
        <v>2512</v>
      </c>
      <c r="B1170" t="s">
        <v>1390</v>
      </c>
      <c r="C1170" t="str">
        <f t="shared" si="21"/>
        <v>GB</v>
      </c>
      <c r="D1170">
        <v>1</v>
      </c>
    </row>
    <row r="1171" spans="1:4" x14ac:dyDescent="0.25">
      <c r="A1171" t="s">
        <v>2512</v>
      </c>
      <c r="B1171" t="s">
        <v>1390</v>
      </c>
      <c r="C1171" t="str">
        <f t="shared" si="21"/>
        <v>GB</v>
      </c>
      <c r="D1171">
        <v>1</v>
      </c>
    </row>
    <row r="1172" spans="1:4" x14ac:dyDescent="0.25">
      <c r="A1172" t="s">
        <v>2513</v>
      </c>
      <c r="B1172" t="s">
        <v>1390</v>
      </c>
      <c r="C1172" t="str">
        <f t="shared" si="21"/>
        <v>US</v>
      </c>
      <c r="D1172">
        <v>1</v>
      </c>
    </row>
    <row r="1173" spans="1:4" x14ac:dyDescent="0.25">
      <c r="A1173" t="s">
        <v>2514</v>
      </c>
      <c r="B1173" t="s">
        <v>1390</v>
      </c>
      <c r="C1173" t="str">
        <f t="shared" si="21"/>
        <v>CA</v>
      </c>
      <c r="D1173">
        <v>1</v>
      </c>
    </row>
    <row r="1174" spans="1:4" x14ac:dyDescent="0.25">
      <c r="A1174" t="s">
        <v>2515</v>
      </c>
      <c r="B1174" t="s">
        <v>1390</v>
      </c>
      <c r="C1174" t="str">
        <f t="shared" si="21"/>
        <v>DE</v>
      </c>
      <c r="D1174">
        <v>1</v>
      </c>
    </row>
    <row r="1175" spans="1:4" x14ac:dyDescent="0.25">
      <c r="A1175" t="s">
        <v>2515</v>
      </c>
      <c r="B1175" t="s">
        <v>1390</v>
      </c>
      <c r="C1175" t="str">
        <f t="shared" si="21"/>
        <v>DE</v>
      </c>
      <c r="D1175">
        <v>1</v>
      </c>
    </row>
    <row r="1176" spans="1:4" x14ac:dyDescent="0.25">
      <c r="A1176" t="s">
        <v>2516</v>
      </c>
      <c r="B1176" t="s">
        <v>1390</v>
      </c>
      <c r="C1176" t="str">
        <f t="shared" si="21"/>
        <v>FR</v>
      </c>
      <c r="D1176">
        <v>1</v>
      </c>
    </row>
    <row r="1177" spans="1:4" x14ac:dyDescent="0.25">
      <c r="A1177" t="s">
        <v>2516</v>
      </c>
      <c r="B1177" t="s">
        <v>1390</v>
      </c>
      <c r="C1177" t="str">
        <f t="shared" si="21"/>
        <v>FR</v>
      </c>
      <c r="D1177">
        <v>1</v>
      </c>
    </row>
  </sheetData>
  <autoFilter ref="A1:A1177"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F260"/>
  <sheetViews>
    <sheetView workbookViewId="0"/>
  </sheetViews>
  <sheetFormatPr defaultRowHeight="15" x14ac:dyDescent="0.25"/>
  <cols>
    <col min="1" max="1" width="22.28515625" bestFit="1" customWidth="1"/>
    <col min="2" max="2" width="16.140625" bestFit="1" customWidth="1"/>
    <col min="3" max="3" width="2.85546875" bestFit="1" customWidth="1"/>
    <col min="4" max="4" width="3.28515625" bestFit="1" customWidth="1"/>
    <col min="5" max="5" width="3" bestFit="1" customWidth="1"/>
    <col min="6" max="6" width="2.85546875" bestFit="1" customWidth="1"/>
    <col min="7" max="7" width="4.42578125" bestFit="1" customWidth="1"/>
    <col min="8" max="9" width="3" bestFit="1" customWidth="1"/>
    <col min="10" max="10" width="3.140625" bestFit="1" customWidth="1"/>
    <col min="11" max="11" width="2.7109375" bestFit="1" customWidth="1"/>
    <col min="12" max="12" width="3.140625" bestFit="1" customWidth="1"/>
    <col min="13" max="13" width="2.85546875" bestFit="1" customWidth="1"/>
    <col min="14" max="14" width="3" bestFit="1" customWidth="1"/>
    <col min="15" max="16" width="2.85546875" bestFit="1" customWidth="1"/>
    <col min="17" max="17" width="2.7109375" bestFit="1" customWidth="1"/>
    <col min="18" max="18" width="2.5703125" bestFit="1" customWidth="1"/>
    <col min="19" max="19" width="2.7109375" bestFit="1" customWidth="1"/>
    <col min="20" max="22" width="3" bestFit="1" customWidth="1"/>
    <col min="23" max="23" width="3.28515625" bestFit="1" customWidth="1"/>
    <col min="24" max="24" width="2.28515625" bestFit="1" customWidth="1"/>
    <col min="25" max="25" width="2.140625" bestFit="1" customWidth="1"/>
    <col min="26" max="26" width="2.5703125" bestFit="1" customWidth="1"/>
    <col min="27" max="27" width="2.28515625" bestFit="1" customWidth="1"/>
    <col min="28" max="28" width="2.42578125" bestFit="1" customWidth="1"/>
    <col min="29" max="30" width="2.85546875" bestFit="1" customWidth="1"/>
    <col min="31" max="32" width="3.42578125" bestFit="1" customWidth="1"/>
    <col min="33" max="33" width="2.85546875" bestFit="1" customWidth="1"/>
    <col min="34" max="34" width="3.42578125" bestFit="1" customWidth="1"/>
    <col min="35" max="36" width="3" bestFit="1" customWidth="1"/>
    <col min="37" max="37" width="2.5703125" bestFit="1" customWidth="1"/>
    <col min="38" max="38" width="2.7109375" bestFit="1" customWidth="1"/>
    <col min="39" max="40" width="3.140625" bestFit="1" customWidth="1"/>
    <col min="41" max="41" width="2.5703125" bestFit="1" customWidth="1"/>
    <col min="42" max="42" width="2.85546875" bestFit="1" customWidth="1"/>
    <col min="43" max="43" width="3" bestFit="1" customWidth="1"/>
    <col min="44" max="44" width="2.85546875" bestFit="1" customWidth="1"/>
    <col min="45" max="45" width="2.7109375" bestFit="1" customWidth="1"/>
    <col min="46" max="46" width="3.42578125" bestFit="1" customWidth="1"/>
    <col min="47" max="47" width="3" bestFit="1" customWidth="1"/>
    <col min="48" max="48" width="3.7109375" bestFit="1" customWidth="1"/>
    <col min="49" max="49" width="3" bestFit="1" customWidth="1"/>
    <col min="50" max="50" width="2.85546875" bestFit="1" customWidth="1"/>
    <col min="51" max="51" width="6.42578125" bestFit="1" customWidth="1"/>
    <col min="52" max="52" width="10.28515625" bestFit="1" customWidth="1"/>
  </cols>
  <sheetData>
    <row r="1" spans="1:58"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row>
    <row r="2" spans="1:58" x14ac:dyDescent="0.25">
      <c r="A2" t="s">
        <v>2526</v>
      </c>
      <c r="B2" t="s">
        <v>2524</v>
      </c>
    </row>
    <row r="3" spans="1:58" x14ac:dyDescent="0.25">
      <c r="A3" t="s">
        <v>2521</v>
      </c>
      <c r="B3" t="s">
        <v>2858</v>
      </c>
      <c r="C3" t="s">
        <v>2859</v>
      </c>
      <c r="D3" t="s">
        <v>2860</v>
      </c>
      <c r="E3" t="s">
        <v>2861</v>
      </c>
      <c r="F3" t="s">
        <v>2862</v>
      </c>
      <c r="G3" t="s">
        <v>2863</v>
      </c>
      <c r="H3" t="s">
        <v>2864</v>
      </c>
      <c r="I3" t="s">
        <v>2865</v>
      </c>
      <c r="J3" t="s">
        <v>2866</v>
      </c>
      <c r="K3" t="s">
        <v>2867</v>
      </c>
      <c r="L3" t="s">
        <v>2868</v>
      </c>
      <c r="M3" t="s">
        <v>2869</v>
      </c>
      <c r="N3" t="s">
        <v>2870</v>
      </c>
      <c r="O3" t="s">
        <v>2871</v>
      </c>
      <c r="P3" t="s">
        <v>2872</v>
      </c>
      <c r="Q3" t="s">
        <v>2873</v>
      </c>
      <c r="R3" t="s">
        <v>2874</v>
      </c>
      <c r="S3" t="s">
        <v>2875</v>
      </c>
      <c r="T3" t="s">
        <v>2876</v>
      </c>
      <c r="U3" t="s">
        <v>2877</v>
      </c>
      <c r="V3" t="s">
        <v>2878</v>
      </c>
      <c r="W3" t="s">
        <v>2879</v>
      </c>
      <c r="X3" t="s">
        <v>2880</v>
      </c>
      <c r="Y3" t="s">
        <v>2881</v>
      </c>
      <c r="Z3" t="s">
        <v>2882</v>
      </c>
      <c r="AA3" t="s">
        <v>2883</v>
      </c>
      <c r="AB3" t="s">
        <v>2884</v>
      </c>
      <c r="AC3" t="s">
        <v>2885</v>
      </c>
      <c r="AD3" t="s">
        <v>2886</v>
      </c>
      <c r="AE3" t="s">
        <v>2887</v>
      </c>
      <c r="AF3" t="s">
        <v>2888</v>
      </c>
      <c r="AG3" t="s">
        <v>2889</v>
      </c>
      <c r="AH3" t="s">
        <v>2890</v>
      </c>
      <c r="AI3" t="s">
        <v>2891</v>
      </c>
      <c r="AJ3" t="s">
        <v>2892</v>
      </c>
      <c r="AK3" t="s">
        <v>2893</v>
      </c>
      <c r="AL3" t="s">
        <v>2894</v>
      </c>
      <c r="AM3" t="s">
        <v>2895</v>
      </c>
      <c r="AN3" t="s">
        <v>2896</v>
      </c>
      <c r="AO3" t="s">
        <v>2897</v>
      </c>
      <c r="AP3" t="s">
        <v>2898</v>
      </c>
      <c r="AQ3" t="s">
        <v>2899</v>
      </c>
      <c r="AR3" t="s">
        <v>2900</v>
      </c>
      <c r="AS3" t="s">
        <v>2901</v>
      </c>
      <c r="AT3" t="s">
        <v>2902</v>
      </c>
      <c r="AU3" t="s">
        <v>2903</v>
      </c>
      <c r="AV3" t="s">
        <v>2904</v>
      </c>
      <c r="AW3" t="s">
        <v>2905</v>
      </c>
      <c r="AX3" t="s">
        <v>2906</v>
      </c>
      <c r="AY3" t="s">
        <v>2522</v>
      </c>
      <c r="AZ3" t="s">
        <v>2523</v>
      </c>
      <c r="BA3" t="s">
        <v>2907</v>
      </c>
      <c r="BB3" t="s">
        <v>2909</v>
      </c>
      <c r="BD3" t="s">
        <v>2907</v>
      </c>
      <c r="BE3" t="s">
        <v>2908</v>
      </c>
      <c r="BF3" t="s">
        <v>2518</v>
      </c>
    </row>
    <row r="4" spans="1:58" x14ac:dyDescent="0.25">
      <c r="A4" t="s">
        <v>71</v>
      </c>
      <c r="D4">
        <v>1</v>
      </c>
      <c r="H4">
        <v>1</v>
      </c>
      <c r="J4">
        <v>1</v>
      </c>
      <c r="Q4">
        <v>1</v>
      </c>
      <c r="Z4">
        <v>1</v>
      </c>
      <c r="AN4">
        <v>1</v>
      </c>
      <c r="AU4">
        <v>1</v>
      </c>
      <c r="AV4">
        <v>1</v>
      </c>
      <c r="AZ4">
        <v>1</v>
      </c>
      <c r="BA4">
        <f>SUM(B4:AX4)-AV4</f>
        <v>7</v>
      </c>
      <c r="BB4">
        <f>VLOOKUP(BA4,$BD$4:$BF$20,3,0)</f>
        <v>0.6</v>
      </c>
      <c r="BD4">
        <v>0</v>
      </c>
      <c r="BE4">
        <f>COUNTIF($BA$4:$BA$258,BD4)</f>
        <v>1</v>
      </c>
      <c r="BF4">
        <v>0.05</v>
      </c>
    </row>
    <row r="5" spans="1:58" x14ac:dyDescent="0.25">
      <c r="A5" t="s">
        <v>1219</v>
      </c>
      <c r="D5">
        <v>1</v>
      </c>
      <c r="H5">
        <v>1</v>
      </c>
      <c r="M5">
        <v>1</v>
      </c>
      <c r="Q5">
        <v>1</v>
      </c>
      <c r="AB5">
        <v>1</v>
      </c>
      <c r="AU5">
        <v>1</v>
      </c>
      <c r="AX5">
        <v>1</v>
      </c>
      <c r="AZ5">
        <v>1</v>
      </c>
      <c r="BA5">
        <f t="shared" ref="BA5:BA68" si="0">SUM(B5:AX5)-AV5</f>
        <v>7</v>
      </c>
      <c r="BB5">
        <f t="shared" ref="BB5:BB68" si="1">VLOOKUP(BA5,$BD$4:$BF$20,3,0)</f>
        <v>0.6</v>
      </c>
      <c r="BD5">
        <v>1</v>
      </c>
      <c r="BE5">
        <f t="shared" ref="BE5:BE20" si="2">COUNTIF($BA$4:$BA$258,BD5)</f>
        <v>177</v>
      </c>
      <c r="BF5">
        <v>0.05</v>
      </c>
    </row>
    <row r="6" spans="1:58" x14ac:dyDescent="0.25">
      <c r="A6" t="s">
        <v>1322</v>
      </c>
      <c r="D6">
        <v>1</v>
      </c>
      <c r="H6">
        <v>1</v>
      </c>
      <c r="M6">
        <v>1</v>
      </c>
      <c r="Q6">
        <v>1</v>
      </c>
      <c r="T6">
        <v>1</v>
      </c>
      <c r="AB6">
        <v>1</v>
      </c>
      <c r="AZ6">
        <v>1</v>
      </c>
      <c r="BA6">
        <f t="shared" si="0"/>
        <v>6</v>
      </c>
      <c r="BB6">
        <f t="shared" si="1"/>
        <v>0.6</v>
      </c>
      <c r="BD6">
        <v>2</v>
      </c>
      <c r="BE6">
        <f t="shared" si="2"/>
        <v>13</v>
      </c>
      <c r="BF6">
        <v>0.2</v>
      </c>
    </row>
    <row r="7" spans="1:58" x14ac:dyDescent="0.25">
      <c r="A7" t="s">
        <v>1330</v>
      </c>
      <c r="D7">
        <v>1</v>
      </c>
      <c r="F7">
        <v>1</v>
      </c>
      <c r="H7">
        <v>1</v>
      </c>
      <c r="M7">
        <v>1</v>
      </c>
      <c r="Q7">
        <v>1</v>
      </c>
      <c r="AB7">
        <v>1</v>
      </c>
      <c r="AG7">
        <v>1</v>
      </c>
      <c r="AI7">
        <v>1</v>
      </c>
      <c r="AX7">
        <v>1</v>
      </c>
      <c r="AZ7">
        <v>1</v>
      </c>
      <c r="BA7">
        <f t="shared" si="0"/>
        <v>9</v>
      </c>
      <c r="BB7">
        <f t="shared" si="1"/>
        <v>0.85</v>
      </c>
      <c r="BD7">
        <v>3</v>
      </c>
      <c r="BE7">
        <f t="shared" si="2"/>
        <v>7</v>
      </c>
      <c r="BF7">
        <v>0.2</v>
      </c>
    </row>
    <row r="8" spans="1:58" x14ac:dyDescent="0.25">
      <c r="A8" t="s">
        <v>1294</v>
      </c>
      <c r="D8">
        <v>1</v>
      </c>
      <c r="T8">
        <v>1</v>
      </c>
      <c r="AI8">
        <v>1</v>
      </c>
      <c r="AU8">
        <v>1</v>
      </c>
      <c r="AZ8">
        <v>1</v>
      </c>
      <c r="BA8">
        <f t="shared" si="0"/>
        <v>4</v>
      </c>
      <c r="BB8">
        <f t="shared" si="1"/>
        <v>0.6</v>
      </c>
      <c r="BD8">
        <v>4</v>
      </c>
      <c r="BE8">
        <f t="shared" si="2"/>
        <v>9</v>
      </c>
      <c r="BF8">
        <v>0.6</v>
      </c>
    </row>
    <row r="9" spans="1:58" x14ac:dyDescent="0.25">
      <c r="A9" t="s">
        <v>1174</v>
      </c>
      <c r="D9">
        <v>1</v>
      </c>
      <c r="H9">
        <v>1</v>
      </c>
      <c r="M9">
        <v>1</v>
      </c>
      <c r="Q9">
        <v>1</v>
      </c>
      <c r="AB9">
        <v>1</v>
      </c>
      <c r="AU9">
        <v>1</v>
      </c>
      <c r="AZ9">
        <v>1</v>
      </c>
      <c r="BA9">
        <f t="shared" si="0"/>
        <v>6</v>
      </c>
      <c r="BB9">
        <f t="shared" si="1"/>
        <v>0.6</v>
      </c>
      <c r="BD9">
        <v>5</v>
      </c>
      <c r="BE9">
        <f t="shared" si="2"/>
        <v>8</v>
      </c>
      <c r="BF9">
        <v>0.6</v>
      </c>
    </row>
    <row r="10" spans="1:58" x14ac:dyDescent="0.25">
      <c r="A10" t="s">
        <v>1129</v>
      </c>
      <c r="B10">
        <v>1</v>
      </c>
      <c r="C10">
        <v>1</v>
      </c>
      <c r="D10">
        <v>1</v>
      </c>
      <c r="F10">
        <v>1</v>
      </c>
      <c r="G10">
        <v>1</v>
      </c>
      <c r="H10">
        <v>1</v>
      </c>
      <c r="M10">
        <v>1</v>
      </c>
      <c r="N10">
        <v>1</v>
      </c>
      <c r="Q10">
        <v>1</v>
      </c>
      <c r="R10">
        <v>1</v>
      </c>
      <c r="AB10">
        <v>1</v>
      </c>
      <c r="AE10">
        <v>1</v>
      </c>
      <c r="AU10">
        <v>1</v>
      </c>
      <c r="AX10">
        <v>1</v>
      </c>
      <c r="AZ10">
        <v>1</v>
      </c>
      <c r="BA10">
        <f t="shared" si="0"/>
        <v>14</v>
      </c>
      <c r="BB10">
        <f t="shared" si="1"/>
        <v>1</v>
      </c>
      <c r="BD10">
        <v>6</v>
      </c>
      <c r="BE10">
        <f t="shared" si="2"/>
        <v>9</v>
      </c>
      <c r="BF10">
        <v>0.6</v>
      </c>
    </row>
    <row r="11" spans="1:58" x14ac:dyDescent="0.25">
      <c r="A11" t="s">
        <v>1123</v>
      </c>
      <c r="D11">
        <v>1</v>
      </c>
      <c r="H11">
        <v>1</v>
      </c>
      <c r="Q11">
        <v>1</v>
      </c>
      <c r="AB11">
        <v>1</v>
      </c>
      <c r="AU11">
        <v>1</v>
      </c>
      <c r="AV11">
        <v>1</v>
      </c>
      <c r="AZ11">
        <v>1</v>
      </c>
      <c r="BA11">
        <f t="shared" si="0"/>
        <v>5</v>
      </c>
      <c r="BB11">
        <f t="shared" si="1"/>
        <v>0.6</v>
      </c>
      <c r="BD11">
        <v>7</v>
      </c>
      <c r="BE11">
        <f t="shared" si="2"/>
        <v>8</v>
      </c>
      <c r="BF11">
        <v>0.6</v>
      </c>
    </row>
    <row r="12" spans="1:58" x14ac:dyDescent="0.25">
      <c r="A12" t="s">
        <v>1116</v>
      </c>
      <c r="D12">
        <v>1</v>
      </c>
      <c r="H12">
        <v>1</v>
      </c>
      <c r="Q12">
        <v>1</v>
      </c>
      <c r="AB12">
        <v>1</v>
      </c>
      <c r="AV12">
        <v>1</v>
      </c>
      <c r="AZ12">
        <v>1</v>
      </c>
      <c r="BA12">
        <f t="shared" si="0"/>
        <v>4</v>
      </c>
      <c r="BB12">
        <f t="shared" si="1"/>
        <v>0.6</v>
      </c>
      <c r="BD12">
        <v>8</v>
      </c>
      <c r="BE12">
        <f t="shared" si="2"/>
        <v>5</v>
      </c>
      <c r="BF12">
        <v>0.85</v>
      </c>
    </row>
    <row r="13" spans="1:58" x14ac:dyDescent="0.25">
      <c r="A13" t="s">
        <v>1137</v>
      </c>
      <c r="D13">
        <v>1</v>
      </c>
      <c r="H13">
        <v>1</v>
      </c>
      <c r="Q13">
        <v>1</v>
      </c>
      <c r="AB13">
        <v>1</v>
      </c>
      <c r="AU13">
        <v>1</v>
      </c>
      <c r="AZ13">
        <v>1</v>
      </c>
      <c r="BA13">
        <f t="shared" si="0"/>
        <v>5</v>
      </c>
      <c r="BB13">
        <f t="shared" si="1"/>
        <v>0.6</v>
      </c>
      <c r="BD13">
        <v>9</v>
      </c>
      <c r="BE13">
        <f t="shared" si="2"/>
        <v>6</v>
      </c>
      <c r="BF13">
        <v>0.85</v>
      </c>
    </row>
    <row r="14" spans="1:58" x14ac:dyDescent="0.25">
      <c r="A14" t="s">
        <v>1092</v>
      </c>
      <c r="D14">
        <v>1</v>
      </c>
      <c r="F14">
        <v>1</v>
      </c>
      <c r="G14">
        <v>1</v>
      </c>
      <c r="H14">
        <v>1</v>
      </c>
      <c r="Q14">
        <v>1</v>
      </c>
      <c r="AB14">
        <v>1</v>
      </c>
      <c r="AC14">
        <v>1</v>
      </c>
      <c r="AI14">
        <v>1</v>
      </c>
      <c r="AV14">
        <v>1</v>
      </c>
      <c r="AX14">
        <v>1</v>
      </c>
      <c r="AZ14">
        <v>1</v>
      </c>
      <c r="BA14">
        <f t="shared" si="0"/>
        <v>9</v>
      </c>
      <c r="BB14">
        <f t="shared" si="1"/>
        <v>0.85</v>
      </c>
      <c r="BD14">
        <v>10</v>
      </c>
      <c r="BE14">
        <f t="shared" si="2"/>
        <v>3</v>
      </c>
      <c r="BF14">
        <v>0.85</v>
      </c>
    </row>
    <row r="15" spans="1:58" x14ac:dyDescent="0.25">
      <c r="A15" t="s">
        <v>43</v>
      </c>
      <c r="D15">
        <v>1</v>
      </c>
      <c r="G15">
        <v>1</v>
      </c>
      <c r="H15">
        <v>1</v>
      </c>
      <c r="J15">
        <v>1</v>
      </c>
      <c r="Q15">
        <v>1</v>
      </c>
      <c r="Z15">
        <v>1</v>
      </c>
      <c r="AB15">
        <v>1</v>
      </c>
      <c r="AC15">
        <v>1</v>
      </c>
      <c r="AE15">
        <v>1</v>
      </c>
      <c r="AN15">
        <v>1</v>
      </c>
      <c r="AR15">
        <v>1</v>
      </c>
      <c r="AU15">
        <v>1</v>
      </c>
      <c r="AV15">
        <v>1</v>
      </c>
      <c r="AX15">
        <v>1</v>
      </c>
      <c r="AZ15">
        <v>1</v>
      </c>
      <c r="BA15">
        <f t="shared" si="0"/>
        <v>13</v>
      </c>
      <c r="BB15">
        <f t="shared" si="1"/>
        <v>0.85</v>
      </c>
      <c r="BD15">
        <v>12</v>
      </c>
      <c r="BE15">
        <f t="shared" si="2"/>
        <v>1</v>
      </c>
      <c r="BF15">
        <v>0.85</v>
      </c>
    </row>
    <row r="16" spans="1:58" x14ac:dyDescent="0.25">
      <c r="A16" t="s">
        <v>34</v>
      </c>
      <c r="H16">
        <v>1</v>
      </c>
      <c r="Q16">
        <v>1</v>
      </c>
      <c r="AU16">
        <v>1</v>
      </c>
      <c r="AV16">
        <v>1</v>
      </c>
      <c r="AZ16">
        <v>1</v>
      </c>
      <c r="BA16">
        <f t="shared" si="0"/>
        <v>3</v>
      </c>
      <c r="BB16">
        <f t="shared" si="1"/>
        <v>0.2</v>
      </c>
      <c r="BD16">
        <v>13</v>
      </c>
      <c r="BE16">
        <f t="shared" si="2"/>
        <v>2</v>
      </c>
      <c r="BF16">
        <v>0.85</v>
      </c>
    </row>
    <row r="17" spans="1:58" x14ac:dyDescent="0.25">
      <c r="A17" t="s">
        <v>80</v>
      </c>
      <c r="H17">
        <v>1</v>
      </c>
      <c r="J17">
        <v>1</v>
      </c>
      <c r="Z17">
        <v>1</v>
      </c>
      <c r="AC17">
        <v>1</v>
      </c>
      <c r="AN17">
        <v>1</v>
      </c>
      <c r="AR17">
        <v>1</v>
      </c>
      <c r="AU17">
        <v>1</v>
      </c>
      <c r="AV17">
        <v>1</v>
      </c>
      <c r="AZ17">
        <v>1</v>
      </c>
      <c r="BA17">
        <f t="shared" si="0"/>
        <v>7</v>
      </c>
      <c r="BB17">
        <f t="shared" si="1"/>
        <v>0.6</v>
      </c>
      <c r="BD17">
        <v>14</v>
      </c>
      <c r="BE17">
        <f t="shared" si="2"/>
        <v>2</v>
      </c>
      <c r="BF17">
        <v>1</v>
      </c>
    </row>
    <row r="18" spans="1:58" x14ac:dyDescent="0.25">
      <c r="A18" t="s">
        <v>737</v>
      </c>
      <c r="F18">
        <v>1</v>
      </c>
      <c r="H18">
        <v>1</v>
      </c>
      <c r="J18">
        <v>1</v>
      </c>
      <c r="Q18">
        <v>1</v>
      </c>
      <c r="Z18">
        <v>1</v>
      </c>
      <c r="AB18">
        <v>1</v>
      </c>
      <c r="AC18">
        <v>1</v>
      </c>
      <c r="AE18">
        <v>1</v>
      </c>
      <c r="AP18">
        <v>1</v>
      </c>
      <c r="AU18">
        <v>1</v>
      </c>
      <c r="AV18">
        <v>1</v>
      </c>
      <c r="AZ18">
        <v>1</v>
      </c>
      <c r="BA18">
        <f t="shared" si="0"/>
        <v>10</v>
      </c>
      <c r="BB18">
        <f t="shared" si="1"/>
        <v>0.85</v>
      </c>
      <c r="BD18">
        <v>18</v>
      </c>
      <c r="BE18">
        <f t="shared" si="2"/>
        <v>2</v>
      </c>
      <c r="BF18">
        <v>1</v>
      </c>
    </row>
    <row r="19" spans="1:58" x14ac:dyDescent="0.25">
      <c r="A19" t="s">
        <v>432</v>
      </c>
      <c r="D19">
        <v>1</v>
      </c>
      <c r="F19">
        <v>1</v>
      </c>
      <c r="H19">
        <v>1</v>
      </c>
      <c r="J19">
        <v>1</v>
      </c>
      <c r="O19">
        <v>1</v>
      </c>
      <c r="Z19">
        <v>1</v>
      </c>
      <c r="AE19">
        <v>1</v>
      </c>
      <c r="AU19">
        <v>1</v>
      </c>
      <c r="AV19">
        <v>1</v>
      </c>
      <c r="AZ19">
        <v>1</v>
      </c>
      <c r="BA19">
        <f t="shared" si="0"/>
        <v>8</v>
      </c>
      <c r="BB19">
        <f t="shared" si="1"/>
        <v>0.85</v>
      </c>
      <c r="BD19">
        <v>25</v>
      </c>
      <c r="BE19">
        <f t="shared" si="2"/>
        <v>1</v>
      </c>
      <c r="BF19">
        <v>1</v>
      </c>
    </row>
    <row r="20" spans="1:58" x14ac:dyDescent="0.25">
      <c r="A20" t="s">
        <v>325</v>
      </c>
      <c r="F20">
        <v>1</v>
      </c>
      <c r="H20">
        <v>1</v>
      </c>
      <c r="J20">
        <v>1</v>
      </c>
      <c r="AU20">
        <v>1</v>
      </c>
      <c r="AV20">
        <v>1</v>
      </c>
      <c r="AZ20">
        <v>1</v>
      </c>
      <c r="BA20">
        <f t="shared" si="0"/>
        <v>4</v>
      </c>
      <c r="BB20">
        <f t="shared" si="1"/>
        <v>0.6</v>
      </c>
      <c r="BD20">
        <v>30</v>
      </c>
      <c r="BE20">
        <f t="shared" si="2"/>
        <v>1</v>
      </c>
      <c r="BF20">
        <v>1</v>
      </c>
    </row>
    <row r="21" spans="1:58" x14ac:dyDescent="0.25">
      <c r="A21" t="s">
        <v>283</v>
      </c>
      <c r="D21">
        <v>1</v>
      </c>
      <c r="F21">
        <v>1</v>
      </c>
      <c r="H21">
        <v>1</v>
      </c>
      <c r="J21">
        <v>1</v>
      </c>
      <c r="AV21">
        <v>1</v>
      </c>
      <c r="AZ21">
        <v>1</v>
      </c>
      <c r="BA21">
        <f t="shared" si="0"/>
        <v>4</v>
      </c>
      <c r="BB21">
        <f t="shared" si="1"/>
        <v>0.6</v>
      </c>
    </row>
    <row r="22" spans="1:58" x14ac:dyDescent="0.25">
      <c r="A22" t="s">
        <v>924</v>
      </c>
      <c r="J22">
        <v>1</v>
      </c>
      <c r="AZ22">
        <v>1</v>
      </c>
      <c r="BA22">
        <f t="shared" si="0"/>
        <v>1</v>
      </c>
      <c r="BB22">
        <f t="shared" si="1"/>
        <v>0.05</v>
      </c>
    </row>
    <row r="23" spans="1:58" x14ac:dyDescent="0.25">
      <c r="A23" t="s">
        <v>887</v>
      </c>
      <c r="J23">
        <v>1</v>
      </c>
      <c r="AZ23">
        <v>1</v>
      </c>
      <c r="BA23">
        <f t="shared" si="0"/>
        <v>1</v>
      </c>
      <c r="BB23">
        <f t="shared" si="1"/>
        <v>0.05</v>
      </c>
    </row>
    <row r="24" spans="1:58" x14ac:dyDescent="0.25">
      <c r="A24" t="s">
        <v>871</v>
      </c>
      <c r="J24">
        <v>1</v>
      </c>
      <c r="AZ24">
        <v>1</v>
      </c>
      <c r="BA24">
        <f t="shared" si="0"/>
        <v>1</v>
      </c>
      <c r="BB24">
        <f t="shared" si="1"/>
        <v>0.05</v>
      </c>
    </row>
    <row r="25" spans="1:58" x14ac:dyDescent="0.25">
      <c r="A25" t="s">
        <v>829</v>
      </c>
      <c r="J25">
        <v>1</v>
      </c>
      <c r="AZ25">
        <v>1</v>
      </c>
      <c r="BA25">
        <f t="shared" si="0"/>
        <v>1</v>
      </c>
      <c r="BB25">
        <f t="shared" si="1"/>
        <v>0.05</v>
      </c>
    </row>
    <row r="26" spans="1:58" x14ac:dyDescent="0.25">
      <c r="A26" t="s">
        <v>815</v>
      </c>
      <c r="J26">
        <v>1</v>
      </c>
      <c r="AZ26">
        <v>1</v>
      </c>
      <c r="BA26">
        <f t="shared" si="0"/>
        <v>1</v>
      </c>
      <c r="BB26">
        <f t="shared" si="1"/>
        <v>0.05</v>
      </c>
    </row>
    <row r="27" spans="1:58" x14ac:dyDescent="0.25">
      <c r="A27" t="s">
        <v>881</v>
      </c>
      <c r="J27">
        <v>1</v>
      </c>
      <c r="AZ27">
        <v>1</v>
      </c>
      <c r="BA27">
        <f t="shared" si="0"/>
        <v>1</v>
      </c>
      <c r="BB27">
        <f t="shared" si="1"/>
        <v>0.05</v>
      </c>
    </row>
    <row r="28" spans="1:58" x14ac:dyDescent="0.25">
      <c r="A28" t="s">
        <v>876</v>
      </c>
      <c r="J28">
        <v>1</v>
      </c>
      <c r="AZ28">
        <v>1</v>
      </c>
      <c r="BA28">
        <f t="shared" si="0"/>
        <v>1</v>
      </c>
      <c r="BB28">
        <f t="shared" si="1"/>
        <v>0.05</v>
      </c>
    </row>
    <row r="29" spans="1:58" x14ac:dyDescent="0.25">
      <c r="A29" t="s">
        <v>844</v>
      </c>
      <c r="J29">
        <v>1</v>
      </c>
      <c r="AZ29">
        <v>1</v>
      </c>
      <c r="BA29">
        <f t="shared" si="0"/>
        <v>1</v>
      </c>
      <c r="BB29">
        <f t="shared" si="1"/>
        <v>0.05</v>
      </c>
    </row>
    <row r="30" spans="1:58" x14ac:dyDescent="0.25">
      <c r="A30" t="s">
        <v>835</v>
      </c>
      <c r="J30">
        <v>1</v>
      </c>
      <c r="AZ30">
        <v>1</v>
      </c>
      <c r="BA30">
        <f t="shared" si="0"/>
        <v>1</v>
      </c>
      <c r="BB30">
        <f t="shared" si="1"/>
        <v>0.05</v>
      </c>
    </row>
    <row r="31" spans="1:58" x14ac:dyDescent="0.25">
      <c r="A31" t="s">
        <v>840</v>
      </c>
      <c r="J31">
        <v>1</v>
      </c>
      <c r="AZ31">
        <v>1</v>
      </c>
      <c r="BA31">
        <f t="shared" si="0"/>
        <v>1</v>
      </c>
      <c r="BB31">
        <f t="shared" si="1"/>
        <v>0.05</v>
      </c>
    </row>
    <row r="32" spans="1:58" x14ac:dyDescent="0.25">
      <c r="A32" t="s">
        <v>854</v>
      </c>
      <c r="J32">
        <v>1</v>
      </c>
      <c r="AZ32">
        <v>1</v>
      </c>
      <c r="BA32">
        <f t="shared" si="0"/>
        <v>1</v>
      </c>
      <c r="BB32">
        <f t="shared" si="1"/>
        <v>0.05</v>
      </c>
    </row>
    <row r="33" spans="1:54" x14ac:dyDescent="0.25">
      <c r="A33" t="s">
        <v>850</v>
      </c>
      <c r="J33">
        <v>1</v>
      </c>
      <c r="AZ33">
        <v>1</v>
      </c>
      <c r="BA33">
        <f t="shared" si="0"/>
        <v>1</v>
      </c>
      <c r="BB33">
        <f t="shared" si="1"/>
        <v>0.05</v>
      </c>
    </row>
    <row r="34" spans="1:54" x14ac:dyDescent="0.25">
      <c r="A34" t="s">
        <v>856</v>
      </c>
      <c r="J34">
        <v>1</v>
      </c>
      <c r="AZ34">
        <v>1</v>
      </c>
      <c r="BA34">
        <f t="shared" si="0"/>
        <v>1</v>
      </c>
      <c r="BB34">
        <f t="shared" si="1"/>
        <v>0.05</v>
      </c>
    </row>
    <row r="35" spans="1:54" x14ac:dyDescent="0.25">
      <c r="A35" t="s">
        <v>847</v>
      </c>
      <c r="J35">
        <v>1</v>
      </c>
      <c r="AZ35">
        <v>1</v>
      </c>
      <c r="BA35">
        <f t="shared" si="0"/>
        <v>1</v>
      </c>
      <c r="BB35">
        <f t="shared" si="1"/>
        <v>0.05</v>
      </c>
    </row>
    <row r="36" spans="1:54" x14ac:dyDescent="0.25">
      <c r="A36" t="s">
        <v>821</v>
      </c>
      <c r="D36">
        <v>1</v>
      </c>
      <c r="F36">
        <v>1</v>
      </c>
      <c r="J36">
        <v>1</v>
      </c>
      <c r="N36">
        <v>1</v>
      </c>
      <c r="Q36">
        <v>1</v>
      </c>
      <c r="Z36">
        <v>1</v>
      </c>
      <c r="AB36">
        <v>1</v>
      </c>
      <c r="AC36">
        <v>1</v>
      </c>
      <c r="AF36">
        <v>1</v>
      </c>
      <c r="AP36">
        <v>1</v>
      </c>
      <c r="AU36">
        <v>1</v>
      </c>
      <c r="AV36">
        <v>1</v>
      </c>
      <c r="AX36">
        <v>1</v>
      </c>
      <c r="AZ36">
        <v>1</v>
      </c>
      <c r="BA36">
        <f t="shared" si="0"/>
        <v>12</v>
      </c>
      <c r="BB36">
        <f t="shared" si="1"/>
        <v>0.85</v>
      </c>
    </row>
    <row r="37" spans="1:54" x14ac:dyDescent="0.25">
      <c r="A37" t="s">
        <v>804</v>
      </c>
      <c r="J37">
        <v>1</v>
      </c>
      <c r="AZ37">
        <v>1</v>
      </c>
      <c r="BA37">
        <f t="shared" si="0"/>
        <v>1</v>
      </c>
      <c r="BB37">
        <f t="shared" si="1"/>
        <v>0.05</v>
      </c>
    </row>
    <row r="38" spans="1:54" x14ac:dyDescent="0.25">
      <c r="A38" t="s">
        <v>799</v>
      </c>
      <c r="J38">
        <v>1</v>
      </c>
      <c r="AZ38">
        <v>1</v>
      </c>
      <c r="BA38">
        <f t="shared" si="0"/>
        <v>1</v>
      </c>
      <c r="BB38">
        <f t="shared" si="1"/>
        <v>0.05</v>
      </c>
    </row>
    <row r="39" spans="1:54" x14ac:dyDescent="0.25">
      <c r="A39" t="s">
        <v>760</v>
      </c>
      <c r="J39">
        <v>1</v>
      </c>
      <c r="AZ39">
        <v>1</v>
      </c>
      <c r="BA39">
        <f t="shared" si="0"/>
        <v>1</v>
      </c>
      <c r="BB39">
        <f t="shared" si="1"/>
        <v>0.05</v>
      </c>
    </row>
    <row r="40" spans="1:54" x14ac:dyDescent="0.25">
      <c r="A40" t="s">
        <v>794</v>
      </c>
      <c r="J40">
        <v>1</v>
      </c>
      <c r="AZ40">
        <v>1</v>
      </c>
      <c r="BA40">
        <f t="shared" si="0"/>
        <v>1</v>
      </c>
      <c r="BB40">
        <f t="shared" si="1"/>
        <v>0.05</v>
      </c>
    </row>
    <row r="41" spans="1:54" x14ac:dyDescent="0.25">
      <c r="A41" t="s">
        <v>723</v>
      </c>
      <c r="J41">
        <v>1</v>
      </c>
      <c r="AZ41">
        <v>1</v>
      </c>
      <c r="BA41">
        <f t="shared" si="0"/>
        <v>1</v>
      </c>
      <c r="BB41">
        <f t="shared" si="1"/>
        <v>0.05</v>
      </c>
    </row>
    <row r="42" spans="1:54" x14ac:dyDescent="0.25">
      <c r="A42" t="s">
        <v>789</v>
      </c>
      <c r="J42">
        <v>1</v>
      </c>
      <c r="AZ42">
        <v>1</v>
      </c>
      <c r="BA42">
        <f t="shared" si="0"/>
        <v>1</v>
      </c>
      <c r="BB42">
        <f t="shared" si="1"/>
        <v>0.05</v>
      </c>
    </row>
    <row r="43" spans="1:54" x14ac:dyDescent="0.25">
      <c r="A43" t="s">
        <v>786</v>
      </c>
      <c r="J43">
        <v>1</v>
      </c>
      <c r="AZ43">
        <v>1</v>
      </c>
      <c r="BA43">
        <f t="shared" si="0"/>
        <v>1</v>
      </c>
      <c r="BB43">
        <f t="shared" si="1"/>
        <v>0.05</v>
      </c>
    </row>
    <row r="44" spans="1:54" x14ac:dyDescent="0.25">
      <c r="A44" t="s">
        <v>782</v>
      </c>
      <c r="J44">
        <v>1</v>
      </c>
      <c r="AZ44">
        <v>1</v>
      </c>
      <c r="BA44">
        <f t="shared" si="0"/>
        <v>1</v>
      </c>
      <c r="BB44">
        <f t="shared" si="1"/>
        <v>0.05</v>
      </c>
    </row>
    <row r="45" spans="1:54" x14ac:dyDescent="0.25">
      <c r="A45" t="s">
        <v>719</v>
      </c>
      <c r="J45">
        <v>1</v>
      </c>
      <c r="AZ45">
        <v>1</v>
      </c>
      <c r="BA45">
        <f t="shared" si="0"/>
        <v>1</v>
      </c>
      <c r="BB45">
        <f t="shared" si="1"/>
        <v>0.05</v>
      </c>
    </row>
    <row r="46" spans="1:54" x14ac:dyDescent="0.25">
      <c r="A46" t="s">
        <v>714</v>
      </c>
      <c r="J46">
        <v>1</v>
      </c>
      <c r="AZ46">
        <v>1</v>
      </c>
      <c r="BA46">
        <f t="shared" si="0"/>
        <v>1</v>
      </c>
      <c r="BB46">
        <f t="shared" si="1"/>
        <v>0.05</v>
      </c>
    </row>
    <row r="47" spans="1:54" x14ac:dyDescent="0.25">
      <c r="A47" t="s">
        <v>756</v>
      </c>
      <c r="J47">
        <v>1</v>
      </c>
      <c r="AZ47">
        <v>1</v>
      </c>
      <c r="BA47">
        <f t="shared" si="0"/>
        <v>1</v>
      </c>
      <c r="BB47">
        <f t="shared" si="1"/>
        <v>0.05</v>
      </c>
    </row>
    <row r="48" spans="1:54" x14ac:dyDescent="0.25">
      <c r="A48" t="s">
        <v>700</v>
      </c>
      <c r="J48">
        <v>1</v>
      </c>
      <c r="AZ48">
        <v>1</v>
      </c>
      <c r="BA48">
        <f t="shared" si="0"/>
        <v>1</v>
      </c>
      <c r="BB48">
        <f t="shared" si="1"/>
        <v>0.05</v>
      </c>
    </row>
    <row r="49" spans="1:54" x14ac:dyDescent="0.25">
      <c r="A49" t="s">
        <v>488</v>
      </c>
      <c r="J49">
        <v>1</v>
      </c>
      <c r="AZ49">
        <v>1</v>
      </c>
      <c r="BA49">
        <f t="shared" si="0"/>
        <v>1</v>
      </c>
      <c r="BB49">
        <f t="shared" si="1"/>
        <v>0.05</v>
      </c>
    </row>
    <row r="50" spans="1:54" x14ac:dyDescent="0.25">
      <c r="A50" t="s">
        <v>709</v>
      </c>
      <c r="J50">
        <v>1</v>
      </c>
      <c r="AZ50">
        <v>1</v>
      </c>
      <c r="BA50">
        <f t="shared" si="0"/>
        <v>1</v>
      </c>
      <c r="BB50">
        <f t="shared" si="1"/>
        <v>0.05</v>
      </c>
    </row>
    <row r="51" spans="1:54" x14ac:dyDescent="0.25">
      <c r="A51" t="s">
        <v>694</v>
      </c>
      <c r="J51">
        <v>1</v>
      </c>
      <c r="AZ51">
        <v>1</v>
      </c>
      <c r="BA51">
        <f t="shared" si="0"/>
        <v>1</v>
      </c>
      <c r="BB51">
        <f t="shared" si="1"/>
        <v>0.05</v>
      </c>
    </row>
    <row r="52" spans="1:54" x14ac:dyDescent="0.25">
      <c r="A52" t="s">
        <v>681</v>
      </c>
      <c r="J52">
        <v>1</v>
      </c>
      <c r="AZ52">
        <v>1</v>
      </c>
      <c r="BA52">
        <f t="shared" si="0"/>
        <v>1</v>
      </c>
      <c r="BB52">
        <f t="shared" si="1"/>
        <v>0.05</v>
      </c>
    </row>
    <row r="53" spans="1:54" x14ac:dyDescent="0.25">
      <c r="A53" t="s">
        <v>676</v>
      </c>
      <c r="J53">
        <v>1</v>
      </c>
      <c r="AZ53">
        <v>1</v>
      </c>
      <c r="BA53">
        <f t="shared" si="0"/>
        <v>1</v>
      </c>
      <c r="BB53">
        <f t="shared" si="1"/>
        <v>0.05</v>
      </c>
    </row>
    <row r="54" spans="1:54" x14ac:dyDescent="0.25">
      <c r="A54" t="s">
        <v>672</v>
      </c>
      <c r="J54">
        <v>1</v>
      </c>
      <c r="AZ54">
        <v>1</v>
      </c>
      <c r="BA54">
        <f t="shared" si="0"/>
        <v>1</v>
      </c>
      <c r="BB54">
        <f t="shared" si="1"/>
        <v>0.05</v>
      </c>
    </row>
    <row r="55" spans="1:54" x14ac:dyDescent="0.25">
      <c r="A55" t="s">
        <v>659</v>
      </c>
      <c r="J55">
        <v>1</v>
      </c>
      <c r="AZ55">
        <v>1</v>
      </c>
      <c r="BA55">
        <f t="shared" si="0"/>
        <v>1</v>
      </c>
      <c r="BB55">
        <f t="shared" si="1"/>
        <v>0.05</v>
      </c>
    </row>
    <row r="56" spans="1:54" x14ac:dyDescent="0.25">
      <c r="A56" t="s">
        <v>654</v>
      </c>
      <c r="J56">
        <v>1</v>
      </c>
      <c r="AZ56">
        <v>1</v>
      </c>
      <c r="BA56">
        <f t="shared" si="0"/>
        <v>1</v>
      </c>
      <c r="BB56">
        <f t="shared" si="1"/>
        <v>0.05</v>
      </c>
    </row>
    <row r="57" spans="1:54" x14ac:dyDescent="0.25">
      <c r="A57" t="s">
        <v>644</v>
      </c>
      <c r="J57">
        <v>1</v>
      </c>
      <c r="AZ57">
        <v>1</v>
      </c>
      <c r="BA57">
        <f t="shared" si="0"/>
        <v>1</v>
      </c>
      <c r="BB57">
        <f t="shared" si="1"/>
        <v>0.05</v>
      </c>
    </row>
    <row r="58" spans="1:54" x14ac:dyDescent="0.25">
      <c r="A58" t="s">
        <v>639</v>
      </c>
      <c r="J58">
        <v>1</v>
      </c>
      <c r="AZ58">
        <v>1</v>
      </c>
      <c r="BA58">
        <f t="shared" si="0"/>
        <v>1</v>
      </c>
      <c r="BB58">
        <f t="shared" si="1"/>
        <v>0.05</v>
      </c>
    </row>
    <row r="59" spans="1:54" x14ac:dyDescent="0.25">
      <c r="A59" t="s">
        <v>635</v>
      </c>
      <c r="J59">
        <v>1</v>
      </c>
      <c r="AZ59">
        <v>1</v>
      </c>
      <c r="BA59">
        <f t="shared" si="0"/>
        <v>1</v>
      </c>
      <c r="BB59">
        <f t="shared" si="1"/>
        <v>0.05</v>
      </c>
    </row>
    <row r="60" spans="1:54" x14ac:dyDescent="0.25">
      <c r="A60" t="s">
        <v>622</v>
      </c>
      <c r="J60">
        <v>1</v>
      </c>
      <c r="AZ60">
        <v>1</v>
      </c>
      <c r="BA60">
        <f t="shared" si="0"/>
        <v>1</v>
      </c>
      <c r="BB60">
        <f t="shared" si="1"/>
        <v>0.05</v>
      </c>
    </row>
    <row r="61" spans="1:54" x14ac:dyDescent="0.25">
      <c r="A61" t="s">
        <v>602</v>
      </c>
      <c r="J61">
        <v>1</v>
      </c>
      <c r="AZ61">
        <v>1</v>
      </c>
      <c r="BA61">
        <f t="shared" si="0"/>
        <v>1</v>
      </c>
      <c r="BB61">
        <f t="shared" si="1"/>
        <v>0.05</v>
      </c>
    </row>
    <row r="62" spans="1:54" x14ac:dyDescent="0.25">
      <c r="A62" t="s">
        <v>618</v>
      </c>
      <c r="J62">
        <v>1</v>
      </c>
      <c r="AZ62">
        <v>1</v>
      </c>
      <c r="BA62">
        <f t="shared" si="0"/>
        <v>1</v>
      </c>
      <c r="BB62">
        <f t="shared" si="1"/>
        <v>0.05</v>
      </c>
    </row>
    <row r="63" spans="1:54" x14ac:dyDescent="0.25">
      <c r="A63" t="s">
        <v>615</v>
      </c>
      <c r="J63">
        <v>1</v>
      </c>
      <c r="AZ63">
        <v>1</v>
      </c>
      <c r="BA63">
        <f t="shared" si="0"/>
        <v>1</v>
      </c>
      <c r="BB63">
        <f t="shared" si="1"/>
        <v>0.05</v>
      </c>
    </row>
    <row r="64" spans="1:54" x14ac:dyDescent="0.25">
      <c r="A64" t="s">
        <v>594</v>
      </c>
      <c r="J64">
        <v>1</v>
      </c>
      <c r="AZ64">
        <v>1</v>
      </c>
      <c r="BA64">
        <f t="shared" si="0"/>
        <v>1</v>
      </c>
      <c r="BB64">
        <f t="shared" si="1"/>
        <v>0.05</v>
      </c>
    </row>
    <row r="65" spans="1:54" x14ac:dyDescent="0.25">
      <c r="A65" t="s">
        <v>587</v>
      </c>
      <c r="J65">
        <v>1</v>
      </c>
      <c r="AZ65">
        <v>1</v>
      </c>
      <c r="BA65">
        <f t="shared" si="0"/>
        <v>1</v>
      </c>
      <c r="BB65">
        <f t="shared" si="1"/>
        <v>0.05</v>
      </c>
    </row>
    <row r="66" spans="1:54" x14ac:dyDescent="0.25">
      <c r="A66" t="s">
        <v>609</v>
      </c>
      <c r="J66">
        <v>1</v>
      </c>
      <c r="AZ66">
        <v>1</v>
      </c>
      <c r="BA66">
        <f t="shared" si="0"/>
        <v>1</v>
      </c>
      <c r="BB66">
        <f t="shared" si="1"/>
        <v>0.05</v>
      </c>
    </row>
    <row r="67" spans="1:54" x14ac:dyDescent="0.25">
      <c r="A67" t="s">
        <v>606</v>
      </c>
      <c r="J67">
        <v>1</v>
      </c>
      <c r="AZ67">
        <v>1</v>
      </c>
      <c r="BA67">
        <f t="shared" si="0"/>
        <v>1</v>
      </c>
      <c r="BB67">
        <f t="shared" si="1"/>
        <v>0.05</v>
      </c>
    </row>
    <row r="68" spans="1:54" x14ac:dyDescent="0.25">
      <c r="A68" t="s">
        <v>591</v>
      </c>
      <c r="J68">
        <v>1</v>
      </c>
      <c r="AZ68">
        <v>1</v>
      </c>
      <c r="BA68">
        <f t="shared" si="0"/>
        <v>1</v>
      </c>
      <c r="BB68">
        <f t="shared" si="1"/>
        <v>0.05</v>
      </c>
    </row>
    <row r="69" spans="1:54" x14ac:dyDescent="0.25">
      <c r="A69" t="s">
        <v>579</v>
      </c>
      <c r="J69">
        <v>1</v>
      </c>
      <c r="AZ69">
        <v>1</v>
      </c>
      <c r="BA69">
        <f t="shared" ref="BA69:BA132" si="3">SUM(B69:AX69)-AV69</f>
        <v>1</v>
      </c>
      <c r="BB69">
        <f t="shared" ref="BB69:BB132" si="4">VLOOKUP(BA69,$BD$4:$BF$20,3,0)</f>
        <v>0.05</v>
      </c>
    </row>
    <row r="70" spans="1:54" x14ac:dyDescent="0.25">
      <c r="A70" t="s">
        <v>573</v>
      </c>
      <c r="J70">
        <v>1</v>
      </c>
      <c r="AZ70">
        <v>1</v>
      </c>
      <c r="BA70">
        <f t="shared" si="3"/>
        <v>1</v>
      </c>
      <c r="BB70">
        <f t="shared" si="4"/>
        <v>0.05</v>
      </c>
    </row>
    <row r="71" spans="1:54" x14ac:dyDescent="0.25">
      <c r="A71" t="s">
        <v>612</v>
      </c>
      <c r="J71">
        <v>1</v>
      </c>
      <c r="AZ71">
        <v>1</v>
      </c>
      <c r="BA71">
        <f t="shared" si="3"/>
        <v>1</v>
      </c>
      <c r="BB71">
        <f t="shared" si="4"/>
        <v>0.05</v>
      </c>
    </row>
    <row r="72" spans="1:54" x14ac:dyDescent="0.25">
      <c r="A72" t="s">
        <v>571</v>
      </c>
      <c r="J72">
        <v>1</v>
      </c>
      <c r="AZ72">
        <v>1</v>
      </c>
      <c r="BA72">
        <f t="shared" si="3"/>
        <v>1</v>
      </c>
      <c r="BB72">
        <f t="shared" si="4"/>
        <v>0.05</v>
      </c>
    </row>
    <row r="73" spans="1:54" x14ac:dyDescent="0.25">
      <c r="A73" t="s">
        <v>583</v>
      </c>
      <c r="J73">
        <v>1</v>
      </c>
      <c r="AZ73">
        <v>1</v>
      </c>
      <c r="BA73">
        <f t="shared" si="3"/>
        <v>1</v>
      </c>
      <c r="BB73">
        <f t="shared" si="4"/>
        <v>0.05</v>
      </c>
    </row>
    <row r="74" spans="1:54" x14ac:dyDescent="0.25">
      <c r="A74" t="s">
        <v>575</v>
      </c>
      <c r="J74">
        <v>1</v>
      </c>
      <c r="AZ74">
        <v>1</v>
      </c>
      <c r="BA74">
        <f t="shared" si="3"/>
        <v>1</v>
      </c>
      <c r="BB74">
        <f t="shared" si="4"/>
        <v>0.05</v>
      </c>
    </row>
    <row r="75" spans="1:54" x14ac:dyDescent="0.25">
      <c r="A75" t="s">
        <v>598</v>
      </c>
      <c r="J75">
        <v>1</v>
      </c>
      <c r="AZ75">
        <v>1</v>
      </c>
      <c r="BA75">
        <f t="shared" si="3"/>
        <v>1</v>
      </c>
      <c r="BB75">
        <f t="shared" si="4"/>
        <v>0.05</v>
      </c>
    </row>
    <row r="76" spans="1:54" x14ac:dyDescent="0.25">
      <c r="A76" t="s">
        <v>566</v>
      </c>
      <c r="J76">
        <v>1</v>
      </c>
      <c r="AZ76">
        <v>1</v>
      </c>
      <c r="BA76">
        <f t="shared" si="3"/>
        <v>1</v>
      </c>
      <c r="BB76">
        <f t="shared" si="4"/>
        <v>0.05</v>
      </c>
    </row>
    <row r="77" spans="1:54" x14ac:dyDescent="0.25">
      <c r="A77" t="s">
        <v>548</v>
      </c>
      <c r="J77">
        <v>1</v>
      </c>
      <c r="AZ77">
        <v>1</v>
      </c>
      <c r="BA77">
        <f t="shared" si="3"/>
        <v>1</v>
      </c>
      <c r="BB77">
        <f t="shared" si="4"/>
        <v>0.05</v>
      </c>
    </row>
    <row r="78" spans="1:54" x14ac:dyDescent="0.25">
      <c r="A78" t="s">
        <v>543</v>
      </c>
      <c r="J78">
        <v>1</v>
      </c>
      <c r="AZ78">
        <v>1</v>
      </c>
      <c r="BA78">
        <f t="shared" si="3"/>
        <v>1</v>
      </c>
      <c r="BB78">
        <f t="shared" si="4"/>
        <v>0.05</v>
      </c>
    </row>
    <row r="79" spans="1:54" x14ac:dyDescent="0.25">
      <c r="A79" t="s">
        <v>537</v>
      </c>
      <c r="J79">
        <v>1</v>
      </c>
      <c r="AZ79">
        <v>1</v>
      </c>
      <c r="BA79">
        <f t="shared" si="3"/>
        <v>1</v>
      </c>
      <c r="BB79">
        <f t="shared" si="4"/>
        <v>0.05</v>
      </c>
    </row>
    <row r="80" spans="1:54" x14ac:dyDescent="0.25">
      <c r="A80" t="s">
        <v>524</v>
      </c>
      <c r="J80">
        <v>1</v>
      </c>
      <c r="AZ80">
        <v>1</v>
      </c>
      <c r="BA80">
        <f t="shared" si="3"/>
        <v>1</v>
      </c>
      <c r="BB80">
        <f t="shared" si="4"/>
        <v>0.05</v>
      </c>
    </row>
    <row r="81" spans="1:54" x14ac:dyDescent="0.25">
      <c r="A81" t="s">
        <v>515</v>
      </c>
      <c r="J81">
        <v>1</v>
      </c>
      <c r="AZ81">
        <v>1</v>
      </c>
      <c r="BA81">
        <f t="shared" si="3"/>
        <v>1</v>
      </c>
      <c r="BB81">
        <f t="shared" si="4"/>
        <v>0.05</v>
      </c>
    </row>
    <row r="82" spans="1:54" x14ac:dyDescent="0.25">
      <c r="A82" t="s">
        <v>504</v>
      </c>
      <c r="J82">
        <v>1</v>
      </c>
      <c r="AZ82">
        <v>1</v>
      </c>
      <c r="BA82">
        <f t="shared" si="3"/>
        <v>1</v>
      </c>
      <c r="BB82">
        <f t="shared" si="4"/>
        <v>0.05</v>
      </c>
    </row>
    <row r="83" spans="1:54" x14ac:dyDescent="0.25">
      <c r="A83" t="s">
        <v>509</v>
      </c>
      <c r="J83">
        <v>1</v>
      </c>
      <c r="AZ83">
        <v>1</v>
      </c>
      <c r="BA83">
        <f t="shared" si="3"/>
        <v>1</v>
      </c>
      <c r="BB83">
        <f t="shared" si="4"/>
        <v>0.05</v>
      </c>
    </row>
    <row r="84" spans="1:54" x14ac:dyDescent="0.25">
      <c r="A84" t="s">
        <v>498</v>
      </c>
      <c r="J84">
        <v>1</v>
      </c>
      <c r="AZ84">
        <v>1</v>
      </c>
      <c r="BA84">
        <f t="shared" si="3"/>
        <v>1</v>
      </c>
      <c r="BB84">
        <f t="shared" si="4"/>
        <v>0.05</v>
      </c>
    </row>
    <row r="85" spans="1:54" x14ac:dyDescent="0.25">
      <c r="A85" t="s">
        <v>493</v>
      </c>
      <c r="J85">
        <v>1</v>
      </c>
      <c r="AZ85">
        <v>1</v>
      </c>
      <c r="BA85">
        <f t="shared" si="3"/>
        <v>1</v>
      </c>
      <c r="BB85">
        <f t="shared" si="4"/>
        <v>0.05</v>
      </c>
    </row>
    <row r="86" spans="1:54" x14ac:dyDescent="0.25">
      <c r="A86" t="s">
        <v>483</v>
      </c>
      <c r="J86">
        <v>1</v>
      </c>
      <c r="AZ86">
        <v>1</v>
      </c>
      <c r="BA86">
        <f t="shared" si="3"/>
        <v>1</v>
      </c>
      <c r="BB86">
        <f t="shared" si="4"/>
        <v>0.05</v>
      </c>
    </row>
    <row r="87" spans="1:54" x14ac:dyDescent="0.25">
      <c r="A87" t="s">
        <v>478</v>
      </c>
      <c r="J87">
        <v>1</v>
      </c>
      <c r="AZ87">
        <v>1</v>
      </c>
      <c r="BA87">
        <f t="shared" si="3"/>
        <v>1</v>
      </c>
      <c r="BB87">
        <f t="shared" si="4"/>
        <v>0.05</v>
      </c>
    </row>
    <row r="88" spans="1:54" x14ac:dyDescent="0.25">
      <c r="A88" t="s">
        <v>469</v>
      </c>
      <c r="J88">
        <v>1</v>
      </c>
      <c r="AZ88">
        <v>1</v>
      </c>
      <c r="BA88">
        <f t="shared" si="3"/>
        <v>1</v>
      </c>
      <c r="BB88">
        <f t="shared" si="4"/>
        <v>0.05</v>
      </c>
    </row>
    <row r="89" spans="1:54" x14ac:dyDescent="0.25">
      <c r="A89" t="s">
        <v>466</v>
      </c>
      <c r="J89">
        <v>1</v>
      </c>
      <c r="AZ89">
        <v>1</v>
      </c>
      <c r="BA89">
        <f t="shared" si="3"/>
        <v>1</v>
      </c>
      <c r="BB89">
        <f t="shared" si="4"/>
        <v>0.05</v>
      </c>
    </row>
    <row r="90" spans="1:54" x14ac:dyDescent="0.25">
      <c r="A90" t="s">
        <v>458</v>
      </c>
      <c r="J90">
        <v>1</v>
      </c>
      <c r="AZ90">
        <v>1</v>
      </c>
      <c r="BA90">
        <f t="shared" si="3"/>
        <v>1</v>
      </c>
      <c r="BB90">
        <f t="shared" si="4"/>
        <v>0.05</v>
      </c>
    </row>
    <row r="91" spans="1:54" x14ac:dyDescent="0.25">
      <c r="A91" t="s">
        <v>472</v>
      </c>
      <c r="J91">
        <v>1</v>
      </c>
      <c r="AZ91">
        <v>1</v>
      </c>
      <c r="BA91">
        <f t="shared" si="3"/>
        <v>1</v>
      </c>
      <c r="BB91">
        <f t="shared" si="4"/>
        <v>0.05</v>
      </c>
    </row>
    <row r="92" spans="1:54" x14ac:dyDescent="0.25">
      <c r="A92" t="s">
        <v>463</v>
      </c>
      <c r="J92">
        <v>1</v>
      </c>
      <c r="AZ92">
        <v>1</v>
      </c>
      <c r="BA92">
        <f t="shared" si="3"/>
        <v>1</v>
      </c>
      <c r="BB92">
        <f t="shared" si="4"/>
        <v>0.05</v>
      </c>
    </row>
    <row r="93" spans="1:54" x14ac:dyDescent="0.25">
      <c r="A93" t="s">
        <v>447</v>
      </c>
      <c r="J93">
        <v>1</v>
      </c>
      <c r="AZ93">
        <v>1</v>
      </c>
      <c r="BA93">
        <f t="shared" si="3"/>
        <v>1</v>
      </c>
      <c r="BB93">
        <f t="shared" si="4"/>
        <v>0.05</v>
      </c>
    </row>
    <row r="94" spans="1:54" x14ac:dyDescent="0.25">
      <c r="A94" t="s">
        <v>442</v>
      </c>
      <c r="J94">
        <v>1</v>
      </c>
      <c r="AZ94">
        <v>1</v>
      </c>
      <c r="BA94">
        <f t="shared" si="3"/>
        <v>1</v>
      </c>
      <c r="BB94">
        <f t="shared" si="4"/>
        <v>0.05</v>
      </c>
    </row>
    <row r="95" spans="1:54" x14ac:dyDescent="0.25">
      <c r="A95" t="s">
        <v>437</v>
      </c>
      <c r="J95">
        <v>1</v>
      </c>
      <c r="AZ95">
        <v>1</v>
      </c>
      <c r="BA95">
        <f t="shared" si="3"/>
        <v>1</v>
      </c>
      <c r="BB95">
        <f t="shared" si="4"/>
        <v>0.05</v>
      </c>
    </row>
    <row r="96" spans="1:54" x14ac:dyDescent="0.25">
      <c r="A96" t="s">
        <v>421</v>
      </c>
      <c r="J96">
        <v>1</v>
      </c>
      <c r="AZ96">
        <v>1</v>
      </c>
      <c r="BA96">
        <f t="shared" si="3"/>
        <v>1</v>
      </c>
      <c r="BB96">
        <f t="shared" si="4"/>
        <v>0.05</v>
      </c>
    </row>
    <row r="97" spans="1:54" x14ac:dyDescent="0.25">
      <c r="A97" t="s">
        <v>408</v>
      </c>
      <c r="J97">
        <v>1</v>
      </c>
      <c r="AZ97">
        <v>1</v>
      </c>
      <c r="BA97">
        <f t="shared" si="3"/>
        <v>1</v>
      </c>
      <c r="BB97">
        <f t="shared" si="4"/>
        <v>0.05</v>
      </c>
    </row>
    <row r="98" spans="1:54" x14ac:dyDescent="0.25">
      <c r="A98" t="s">
        <v>404</v>
      </c>
      <c r="J98">
        <v>1</v>
      </c>
      <c r="AZ98">
        <v>1</v>
      </c>
      <c r="BA98">
        <f t="shared" si="3"/>
        <v>1</v>
      </c>
      <c r="BB98">
        <f t="shared" si="4"/>
        <v>0.05</v>
      </c>
    </row>
    <row r="99" spans="1:54" x14ac:dyDescent="0.25">
      <c r="A99" t="s">
        <v>400</v>
      </c>
      <c r="J99">
        <v>1</v>
      </c>
      <c r="AZ99">
        <v>1</v>
      </c>
      <c r="BA99">
        <f t="shared" si="3"/>
        <v>1</v>
      </c>
      <c r="BB99">
        <f t="shared" si="4"/>
        <v>0.05</v>
      </c>
    </row>
    <row r="100" spans="1:54" x14ac:dyDescent="0.25">
      <c r="A100" t="s">
        <v>395</v>
      </c>
      <c r="J100">
        <v>1</v>
      </c>
      <c r="AZ100">
        <v>1</v>
      </c>
      <c r="BA100">
        <f t="shared" si="3"/>
        <v>1</v>
      </c>
      <c r="BB100">
        <f t="shared" si="4"/>
        <v>0.05</v>
      </c>
    </row>
    <row r="101" spans="1:54" x14ac:dyDescent="0.25">
      <c r="A101" t="s">
        <v>393</v>
      </c>
      <c r="J101">
        <v>1</v>
      </c>
      <c r="AZ101">
        <v>1</v>
      </c>
      <c r="BA101">
        <f t="shared" si="3"/>
        <v>1</v>
      </c>
      <c r="BB101">
        <f t="shared" si="4"/>
        <v>0.05</v>
      </c>
    </row>
    <row r="102" spans="1:54" x14ac:dyDescent="0.25">
      <c r="A102" t="s">
        <v>389</v>
      </c>
      <c r="J102">
        <v>1</v>
      </c>
      <c r="AZ102">
        <v>1</v>
      </c>
      <c r="BA102">
        <f t="shared" si="3"/>
        <v>1</v>
      </c>
      <c r="BB102">
        <f t="shared" si="4"/>
        <v>0.05</v>
      </c>
    </row>
    <row r="103" spans="1:54" x14ac:dyDescent="0.25">
      <c r="A103" t="s">
        <v>391</v>
      </c>
      <c r="J103">
        <v>1</v>
      </c>
      <c r="AZ103">
        <v>1</v>
      </c>
      <c r="BA103">
        <f t="shared" si="3"/>
        <v>1</v>
      </c>
      <c r="BB103">
        <f t="shared" si="4"/>
        <v>0.05</v>
      </c>
    </row>
    <row r="104" spans="1:54" x14ac:dyDescent="0.25">
      <c r="A104" t="s">
        <v>387</v>
      </c>
      <c r="J104">
        <v>1</v>
      </c>
      <c r="AZ104">
        <v>1</v>
      </c>
      <c r="BA104">
        <f t="shared" si="3"/>
        <v>1</v>
      </c>
      <c r="BB104">
        <f t="shared" si="4"/>
        <v>0.05</v>
      </c>
    </row>
    <row r="105" spans="1:54" x14ac:dyDescent="0.25">
      <c r="A105" t="s">
        <v>384</v>
      </c>
      <c r="J105">
        <v>1</v>
      </c>
      <c r="AZ105">
        <v>1</v>
      </c>
      <c r="BA105">
        <f t="shared" si="3"/>
        <v>1</v>
      </c>
      <c r="BB105">
        <f t="shared" si="4"/>
        <v>0.05</v>
      </c>
    </row>
    <row r="106" spans="1:54" x14ac:dyDescent="0.25">
      <c r="A106" t="s">
        <v>382</v>
      </c>
      <c r="J106">
        <v>1</v>
      </c>
      <c r="AZ106">
        <v>1</v>
      </c>
      <c r="BA106">
        <f t="shared" si="3"/>
        <v>1</v>
      </c>
      <c r="BB106">
        <f t="shared" si="4"/>
        <v>0.05</v>
      </c>
    </row>
    <row r="107" spans="1:54" x14ac:dyDescent="0.25">
      <c r="A107" t="s">
        <v>378</v>
      </c>
      <c r="J107">
        <v>1</v>
      </c>
      <c r="AZ107">
        <v>1</v>
      </c>
      <c r="BA107">
        <f t="shared" si="3"/>
        <v>1</v>
      </c>
      <c r="BB107">
        <f t="shared" si="4"/>
        <v>0.05</v>
      </c>
    </row>
    <row r="108" spans="1:54" x14ac:dyDescent="0.25">
      <c r="A108" t="s">
        <v>374</v>
      </c>
      <c r="J108">
        <v>1</v>
      </c>
      <c r="AZ108">
        <v>1</v>
      </c>
      <c r="BA108">
        <f t="shared" si="3"/>
        <v>1</v>
      </c>
      <c r="BB108">
        <f t="shared" si="4"/>
        <v>0.05</v>
      </c>
    </row>
    <row r="109" spans="1:54" x14ac:dyDescent="0.25">
      <c r="A109" t="s">
        <v>364</v>
      </c>
      <c r="J109">
        <v>1</v>
      </c>
      <c r="AZ109">
        <v>1</v>
      </c>
      <c r="BA109">
        <f t="shared" si="3"/>
        <v>1</v>
      </c>
      <c r="BB109">
        <f t="shared" si="4"/>
        <v>0.05</v>
      </c>
    </row>
    <row r="110" spans="1:54" x14ac:dyDescent="0.25">
      <c r="A110" t="s">
        <v>369</v>
      </c>
      <c r="J110">
        <v>1</v>
      </c>
      <c r="AZ110">
        <v>1</v>
      </c>
      <c r="BA110">
        <f t="shared" si="3"/>
        <v>1</v>
      </c>
      <c r="BB110">
        <f t="shared" si="4"/>
        <v>0.05</v>
      </c>
    </row>
    <row r="111" spans="1:54" x14ac:dyDescent="0.25">
      <c r="A111" t="s">
        <v>355</v>
      </c>
      <c r="J111">
        <v>1</v>
      </c>
      <c r="AZ111">
        <v>1</v>
      </c>
      <c r="BA111">
        <f t="shared" si="3"/>
        <v>1</v>
      </c>
      <c r="BB111">
        <f t="shared" si="4"/>
        <v>0.05</v>
      </c>
    </row>
    <row r="112" spans="1:54" x14ac:dyDescent="0.25">
      <c r="A112" t="s">
        <v>352</v>
      </c>
      <c r="J112">
        <v>1</v>
      </c>
      <c r="AZ112">
        <v>1</v>
      </c>
      <c r="BA112">
        <f t="shared" si="3"/>
        <v>1</v>
      </c>
      <c r="BB112">
        <f t="shared" si="4"/>
        <v>0.05</v>
      </c>
    </row>
    <row r="113" spans="1:54" x14ac:dyDescent="0.25">
      <c r="A113" t="s">
        <v>361</v>
      </c>
      <c r="J113">
        <v>1</v>
      </c>
      <c r="AZ113">
        <v>1</v>
      </c>
      <c r="BA113">
        <f t="shared" si="3"/>
        <v>1</v>
      </c>
      <c r="BB113">
        <f t="shared" si="4"/>
        <v>0.05</v>
      </c>
    </row>
    <row r="114" spans="1:54" x14ac:dyDescent="0.25">
      <c r="A114" t="s">
        <v>358</v>
      </c>
      <c r="J114">
        <v>1</v>
      </c>
      <c r="AZ114">
        <v>1</v>
      </c>
      <c r="BA114">
        <f t="shared" si="3"/>
        <v>1</v>
      </c>
      <c r="BB114">
        <f t="shared" si="4"/>
        <v>0.05</v>
      </c>
    </row>
    <row r="115" spans="1:54" x14ac:dyDescent="0.25">
      <c r="A115" t="s">
        <v>349</v>
      </c>
      <c r="J115">
        <v>1</v>
      </c>
      <c r="AZ115">
        <v>1</v>
      </c>
      <c r="BA115">
        <f t="shared" si="3"/>
        <v>1</v>
      </c>
      <c r="BB115">
        <f t="shared" si="4"/>
        <v>0.05</v>
      </c>
    </row>
    <row r="116" spans="1:54" x14ac:dyDescent="0.25">
      <c r="A116" t="s">
        <v>345</v>
      </c>
      <c r="J116">
        <v>1</v>
      </c>
      <c r="AZ116">
        <v>1</v>
      </c>
      <c r="BA116">
        <f t="shared" si="3"/>
        <v>1</v>
      </c>
      <c r="BB116">
        <f t="shared" si="4"/>
        <v>0.05</v>
      </c>
    </row>
    <row r="117" spans="1:54" x14ac:dyDescent="0.25">
      <c r="A117" t="s">
        <v>342</v>
      </c>
      <c r="J117">
        <v>1</v>
      </c>
      <c r="AZ117">
        <v>1</v>
      </c>
      <c r="BA117">
        <f t="shared" si="3"/>
        <v>1</v>
      </c>
      <c r="BB117">
        <f t="shared" si="4"/>
        <v>0.05</v>
      </c>
    </row>
    <row r="118" spans="1:54" x14ac:dyDescent="0.25">
      <c r="A118" t="s">
        <v>338</v>
      </c>
      <c r="J118">
        <v>1</v>
      </c>
      <c r="AZ118">
        <v>1</v>
      </c>
      <c r="BA118">
        <f t="shared" si="3"/>
        <v>1</v>
      </c>
      <c r="BB118">
        <f t="shared" si="4"/>
        <v>0.05</v>
      </c>
    </row>
    <row r="119" spans="1:54" x14ac:dyDescent="0.25">
      <c r="A119" t="s">
        <v>335</v>
      </c>
      <c r="J119">
        <v>1</v>
      </c>
      <c r="AZ119">
        <v>1</v>
      </c>
      <c r="BA119">
        <f t="shared" si="3"/>
        <v>1</v>
      </c>
      <c r="BB119">
        <f t="shared" si="4"/>
        <v>0.05</v>
      </c>
    </row>
    <row r="120" spans="1:54" x14ac:dyDescent="0.25">
      <c r="A120" t="s">
        <v>331</v>
      </c>
      <c r="J120">
        <v>1</v>
      </c>
      <c r="AZ120">
        <v>1</v>
      </c>
      <c r="BA120">
        <f t="shared" si="3"/>
        <v>1</v>
      </c>
      <c r="BB120">
        <f t="shared" si="4"/>
        <v>0.05</v>
      </c>
    </row>
    <row r="121" spans="1:54" x14ac:dyDescent="0.25">
      <c r="A121" t="s">
        <v>311</v>
      </c>
      <c r="J121">
        <v>1</v>
      </c>
      <c r="AZ121">
        <v>1</v>
      </c>
      <c r="BA121">
        <f t="shared" si="3"/>
        <v>1</v>
      </c>
      <c r="BB121">
        <f t="shared" si="4"/>
        <v>0.05</v>
      </c>
    </row>
    <row r="122" spans="1:54" x14ac:dyDescent="0.25">
      <c r="A122" t="s">
        <v>276</v>
      </c>
      <c r="J122">
        <v>1</v>
      </c>
      <c r="AZ122">
        <v>1</v>
      </c>
      <c r="BA122">
        <f t="shared" si="3"/>
        <v>1</v>
      </c>
      <c r="BB122">
        <f t="shared" si="4"/>
        <v>0.05</v>
      </c>
    </row>
    <row r="123" spans="1:54" x14ac:dyDescent="0.25">
      <c r="A123" t="s">
        <v>271</v>
      </c>
      <c r="J123">
        <v>1</v>
      </c>
      <c r="AZ123">
        <v>1</v>
      </c>
      <c r="BA123">
        <f t="shared" si="3"/>
        <v>1</v>
      </c>
      <c r="BB123">
        <f t="shared" si="4"/>
        <v>0.05</v>
      </c>
    </row>
    <row r="124" spans="1:54" x14ac:dyDescent="0.25">
      <c r="A124" t="s">
        <v>248</v>
      </c>
      <c r="J124">
        <v>1</v>
      </c>
      <c r="AZ124">
        <v>1</v>
      </c>
      <c r="BA124">
        <f t="shared" si="3"/>
        <v>1</v>
      </c>
      <c r="BB124">
        <f t="shared" si="4"/>
        <v>0.05</v>
      </c>
    </row>
    <row r="125" spans="1:54" x14ac:dyDescent="0.25">
      <c r="A125" t="s">
        <v>227</v>
      </c>
      <c r="J125">
        <v>1</v>
      </c>
      <c r="AZ125">
        <v>1</v>
      </c>
      <c r="BA125">
        <f t="shared" si="3"/>
        <v>1</v>
      </c>
      <c r="BB125">
        <f t="shared" si="4"/>
        <v>0.05</v>
      </c>
    </row>
    <row r="126" spans="1:54" x14ac:dyDescent="0.25">
      <c r="A126" t="s">
        <v>219</v>
      </c>
      <c r="J126">
        <v>1</v>
      </c>
      <c r="AZ126">
        <v>1</v>
      </c>
      <c r="BA126">
        <f t="shared" si="3"/>
        <v>1</v>
      </c>
      <c r="BB126">
        <f t="shared" si="4"/>
        <v>0.05</v>
      </c>
    </row>
    <row r="127" spans="1:54" x14ac:dyDescent="0.25">
      <c r="A127" t="s">
        <v>217</v>
      </c>
      <c r="J127">
        <v>1</v>
      </c>
      <c r="AZ127">
        <v>1</v>
      </c>
      <c r="BA127">
        <f t="shared" si="3"/>
        <v>1</v>
      </c>
      <c r="BB127">
        <f t="shared" si="4"/>
        <v>0.05</v>
      </c>
    </row>
    <row r="128" spans="1:54" x14ac:dyDescent="0.25">
      <c r="A128" t="s">
        <v>215</v>
      </c>
      <c r="J128">
        <v>1</v>
      </c>
      <c r="AZ128">
        <v>1</v>
      </c>
      <c r="BA128">
        <f t="shared" si="3"/>
        <v>1</v>
      </c>
      <c r="BB128">
        <f t="shared" si="4"/>
        <v>0.05</v>
      </c>
    </row>
    <row r="129" spans="1:54" x14ac:dyDescent="0.25">
      <c r="A129" t="s">
        <v>213</v>
      </c>
      <c r="J129">
        <v>1</v>
      </c>
      <c r="AZ129">
        <v>1</v>
      </c>
      <c r="BA129">
        <f t="shared" si="3"/>
        <v>1</v>
      </c>
      <c r="BB129">
        <f t="shared" si="4"/>
        <v>0.05</v>
      </c>
    </row>
    <row r="130" spans="1:54" x14ac:dyDescent="0.25">
      <c r="A130" t="s">
        <v>211</v>
      </c>
      <c r="J130">
        <v>1</v>
      </c>
      <c r="AZ130">
        <v>1</v>
      </c>
      <c r="BA130">
        <f t="shared" si="3"/>
        <v>1</v>
      </c>
      <c r="BB130">
        <f t="shared" si="4"/>
        <v>0.05</v>
      </c>
    </row>
    <row r="131" spans="1:54" x14ac:dyDescent="0.25">
      <c r="A131" t="s">
        <v>208</v>
      </c>
      <c r="J131">
        <v>1</v>
      </c>
      <c r="AZ131">
        <v>1</v>
      </c>
      <c r="BA131">
        <f t="shared" si="3"/>
        <v>1</v>
      </c>
      <c r="BB131">
        <f t="shared" si="4"/>
        <v>0.05</v>
      </c>
    </row>
    <row r="132" spans="1:54" x14ac:dyDescent="0.25">
      <c r="A132" t="s">
        <v>204</v>
      </c>
      <c r="J132">
        <v>1</v>
      </c>
      <c r="AZ132">
        <v>1</v>
      </c>
      <c r="BA132">
        <f t="shared" si="3"/>
        <v>1</v>
      </c>
      <c r="BB132">
        <f t="shared" si="4"/>
        <v>0.05</v>
      </c>
    </row>
    <row r="133" spans="1:54" x14ac:dyDescent="0.25">
      <c r="A133" t="s">
        <v>200</v>
      </c>
      <c r="J133">
        <v>1</v>
      </c>
      <c r="AZ133">
        <v>1</v>
      </c>
      <c r="BA133">
        <f t="shared" ref="BA133:BA196" si="5">SUM(B133:AX133)-AV133</f>
        <v>1</v>
      </c>
      <c r="BB133">
        <f t="shared" ref="BB133:BB196" si="6">VLOOKUP(BA133,$BD$4:$BF$20,3,0)</f>
        <v>0.05</v>
      </c>
    </row>
    <row r="134" spans="1:54" x14ac:dyDescent="0.25">
      <c r="A134" t="s">
        <v>196</v>
      </c>
      <c r="J134">
        <v>1</v>
      </c>
      <c r="AZ134">
        <v>1</v>
      </c>
      <c r="BA134">
        <f t="shared" si="5"/>
        <v>1</v>
      </c>
      <c r="BB134">
        <f t="shared" si="6"/>
        <v>0.05</v>
      </c>
    </row>
    <row r="135" spans="1:54" x14ac:dyDescent="0.25">
      <c r="A135" t="s">
        <v>191</v>
      </c>
      <c r="J135">
        <v>1</v>
      </c>
      <c r="AZ135">
        <v>1</v>
      </c>
      <c r="BA135">
        <f t="shared" si="5"/>
        <v>1</v>
      </c>
      <c r="BB135">
        <f t="shared" si="6"/>
        <v>0.05</v>
      </c>
    </row>
    <row r="136" spans="1:54" x14ac:dyDescent="0.25">
      <c r="A136" t="s">
        <v>186</v>
      </c>
      <c r="J136">
        <v>1</v>
      </c>
      <c r="AZ136">
        <v>1</v>
      </c>
      <c r="BA136">
        <f t="shared" si="5"/>
        <v>1</v>
      </c>
      <c r="BB136">
        <f t="shared" si="6"/>
        <v>0.05</v>
      </c>
    </row>
    <row r="137" spans="1:54" x14ac:dyDescent="0.25">
      <c r="A137" t="s">
        <v>177</v>
      </c>
      <c r="J137">
        <v>1</v>
      </c>
      <c r="AZ137">
        <v>1</v>
      </c>
      <c r="BA137">
        <f t="shared" si="5"/>
        <v>1</v>
      </c>
      <c r="BB137">
        <f t="shared" si="6"/>
        <v>0.05</v>
      </c>
    </row>
    <row r="138" spans="1:54" x14ac:dyDescent="0.25">
      <c r="A138" t="s">
        <v>172</v>
      </c>
      <c r="J138">
        <v>1</v>
      </c>
      <c r="AZ138">
        <v>1</v>
      </c>
      <c r="BA138">
        <f t="shared" si="5"/>
        <v>1</v>
      </c>
      <c r="BB138">
        <f t="shared" si="6"/>
        <v>0.05</v>
      </c>
    </row>
    <row r="139" spans="1:54" x14ac:dyDescent="0.25">
      <c r="A139" t="s">
        <v>183</v>
      </c>
      <c r="J139">
        <v>1</v>
      </c>
      <c r="AZ139">
        <v>1</v>
      </c>
      <c r="BA139">
        <f t="shared" si="5"/>
        <v>1</v>
      </c>
      <c r="BB139">
        <f t="shared" si="6"/>
        <v>0.05</v>
      </c>
    </row>
    <row r="140" spans="1:54" x14ac:dyDescent="0.25">
      <c r="A140" t="s">
        <v>180</v>
      </c>
      <c r="J140">
        <v>1</v>
      </c>
      <c r="AZ140">
        <v>1</v>
      </c>
      <c r="BA140">
        <f t="shared" si="5"/>
        <v>1</v>
      </c>
      <c r="BB140">
        <f t="shared" si="6"/>
        <v>0.05</v>
      </c>
    </row>
    <row r="141" spans="1:54" x14ac:dyDescent="0.25">
      <c r="A141" t="s">
        <v>153</v>
      </c>
      <c r="J141">
        <v>1</v>
      </c>
      <c r="AZ141">
        <v>1</v>
      </c>
      <c r="BA141">
        <f t="shared" si="5"/>
        <v>1</v>
      </c>
      <c r="BB141">
        <f t="shared" si="6"/>
        <v>0.05</v>
      </c>
    </row>
    <row r="142" spans="1:54" x14ac:dyDescent="0.25">
      <c r="A142" t="s">
        <v>136</v>
      </c>
      <c r="J142">
        <v>1</v>
      </c>
      <c r="AZ142">
        <v>1</v>
      </c>
      <c r="BA142">
        <f t="shared" si="5"/>
        <v>1</v>
      </c>
      <c r="BB142">
        <f t="shared" si="6"/>
        <v>0.05</v>
      </c>
    </row>
    <row r="143" spans="1:54" x14ac:dyDescent="0.25">
      <c r="A143" t="s">
        <v>266</v>
      </c>
      <c r="J143">
        <v>1</v>
      </c>
      <c r="AZ143">
        <v>1</v>
      </c>
      <c r="BA143">
        <f t="shared" si="5"/>
        <v>1</v>
      </c>
      <c r="BB143">
        <f t="shared" si="6"/>
        <v>0.05</v>
      </c>
    </row>
    <row r="144" spans="1:54" x14ac:dyDescent="0.25">
      <c r="A144" t="s">
        <v>221</v>
      </c>
      <c r="J144">
        <v>1</v>
      </c>
      <c r="AZ144">
        <v>1</v>
      </c>
      <c r="BA144">
        <f t="shared" si="5"/>
        <v>1</v>
      </c>
      <c r="BB144">
        <f t="shared" si="6"/>
        <v>0.05</v>
      </c>
    </row>
    <row r="145" spans="1:54" x14ac:dyDescent="0.25">
      <c r="A145" t="s">
        <v>1256</v>
      </c>
      <c r="K145">
        <v>1</v>
      </c>
      <c r="L145">
        <v>1</v>
      </c>
      <c r="AZ145">
        <v>1</v>
      </c>
      <c r="BA145">
        <f t="shared" si="5"/>
        <v>2</v>
      </c>
      <c r="BB145">
        <f t="shared" si="6"/>
        <v>0.2</v>
      </c>
    </row>
    <row r="146" spans="1:54" x14ac:dyDescent="0.25">
      <c r="A146" t="s">
        <v>1271</v>
      </c>
      <c r="M146">
        <v>1</v>
      </c>
      <c r="Q146">
        <v>1</v>
      </c>
      <c r="AZ146">
        <v>1</v>
      </c>
      <c r="BA146">
        <f t="shared" si="5"/>
        <v>2</v>
      </c>
      <c r="BB146">
        <f t="shared" si="6"/>
        <v>0.2</v>
      </c>
    </row>
    <row r="147" spans="1:54" x14ac:dyDescent="0.25">
      <c r="A147" t="s">
        <v>1233</v>
      </c>
      <c r="M147">
        <v>1</v>
      </c>
      <c r="AZ147">
        <v>1</v>
      </c>
      <c r="BA147">
        <f t="shared" si="5"/>
        <v>1</v>
      </c>
      <c r="BB147">
        <f t="shared" si="6"/>
        <v>0.05</v>
      </c>
    </row>
    <row r="148" spans="1:54" x14ac:dyDescent="0.25">
      <c r="A148" t="s">
        <v>1279</v>
      </c>
      <c r="D148">
        <v>1</v>
      </c>
      <c r="H148">
        <v>1</v>
      </c>
      <c r="M148">
        <v>1</v>
      </c>
      <c r="N148">
        <v>1</v>
      </c>
      <c r="Q148">
        <v>1</v>
      </c>
      <c r="Z148">
        <v>1</v>
      </c>
      <c r="AB148">
        <v>1</v>
      </c>
      <c r="AH148">
        <v>1</v>
      </c>
      <c r="AU148">
        <v>1</v>
      </c>
      <c r="AX148">
        <v>1</v>
      </c>
      <c r="AZ148">
        <v>1</v>
      </c>
      <c r="BA148">
        <f t="shared" si="5"/>
        <v>10</v>
      </c>
      <c r="BB148">
        <f t="shared" si="6"/>
        <v>0.85</v>
      </c>
    </row>
    <row r="149" spans="1:54" x14ac:dyDescent="0.25">
      <c r="A149" t="s">
        <v>87</v>
      </c>
      <c r="O149">
        <v>1</v>
      </c>
      <c r="AN149">
        <v>1</v>
      </c>
      <c r="AZ149">
        <v>1</v>
      </c>
      <c r="BA149">
        <f t="shared" si="5"/>
        <v>2</v>
      </c>
      <c r="BB149">
        <f t="shared" si="6"/>
        <v>0.2</v>
      </c>
    </row>
    <row r="150" spans="1:54" x14ac:dyDescent="0.25">
      <c r="A150" t="s">
        <v>1337</v>
      </c>
      <c r="M150">
        <v>1</v>
      </c>
      <c r="Q150">
        <v>1</v>
      </c>
      <c r="AB150">
        <v>1</v>
      </c>
      <c r="AZ150">
        <v>1</v>
      </c>
      <c r="BA150">
        <f t="shared" si="5"/>
        <v>3</v>
      </c>
      <c r="BB150">
        <f t="shared" si="6"/>
        <v>0.2</v>
      </c>
    </row>
    <row r="151" spans="1:54" x14ac:dyDescent="0.25">
      <c r="A151" t="s">
        <v>1344</v>
      </c>
      <c r="M151">
        <v>1</v>
      </c>
      <c r="Q151">
        <v>1</v>
      </c>
      <c r="AB151">
        <v>1</v>
      </c>
      <c r="AZ151">
        <v>1</v>
      </c>
      <c r="BA151">
        <f t="shared" si="5"/>
        <v>3</v>
      </c>
      <c r="BB151">
        <f t="shared" si="6"/>
        <v>0.2</v>
      </c>
    </row>
    <row r="152" spans="1:54" x14ac:dyDescent="0.25">
      <c r="A152" t="s">
        <v>1240</v>
      </c>
      <c r="M152">
        <v>1</v>
      </c>
      <c r="Q152">
        <v>1</v>
      </c>
      <c r="AB152">
        <v>1</v>
      </c>
      <c r="AU152">
        <v>1</v>
      </c>
      <c r="AZ152">
        <v>1</v>
      </c>
      <c r="BA152">
        <f t="shared" si="5"/>
        <v>4</v>
      </c>
      <c r="BB152">
        <f t="shared" si="6"/>
        <v>0.6</v>
      </c>
    </row>
    <row r="153" spans="1:54" x14ac:dyDescent="0.25">
      <c r="A153" t="s">
        <v>1211</v>
      </c>
      <c r="M153">
        <v>1</v>
      </c>
      <c r="Q153">
        <v>1</v>
      </c>
      <c r="AU153">
        <v>1</v>
      </c>
      <c r="AZ153">
        <v>1</v>
      </c>
      <c r="BA153">
        <f t="shared" si="5"/>
        <v>3</v>
      </c>
      <c r="BB153">
        <f t="shared" si="6"/>
        <v>0.2</v>
      </c>
    </row>
    <row r="154" spans="1:54" x14ac:dyDescent="0.25">
      <c r="A154" t="s">
        <v>1247</v>
      </c>
      <c r="D154">
        <v>1</v>
      </c>
      <c r="H154">
        <v>1</v>
      </c>
      <c r="M154">
        <v>1</v>
      </c>
      <c r="T154">
        <v>1</v>
      </c>
      <c r="AB154">
        <v>1</v>
      </c>
      <c r="AU154">
        <v>1</v>
      </c>
      <c r="AZ154">
        <v>1</v>
      </c>
      <c r="BA154">
        <f t="shared" si="5"/>
        <v>6</v>
      </c>
      <c r="BB154">
        <f t="shared" si="6"/>
        <v>0.6</v>
      </c>
    </row>
    <row r="155" spans="1:54" x14ac:dyDescent="0.25">
      <c r="A155" t="s">
        <v>1166</v>
      </c>
      <c r="C155">
        <v>1</v>
      </c>
      <c r="D155">
        <v>1</v>
      </c>
      <c r="H155">
        <v>1</v>
      </c>
      <c r="J155">
        <v>1</v>
      </c>
      <c r="M155">
        <v>1</v>
      </c>
      <c r="N155">
        <v>1</v>
      </c>
      <c r="Q155">
        <v>1</v>
      </c>
      <c r="R155">
        <v>1</v>
      </c>
      <c r="T155">
        <v>1</v>
      </c>
      <c r="U155">
        <v>1</v>
      </c>
      <c r="Z155">
        <v>1</v>
      </c>
      <c r="AB155">
        <v>1</v>
      </c>
      <c r="AC155">
        <v>1</v>
      </c>
      <c r="AH155">
        <v>1</v>
      </c>
      <c r="AN155">
        <v>1</v>
      </c>
      <c r="AQ155">
        <v>1</v>
      </c>
      <c r="AU155">
        <v>1</v>
      </c>
      <c r="AX155">
        <v>1</v>
      </c>
      <c r="AZ155">
        <v>1</v>
      </c>
      <c r="BA155">
        <f t="shared" si="5"/>
        <v>18</v>
      </c>
      <c r="BB155">
        <f t="shared" si="6"/>
        <v>1</v>
      </c>
    </row>
    <row r="156" spans="1:54" x14ac:dyDescent="0.25">
      <c r="A156" t="s">
        <v>1108</v>
      </c>
      <c r="C156">
        <v>1</v>
      </c>
      <c r="D156">
        <v>1</v>
      </c>
      <c r="H156">
        <v>1</v>
      </c>
      <c r="J156">
        <v>1</v>
      </c>
      <c r="M156">
        <v>1</v>
      </c>
      <c r="N156">
        <v>1</v>
      </c>
      <c r="Q156">
        <v>1</v>
      </c>
      <c r="R156">
        <v>1</v>
      </c>
      <c r="T156">
        <v>1</v>
      </c>
      <c r="U156">
        <v>1</v>
      </c>
      <c r="Z156">
        <v>1</v>
      </c>
      <c r="AB156">
        <v>1</v>
      </c>
      <c r="AU156">
        <v>1</v>
      </c>
      <c r="AX156">
        <v>1</v>
      </c>
      <c r="AZ156">
        <v>1</v>
      </c>
      <c r="BA156">
        <f t="shared" si="5"/>
        <v>14</v>
      </c>
      <c r="BB156">
        <f t="shared" si="6"/>
        <v>1</v>
      </c>
    </row>
    <row r="157" spans="1:54" x14ac:dyDescent="0.25">
      <c r="A157" t="s">
        <v>1099</v>
      </c>
      <c r="C157">
        <v>1</v>
      </c>
      <c r="D157">
        <v>1</v>
      </c>
      <c r="H157">
        <v>1</v>
      </c>
      <c r="J157">
        <v>1</v>
      </c>
      <c r="M157">
        <v>1</v>
      </c>
      <c r="N157">
        <v>1</v>
      </c>
      <c r="Q157">
        <v>1</v>
      </c>
      <c r="R157">
        <v>1</v>
      </c>
      <c r="T157">
        <v>1</v>
      </c>
      <c r="U157">
        <v>1</v>
      </c>
      <c r="Z157">
        <v>1</v>
      </c>
      <c r="AB157">
        <v>1</v>
      </c>
      <c r="AC157">
        <v>1</v>
      </c>
      <c r="AH157">
        <v>1</v>
      </c>
      <c r="AN157">
        <v>1</v>
      </c>
      <c r="AQ157">
        <v>1</v>
      </c>
      <c r="AU157">
        <v>1</v>
      </c>
      <c r="AX157">
        <v>1</v>
      </c>
      <c r="AZ157">
        <v>1</v>
      </c>
      <c r="BA157">
        <f t="shared" si="5"/>
        <v>18</v>
      </c>
      <c r="BB157">
        <f t="shared" si="6"/>
        <v>1</v>
      </c>
    </row>
    <row r="158" spans="1:54" x14ac:dyDescent="0.25">
      <c r="A158" t="s">
        <v>1390</v>
      </c>
      <c r="H158">
        <v>1</v>
      </c>
      <c r="M158">
        <v>1</v>
      </c>
      <c r="S158">
        <v>1</v>
      </c>
      <c r="T158">
        <v>1</v>
      </c>
      <c r="AA158">
        <v>1</v>
      </c>
      <c r="AB158">
        <v>1</v>
      </c>
      <c r="AG158">
        <v>1</v>
      </c>
      <c r="AU158">
        <v>1</v>
      </c>
      <c r="AZ158">
        <v>1</v>
      </c>
      <c r="BA158">
        <f t="shared" si="5"/>
        <v>8</v>
      </c>
      <c r="BB158">
        <f t="shared" si="6"/>
        <v>0.85</v>
      </c>
    </row>
    <row r="159" spans="1:54" x14ac:dyDescent="0.25">
      <c r="A159" t="s">
        <v>1382</v>
      </c>
      <c r="H159">
        <v>1</v>
      </c>
      <c r="M159">
        <v>1</v>
      </c>
      <c r="S159">
        <v>1</v>
      </c>
      <c r="T159">
        <v>1</v>
      </c>
      <c r="AA159">
        <v>1</v>
      </c>
      <c r="AB159">
        <v>1</v>
      </c>
      <c r="AG159">
        <v>1</v>
      </c>
      <c r="AZ159">
        <v>1</v>
      </c>
      <c r="BA159">
        <f t="shared" si="5"/>
        <v>7</v>
      </c>
      <c r="BB159">
        <f t="shared" si="6"/>
        <v>0.6</v>
      </c>
    </row>
    <row r="160" spans="1:54" x14ac:dyDescent="0.25">
      <c r="A160" t="s">
        <v>959</v>
      </c>
      <c r="J160">
        <v>1</v>
      </c>
      <c r="Q160">
        <v>1</v>
      </c>
      <c r="Z160">
        <v>1</v>
      </c>
      <c r="AB160">
        <v>1</v>
      </c>
      <c r="AC160">
        <v>1</v>
      </c>
      <c r="AT160">
        <v>1</v>
      </c>
      <c r="AU160">
        <v>1</v>
      </c>
      <c r="AV160">
        <v>1</v>
      </c>
      <c r="AZ160">
        <v>1</v>
      </c>
      <c r="BA160">
        <f t="shared" si="5"/>
        <v>7</v>
      </c>
      <c r="BB160">
        <f t="shared" si="6"/>
        <v>0.6</v>
      </c>
    </row>
    <row r="161" spans="1:54" x14ac:dyDescent="0.25">
      <c r="A161" t="s">
        <v>952</v>
      </c>
      <c r="AB161">
        <v>1</v>
      </c>
      <c r="AZ161">
        <v>1</v>
      </c>
      <c r="BA161">
        <f t="shared" si="5"/>
        <v>1</v>
      </c>
      <c r="BB161">
        <f t="shared" si="6"/>
        <v>0.05</v>
      </c>
    </row>
    <row r="162" spans="1:54" x14ac:dyDescent="0.25">
      <c r="A162" t="s">
        <v>895</v>
      </c>
      <c r="AB162">
        <v>1</v>
      </c>
      <c r="AZ162">
        <v>1</v>
      </c>
      <c r="BA162">
        <f t="shared" si="5"/>
        <v>1</v>
      </c>
      <c r="BB162">
        <f t="shared" si="6"/>
        <v>0.05</v>
      </c>
    </row>
    <row r="163" spans="1:54" x14ac:dyDescent="0.25">
      <c r="A163" t="s">
        <v>1307</v>
      </c>
      <c r="AB163">
        <v>1</v>
      </c>
      <c r="AZ163">
        <v>1</v>
      </c>
      <c r="BA163">
        <f t="shared" si="5"/>
        <v>1</v>
      </c>
      <c r="BB163">
        <f t="shared" si="6"/>
        <v>0.05</v>
      </c>
    </row>
    <row r="164" spans="1:54" x14ac:dyDescent="0.25">
      <c r="A164" t="s">
        <v>1302</v>
      </c>
      <c r="AB164">
        <v>1</v>
      </c>
      <c r="AZ164">
        <v>1</v>
      </c>
      <c r="BA164">
        <f t="shared" si="5"/>
        <v>1</v>
      </c>
      <c r="BB164">
        <f t="shared" si="6"/>
        <v>0.05</v>
      </c>
    </row>
    <row r="165" spans="1:54" x14ac:dyDescent="0.25">
      <c r="A165" t="s">
        <v>1286</v>
      </c>
      <c r="D165">
        <v>1</v>
      </c>
      <c r="H165">
        <v>1</v>
      </c>
      <c r="M165">
        <v>1</v>
      </c>
      <c r="AB165">
        <v>1</v>
      </c>
      <c r="AZ165">
        <v>1</v>
      </c>
      <c r="BA165">
        <f t="shared" si="5"/>
        <v>4</v>
      </c>
      <c r="BB165">
        <f t="shared" si="6"/>
        <v>0.6</v>
      </c>
    </row>
    <row r="166" spans="1:54" x14ac:dyDescent="0.25">
      <c r="A166" t="s">
        <v>1227</v>
      </c>
      <c r="C166">
        <v>1</v>
      </c>
      <c r="M166">
        <v>1</v>
      </c>
      <c r="Q166">
        <v>1</v>
      </c>
      <c r="R166">
        <v>1</v>
      </c>
      <c r="AH166">
        <v>1</v>
      </c>
      <c r="AI166">
        <v>1</v>
      </c>
      <c r="AZ166">
        <v>1</v>
      </c>
      <c r="BA166">
        <f t="shared" si="5"/>
        <v>6</v>
      </c>
      <c r="BB166">
        <f t="shared" si="6"/>
        <v>0.6</v>
      </c>
    </row>
    <row r="167" spans="1:54" x14ac:dyDescent="0.25">
      <c r="A167" t="s">
        <v>1006</v>
      </c>
      <c r="AH167">
        <v>1</v>
      </c>
      <c r="AU167">
        <v>1</v>
      </c>
      <c r="AZ167">
        <v>1</v>
      </c>
      <c r="BA167">
        <f t="shared" si="5"/>
        <v>2</v>
      </c>
      <c r="BB167">
        <f t="shared" si="6"/>
        <v>0.2</v>
      </c>
    </row>
    <row r="168" spans="1:54" x14ac:dyDescent="0.25">
      <c r="A168" t="s">
        <v>1358</v>
      </c>
      <c r="C168">
        <v>1</v>
      </c>
      <c r="D168">
        <v>1</v>
      </c>
      <c r="H168">
        <v>1</v>
      </c>
      <c r="I168">
        <v>1</v>
      </c>
      <c r="L168">
        <v>1</v>
      </c>
      <c r="M168">
        <v>1</v>
      </c>
      <c r="N168">
        <v>1</v>
      </c>
      <c r="P168">
        <v>1</v>
      </c>
      <c r="R168">
        <v>1</v>
      </c>
      <c r="S168">
        <v>1</v>
      </c>
      <c r="T168">
        <v>1</v>
      </c>
      <c r="U168">
        <v>1</v>
      </c>
      <c r="X168">
        <v>1</v>
      </c>
      <c r="Y168">
        <v>1</v>
      </c>
      <c r="Z168">
        <v>1</v>
      </c>
      <c r="AD168">
        <v>1</v>
      </c>
      <c r="AG168">
        <v>1</v>
      </c>
      <c r="AH168">
        <v>1</v>
      </c>
      <c r="AJ168">
        <v>1</v>
      </c>
      <c r="AK168">
        <v>1</v>
      </c>
      <c r="AL168">
        <v>1</v>
      </c>
      <c r="AM168">
        <v>1</v>
      </c>
      <c r="AO168">
        <v>1</v>
      </c>
      <c r="AS168">
        <v>1</v>
      </c>
      <c r="AW168">
        <v>1</v>
      </c>
      <c r="AZ168">
        <v>1</v>
      </c>
      <c r="BA168">
        <f t="shared" si="5"/>
        <v>25</v>
      </c>
      <c r="BB168">
        <f t="shared" si="6"/>
        <v>1</v>
      </c>
    </row>
    <row r="169" spans="1:54" x14ac:dyDescent="0.25">
      <c r="A169" t="s">
        <v>1367</v>
      </c>
      <c r="B169">
        <v>1</v>
      </c>
      <c r="C169">
        <v>1</v>
      </c>
      <c r="D169">
        <v>1</v>
      </c>
      <c r="E169">
        <v>1</v>
      </c>
      <c r="H169">
        <v>1</v>
      </c>
      <c r="I169">
        <v>1</v>
      </c>
      <c r="L169">
        <v>1</v>
      </c>
      <c r="M169">
        <v>1</v>
      </c>
      <c r="N169">
        <v>1</v>
      </c>
      <c r="P169">
        <v>1</v>
      </c>
      <c r="R169">
        <v>1</v>
      </c>
      <c r="S169">
        <v>1</v>
      </c>
      <c r="T169">
        <v>1</v>
      </c>
      <c r="U169">
        <v>1</v>
      </c>
      <c r="W169">
        <v>1</v>
      </c>
      <c r="X169">
        <v>1</v>
      </c>
      <c r="Y169">
        <v>1</v>
      </c>
      <c r="Z169">
        <v>1</v>
      </c>
      <c r="AB169">
        <v>1</v>
      </c>
      <c r="AD169">
        <v>1</v>
      </c>
      <c r="AG169">
        <v>1</v>
      </c>
      <c r="AH169">
        <v>1</v>
      </c>
      <c r="AJ169">
        <v>1</v>
      </c>
      <c r="AK169">
        <v>1</v>
      </c>
      <c r="AL169">
        <v>1</v>
      </c>
      <c r="AM169">
        <v>1</v>
      </c>
      <c r="AO169">
        <v>1</v>
      </c>
      <c r="AS169">
        <v>1</v>
      </c>
      <c r="AU169">
        <v>1</v>
      </c>
      <c r="AW169">
        <v>1</v>
      </c>
      <c r="AZ169">
        <v>1</v>
      </c>
      <c r="BA169">
        <f t="shared" si="5"/>
        <v>30</v>
      </c>
      <c r="BB169">
        <f t="shared" si="6"/>
        <v>1</v>
      </c>
    </row>
    <row r="170" spans="1:54" x14ac:dyDescent="0.25">
      <c r="A170" t="s">
        <v>705</v>
      </c>
      <c r="AN170">
        <v>1</v>
      </c>
      <c r="AZ170">
        <v>1</v>
      </c>
      <c r="BA170">
        <f t="shared" si="5"/>
        <v>1</v>
      </c>
      <c r="BB170">
        <f t="shared" si="6"/>
        <v>0.05</v>
      </c>
    </row>
    <row r="171" spans="1:54" x14ac:dyDescent="0.25">
      <c r="A171" t="s">
        <v>971</v>
      </c>
      <c r="O171">
        <v>1</v>
      </c>
      <c r="AN171">
        <v>1</v>
      </c>
      <c r="AZ171">
        <v>1</v>
      </c>
      <c r="BA171">
        <f t="shared" si="5"/>
        <v>2</v>
      </c>
      <c r="BB171">
        <f t="shared" si="6"/>
        <v>0.2</v>
      </c>
    </row>
    <row r="172" spans="1:54" x14ac:dyDescent="0.25">
      <c r="A172" t="s">
        <v>911</v>
      </c>
      <c r="AN172">
        <v>1</v>
      </c>
      <c r="AZ172">
        <v>1</v>
      </c>
      <c r="BA172">
        <f t="shared" si="5"/>
        <v>1</v>
      </c>
      <c r="BB172">
        <f t="shared" si="6"/>
        <v>0.05</v>
      </c>
    </row>
    <row r="173" spans="1:54" x14ac:dyDescent="0.25">
      <c r="A173" t="s">
        <v>60</v>
      </c>
      <c r="AN173">
        <v>1</v>
      </c>
      <c r="AZ173">
        <v>1</v>
      </c>
      <c r="BA173">
        <f t="shared" si="5"/>
        <v>1</v>
      </c>
      <c r="BB173">
        <f t="shared" si="6"/>
        <v>0.05</v>
      </c>
    </row>
    <row r="174" spans="1:54" x14ac:dyDescent="0.25">
      <c r="A174" t="s">
        <v>1076</v>
      </c>
      <c r="AN174">
        <v>1</v>
      </c>
      <c r="AQ174">
        <v>1</v>
      </c>
      <c r="AZ174">
        <v>1</v>
      </c>
      <c r="BA174">
        <f t="shared" si="5"/>
        <v>2</v>
      </c>
      <c r="BB174">
        <f t="shared" si="6"/>
        <v>0.2</v>
      </c>
    </row>
    <row r="175" spans="1:54" x14ac:dyDescent="0.25">
      <c r="A175" t="s">
        <v>1034</v>
      </c>
      <c r="AN175">
        <v>1</v>
      </c>
      <c r="AZ175">
        <v>1</v>
      </c>
      <c r="BA175">
        <f t="shared" si="5"/>
        <v>1</v>
      </c>
      <c r="BB175">
        <f t="shared" si="6"/>
        <v>0.05</v>
      </c>
    </row>
    <row r="176" spans="1:54" x14ac:dyDescent="0.25">
      <c r="A176" t="s">
        <v>1038</v>
      </c>
      <c r="AN176">
        <v>1</v>
      </c>
      <c r="AZ176">
        <v>1</v>
      </c>
      <c r="BA176">
        <f t="shared" si="5"/>
        <v>1</v>
      </c>
      <c r="BB176">
        <f t="shared" si="6"/>
        <v>0.05</v>
      </c>
    </row>
    <row r="177" spans="1:54" x14ac:dyDescent="0.25">
      <c r="A177" t="s">
        <v>1018</v>
      </c>
      <c r="AN177">
        <v>1</v>
      </c>
      <c r="AZ177">
        <v>1</v>
      </c>
      <c r="BA177">
        <f t="shared" si="5"/>
        <v>1</v>
      </c>
      <c r="BB177">
        <f t="shared" si="6"/>
        <v>0.05</v>
      </c>
    </row>
    <row r="178" spans="1:54" x14ac:dyDescent="0.25">
      <c r="A178" t="s">
        <v>1001</v>
      </c>
      <c r="AN178">
        <v>1</v>
      </c>
      <c r="AZ178">
        <v>1</v>
      </c>
      <c r="BA178">
        <f t="shared" si="5"/>
        <v>1</v>
      </c>
      <c r="BB178">
        <f t="shared" si="6"/>
        <v>0.05</v>
      </c>
    </row>
    <row r="179" spans="1:54" x14ac:dyDescent="0.25">
      <c r="A179" t="s">
        <v>990</v>
      </c>
      <c r="AN179">
        <v>1</v>
      </c>
      <c r="AZ179">
        <v>1</v>
      </c>
      <c r="BA179">
        <f t="shared" si="5"/>
        <v>1</v>
      </c>
      <c r="BB179">
        <f t="shared" si="6"/>
        <v>0.05</v>
      </c>
    </row>
    <row r="180" spans="1:54" x14ac:dyDescent="0.25">
      <c r="A180" t="s">
        <v>980</v>
      </c>
      <c r="AN180">
        <v>1</v>
      </c>
      <c r="AZ180">
        <v>1</v>
      </c>
      <c r="BA180">
        <f t="shared" si="5"/>
        <v>1</v>
      </c>
      <c r="BB180">
        <f t="shared" si="6"/>
        <v>0.05</v>
      </c>
    </row>
    <row r="181" spans="1:54" x14ac:dyDescent="0.25">
      <c r="A181" t="s">
        <v>976</v>
      </c>
      <c r="AN181">
        <v>1</v>
      </c>
      <c r="AZ181">
        <v>1</v>
      </c>
      <c r="BA181">
        <f t="shared" si="5"/>
        <v>1</v>
      </c>
      <c r="BB181">
        <f t="shared" si="6"/>
        <v>0.05</v>
      </c>
    </row>
    <row r="182" spans="1:54" x14ac:dyDescent="0.25">
      <c r="A182" t="s">
        <v>965</v>
      </c>
      <c r="AN182">
        <v>1</v>
      </c>
      <c r="AZ182">
        <v>1</v>
      </c>
      <c r="BA182">
        <f t="shared" si="5"/>
        <v>1</v>
      </c>
      <c r="BB182">
        <f t="shared" si="6"/>
        <v>0.05</v>
      </c>
    </row>
    <row r="183" spans="1:54" x14ac:dyDescent="0.25">
      <c r="A183" t="s">
        <v>50</v>
      </c>
      <c r="AN183">
        <v>1</v>
      </c>
      <c r="AZ183">
        <v>1</v>
      </c>
      <c r="BA183">
        <f t="shared" si="5"/>
        <v>1</v>
      </c>
      <c r="BB183">
        <f t="shared" si="6"/>
        <v>0.05</v>
      </c>
    </row>
    <row r="184" spans="1:54" x14ac:dyDescent="0.25">
      <c r="A184" t="s">
        <v>867</v>
      </c>
      <c r="AN184">
        <v>1</v>
      </c>
      <c r="AZ184">
        <v>1</v>
      </c>
      <c r="BA184">
        <f t="shared" si="5"/>
        <v>1</v>
      </c>
      <c r="BB184">
        <f t="shared" si="6"/>
        <v>0.05</v>
      </c>
    </row>
    <row r="185" spans="1:54" x14ac:dyDescent="0.25">
      <c r="A185" t="s">
        <v>110</v>
      </c>
      <c r="AN185">
        <v>1</v>
      </c>
      <c r="AZ185">
        <v>1</v>
      </c>
      <c r="BA185">
        <f t="shared" si="5"/>
        <v>1</v>
      </c>
      <c r="BB185">
        <f t="shared" si="6"/>
        <v>0.05</v>
      </c>
    </row>
    <row r="186" spans="1:54" x14ac:dyDescent="0.25">
      <c r="A186" t="s">
        <v>648</v>
      </c>
      <c r="D186">
        <v>1</v>
      </c>
      <c r="F186">
        <v>1</v>
      </c>
      <c r="H186">
        <v>1</v>
      </c>
      <c r="J186">
        <v>1</v>
      </c>
      <c r="O186">
        <v>1</v>
      </c>
      <c r="Q186">
        <v>1</v>
      </c>
      <c r="Z186">
        <v>1</v>
      </c>
      <c r="AN186">
        <v>1</v>
      </c>
      <c r="AU186">
        <v>1</v>
      </c>
      <c r="AV186">
        <v>1</v>
      </c>
      <c r="AZ186">
        <v>1</v>
      </c>
      <c r="BA186">
        <f t="shared" si="5"/>
        <v>9</v>
      </c>
      <c r="BB186">
        <f t="shared" si="6"/>
        <v>0.85</v>
      </c>
    </row>
    <row r="187" spans="1:54" x14ac:dyDescent="0.25">
      <c r="A187" t="s">
        <v>629</v>
      </c>
      <c r="J187">
        <v>1</v>
      </c>
      <c r="O187">
        <v>1</v>
      </c>
      <c r="Q187">
        <v>1</v>
      </c>
      <c r="AN187">
        <v>1</v>
      </c>
      <c r="AU187">
        <v>1</v>
      </c>
      <c r="AV187">
        <v>1</v>
      </c>
      <c r="AZ187">
        <v>1</v>
      </c>
      <c r="BA187">
        <f t="shared" si="5"/>
        <v>5</v>
      </c>
      <c r="BB187">
        <f t="shared" si="6"/>
        <v>0.6</v>
      </c>
    </row>
    <row r="188" spans="1:54" x14ac:dyDescent="0.25">
      <c r="A188" t="s">
        <v>106</v>
      </c>
      <c r="AN188">
        <v>1</v>
      </c>
      <c r="AZ188">
        <v>1</v>
      </c>
      <c r="BA188">
        <f t="shared" si="5"/>
        <v>1</v>
      </c>
      <c r="BB188">
        <f t="shared" si="6"/>
        <v>0.05</v>
      </c>
    </row>
    <row r="189" spans="1:54" x14ac:dyDescent="0.25">
      <c r="A189" t="s">
        <v>554</v>
      </c>
      <c r="O189">
        <v>1</v>
      </c>
      <c r="Q189">
        <v>1</v>
      </c>
      <c r="AN189">
        <v>1</v>
      </c>
      <c r="AU189">
        <v>1</v>
      </c>
      <c r="AV189">
        <v>1</v>
      </c>
      <c r="AZ189">
        <v>1</v>
      </c>
      <c r="BA189">
        <f t="shared" si="5"/>
        <v>4</v>
      </c>
      <c r="BB189">
        <f t="shared" si="6"/>
        <v>0.6</v>
      </c>
    </row>
    <row r="190" spans="1:54" x14ac:dyDescent="0.25">
      <c r="A190" t="s">
        <v>100</v>
      </c>
      <c r="H190">
        <v>1</v>
      </c>
      <c r="J190">
        <v>1</v>
      </c>
      <c r="O190">
        <v>1</v>
      </c>
      <c r="Q190">
        <v>1</v>
      </c>
      <c r="Z190">
        <v>1</v>
      </c>
      <c r="AN190">
        <v>1</v>
      </c>
      <c r="AU190">
        <v>1</v>
      </c>
      <c r="AV190">
        <v>1</v>
      </c>
      <c r="AZ190">
        <v>1</v>
      </c>
      <c r="BA190">
        <f t="shared" si="5"/>
        <v>7</v>
      </c>
      <c r="BB190">
        <f t="shared" si="6"/>
        <v>0.6</v>
      </c>
    </row>
    <row r="191" spans="1:54" x14ac:dyDescent="0.25">
      <c r="A191" t="s">
        <v>519</v>
      </c>
      <c r="AN191">
        <v>1</v>
      </c>
      <c r="AZ191">
        <v>1</v>
      </c>
      <c r="BA191">
        <f t="shared" si="5"/>
        <v>1</v>
      </c>
      <c r="BB191">
        <f t="shared" si="6"/>
        <v>0.05</v>
      </c>
    </row>
    <row r="192" spans="1:54" x14ac:dyDescent="0.25">
      <c r="A192" t="s">
        <v>426</v>
      </c>
      <c r="AN192">
        <v>1</v>
      </c>
      <c r="AZ192">
        <v>1</v>
      </c>
      <c r="BA192">
        <f t="shared" si="5"/>
        <v>1</v>
      </c>
      <c r="BB192">
        <f t="shared" si="6"/>
        <v>0.05</v>
      </c>
    </row>
    <row r="193" spans="1:54" x14ac:dyDescent="0.25">
      <c r="A193" t="s">
        <v>93</v>
      </c>
      <c r="AN193">
        <v>1</v>
      </c>
      <c r="AZ193">
        <v>1</v>
      </c>
      <c r="BA193">
        <f t="shared" si="5"/>
        <v>1</v>
      </c>
      <c r="BB193">
        <f t="shared" si="6"/>
        <v>0.05</v>
      </c>
    </row>
    <row r="194" spans="1:54" x14ac:dyDescent="0.25">
      <c r="A194" t="s">
        <v>150</v>
      </c>
      <c r="AN194">
        <v>1</v>
      </c>
      <c r="AZ194">
        <v>1</v>
      </c>
      <c r="BA194">
        <f t="shared" si="5"/>
        <v>1</v>
      </c>
      <c r="BB194">
        <f t="shared" si="6"/>
        <v>0.05</v>
      </c>
    </row>
    <row r="195" spans="1:54" x14ac:dyDescent="0.25">
      <c r="A195" t="s">
        <v>127</v>
      </c>
      <c r="AN195">
        <v>1</v>
      </c>
      <c r="AZ195">
        <v>1</v>
      </c>
      <c r="BA195">
        <f t="shared" si="5"/>
        <v>1</v>
      </c>
      <c r="BB195">
        <f t="shared" si="6"/>
        <v>0.05</v>
      </c>
    </row>
    <row r="196" spans="1:54" x14ac:dyDescent="0.25">
      <c r="A196" t="s">
        <v>1055</v>
      </c>
      <c r="AN196">
        <v>1</v>
      </c>
      <c r="AZ196">
        <v>1</v>
      </c>
      <c r="BA196">
        <f t="shared" si="5"/>
        <v>1</v>
      </c>
      <c r="BB196">
        <f t="shared" si="6"/>
        <v>0.05</v>
      </c>
    </row>
    <row r="197" spans="1:54" x14ac:dyDescent="0.25">
      <c r="A197" t="s">
        <v>11</v>
      </c>
      <c r="AU197">
        <v>1</v>
      </c>
      <c r="AZ197">
        <v>1</v>
      </c>
      <c r="BA197">
        <f t="shared" ref="BA197:BA260" si="7">SUM(B197:AX197)-AV197</f>
        <v>1</v>
      </c>
      <c r="BB197">
        <f t="shared" ref="BB197:BB260" si="8">VLOOKUP(BA197,$BD$4:$BF$20,3,0)</f>
        <v>0.05</v>
      </c>
    </row>
    <row r="198" spans="1:54" x14ac:dyDescent="0.25">
      <c r="A198" t="s">
        <v>1374</v>
      </c>
      <c r="D198">
        <v>1</v>
      </c>
      <c r="H198">
        <v>1</v>
      </c>
      <c r="M198">
        <v>1</v>
      </c>
      <c r="Q198">
        <v>1</v>
      </c>
      <c r="AB198">
        <v>1</v>
      </c>
      <c r="AI198">
        <v>1</v>
      </c>
      <c r="AU198">
        <v>1</v>
      </c>
      <c r="AX198">
        <v>1</v>
      </c>
      <c r="AZ198">
        <v>1</v>
      </c>
      <c r="BA198">
        <f t="shared" si="7"/>
        <v>8</v>
      </c>
      <c r="BB198">
        <f t="shared" si="8"/>
        <v>0.85</v>
      </c>
    </row>
    <row r="199" spans="1:54" x14ac:dyDescent="0.25">
      <c r="A199" t="s">
        <v>1349</v>
      </c>
      <c r="AU199">
        <v>1</v>
      </c>
      <c r="AZ199">
        <v>1</v>
      </c>
      <c r="BA199">
        <f t="shared" si="7"/>
        <v>1</v>
      </c>
      <c r="BB199">
        <f t="shared" si="8"/>
        <v>0.05</v>
      </c>
    </row>
    <row r="200" spans="1:54" x14ac:dyDescent="0.25">
      <c r="A200" t="s">
        <v>1310</v>
      </c>
      <c r="AU200">
        <v>1</v>
      </c>
      <c r="AZ200">
        <v>1</v>
      </c>
      <c r="BA200">
        <f t="shared" si="7"/>
        <v>1</v>
      </c>
      <c r="BB200">
        <f t="shared" si="8"/>
        <v>0.05</v>
      </c>
    </row>
    <row r="201" spans="1:54" x14ac:dyDescent="0.25">
      <c r="A201" t="s">
        <v>1316</v>
      </c>
      <c r="AU201">
        <v>1</v>
      </c>
      <c r="AZ201">
        <v>1</v>
      </c>
      <c r="BA201">
        <f t="shared" si="7"/>
        <v>1</v>
      </c>
      <c r="BB201">
        <f t="shared" si="8"/>
        <v>0.05</v>
      </c>
    </row>
    <row r="202" spans="1:54" x14ac:dyDescent="0.25">
      <c r="A202" t="s">
        <v>19</v>
      </c>
      <c r="AU202">
        <v>1</v>
      </c>
      <c r="AZ202">
        <v>1</v>
      </c>
      <c r="BA202">
        <f t="shared" si="7"/>
        <v>1</v>
      </c>
      <c r="BB202">
        <f t="shared" si="8"/>
        <v>0.05</v>
      </c>
    </row>
    <row r="203" spans="1:54" x14ac:dyDescent="0.25">
      <c r="A203" t="s">
        <v>1263</v>
      </c>
      <c r="D203">
        <v>1</v>
      </c>
      <c r="H203">
        <v>1</v>
      </c>
      <c r="M203">
        <v>1</v>
      </c>
      <c r="Q203">
        <v>1</v>
      </c>
      <c r="AB203">
        <v>1</v>
      </c>
      <c r="AU203">
        <v>1</v>
      </c>
      <c r="AZ203">
        <v>1</v>
      </c>
      <c r="BA203">
        <f t="shared" si="7"/>
        <v>6</v>
      </c>
      <c r="BB203">
        <f t="shared" si="8"/>
        <v>0.6</v>
      </c>
    </row>
    <row r="204" spans="1:54" x14ac:dyDescent="0.25">
      <c r="A204" t="s">
        <v>1203</v>
      </c>
      <c r="D204">
        <v>1</v>
      </c>
      <c r="H204">
        <v>1</v>
      </c>
      <c r="M204">
        <v>1</v>
      </c>
      <c r="Q204">
        <v>1</v>
      </c>
      <c r="AB204">
        <v>1</v>
      </c>
      <c r="AU204">
        <v>1</v>
      </c>
      <c r="AX204">
        <v>1</v>
      </c>
      <c r="AZ204">
        <v>1</v>
      </c>
      <c r="BA204">
        <f t="shared" si="7"/>
        <v>7</v>
      </c>
      <c r="BB204">
        <f t="shared" si="8"/>
        <v>0.6</v>
      </c>
    </row>
    <row r="205" spans="1:54" x14ac:dyDescent="0.25">
      <c r="A205" t="s">
        <v>1196</v>
      </c>
      <c r="H205">
        <v>1</v>
      </c>
      <c r="AU205">
        <v>1</v>
      </c>
      <c r="AZ205">
        <v>1</v>
      </c>
      <c r="BA205">
        <f t="shared" si="7"/>
        <v>2</v>
      </c>
      <c r="BB205">
        <f t="shared" si="8"/>
        <v>0.2</v>
      </c>
    </row>
    <row r="206" spans="1:54" x14ac:dyDescent="0.25">
      <c r="A206" t="s">
        <v>26</v>
      </c>
      <c r="M206">
        <v>1</v>
      </c>
      <c r="Q206">
        <v>1</v>
      </c>
      <c r="AI206">
        <v>1</v>
      </c>
      <c r="AU206">
        <v>1</v>
      </c>
      <c r="AX206">
        <v>1</v>
      </c>
      <c r="AZ206">
        <v>1</v>
      </c>
      <c r="BA206">
        <f t="shared" si="7"/>
        <v>5</v>
      </c>
      <c r="BB206">
        <f t="shared" si="8"/>
        <v>0.6</v>
      </c>
    </row>
    <row r="207" spans="1:54" x14ac:dyDescent="0.25">
      <c r="A207" t="s">
        <v>1181</v>
      </c>
      <c r="D207">
        <v>1</v>
      </c>
      <c r="L207">
        <v>1</v>
      </c>
      <c r="AI207">
        <v>1</v>
      </c>
      <c r="AU207">
        <v>1</v>
      </c>
      <c r="AZ207">
        <v>1</v>
      </c>
      <c r="BA207">
        <f t="shared" si="7"/>
        <v>4</v>
      </c>
      <c r="BB207">
        <f t="shared" si="8"/>
        <v>0.6</v>
      </c>
    </row>
    <row r="208" spans="1:54" x14ac:dyDescent="0.25">
      <c r="A208" t="s">
        <v>1187</v>
      </c>
      <c r="B208">
        <v>1</v>
      </c>
      <c r="D208">
        <v>1</v>
      </c>
      <c r="L208">
        <v>1</v>
      </c>
      <c r="AI208">
        <v>1</v>
      </c>
      <c r="AU208">
        <v>1</v>
      </c>
      <c r="AZ208">
        <v>1</v>
      </c>
      <c r="BA208">
        <f t="shared" si="7"/>
        <v>5</v>
      </c>
      <c r="BB208">
        <f t="shared" si="8"/>
        <v>0.6</v>
      </c>
    </row>
    <row r="209" spans="1:54" x14ac:dyDescent="0.25">
      <c r="A209" t="s">
        <v>1191</v>
      </c>
      <c r="AU209">
        <v>1</v>
      </c>
      <c r="AZ209">
        <v>1</v>
      </c>
      <c r="BA209">
        <f t="shared" si="7"/>
        <v>1</v>
      </c>
      <c r="BB209">
        <f t="shared" si="8"/>
        <v>0.05</v>
      </c>
    </row>
    <row r="210" spans="1:54" x14ac:dyDescent="0.25">
      <c r="A210" t="s">
        <v>1145</v>
      </c>
      <c r="D210">
        <v>1</v>
      </c>
      <c r="H210">
        <v>1</v>
      </c>
      <c r="M210">
        <v>1</v>
      </c>
      <c r="Q210">
        <v>1</v>
      </c>
      <c r="AB210">
        <v>1</v>
      </c>
      <c r="AI210">
        <v>1</v>
      </c>
      <c r="AU210">
        <v>1</v>
      </c>
      <c r="AZ210">
        <v>1</v>
      </c>
      <c r="BA210">
        <f t="shared" si="7"/>
        <v>7</v>
      </c>
      <c r="BB210">
        <f t="shared" si="8"/>
        <v>0.6</v>
      </c>
    </row>
    <row r="211" spans="1:54" x14ac:dyDescent="0.25">
      <c r="A211" t="s">
        <v>1152</v>
      </c>
      <c r="D211">
        <v>1</v>
      </c>
      <c r="H211">
        <v>1</v>
      </c>
      <c r="Q211">
        <v>1</v>
      </c>
      <c r="AB211">
        <v>1</v>
      </c>
      <c r="AI211">
        <v>1</v>
      </c>
      <c r="AU211">
        <v>1</v>
      </c>
      <c r="AZ211">
        <v>1</v>
      </c>
      <c r="BA211">
        <f t="shared" si="7"/>
        <v>6</v>
      </c>
      <c r="BB211">
        <f t="shared" si="8"/>
        <v>0.6</v>
      </c>
    </row>
    <row r="212" spans="1:54" x14ac:dyDescent="0.25">
      <c r="A212" t="s">
        <v>1159</v>
      </c>
      <c r="D212">
        <v>1</v>
      </c>
      <c r="H212">
        <v>1</v>
      </c>
      <c r="M212">
        <v>1</v>
      </c>
      <c r="Q212">
        <v>1</v>
      </c>
      <c r="AB212">
        <v>1</v>
      </c>
      <c r="AU212">
        <v>1</v>
      </c>
      <c r="AZ212">
        <v>1</v>
      </c>
      <c r="BA212">
        <f t="shared" si="7"/>
        <v>6</v>
      </c>
      <c r="BB212">
        <f t="shared" si="8"/>
        <v>0.6</v>
      </c>
    </row>
    <row r="213" spans="1:54" x14ac:dyDescent="0.25">
      <c r="A213" t="s">
        <v>1086</v>
      </c>
      <c r="AU213">
        <v>1</v>
      </c>
      <c r="AZ213">
        <v>1</v>
      </c>
      <c r="BA213">
        <f t="shared" si="7"/>
        <v>1</v>
      </c>
      <c r="BB213">
        <f t="shared" si="8"/>
        <v>0.05</v>
      </c>
    </row>
    <row r="214" spans="1:54" x14ac:dyDescent="0.25">
      <c r="A214" t="s">
        <v>1081</v>
      </c>
      <c r="AU214">
        <v>1</v>
      </c>
      <c r="AZ214">
        <v>1</v>
      </c>
      <c r="BA214">
        <f t="shared" si="7"/>
        <v>1</v>
      </c>
      <c r="BB214">
        <f t="shared" si="8"/>
        <v>0.05</v>
      </c>
    </row>
    <row r="215" spans="1:54" x14ac:dyDescent="0.25">
      <c r="A215" t="s">
        <v>1047</v>
      </c>
      <c r="AU215">
        <v>1</v>
      </c>
      <c r="AZ215">
        <v>1</v>
      </c>
      <c r="BA215">
        <f t="shared" si="7"/>
        <v>1</v>
      </c>
      <c r="BB215">
        <f t="shared" si="8"/>
        <v>0.05</v>
      </c>
    </row>
    <row r="216" spans="1:54" x14ac:dyDescent="0.25">
      <c r="A216" t="s">
        <v>1041</v>
      </c>
      <c r="AU216">
        <v>1</v>
      </c>
      <c r="AZ216">
        <v>1</v>
      </c>
      <c r="BA216">
        <f t="shared" si="7"/>
        <v>1</v>
      </c>
      <c r="BB216">
        <f t="shared" si="8"/>
        <v>0.05</v>
      </c>
    </row>
    <row r="217" spans="1:54" x14ac:dyDescent="0.25">
      <c r="A217" t="s">
        <v>1030</v>
      </c>
      <c r="AU217">
        <v>1</v>
      </c>
      <c r="AZ217">
        <v>1</v>
      </c>
      <c r="BA217">
        <f t="shared" si="7"/>
        <v>1</v>
      </c>
      <c r="BB217">
        <f t="shared" si="8"/>
        <v>0.05</v>
      </c>
    </row>
    <row r="218" spans="1:54" x14ac:dyDescent="0.25">
      <c r="A218" t="s">
        <v>1024</v>
      </c>
      <c r="AU218">
        <v>1</v>
      </c>
      <c r="AZ218">
        <v>1</v>
      </c>
      <c r="BA218">
        <f t="shared" si="7"/>
        <v>1</v>
      </c>
      <c r="BB218">
        <f t="shared" si="8"/>
        <v>0.05</v>
      </c>
    </row>
    <row r="219" spans="1:54" x14ac:dyDescent="0.25">
      <c r="A219" t="s">
        <v>1014</v>
      </c>
      <c r="AU219">
        <v>1</v>
      </c>
      <c r="AZ219">
        <v>1</v>
      </c>
      <c r="BA219">
        <f t="shared" si="7"/>
        <v>1</v>
      </c>
      <c r="BB219">
        <f t="shared" si="8"/>
        <v>0.05</v>
      </c>
    </row>
    <row r="220" spans="1:54" x14ac:dyDescent="0.25">
      <c r="A220" t="s">
        <v>751</v>
      </c>
      <c r="AU220">
        <v>1</v>
      </c>
      <c r="AZ220">
        <v>1</v>
      </c>
      <c r="BA220">
        <f t="shared" si="7"/>
        <v>1</v>
      </c>
      <c r="BB220">
        <f t="shared" si="8"/>
        <v>0.05</v>
      </c>
    </row>
    <row r="221" spans="1:54" x14ac:dyDescent="0.25">
      <c r="A221" t="s">
        <v>745</v>
      </c>
      <c r="AU221">
        <v>1</v>
      </c>
      <c r="AZ221">
        <v>1</v>
      </c>
      <c r="BA221">
        <f t="shared" si="7"/>
        <v>1</v>
      </c>
      <c r="BB221">
        <f t="shared" si="8"/>
        <v>0.05</v>
      </c>
    </row>
    <row r="222" spans="1:54" x14ac:dyDescent="0.25">
      <c r="A222" t="s">
        <v>944</v>
      </c>
      <c r="D222">
        <v>1</v>
      </c>
      <c r="H222">
        <v>1</v>
      </c>
      <c r="J222">
        <v>1</v>
      </c>
      <c r="Q222">
        <v>1</v>
      </c>
      <c r="Z222">
        <v>1</v>
      </c>
      <c r="AB222">
        <v>1</v>
      </c>
      <c r="AC222">
        <v>1</v>
      </c>
      <c r="AU222">
        <v>1</v>
      </c>
      <c r="AV222">
        <v>1</v>
      </c>
      <c r="AZ222">
        <v>1</v>
      </c>
      <c r="BA222">
        <f t="shared" si="7"/>
        <v>8</v>
      </c>
      <c r="BB222">
        <f t="shared" si="8"/>
        <v>0.85</v>
      </c>
    </row>
    <row r="223" spans="1:54" x14ac:dyDescent="0.25">
      <c r="A223" t="s">
        <v>930</v>
      </c>
      <c r="G223">
        <v>1</v>
      </c>
      <c r="J223">
        <v>1</v>
      </c>
      <c r="Q223">
        <v>1</v>
      </c>
      <c r="Z223">
        <v>1</v>
      </c>
      <c r="AB223">
        <v>1</v>
      </c>
      <c r="AC223">
        <v>1</v>
      </c>
      <c r="AT223">
        <v>1</v>
      </c>
      <c r="AU223">
        <v>1</v>
      </c>
      <c r="AV223">
        <v>1</v>
      </c>
      <c r="AZ223">
        <v>1</v>
      </c>
      <c r="BA223">
        <f t="shared" si="7"/>
        <v>8</v>
      </c>
      <c r="BB223">
        <f t="shared" si="8"/>
        <v>0.85</v>
      </c>
    </row>
    <row r="224" spans="1:54" x14ac:dyDescent="0.25">
      <c r="A224" t="s">
        <v>938</v>
      </c>
      <c r="AU224">
        <v>1</v>
      </c>
      <c r="AZ224">
        <v>1</v>
      </c>
      <c r="BA224">
        <f t="shared" si="7"/>
        <v>1</v>
      </c>
      <c r="BB224">
        <f t="shared" si="8"/>
        <v>0.05</v>
      </c>
    </row>
    <row r="225" spans="1:54" x14ac:dyDescent="0.25">
      <c r="A225" t="s">
        <v>902</v>
      </c>
      <c r="J225">
        <v>1</v>
      </c>
      <c r="AU225">
        <v>1</v>
      </c>
      <c r="AV225">
        <v>1</v>
      </c>
      <c r="AX225">
        <v>1</v>
      </c>
      <c r="AZ225">
        <v>1</v>
      </c>
      <c r="BA225">
        <f t="shared" si="7"/>
        <v>3</v>
      </c>
      <c r="BB225">
        <f t="shared" si="8"/>
        <v>0.2</v>
      </c>
    </row>
    <row r="226" spans="1:54" x14ac:dyDescent="0.25">
      <c r="A226" t="s">
        <v>861</v>
      </c>
      <c r="AU226">
        <v>1</v>
      </c>
      <c r="AZ226">
        <v>1</v>
      </c>
      <c r="BA226">
        <f t="shared" si="7"/>
        <v>1</v>
      </c>
      <c r="BB226">
        <f t="shared" si="8"/>
        <v>0.05</v>
      </c>
    </row>
    <row r="227" spans="1:54" x14ac:dyDescent="0.25">
      <c r="A227" t="s">
        <v>729</v>
      </c>
      <c r="J227">
        <v>1</v>
      </c>
      <c r="Q227">
        <v>1</v>
      </c>
      <c r="Z227">
        <v>1</v>
      </c>
      <c r="AC227">
        <v>1</v>
      </c>
      <c r="AU227">
        <v>1</v>
      </c>
      <c r="AV227">
        <v>1</v>
      </c>
      <c r="AZ227">
        <v>1</v>
      </c>
      <c r="BA227">
        <f t="shared" si="7"/>
        <v>5</v>
      </c>
      <c r="BB227">
        <f t="shared" si="8"/>
        <v>0.6</v>
      </c>
    </row>
    <row r="228" spans="1:54" x14ac:dyDescent="0.25">
      <c r="A228" t="s">
        <v>767</v>
      </c>
      <c r="D228">
        <v>1</v>
      </c>
      <c r="F228">
        <v>1</v>
      </c>
      <c r="J228">
        <v>1</v>
      </c>
      <c r="AN228">
        <v>1</v>
      </c>
      <c r="AU228">
        <v>1</v>
      </c>
      <c r="AX228">
        <v>1</v>
      </c>
      <c r="AZ228">
        <v>1</v>
      </c>
      <c r="BA228">
        <f t="shared" si="7"/>
        <v>6</v>
      </c>
      <c r="BB228">
        <f t="shared" si="8"/>
        <v>0.6</v>
      </c>
    </row>
    <row r="229" spans="1:54" x14ac:dyDescent="0.25">
      <c r="A229" t="s">
        <v>687</v>
      </c>
      <c r="F229">
        <v>1</v>
      </c>
      <c r="H229">
        <v>1</v>
      </c>
      <c r="J229">
        <v>1</v>
      </c>
      <c r="Q229">
        <v>1</v>
      </c>
      <c r="V229">
        <v>1</v>
      </c>
      <c r="Z229">
        <v>1</v>
      </c>
      <c r="AE229">
        <v>1</v>
      </c>
      <c r="AR229">
        <v>1</v>
      </c>
      <c r="AU229">
        <v>1</v>
      </c>
      <c r="AV229">
        <v>1</v>
      </c>
      <c r="AZ229">
        <v>1</v>
      </c>
      <c r="BA229">
        <f t="shared" si="7"/>
        <v>9</v>
      </c>
      <c r="BB229">
        <f t="shared" si="8"/>
        <v>0.85</v>
      </c>
    </row>
    <row r="230" spans="1:54" x14ac:dyDescent="0.25">
      <c r="A230" t="s">
        <v>530</v>
      </c>
      <c r="J230">
        <v>1</v>
      </c>
      <c r="AC230">
        <v>1</v>
      </c>
      <c r="AT230">
        <v>1</v>
      </c>
      <c r="AU230">
        <v>1</v>
      </c>
      <c r="AV230">
        <v>1</v>
      </c>
      <c r="AZ230">
        <v>1</v>
      </c>
      <c r="BA230">
        <f t="shared" si="7"/>
        <v>4</v>
      </c>
      <c r="BB230">
        <f t="shared" si="8"/>
        <v>0.6</v>
      </c>
    </row>
    <row r="231" spans="1:54" x14ac:dyDescent="0.25">
      <c r="A231" t="s">
        <v>452</v>
      </c>
      <c r="AU231">
        <v>1</v>
      </c>
      <c r="AZ231">
        <v>1</v>
      </c>
      <c r="BA231">
        <f t="shared" si="7"/>
        <v>1</v>
      </c>
      <c r="BB231">
        <f t="shared" si="8"/>
        <v>0.05</v>
      </c>
    </row>
    <row r="232" spans="1:54" x14ac:dyDescent="0.25">
      <c r="A232" t="s">
        <v>317</v>
      </c>
      <c r="AU232">
        <v>1</v>
      </c>
      <c r="AV232">
        <v>1</v>
      </c>
      <c r="AZ232">
        <v>1</v>
      </c>
      <c r="BA232">
        <f t="shared" si="7"/>
        <v>1</v>
      </c>
      <c r="BB232">
        <f t="shared" si="8"/>
        <v>0.05</v>
      </c>
    </row>
    <row r="233" spans="1:54" x14ac:dyDescent="0.25">
      <c r="A233" t="s">
        <v>307</v>
      </c>
      <c r="J233">
        <v>1</v>
      </c>
      <c r="AU233">
        <v>1</v>
      </c>
      <c r="AV233">
        <v>1</v>
      </c>
      <c r="AZ233">
        <v>1</v>
      </c>
      <c r="BA233">
        <f t="shared" si="7"/>
        <v>2</v>
      </c>
      <c r="BB233">
        <f t="shared" si="8"/>
        <v>0.2</v>
      </c>
    </row>
    <row r="234" spans="1:54" x14ac:dyDescent="0.25">
      <c r="A234" t="s">
        <v>302</v>
      </c>
      <c r="J234">
        <v>1</v>
      </c>
      <c r="AU234">
        <v>1</v>
      </c>
      <c r="AV234">
        <v>1</v>
      </c>
      <c r="AZ234">
        <v>1</v>
      </c>
      <c r="BA234">
        <f t="shared" si="7"/>
        <v>2</v>
      </c>
      <c r="BB234">
        <f t="shared" si="8"/>
        <v>0.2</v>
      </c>
    </row>
    <row r="235" spans="1:54" x14ac:dyDescent="0.25">
      <c r="A235" t="s">
        <v>296</v>
      </c>
      <c r="J235">
        <v>1</v>
      </c>
      <c r="AU235">
        <v>1</v>
      </c>
      <c r="AV235">
        <v>1</v>
      </c>
      <c r="AZ235">
        <v>1</v>
      </c>
      <c r="BA235">
        <f t="shared" si="7"/>
        <v>2</v>
      </c>
      <c r="BB235">
        <f t="shared" si="8"/>
        <v>0.2</v>
      </c>
    </row>
    <row r="236" spans="1:54" x14ac:dyDescent="0.25">
      <c r="A236" t="s">
        <v>254</v>
      </c>
      <c r="J236">
        <v>1</v>
      </c>
      <c r="AU236">
        <v>1</v>
      </c>
      <c r="AV236">
        <v>1</v>
      </c>
      <c r="AZ236">
        <v>1</v>
      </c>
      <c r="BA236">
        <f t="shared" si="7"/>
        <v>2</v>
      </c>
      <c r="BB236">
        <f t="shared" si="8"/>
        <v>0.2</v>
      </c>
    </row>
    <row r="237" spans="1:54" x14ac:dyDescent="0.25">
      <c r="A237" t="s">
        <v>131</v>
      </c>
      <c r="AU237">
        <v>1</v>
      </c>
      <c r="AZ237">
        <v>1</v>
      </c>
      <c r="BA237">
        <f t="shared" si="7"/>
        <v>1</v>
      </c>
      <c r="BB237">
        <f t="shared" si="8"/>
        <v>0.05</v>
      </c>
    </row>
    <row r="238" spans="1:54" x14ac:dyDescent="0.25">
      <c r="A238" t="s">
        <v>115</v>
      </c>
      <c r="D238">
        <v>1</v>
      </c>
      <c r="AV238">
        <v>1</v>
      </c>
      <c r="AZ238">
        <v>1</v>
      </c>
      <c r="BA238">
        <f t="shared" si="7"/>
        <v>1</v>
      </c>
      <c r="BB238">
        <f t="shared" si="8"/>
        <v>0.05</v>
      </c>
    </row>
    <row r="239" spans="1:54" x14ac:dyDescent="0.25">
      <c r="A239" t="s">
        <v>996</v>
      </c>
      <c r="D239">
        <v>1</v>
      </c>
      <c r="Q239">
        <v>1</v>
      </c>
      <c r="AU239">
        <v>1</v>
      </c>
      <c r="AV239">
        <v>1</v>
      </c>
      <c r="AZ239">
        <v>1</v>
      </c>
      <c r="BA239">
        <f t="shared" si="7"/>
        <v>3</v>
      </c>
      <c r="BB239">
        <f t="shared" si="8"/>
        <v>0.2</v>
      </c>
    </row>
    <row r="240" spans="1:54" x14ac:dyDescent="0.25">
      <c r="A240" t="s">
        <v>985</v>
      </c>
      <c r="D240">
        <v>1</v>
      </c>
      <c r="AV240">
        <v>1</v>
      </c>
      <c r="AZ240">
        <v>1</v>
      </c>
      <c r="BA240">
        <f t="shared" si="7"/>
        <v>1</v>
      </c>
      <c r="BB240">
        <f t="shared" si="8"/>
        <v>0.05</v>
      </c>
    </row>
    <row r="241" spans="1:54" x14ac:dyDescent="0.25">
      <c r="A241" t="s">
        <v>917</v>
      </c>
      <c r="AU241">
        <v>1</v>
      </c>
      <c r="AV241">
        <v>1</v>
      </c>
      <c r="AZ241">
        <v>1</v>
      </c>
      <c r="BA241">
        <f t="shared" si="7"/>
        <v>1</v>
      </c>
      <c r="BB241">
        <f t="shared" si="8"/>
        <v>0.05</v>
      </c>
    </row>
    <row r="242" spans="1:54" x14ac:dyDescent="0.25">
      <c r="A242" t="s">
        <v>809</v>
      </c>
      <c r="D242">
        <v>1</v>
      </c>
      <c r="J242">
        <v>1</v>
      </c>
      <c r="Q242">
        <v>1</v>
      </c>
      <c r="Z242">
        <v>1</v>
      </c>
      <c r="AB242">
        <v>1</v>
      </c>
      <c r="AC242">
        <v>1</v>
      </c>
      <c r="AE242">
        <v>1</v>
      </c>
      <c r="AT242">
        <v>1</v>
      </c>
      <c r="AU242">
        <v>1</v>
      </c>
      <c r="AV242">
        <v>1</v>
      </c>
      <c r="AZ242">
        <v>1</v>
      </c>
      <c r="BA242">
        <f t="shared" si="7"/>
        <v>9</v>
      </c>
      <c r="BB242">
        <f t="shared" si="8"/>
        <v>0.85</v>
      </c>
    </row>
    <row r="243" spans="1:54" x14ac:dyDescent="0.25">
      <c r="A243" t="s">
        <v>775</v>
      </c>
      <c r="D243">
        <v>1</v>
      </c>
      <c r="J243">
        <v>1</v>
      </c>
      <c r="Q243">
        <v>1</v>
      </c>
      <c r="Z243">
        <v>1</v>
      </c>
      <c r="AB243">
        <v>1</v>
      </c>
      <c r="AC243">
        <v>1</v>
      </c>
      <c r="AE243">
        <v>1</v>
      </c>
      <c r="AT243">
        <v>1</v>
      </c>
      <c r="AU243">
        <v>1</v>
      </c>
      <c r="AV243">
        <v>1</v>
      </c>
      <c r="AZ243">
        <v>1</v>
      </c>
      <c r="BA243">
        <f t="shared" si="7"/>
        <v>9</v>
      </c>
      <c r="BB243">
        <f t="shared" si="8"/>
        <v>0.85</v>
      </c>
    </row>
    <row r="244" spans="1:54" x14ac:dyDescent="0.25">
      <c r="A244" t="s">
        <v>665</v>
      </c>
      <c r="F244">
        <v>1</v>
      </c>
      <c r="J244">
        <v>1</v>
      </c>
      <c r="Q244">
        <v>1</v>
      </c>
      <c r="AB244">
        <v>1</v>
      </c>
      <c r="AC244">
        <v>1</v>
      </c>
      <c r="AU244">
        <v>1</v>
      </c>
      <c r="AV244">
        <v>1</v>
      </c>
      <c r="AZ244">
        <v>1</v>
      </c>
      <c r="BA244">
        <f t="shared" si="7"/>
        <v>6</v>
      </c>
      <c r="BB244">
        <f t="shared" si="8"/>
        <v>0.6</v>
      </c>
    </row>
    <row r="245" spans="1:54" x14ac:dyDescent="0.25">
      <c r="A245" t="s">
        <v>561</v>
      </c>
      <c r="AV245">
        <v>1</v>
      </c>
      <c r="AZ245">
        <v>1</v>
      </c>
      <c r="BA245">
        <f t="shared" si="7"/>
        <v>0</v>
      </c>
      <c r="BB245">
        <f t="shared" si="8"/>
        <v>0.05</v>
      </c>
    </row>
    <row r="246" spans="1:54" x14ac:dyDescent="0.25">
      <c r="A246" t="s">
        <v>415</v>
      </c>
      <c r="J246">
        <v>1</v>
      </c>
      <c r="AP246">
        <v>1</v>
      </c>
      <c r="AU246">
        <v>1</v>
      </c>
      <c r="AV246">
        <v>1</v>
      </c>
      <c r="AZ246">
        <v>1</v>
      </c>
      <c r="BA246">
        <f t="shared" si="7"/>
        <v>3</v>
      </c>
      <c r="BB246">
        <f t="shared" si="8"/>
        <v>0.2</v>
      </c>
    </row>
    <row r="247" spans="1:54" x14ac:dyDescent="0.25">
      <c r="A247" t="s">
        <v>291</v>
      </c>
      <c r="D247">
        <v>1</v>
      </c>
      <c r="F247">
        <v>1</v>
      </c>
      <c r="AV247">
        <v>1</v>
      </c>
      <c r="AZ247">
        <v>1</v>
      </c>
      <c r="BA247">
        <f t="shared" si="7"/>
        <v>2</v>
      </c>
      <c r="BB247">
        <f t="shared" si="8"/>
        <v>0.2</v>
      </c>
    </row>
    <row r="248" spans="1:54" x14ac:dyDescent="0.25">
      <c r="A248" t="s">
        <v>260</v>
      </c>
      <c r="AB248">
        <v>1</v>
      </c>
      <c r="AT248">
        <v>1</v>
      </c>
      <c r="AV248">
        <v>1</v>
      </c>
      <c r="AZ248">
        <v>1</v>
      </c>
      <c r="BA248">
        <f t="shared" si="7"/>
        <v>2</v>
      </c>
      <c r="BB248">
        <f t="shared" si="8"/>
        <v>0.2</v>
      </c>
    </row>
    <row r="249" spans="1:54" x14ac:dyDescent="0.25">
      <c r="A249" t="s">
        <v>245</v>
      </c>
      <c r="J249">
        <v>1</v>
      </c>
      <c r="AV249">
        <v>1</v>
      </c>
      <c r="AZ249">
        <v>1</v>
      </c>
      <c r="BA249">
        <f t="shared" si="7"/>
        <v>1</v>
      </c>
      <c r="BB249">
        <f t="shared" si="8"/>
        <v>0.05</v>
      </c>
    </row>
    <row r="250" spans="1:54" x14ac:dyDescent="0.25">
      <c r="A250" t="s">
        <v>240</v>
      </c>
      <c r="J250">
        <v>1</v>
      </c>
      <c r="AV250">
        <v>1</v>
      </c>
      <c r="AZ250">
        <v>1</v>
      </c>
      <c r="BA250">
        <f t="shared" si="7"/>
        <v>1</v>
      </c>
      <c r="BB250">
        <f t="shared" si="8"/>
        <v>0.05</v>
      </c>
    </row>
    <row r="251" spans="1:54" x14ac:dyDescent="0.25">
      <c r="A251" t="s">
        <v>233</v>
      </c>
      <c r="J251">
        <v>1</v>
      </c>
      <c r="AV251">
        <v>1</v>
      </c>
      <c r="AZ251">
        <v>1</v>
      </c>
      <c r="BA251">
        <f t="shared" si="7"/>
        <v>1</v>
      </c>
      <c r="BB251">
        <f t="shared" si="8"/>
        <v>0.05</v>
      </c>
    </row>
    <row r="252" spans="1:54" x14ac:dyDescent="0.25">
      <c r="A252" t="s">
        <v>160</v>
      </c>
      <c r="AU252">
        <v>1</v>
      </c>
      <c r="AV252">
        <v>1</v>
      </c>
      <c r="AZ252">
        <v>1</v>
      </c>
      <c r="BA252">
        <f t="shared" si="7"/>
        <v>1</v>
      </c>
      <c r="BB252">
        <f t="shared" si="8"/>
        <v>0.05</v>
      </c>
    </row>
    <row r="253" spans="1:54" x14ac:dyDescent="0.25">
      <c r="A253" t="s">
        <v>168</v>
      </c>
      <c r="AU253">
        <v>1</v>
      </c>
      <c r="AV253">
        <v>1</v>
      </c>
      <c r="AZ253">
        <v>1</v>
      </c>
      <c r="BA253">
        <f t="shared" si="7"/>
        <v>1</v>
      </c>
      <c r="BB253">
        <f t="shared" si="8"/>
        <v>0.05</v>
      </c>
    </row>
    <row r="254" spans="1:54" x14ac:dyDescent="0.25">
      <c r="A254" t="s">
        <v>63</v>
      </c>
      <c r="D254">
        <v>1</v>
      </c>
      <c r="Q254">
        <v>1</v>
      </c>
      <c r="AB254">
        <v>1</v>
      </c>
      <c r="AU254">
        <v>1</v>
      </c>
      <c r="AV254">
        <v>1</v>
      </c>
      <c r="AX254">
        <v>1</v>
      </c>
      <c r="AZ254">
        <v>1</v>
      </c>
      <c r="BA254">
        <f t="shared" si="7"/>
        <v>5</v>
      </c>
      <c r="BB254">
        <f t="shared" si="8"/>
        <v>0.6</v>
      </c>
    </row>
    <row r="255" spans="1:54" x14ac:dyDescent="0.25">
      <c r="A255" t="s">
        <v>1068</v>
      </c>
      <c r="D255">
        <v>1</v>
      </c>
      <c r="Q255">
        <v>1</v>
      </c>
      <c r="AB255">
        <v>1</v>
      </c>
      <c r="AC255">
        <v>1</v>
      </c>
      <c r="AU255">
        <v>1</v>
      </c>
      <c r="AV255">
        <v>1</v>
      </c>
      <c r="AZ255">
        <v>1</v>
      </c>
      <c r="BA255">
        <f t="shared" si="7"/>
        <v>5</v>
      </c>
      <c r="BB255">
        <f t="shared" si="8"/>
        <v>0.6</v>
      </c>
    </row>
    <row r="256" spans="1:54" x14ac:dyDescent="0.25">
      <c r="A256" t="s">
        <v>1060</v>
      </c>
      <c r="D256">
        <v>1</v>
      </c>
      <c r="F256">
        <v>1</v>
      </c>
      <c r="G256">
        <v>1</v>
      </c>
      <c r="J256">
        <v>1</v>
      </c>
      <c r="Q256">
        <v>1</v>
      </c>
      <c r="Z256">
        <v>1</v>
      </c>
      <c r="AB256">
        <v>1</v>
      </c>
      <c r="AC256">
        <v>1</v>
      </c>
      <c r="AN256">
        <v>1</v>
      </c>
      <c r="AU256">
        <v>1</v>
      </c>
      <c r="AV256">
        <v>1</v>
      </c>
      <c r="AZ256">
        <v>1</v>
      </c>
      <c r="BA256">
        <f t="shared" si="7"/>
        <v>10</v>
      </c>
      <c r="BB256">
        <f t="shared" si="8"/>
        <v>0.85</v>
      </c>
    </row>
    <row r="257" spans="1:54" x14ac:dyDescent="0.25">
      <c r="A257" t="s">
        <v>122</v>
      </c>
      <c r="AX257">
        <v>1</v>
      </c>
      <c r="AZ257">
        <v>1</v>
      </c>
      <c r="BA257">
        <f t="shared" si="7"/>
        <v>1</v>
      </c>
      <c r="BB257">
        <f t="shared" si="8"/>
        <v>0.05</v>
      </c>
    </row>
    <row r="258" spans="1:54" x14ac:dyDescent="0.25">
      <c r="A258" t="s">
        <v>143</v>
      </c>
      <c r="C258">
        <v>1</v>
      </c>
      <c r="D258">
        <v>1</v>
      </c>
      <c r="F258">
        <v>1</v>
      </c>
      <c r="G258">
        <v>1</v>
      </c>
      <c r="H258">
        <v>1</v>
      </c>
      <c r="M258">
        <v>1</v>
      </c>
      <c r="Q258">
        <v>1</v>
      </c>
      <c r="R258">
        <v>1</v>
      </c>
      <c r="U258">
        <v>1</v>
      </c>
      <c r="Z258">
        <v>1</v>
      </c>
      <c r="AB258">
        <v>1</v>
      </c>
      <c r="AU258">
        <v>1</v>
      </c>
      <c r="AX258">
        <v>1</v>
      </c>
      <c r="AZ258">
        <v>1</v>
      </c>
      <c r="BA258">
        <f t="shared" si="7"/>
        <v>13</v>
      </c>
      <c r="BB258">
        <f t="shared" si="8"/>
        <v>0.85</v>
      </c>
    </row>
    <row r="259" spans="1:54" x14ac:dyDescent="0.25">
      <c r="A259" t="s">
        <v>2522</v>
      </c>
      <c r="BA259">
        <f t="shared" si="7"/>
        <v>0</v>
      </c>
      <c r="BB259">
        <f t="shared" si="8"/>
        <v>0.05</v>
      </c>
    </row>
    <row r="260" spans="1:54" x14ac:dyDescent="0.25">
      <c r="A260" t="s">
        <v>2523</v>
      </c>
      <c r="B260">
        <v>1</v>
      </c>
      <c r="C260">
        <v>1</v>
      </c>
      <c r="D260">
        <v>1</v>
      </c>
      <c r="E260">
        <v>1</v>
      </c>
      <c r="F260">
        <v>1</v>
      </c>
      <c r="G260">
        <v>1</v>
      </c>
      <c r="H260">
        <v>1</v>
      </c>
      <c r="I260">
        <v>1</v>
      </c>
      <c r="J260">
        <v>1</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Z260">
        <v>1</v>
      </c>
      <c r="BA260">
        <f t="shared" si="7"/>
        <v>48</v>
      </c>
      <c r="BB260" t="e">
        <f t="shared" si="8"/>
        <v>#N/A</v>
      </c>
    </row>
  </sheetData>
  <autoFilter ref="A3:BB260"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56"/>
  <sheetViews>
    <sheetView workbookViewId="0"/>
  </sheetViews>
  <sheetFormatPr defaultRowHeight="15" x14ac:dyDescent="0.25"/>
  <cols>
    <col min="1" max="1" width="21.7109375" bestFit="1" customWidth="1"/>
  </cols>
  <sheetData>
    <row r="1" spans="1:6" x14ac:dyDescent="0.25">
      <c r="A1" t="s">
        <v>2</v>
      </c>
      <c r="B1" t="s">
        <v>7</v>
      </c>
      <c r="D1" t="s">
        <v>7</v>
      </c>
      <c r="F1" t="s">
        <v>2910</v>
      </c>
    </row>
    <row r="2" spans="1:6" x14ac:dyDescent="0.25">
      <c r="A2" t="s">
        <v>11</v>
      </c>
      <c r="B2" t="s">
        <v>16</v>
      </c>
      <c r="C2">
        <f>VLOOKUP(B2,$D$1:$F$36,3,0)</f>
        <v>0.85</v>
      </c>
      <c r="D2" t="s">
        <v>97</v>
      </c>
      <c r="E2">
        <f>COUNTIF($B$1:$B$256,D2)</f>
        <v>115</v>
      </c>
      <c r="F2">
        <v>0.05</v>
      </c>
    </row>
    <row r="3" spans="1:6" x14ac:dyDescent="0.25">
      <c r="A3" t="s">
        <v>19</v>
      </c>
      <c r="B3" t="s">
        <v>22</v>
      </c>
      <c r="C3">
        <f t="shared" ref="C3:C66" si="0">VLOOKUP(B3,$D$1:$F$36,3,0)</f>
        <v>0.85</v>
      </c>
      <c r="D3" t="s">
        <v>265</v>
      </c>
      <c r="E3">
        <f t="shared" ref="E3:E36" si="1">COUNTIF($B$1:$B$256,D3)</f>
        <v>34</v>
      </c>
      <c r="F3">
        <v>0.2</v>
      </c>
    </row>
    <row r="4" spans="1:6" x14ac:dyDescent="0.25">
      <c r="A4" t="s">
        <v>26</v>
      </c>
      <c r="B4" t="s">
        <v>30</v>
      </c>
      <c r="C4">
        <f t="shared" si="0"/>
        <v>0.6</v>
      </c>
      <c r="D4" t="s">
        <v>120</v>
      </c>
      <c r="E4">
        <f t="shared" si="1"/>
        <v>18</v>
      </c>
      <c r="F4">
        <v>0.2</v>
      </c>
    </row>
    <row r="5" spans="1:6" x14ac:dyDescent="0.25">
      <c r="A5" t="s">
        <v>34</v>
      </c>
      <c r="B5" t="s">
        <v>39</v>
      </c>
      <c r="C5">
        <f t="shared" si="0"/>
        <v>0.2</v>
      </c>
      <c r="D5" t="s">
        <v>39</v>
      </c>
      <c r="E5">
        <f t="shared" si="1"/>
        <v>11</v>
      </c>
      <c r="F5">
        <v>0.2</v>
      </c>
    </row>
    <row r="6" spans="1:6" x14ac:dyDescent="0.25">
      <c r="A6" t="s">
        <v>43</v>
      </c>
      <c r="B6" t="s">
        <v>48</v>
      </c>
      <c r="C6">
        <f t="shared" si="0"/>
        <v>0.6</v>
      </c>
      <c r="D6" t="s">
        <v>661</v>
      </c>
      <c r="E6">
        <f t="shared" si="1"/>
        <v>8</v>
      </c>
      <c r="F6">
        <v>0.6</v>
      </c>
    </row>
    <row r="7" spans="1:6" x14ac:dyDescent="0.25">
      <c r="A7" t="s">
        <v>50</v>
      </c>
      <c r="B7" t="s">
        <v>56</v>
      </c>
      <c r="C7">
        <f t="shared" si="0"/>
        <v>0.6</v>
      </c>
      <c r="D7" t="s">
        <v>56</v>
      </c>
      <c r="E7">
        <f t="shared" si="1"/>
        <v>9</v>
      </c>
      <c r="F7">
        <v>0.6</v>
      </c>
    </row>
    <row r="8" spans="1:6" x14ac:dyDescent="0.25">
      <c r="A8" t="s">
        <v>60</v>
      </c>
      <c r="B8" t="s">
        <v>39</v>
      </c>
      <c r="C8">
        <f t="shared" si="0"/>
        <v>0.2</v>
      </c>
      <c r="D8" t="s">
        <v>92</v>
      </c>
      <c r="E8">
        <f t="shared" si="1"/>
        <v>7</v>
      </c>
      <c r="F8">
        <v>0.6</v>
      </c>
    </row>
    <row r="9" spans="1:6" x14ac:dyDescent="0.25">
      <c r="A9" t="s">
        <v>63</v>
      </c>
      <c r="B9" t="s">
        <v>67</v>
      </c>
      <c r="C9">
        <f t="shared" si="0"/>
        <v>0.85</v>
      </c>
      <c r="D9" t="s">
        <v>907</v>
      </c>
      <c r="E9">
        <f t="shared" si="1"/>
        <v>3</v>
      </c>
      <c r="F9">
        <v>0.6</v>
      </c>
    </row>
    <row r="10" spans="1:6" x14ac:dyDescent="0.25">
      <c r="A10" t="s">
        <v>71</v>
      </c>
      <c r="B10" t="s">
        <v>76</v>
      </c>
      <c r="C10">
        <f t="shared" si="0"/>
        <v>0.6</v>
      </c>
      <c r="D10" t="s">
        <v>697</v>
      </c>
      <c r="E10">
        <f t="shared" si="1"/>
        <v>4</v>
      </c>
      <c r="F10">
        <v>0.6</v>
      </c>
    </row>
    <row r="11" spans="1:6" x14ac:dyDescent="0.25">
      <c r="A11" t="s">
        <v>80</v>
      </c>
      <c r="B11" t="s">
        <v>76</v>
      </c>
      <c r="C11">
        <f t="shared" si="0"/>
        <v>0.6</v>
      </c>
      <c r="D11" t="s">
        <v>76</v>
      </c>
      <c r="E11">
        <f t="shared" si="1"/>
        <v>3</v>
      </c>
      <c r="F11">
        <v>0.6</v>
      </c>
    </row>
    <row r="12" spans="1:6" x14ac:dyDescent="0.25">
      <c r="A12" t="s">
        <v>87</v>
      </c>
      <c r="B12" t="s">
        <v>92</v>
      </c>
      <c r="C12">
        <f t="shared" si="0"/>
        <v>0.6</v>
      </c>
      <c r="D12" t="s">
        <v>725</v>
      </c>
      <c r="E12">
        <f t="shared" si="1"/>
        <v>3</v>
      </c>
      <c r="F12">
        <v>0.6</v>
      </c>
    </row>
    <row r="13" spans="1:6" x14ac:dyDescent="0.25">
      <c r="A13" t="s">
        <v>93</v>
      </c>
      <c r="B13" t="s">
        <v>97</v>
      </c>
      <c r="C13">
        <f t="shared" si="0"/>
        <v>0.05</v>
      </c>
      <c r="D13" t="s">
        <v>934</v>
      </c>
      <c r="E13">
        <f t="shared" si="1"/>
        <v>3</v>
      </c>
      <c r="F13">
        <v>0.6</v>
      </c>
    </row>
    <row r="14" spans="1:6" x14ac:dyDescent="0.25">
      <c r="A14" t="s">
        <v>100</v>
      </c>
      <c r="B14" t="s">
        <v>97</v>
      </c>
      <c r="C14">
        <f t="shared" si="0"/>
        <v>0.05</v>
      </c>
      <c r="D14" t="s">
        <v>826</v>
      </c>
      <c r="E14">
        <f t="shared" si="1"/>
        <v>3</v>
      </c>
      <c r="F14">
        <v>0.6</v>
      </c>
    </row>
    <row r="15" spans="1:6" x14ac:dyDescent="0.25">
      <c r="A15" t="s">
        <v>106</v>
      </c>
      <c r="B15" t="s">
        <v>97</v>
      </c>
      <c r="C15">
        <f t="shared" si="0"/>
        <v>0.05</v>
      </c>
      <c r="D15" t="s">
        <v>48</v>
      </c>
      <c r="E15">
        <f t="shared" si="1"/>
        <v>3</v>
      </c>
      <c r="F15">
        <v>0.6</v>
      </c>
    </row>
    <row r="16" spans="1:6" x14ac:dyDescent="0.25">
      <c r="A16" t="s">
        <v>110</v>
      </c>
      <c r="B16" t="s">
        <v>97</v>
      </c>
      <c r="C16">
        <f t="shared" si="0"/>
        <v>0.05</v>
      </c>
      <c r="D16" t="s">
        <v>891</v>
      </c>
      <c r="E16">
        <f t="shared" si="1"/>
        <v>2</v>
      </c>
      <c r="F16">
        <v>0.6</v>
      </c>
    </row>
    <row r="17" spans="1:6" x14ac:dyDescent="0.25">
      <c r="A17" t="s">
        <v>115</v>
      </c>
      <c r="B17" t="s">
        <v>120</v>
      </c>
      <c r="C17">
        <f t="shared" si="0"/>
        <v>0.2</v>
      </c>
      <c r="D17" t="s">
        <v>1252</v>
      </c>
      <c r="E17">
        <f t="shared" si="1"/>
        <v>1</v>
      </c>
      <c r="F17">
        <v>0.6</v>
      </c>
    </row>
    <row r="18" spans="1:6" x14ac:dyDescent="0.25">
      <c r="A18" t="s">
        <v>122</v>
      </c>
      <c r="B18" t="s">
        <v>97</v>
      </c>
      <c r="C18">
        <f t="shared" si="0"/>
        <v>0.05</v>
      </c>
      <c r="D18" t="s">
        <v>1363</v>
      </c>
      <c r="E18">
        <f t="shared" si="1"/>
        <v>1</v>
      </c>
      <c r="F18">
        <v>0.6</v>
      </c>
    </row>
    <row r="19" spans="1:6" x14ac:dyDescent="0.25">
      <c r="A19" t="s">
        <v>127</v>
      </c>
      <c r="B19" t="s">
        <v>97</v>
      </c>
      <c r="C19">
        <f t="shared" si="0"/>
        <v>0.05</v>
      </c>
      <c r="D19" t="s">
        <v>148</v>
      </c>
      <c r="E19">
        <f t="shared" si="1"/>
        <v>2</v>
      </c>
      <c r="F19">
        <v>0.6</v>
      </c>
    </row>
    <row r="20" spans="1:6" x14ac:dyDescent="0.25">
      <c r="A20" t="s">
        <v>131</v>
      </c>
      <c r="B20" t="s">
        <v>97</v>
      </c>
      <c r="C20">
        <f t="shared" si="0"/>
        <v>0.05</v>
      </c>
      <c r="D20" t="s">
        <v>921</v>
      </c>
      <c r="E20">
        <f t="shared" si="1"/>
        <v>2</v>
      </c>
      <c r="F20">
        <v>0.6</v>
      </c>
    </row>
    <row r="21" spans="1:6" x14ac:dyDescent="0.25">
      <c r="A21" t="s">
        <v>136</v>
      </c>
      <c r="B21" t="s">
        <v>97</v>
      </c>
      <c r="C21">
        <f t="shared" si="0"/>
        <v>0.05</v>
      </c>
      <c r="D21" t="s">
        <v>30</v>
      </c>
      <c r="E21">
        <f t="shared" si="1"/>
        <v>3</v>
      </c>
      <c r="F21">
        <v>0.6</v>
      </c>
    </row>
    <row r="22" spans="1:6" x14ac:dyDescent="0.25">
      <c r="A22" t="s">
        <v>143</v>
      </c>
      <c r="B22" t="s">
        <v>148</v>
      </c>
      <c r="C22">
        <f t="shared" si="0"/>
        <v>0.6</v>
      </c>
      <c r="D22" t="s">
        <v>67</v>
      </c>
      <c r="E22">
        <f t="shared" si="1"/>
        <v>2</v>
      </c>
      <c r="F22">
        <v>0.85</v>
      </c>
    </row>
    <row r="23" spans="1:6" x14ac:dyDescent="0.25">
      <c r="A23" t="s">
        <v>150</v>
      </c>
      <c r="B23" t="s">
        <v>97</v>
      </c>
      <c r="C23">
        <f t="shared" si="0"/>
        <v>0.05</v>
      </c>
      <c r="D23" t="s">
        <v>22</v>
      </c>
      <c r="E23">
        <f t="shared" si="1"/>
        <v>2</v>
      </c>
      <c r="F23">
        <v>0.85</v>
      </c>
    </row>
    <row r="24" spans="1:6" x14ac:dyDescent="0.25">
      <c r="A24" t="s">
        <v>153</v>
      </c>
      <c r="B24" t="s">
        <v>97</v>
      </c>
      <c r="C24">
        <f t="shared" si="0"/>
        <v>0.05</v>
      </c>
      <c r="D24" t="s">
        <v>1267</v>
      </c>
      <c r="E24">
        <f t="shared" si="1"/>
        <v>1</v>
      </c>
      <c r="F24">
        <v>0.85</v>
      </c>
    </row>
    <row r="25" spans="1:6" x14ac:dyDescent="0.25">
      <c r="A25" t="s">
        <v>160</v>
      </c>
      <c r="B25" t="s">
        <v>97</v>
      </c>
      <c r="C25">
        <f t="shared" si="0"/>
        <v>0.05</v>
      </c>
      <c r="D25" t="s">
        <v>16</v>
      </c>
      <c r="E25">
        <f t="shared" si="1"/>
        <v>1</v>
      </c>
      <c r="F25">
        <v>0.85</v>
      </c>
    </row>
    <row r="26" spans="1:6" x14ac:dyDescent="0.25">
      <c r="A26" t="s">
        <v>168</v>
      </c>
      <c r="B26" t="s">
        <v>97</v>
      </c>
      <c r="C26">
        <f t="shared" si="0"/>
        <v>0.05</v>
      </c>
      <c r="D26" t="s">
        <v>999</v>
      </c>
      <c r="E26">
        <f t="shared" si="1"/>
        <v>3</v>
      </c>
      <c r="F26">
        <v>0.85</v>
      </c>
    </row>
    <row r="27" spans="1:6" x14ac:dyDescent="0.25">
      <c r="A27" t="s">
        <v>172</v>
      </c>
      <c r="B27" t="s">
        <v>97</v>
      </c>
      <c r="C27">
        <f t="shared" si="0"/>
        <v>0.05</v>
      </c>
      <c r="D27" t="s">
        <v>949</v>
      </c>
      <c r="E27">
        <f t="shared" si="1"/>
        <v>1</v>
      </c>
      <c r="F27">
        <v>0.85</v>
      </c>
    </row>
    <row r="28" spans="1:6" x14ac:dyDescent="0.25">
      <c r="A28" t="s">
        <v>177</v>
      </c>
      <c r="B28" t="s">
        <v>97</v>
      </c>
      <c r="C28">
        <f t="shared" si="0"/>
        <v>0.05</v>
      </c>
      <c r="D28" t="s">
        <v>1299</v>
      </c>
      <c r="E28">
        <f t="shared" si="1"/>
        <v>1</v>
      </c>
      <c r="F28">
        <v>0.85</v>
      </c>
    </row>
    <row r="29" spans="1:6" x14ac:dyDescent="0.25">
      <c r="A29" t="s">
        <v>180</v>
      </c>
      <c r="B29" t="s">
        <v>97</v>
      </c>
      <c r="C29">
        <f t="shared" si="0"/>
        <v>0.05</v>
      </c>
      <c r="D29" t="s">
        <v>1064</v>
      </c>
      <c r="E29">
        <f t="shared" si="1"/>
        <v>2</v>
      </c>
      <c r="F29">
        <v>0.85</v>
      </c>
    </row>
    <row r="30" spans="1:6" x14ac:dyDescent="0.25">
      <c r="A30" t="s">
        <v>183</v>
      </c>
      <c r="B30" t="s">
        <v>97</v>
      </c>
      <c r="C30">
        <f t="shared" si="0"/>
        <v>0.05</v>
      </c>
      <c r="D30" t="s">
        <v>1207</v>
      </c>
      <c r="E30">
        <f t="shared" si="1"/>
        <v>1</v>
      </c>
      <c r="F30">
        <v>1</v>
      </c>
    </row>
    <row r="31" spans="1:6" x14ac:dyDescent="0.25">
      <c r="A31" t="s">
        <v>186</v>
      </c>
      <c r="B31" t="s">
        <v>97</v>
      </c>
      <c r="C31">
        <f t="shared" si="0"/>
        <v>0.05</v>
      </c>
      <c r="D31" t="s">
        <v>1133</v>
      </c>
      <c r="E31">
        <f t="shared" si="1"/>
        <v>1</v>
      </c>
      <c r="F31">
        <v>1</v>
      </c>
    </row>
    <row r="32" spans="1:6" x14ac:dyDescent="0.25">
      <c r="A32" t="s">
        <v>191</v>
      </c>
      <c r="B32" t="s">
        <v>97</v>
      </c>
      <c r="C32">
        <f t="shared" si="0"/>
        <v>0.05</v>
      </c>
      <c r="D32" t="s">
        <v>1170</v>
      </c>
      <c r="E32">
        <f t="shared" si="1"/>
        <v>1</v>
      </c>
      <c r="F32">
        <v>1</v>
      </c>
    </row>
    <row r="33" spans="1:6" x14ac:dyDescent="0.25">
      <c r="A33" t="s">
        <v>196</v>
      </c>
      <c r="B33" t="s">
        <v>97</v>
      </c>
      <c r="C33">
        <f t="shared" si="0"/>
        <v>0.05</v>
      </c>
      <c r="D33" t="s">
        <v>1104</v>
      </c>
      <c r="E33">
        <f t="shared" si="1"/>
        <v>1</v>
      </c>
      <c r="F33">
        <v>1</v>
      </c>
    </row>
    <row r="34" spans="1:6" x14ac:dyDescent="0.25">
      <c r="A34" t="s">
        <v>200</v>
      </c>
      <c r="B34" t="s">
        <v>97</v>
      </c>
      <c r="C34">
        <f t="shared" si="0"/>
        <v>0.05</v>
      </c>
      <c r="D34" t="s">
        <v>1112</v>
      </c>
      <c r="E34">
        <f t="shared" si="1"/>
        <v>1</v>
      </c>
      <c r="F34">
        <v>1</v>
      </c>
    </row>
    <row r="35" spans="1:6" x14ac:dyDescent="0.25">
      <c r="A35" t="s">
        <v>204</v>
      </c>
      <c r="B35" t="s">
        <v>97</v>
      </c>
      <c r="C35">
        <f t="shared" si="0"/>
        <v>0.05</v>
      </c>
      <c r="D35" t="s">
        <v>1354</v>
      </c>
      <c r="E35">
        <f t="shared" si="1"/>
        <v>1</v>
      </c>
      <c r="F35">
        <v>1</v>
      </c>
    </row>
    <row r="36" spans="1:6" x14ac:dyDescent="0.25">
      <c r="A36" t="s">
        <v>208</v>
      </c>
      <c r="B36" t="s">
        <v>97</v>
      </c>
      <c r="C36">
        <f t="shared" si="0"/>
        <v>0.05</v>
      </c>
      <c r="D36" t="s">
        <v>1370</v>
      </c>
      <c r="E36">
        <f t="shared" si="1"/>
        <v>1</v>
      </c>
      <c r="F36">
        <v>1</v>
      </c>
    </row>
    <row r="37" spans="1:6" x14ac:dyDescent="0.25">
      <c r="A37" t="s">
        <v>211</v>
      </c>
      <c r="B37" t="s">
        <v>97</v>
      </c>
      <c r="C37">
        <f t="shared" si="0"/>
        <v>0.05</v>
      </c>
    </row>
    <row r="38" spans="1:6" x14ac:dyDescent="0.25">
      <c r="A38" t="s">
        <v>213</v>
      </c>
      <c r="B38" t="s">
        <v>97</v>
      </c>
      <c r="C38">
        <f t="shared" si="0"/>
        <v>0.05</v>
      </c>
    </row>
    <row r="39" spans="1:6" x14ac:dyDescent="0.25">
      <c r="A39" t="s">
        <v>215</v>
      </c>
      <c r="B39" t="s">
        <v>97</v>
      </c>
      <c r="C39">
        <f t="shared" si="0"/>
        <v>0.05</v>
      </c>
    </row>
    <row r="40" spans="1:6" x14ac:dyDescent="0.25">
      <c r="A40" t="s">
        <v>217</v>
      </c>
      <c r="B40" t="s">
        <v>97</v>
      </c>
      <c r="C40">
        <f t="shared" si="0"/>
        <v>0.05</v>
      </c>
    </row>
    <row r="41" spans="1:6" x14ac:dyDescent="0.25">
      <c r="A41" t="s">
        <v>219</v>
      </c>
      <c r="B41" t="s">
        <v>97</v>
      </c>
      <c r="C41">
        <f t="shared" si="0"/>
        <v>0.05</v>
      </c>
    </row>
    <row r="42" spans="1:6" x14ac:dyDescent="0.25">
      <c r="A42" t="s">
        <v>221</v>
      </c>
      <c r="B42" t="s">
        <v>97</v>
      </c>
      <c r="C42">
        <f t="shared" si="0"/>
        <v>0.05</v>
      </c>
    </row>
    <row r="43" spans="1:6" x14ac:dyDescent="0.25">
      <c r="A43" t="s">
        <v>227</v>
      </c>
      <c r="B43" t="s">
        <v>97</v>
      </c>
      <c r="C43">
        <f t="shared" si="0"/>
        <v>0.05</v>
      </c>
    </row>
    <row r="44" spans="1:6" x14ac:dyDescent="0.25">
      <c r="A44" t="s">
        <v>233</v>
      </c>
      <c r="B44" t="s">
        <v>97</v>
      </c>
      <c r="C44">
        <f t="shared" si="0"/>
        <v>0.05</v>
      </c>
    </row>
    <row r="45" spans="1:6" x14ac:dyDescent="0.25">
      <c r="A45" t="s">
        <v>240</v>
      </c>
      <c r="B45" t="s">
        <v>97</v>
      </c>
      <c r="C45">
        <f t="shared" si="0"/>
        <v>0.05</v>
      </c>
    </row>
    <row r="46" spans="1:6" x14ac:dyDescent="0.25">
      <c r="A46" t="s">
        <v>245</v>
      </c>
      <c r="B46" t="s">
        <v>97</v>
      </c>
      <c r="C46">
        <f t="shared" si="0"/>
        <v>0.05</v>
      </c>
    </row>
    <row r="47" spans="1:6" x14ac:dyDescent="0.25">
      <c r="A47" t="s">
        <v>248</v>
      </c>
      <c r="B47" t="s">
        <v>97</v>
      </c>
      <c r="C47">
        <f t="shared" si="0"/>
        <v>0.05</v>
      </c>
    </row>
    <row r="48" spans="1:6" x14ac:dyDescent="0.25">
      <c r="A48" t="s">
        <v>254</v>
      </c>
      <c r="B48" t="s">
        <v>97</v>
      </c>
      <c r="C48">
        <f t="shared" si="0"/>
        <v>0.05</v>
      </c>
    </row>
    <row r="49" spans="1:3" x14ac:dyDescent="0.25">
      <c r="A49" t="s">
        <v>260</v>
      </c>
      <c r="B49" t="s">
        <v>97</v>
      </c>
      <c r="C49">
        <f t="shared" si="0"/>
        <v>0.05</v>
      </c>
    </row>
    <row r="50" spans="1:3" x14ac:dyDescent="0.25">
      <c r="A50" t="s">
        <v>266</v>
      </c>
      <c r="B50" t="s">
        <v>97</v>
      </c>
      <c r="C50">
        <f t="shared" si="0"/>
        <v>0.05</v>
      </c>
    </row>
    <row r="51" spans="1:3" x14ac:dyDescent="0.25">
      <c r="A51" t="s">
        <v>271</v>
      </c>
      <c r="B51" t="s">
        <v>97</v>
      </c>
      <c r="C51">
        <f t="shared" si="0"/>
        <v>0.05</v>
      </c>
    </row>
    <row r="52" spans="1:3" x14ac:dyDescent="0.25">
      <c r="A52" t="s">
        <v>276</v>
      </c>
      <c r="B52" t="s">
        <v>97</v>
      </c>
      <c r="C52">
        <f t="shared" si="0"/>
        <v>0.05</v>
      </c>
    </row>
    <row r="53" spans="1:3" x14ac:dyDescent="0.25">
      <c r="A53" t="s">
        <v>283</v>
      </c>
      <c r="B53" t="s">
        <v>97</v>
      </c>
      <c r="C53">
        <f t="shared" si="0"/>
        <v>0.05</v>
      </c>
    </row>
    <row r="54" spans="1:3" x14ac:dyDescent="0.25">
      <c r="A54" t="s">
        <v>291</v>
      </c>
      <c r="B54" t="s">
        <v>97</v>
      </c>
      <c r="C54">
        <f t="shared" si="0"/>
        <v>0.05</v>
      </c>
    </row>
    <row r="55" spans="1:3" x14ac:dyDescent="0.25">
      <c r="A55" t="s">
        <v>296</v>
      </c>
      <c r="B55" t="s">
        <v>97</v>
      </c>
      <c r="C55">
        <f t="shared" si="0"/>
        <v>0.05</v>
      </c>
    </row>
    <row r="56" spans="1:3" x14ac:dyDescent="0.25">
      <c r="A56" t="s">
        <v>302</v>
      </c>
      <c r="B56" t="s">
        <v>97</v>
      </c>
      <c r="C56">
        <f t="shared" si="0"/>
        <v>0.05</v>
      </c>
    </row>
    <row r="57" spans="1:3" x14ac:dyDescent="0.25">
      <c r="A57" t="s">
        <v>307</v>
      </c>
      <c r="B57" t="s">
        <v>97</v>
      </c>
      <c r="C57">
        <f t="shared" si="0"/>
        <v>0.05</v>
      </c>
    </row>
    <row r="58" spans="1:3" x14ac:dyDescent="0.25">
      <c r="A58" t="s">
        <v>311</v>
      </c>
      <c r="B58" t="s">
        <v>97</v>
      </c>
      <c r="C58">
        <f t="shared" si="0"/>
        <v>0.05</v>
      </c>
    </row>
    <row r="59" spans="1:3" x14ac:dyDescent="0.25">
      <c r="A59" t="s">
        <v>317</v>
      </c>
      <c r="B59" t="s">
        <v>97</v>
      </c>
      <c r="C59">
        <f t="shared" si="0"/>
        <v>0.05</v>
      </c>
    </row>
    <row r="60" spans="1:3" x14ac:dyDescent="0.25">
      <c r="A60" t="s">
        <v>325</v>
      </c>
      <c r="B60" t="s">
        <v>97</v>
      </c>
      <c r="C60">
        <f t="shared" si="0"/>
        <v>0.05</v>
      </c>
    </row>
    <row r="61" spans="1:3" x14ac:dyDescent="0.25">
      <c r="A61" t="s">
        <v>331</v>
      </c>
      <c r="B61" t="s">
        <v>97</v>
      </c>
      <c r="C61">
        <f t="shared" si="0"/>
        <v>0.05</v>
      </c>
    </row>
    <row r="62" spans="1:3" x14ac:dyDescent="0.25">
      <c r="A62" t="s">
        <v>335</v>
      </c>
      <c r="B62" t="s">
        <v>97</v>
      </c>
      <c r="C62">
        <f t="shared" si="0"/>
        <v>0.05</v>
      </c>
    </row>
    <row r="63" spans="1:3" x14ac:dyDescent="0.25">
      <c r="A63" t="s">
        <v>338</v>
      </c>
      <c r="B63" t="s">
        <v>97</v>
      </c>
      <c r="C63">
        <f t="shared" si="0"/>
        <v>0.05</v>
      </c>
    </row>
    <row r="64" spans="1:3" x14ac:dyDescent="0.25">
      <c r="A64" t="s">
        <v>342</v>
      </c>
      <c r="B64" t="s">
        <v>97</v>
      </c>
      <c r="C64">
        <f t="shared" si="0"/>
        <v>0.05</v>
      </c>
    </row>
    <row r="65" spans="1:3" x14ac:dyDescent="0.25">
      <c r="A65" t="s">
        <v>345</v>
      </c>
      <c r="B65" t="s">
        <v>97</v>
      </c>
      <c r="C65">
        <f t="shared" si="0"/>
        <v>0.05</v>
      </c>
    </row>
    <row r="66" spans="1:3" x14ac:dyDescent="0.25">
      <c r="A66" t="s">
        <v>349</v>
      </c>
      <c r="B66" t="s">
        <v>97</v>
      </c>
      <c r="C66">
        <f t="shared" si="0"/>
        <v>0.05</v>
      </c>
    </row>
    <row r="67" spans="1:3" x14ac:dyDescent="0.25">
      <c r="A67" t="s">
        <v>352</v>
      </c>
      <c r="B67" t="s">
        <v>97</v>
      </c>
      <c r="C67">
        <f t="shared" ref="C67:C130" si="2">VLOOKUP(B67,$D$1:$F$36,3,0)</f>
        <v>0.05</v>
      </c>
    </row>
    <row r="68" spans="1:3" x14ac:dyDescent="0.25">
      <c r="A68" t="s">
        <v>355</v>
      </c>
      <c r="B68" t="s">
        <v>97</v>
      </c>
      <c r="C68">
        <f t="shared" si="2"/>
        <v>0.05</v>
      </c>
    </row>
    <row r="69" spans="1:3" x14ac:dyDescent="0.25">
      <c r="A69" t="s">
        <v>358</v>
      </c>
      <c r="B69" t="s">
        <v>97</v>
      </c>
      <c r="C69">
        <f t="shared" si="2"/>
        <v>0.05</v>
      </c>
    </row>
    <row r="70" spans="1:3" x14ac:dyDescent="0.25">
      <c r="A70" t="s">
        <v>361</v>
      </c>
      <c r="B70" t="s">
        <v>97</v>
      </c>
      <c r="C70">
        <f t="shared" si="2"/>
        <v>0.05</v>
      </c>
    </row>
    <row r="71" spans="1:3" x14ac:dyDescent="0.25">
      <c r="A71" t="s">
        <v>364</v>
      </c>
      <c r="B71" t="s">
        <v>97</v>
      </c>
      <c r="C71">
        <f t="shared" si="2"/>
        <v>0.05</v>
      </c>
    </row>
    <row r="72" spans="1:3" x14ac:dyDescent="0.25">
      <c r="A72" t="s">
        <v>369</v>
      </c>
      <c r="B72" t="s">
        <v>97</v>
      </c>
      <c r="C72">
        <f t="shared" si="2"/>
        <v>0.05</v>
      </c>
    </row>
    <row r="73" spans="1:3" x14ac:dyDescent="0.25">
      <c r="A73" t="s">
        <v>374</v>
      </c>
      <c r="B73" t="s">
        <v>97</v>
      </c>
      <c r="C73">
        <f t="shared" si="2"/>
        <v>0.05</v>
      </c>
    </row>
    <row r="74" spans="1:3" x14ac:dyDescent="0.25">
      <c r="A74" t="s">
        <v>378</v>
      </c>
      <c r="B74" t="s">
        <v>97</v>
      </c>
      <c r="C74">
        <f t="shared" si="2"/>
        <v>0.05</v>
      </c>
    </row>
    <row r="75" spans="1:3" x14ac:dyDescent="0.25">
      <c r="A75" t="s">
        <v>382</v>
      </c>
      <c r="B75" t="s">
        <v>97</v>
      </c>
      <c r="C75">
        <f t="shared" si="2"/>
        <v>0.05</v>
      </c>
    </row>
    <row r="76" spans="1:3" x14ac:dyDescent="0.25">
      <c r="A76" t="s">
        <v>384</v>
      </c>
      <c r="B76" t="s">
        <v>97</v>
      </c>
      <c r="C76">
        <f t="shared" si="2"/>
        <v>0.05</v>
      </c>
    </row>
    <row r="77" spans="1:3" x14ac:dyDescent="0.25">
      <c r="A77" t="s">
        <v>387</v>
      </c>
      <c r="B77" t="s">
        <v>97</v>
      </c>
      <c r="C77">
        <f t="shared" si="2"/>
        <v>0.05</v>
      </c>
    </row>
    <row r="78" spans="1:3" x14ac:dyDescent="0.25">
      <c r="A78" t="s">
        <v>389</v>
      </c>
      <c r="B78" t="s">
        <v>97</v>
      </c>
      <c r="C78">
        <f t="shared" si="2"/>
        <v>0.05</v>
      </c>
    </row>
    <row r="79" spans="1:3" x14ac:dyDescent="0.25">
      <c r="A79" t="s">
        <v>391</v>
      </c>
      <c r="B79" t="s">
        <v>97</v>
      </c>
      <c r="C79">
        <f t="shared" si="2"/>
        <v>0.05</v>
      </c>
    </row>
    <row r="80" spans="1:3" x14ac:dyDescent="0.25">
      <c r="A80" t="s">
        <v>393</v>
      </c>
      <c r="B80" t="s">
        <v>97</v>
      </c>
      <c r="C80">
        <f t="shared" si="2"/>
        <v>0.05</v>
      </c>
    </row>
    <row r="81" spans="1:3" x14ac:dyDescent="0.25">
      <c r="A81" t="s">
        <v>395</v>
      </c>
      <c r="B81" t="s">
        <v>97</v>
      </c>
      <c r="C81">
        <f t="shared" si="2"/>
        <v>0.05</v>
      </c>
    </row>
    <row r="82" spans="1:3" x14ac:dyDescent="0.25">
      <c r="A82" t="s">
        <v>400</v>
      </c>
      <c r="B82" t="s">
        <v>97</v>
      </c>
      <c r="C82">
        <f t="shared" si="2"/>
        <v>0.05</v>
      </c>
    </row>
    <row r="83" spans="1:3" x14ac:dyDescent="0.25">
      <c r="A83" t="s">
        <v>404</v>
      </c>
      <c r="B83" t="s">
        <v>97</v>
      </c>
      <c r="C83">
        <f t="shared" si="2"/>
        <v>0.05</v>
      </c>
    </row>
    <row r="84" spans="1:3" x14ac:dyDescent="0.25">
      <c r="A84" t="s">
        <v>408</v>
      </c>
      <c r="B84" t="s">
        <v>97</v>
      </c>
      <c r="C84">
        <f t="shared" si="2"/>
        <v>0.05</v>
      </c>
    </row>
    <row r="85" spans="1:3" x14ac:dyDescent="0.25">
      <c r="A85" t="s">
        <v>415</v>
      </c>
      <c r="B85" t="s">
        <v>97</v>
      </c>
      <c r="C85">
        <f t="shared" si="2"/>
        <v>0.05</v>
      </c>
    </row>
    <row r="86" spans="1:3" x14ac:dyDescent="0.25">
      <c r="A86" t="s">
        <v>421</v>
      </c>
      <c r="B86" t="s">
        <v>97</v>
      </c>
      <c r="C86">
        <f t="shared" si="2"/>
        <v>0.05</v>
      </c>
    </row>
    <row r="87" spans="1:3" x14ac:dyDescent="0.25">
      <c r="A87" t="s">
        <v>426</v>
      </c>
      <c r="B87" t="s">
        <v>265</v>
      </c>
      <c r="C87">
        <f t="shared" si="2"/>
        <v>0.2</v>
      </c>
    </row>
    <row r="88" spans="1:3" x14ac:dyDescent="0.25">
      <c r="A88" t="s">
        <v>432</v>
      </c>
      <c r="B88" t="s">
        <v>120</v>
      </c>
      <c r="C88">
        <f t="shared" si="2"/>
        <v>0.2</v>
      </c>
    </row>
    <row r="89" spans="1:3" x14ac:dyDescent="0.25">
      <c r="A89" t="s">
        <v>437</v>
      </c>
      <c r="B89" t="s">
        <v>97</v>
      </c>
      <c r="C89">
        <f t="shared" si="2"/>
        <v>0.05</v>
      </c>
    </row>
    <row r="90" spans="1:3" x14ac:dyDescent="0.25">
      <c r="A90" t="s">
        <v>442</v>
      </c>
      <c r="B90" t="s">
        <v>265</v>
      </c>
      <c r="C90">
        <f t="shared" si="2"/>
        <v>0.2</v>
      </c>
    </row>
    <row r="91" spans="1:3" x14ac:dyDescent="0.25">
      <c r="A91" t="s">
        <v>447</v>
      </c>
      <c r="B91" t="s">
        <v>265</v>
      </c>
      <c r="C91">
        <f t="shared" si="2"/>
        <v>0.2</v>
      </c>
    </row>
    <row r="92" spans="1:3" x14ac:dyDescent="0.25">
      <c r="A92" t="s">
        <v>452</v>
      </c>
      <c r="B92" t="s">
        <v>97</v>
      </c>
      <c r="C92">
        <f t="shared" si="2"/>
        <v>0.05</v>
      </c>
    </row>
    <row r="93" spans="1:3" x14ac:dyDescent="0.25">
      <c r="A93" t="s">
        <v>458</v>
      </c>
      <c r="B93" t="s">
        <v>97</v>
      </c>
      <c r="C93">
        <f t="shared" si="2"/>
        <v>0.05</v>
      </c>
    </row>
    <row r="94" spans="1:3" x14ac:dyDescent="0.25">
      <c r="A94" t="s">
        <v>463</v>
      </c>
      <c r="B94" t="s">
        <v>265</v>
      </c>
      <c r="C94">
        <f t="shared" si="2"/>
        <v>0.2</v>
      </c>
    </row>
    <row r="95" spans="1:3" x14ac:dyDescent="0.25">
      <c r="A95" t="s">
        <v>466</v>
      </c>
      <c r="B95" t="s">
        <v>97</v>
      </c>
      <c r="C95">
        <f t="shared" si="2"/>
        <v>0.05</v>
      </c>
    </row>
    <row r="96" spans="1:3" x14ac:dyDescent="0.25">
      <c r="A96" t="s">
        <v>469</v>
      </c>
      <c r="B96" t="s">
        <v>97</v>
      </c>
      <c r="C96">
        <f t="shared" si="2"/>
        <v>0.05</v>
      </c>
    </row>
    <row r="97" spans="1:3" x14ac:dyDescent="0.25">
      <c r="A97" t="s">
        <v>472</v>
      </c>
      <c r="B97" t="s">
        <v>97</v>
      </c>
      <c r="C97">
        <f t="shared" si="2"/>
        <v>0.05</v>
      </c>
    </row>
    <row r="98" spans="1:3" x14ac:dyDescent="0.25">
      <c r="A98" t="s">
        <v>478</v>
      </c>
      <c r="B98" t="s">
        <v>97</v>
      </c>
      <c r="C98">
        <f t="shared" si="2"/>
        <v>0.05</v>
      </c>
    </row>
    <row r="99" spans="1:3" x14ac:dyDescent="0.25">
      <c r="A99" t="s">
        <v>483</v>
      </c>
      <c r="B99" t="s">
        <v>97</v>
      </c>
      <c r="C99">
        <f t="shared" si="2"/>
        <v>0.05</v>
      </c>
    </row>
    <row r="100" spans="1:3" x14ac:dyDescent="0.25">
      <c r="A100" t="s">
        <v>488</v>
      </c>
      <c r="B100" t="s">
        <v>97</v>
      </c>
      <c r="C100">
        <f t="shared" si="2"/>
        <v>0.05</v>
      </c>
    </row>
    <row r="101" spans="1:3" x14ac:dyDescent="0.25">
      <c r="A101" t="s">
        <v>493</v>
      </c>
      <c r="B101" t="s">
        <v>97</v>
      </c>
      <c r="C101">
        <f t="shared" si="2"/>
        <v>0.05</v>
      </c>
    </row>
    <row r="102" spans="1:3" x14ac:dyDescent="0.25">
      <c r="A102" t="s">
        <v>498</v>
      </c>
      <c r="B102" t="s">
        <v>97</v>
      </c>
      <c r="C102">
        <f t="shared" si="2"/>
        <v>0.05</v>
      </c>
    </row>
    <row r="103" spans="1:3" x14ac:dyDescent="0.25">
      <c r="A103" t="s">
        <v>504</v>
      </c>
      <c r="B103" t="s">
        <v>97</v>
      </c>
      <c r="C103">
        <f t="shared" si="2"/>
        <v>0.05</v>
      </c>
    </row>
    <row r="104" spans="1:3" x14ac:dyDescent="0.25">
      <c r="A104" t="s">
        <v>509</v>
      </c>
      <c r="B104" t="s">
        <v>97</v>
      </c>
      <c r="C104">
        <f t="shared" si="2"/>
        <v>0.05</v>
      </c>
    </row>
    <row r="105" spans="1:3" x14ac:dyDescent="0.25">
      <c r="A105" t="s">
        <v>515</v>
      </c>
      <c r="B105" t="s">
        <v>265</v>
      </c>
      <c r="C105">
        <f t="shared" si="2"/>
        <v>0.2</v>
      </c>
    </row>
    <row r="106" spans="1:3" x14ac:dyDescent="0.25">
      <c r="A106" t="s">
        <v>519</v>
      </c>
      <c r="B106" t="s">
        <v>97</v>
      </c>
      <c r="C106">
        <f t="shared" si="2"/>
        <v>0.05</v>
      </c>
    </row>
    <row r="107" spans="1:3" x14ac:dyDescent="0.25">
      <c r="A107" t="s">
        <v>524</v>
      </c>
      <c r="B107" t="s">
        <v>97</v>
      </c>
      <c r="C107">
        <f t="shared" si="2"/>
        <v>0.05</v>
      </c>
    </row>
    <row r="108" spans="1:3" x14ac:dyDescent="0.25">
      <c r="A108" t="s">
        <v>530</v>
      </c>
      <c r="B108" t="s">
        <v>265</v>
      </c>
      <c r="C108">
        <f t="shared" si="2"/>
        <v>0.2</v>
      </c>
    </row>
    <row r="109" spans="1:3" x14ac:dyDescent="0.25">
      <c r="A109" t="s">
        <v>537</v>
      </c>
      <c r="B109" t="s">
        <v>39</v>
      </c>
      <c r="C109">
        <f t="shared" si="2"/>
        <v>0.2</v>
      </c>
    </row>
    <row r="110" spans="1:3" x14ac:dyDescent="0.25">
      <c r="A110" t="s">
        <v>543</v>
      </c>
      <c r="B110" t="s">
        <v>120</v>
      </c>
      <c r="C110">
        <f t="shared" si="2"/>
        <v>0.2</v>
      </c>
    </row>
    <row r="111" spans="1:3" x14ac:dyDescent="0.25">
      <c r="A111" t="s">
        <v>548</v>
      </c>
      <c r="B111" t="s">
        <v>97</v>
      </c>
      <c r="C111">
        <f t="shared" si="2"/>
        <v>0.05</v>
      </c>
    </row>
    <row r="112" spans="1:3" x14ac:dyDescent="0.25">
      <c r="A112" t="s">
        <v>554</v>
      </c>
      <c r="B112" t="s">
        <v>120</v>
      </c>
      <c r="C112">
        <f t="shared" si="2"/>
        <v>0.2</v>
      </c>
    </row>
    <row r="113" spans="1:3" x14ac:dyDescent="0.25">
      <c r="A113" t="s">
        <v>561</v>
      </c>
      <c r="B113" t="s">
        <v>120</v>
      </c>
      <c r="C113">
        <f t="shared" si="2"/>
        <v>0.2</v>
      </c>
    </row>
    <row r="114" spans="1:3" x14ac:dyDescent="0.25">
      <c r="A114" t="s">
        <v>566</v>
      </c>
      <c r="B114" t="s">
        <v>97</v>
      </c>
      <c r="C114">
        <f t="shared" si="2"/>
        <v>0.05</v>
      </c>
    </row>
    <row r="115" spans="1:3" x14ac:dyDescent="0.25">
      <c r="A115" t="s">
        <v>571</v>
      </c>
      <c r="B115" t="s">
        <v>265</v>
      </c>
      <c r="C115">
        <f t="shared" si="2"/>
        <v>0.2</v>
      </c>
    </row>
    <row r="116" spans="1:3" x14ac:dyDescent="0.25">
      <c r="A116" t="s">
        <v>573</v>
      </c>
      <c r="B116" t="s">
        <v>97</v>
      </c>
      <c r="C116">
        <f t="shared" si="2"/>
        <v>0.05</v>
      </c>
    </row>
    <row r="117" spans="1:3" x14ac:dyDescent="0.25">
      <c r="A117" t="s">
        <v>575</v>
      </c>
      <c r="B117" t="s">
        <v>265</v>
      </c>
      <c r="C117">
        <f t="shared" si="2"/>
        <v>0.2</v>
      </c>
    </row>
    <row r="118" spans="1:3" x14ac:dyDescent="0.25">
      <c r="A118" t="s">
        <v>579</v>
      </c>
      <c r="B118" t="s">
        <v>265</v>
      </c>
      <c r="C118">
        <f t="shared" si="2"/>
        <v>0.2</v>
      </c>
    </row>
    <row r="119" spans="1:3" x14ac:dyDescent="0.25">
      <c r="A119" t="s">
        <v>583</v>
      </c>
      <c r="B119" t="s">
        <v>97</v>
      </c>
      <c r="C119">
        <f t="shared" si="2"/>
        <v>0.05</v>
      </c>
    </row>
    <row r="120" spans="1:3" x14ac:dyDescent="0.25">
      <c r="A120" t="s">
        <v>587</v>
      </c>
      <c r="B120" t="s">
        <v>265</v>
      </c>
      <c r="C120">
        <f t="shared" si="2"/>
        <v>0.2</v>
      </c>
    </row>
    <row r="121" spans="1:3" x14ac:dyDescent="0.25">
      <c r="A121" t="s">
        <v>591</v>
      </c>
      <c r="B121" t="s">
        <v>97</v>
      </c>
      <c r="C121">
        <f t="shared" si="2"/>
        <v>0.05</v>
      </c>
    </row>
    <row r="122" spans="1:3" x14ac:dyDescent="0.25">
      <c r="A122" t="s">
        <v>594</v>
      </c>
      <c r="B122" t="s">
        <v>97</v>
      </c>
      <c r="C122">
        <f t="shared" si="2"/>
        <v>0.05</v>
      </c>
    </row>
    <row r="123" spans="1:3" x14ac:dyDescent="0.25">
      <c r="A123" t="s">
        <v>598</v>
      </c>
      <c r="B123" t="s">
        <v>97</v>
      </c>
      <c r="C123">
        <f t="shared" si="2"/>
        <v>0.05</v>
      </c>
    </row>
    <row r="124" spans="1:3" x14ac:dyDescent="0.25">
      <c r="A124" t="s">
        <v>602</v>
      </c>
      <c r="B124" t="s">
        <v>97</v>
      </c>
      <c r="C124">
        <f t="shared" si="2"/>
        <v>0.05</v>
      </c>
    </row>
    <row r="125" spans="1:3" x14ac:dyDescent="0.25">
      <c r="A125" t="s">
        <v>606</v>
      </c>
      <c r="B125" t="s">
        <v>265</v>
      </c>
      <c r="C125">
        <f t="shared" si="2"/>
        <v>0.2</v>
      </c>
    </row>
    <row r="126" spans="1:3" x14ac:dyDescent="0.25">
      <c r="A126" t="s">
        <v>609</v>
      </c>
      <c r="B126" t="s">
        <v>97</v>
      </c>
      <c r="C126">
        <f t="shared" si="2"/>
        <v>0.05</v>
      </c>
    </row>
    <row r="127" spans="1:3" x14ac:dyDescent="0.25">
      <c r="A127" t="s">
        <v>612</v>
      </c>
      <c r="B127" t="s">
        <v>97</v>
      </c>
      <c r="C127">
        <f t="shared" si="2"/>
        <v>0.05</v>
      </c>
    </row>
    <row r="128" spans="1:3" x14ac:dyDescent="0.25">
      <c r="A128" t="s">
        <v>615</v>
      </c>
      <c r="B128" t="s">
        <v>97</v>
      </c>
      <c r="C128">
        <f t="shared" si="2"/>
        <v>0.05</v>
      </c>
    </row>
    <row r="129" spans="1:3" x14ac:dyDescent="0.25">
      <c r="A129" t="s">
        <v>618</v>
      </c>
      <c r="B129" t="s">
        <v>265</v>
      </c>
      <c r="C129">
        <f t="shared" si="2"/>
        <v>0.2</v>
      </c>
    </row>
    <row r="130" spans="1:3" x14ac:dyDescent="0.25">
      <c r="A130" t="s">
        <v>622</v>
      </c>
      <c r="B130" t="s">
        <v>265</v>
      </c>
      <c r="C130">
        <f t="shared" si="2"/>
        <v>0.2</v>
      </c>
    </row>
    <row r="131" spans="1:3" x14ac:dyDescent="0.25">
      <c r="A131" t="s">
        <v>629</v>
      </c>
      <c r="B131" t="s">
        <v>265</v>
      </c>
      <c r="C131">
        <f t="shared" ref="C131:C194" si="3">VLOOKUP(B131,$D$1:$F$36,3,0)</f>
        <v>0.2</v>
      </c>
    </row>
    <row r="132" spans="1:3" x14ac:dyDescent="0.25">
      <c r="A132" t="s">
        <v>635</v>
      </c>
      <c r="B132" t="s">
        <v>97</v>
      </c>
      <c r="C132">
        <f t="shared" si="3"/>
        <v>0.05</v>
      </c>
    </row>
    <row r="133" spans="1:3" x14ac:dyDescent="0.25">
      <c r="A133" t="s">
        <v>639</v>
      </c>
      <c r="B133" t="s">
        <v>265</v>
      </c>
      <c r="C133">
        <f t="shared" si="3"/>
        <v>0.2</v>
      </c>
    </row>
    <row r="134" spans="1:3" x14ac:dyDescent="0.25">
      <c r="A134" t="s">
        <v>644</v>
      </c>
      <c r="B134" t="s">
        <v>265</v>
      </c>
      <c r="C134">
        <f t="shared" si="3"/>
        <v>0.2</v>
      </c>
    </row>
    <row r="135" spans="1:3" x14ac:dyDescent="0.25">
      <c r="A135" t="s">
        <v>648</v>
      </c>
      <c r="B135" t="s">
        <v>120</v>
      </c>
      <c r="C135">
        <f t="shared" si="3"/>
        <v>0.2</v>
      </c>
    </row>
    <row r="136" spans="1:3" x14ac:dyDescent="0.25">
      <c r="A136" t="s">
        <v>654</v>
      </c>
      <c r="B136" t="s">
        <v>97</v>
      </c>
      <c r="C136">
        <f t="shared" si="3"/>
        <v>0.05</v>
      </c>
    </row>
    <row r="137" spans="1:3" x14ac:dyDescent="0.25">
      <c r="A137" t="s">
        <v>659</v>
      </c>
      <c r="B137" t="s">
        <v>661</v>
      </c>
      <c r="C137">
        <f t="shared" si="3"/>
        <v>0.6</v>
      </c>
    </row>
    <row r="138" spans="1:3" x14ac:dyDescent="0.25">
      <c r="A138" t="s">
        <v>665</v>
      </c>
      <c r="B138" t="s">
        <v>661</v>
      </c>
      <c r="C138">
        <f t="shared" si="3"/>
        <v>0.6</v>
      </c>
    </row>
    <row r="139" spans="1:3" x14ac:dyDescent="0.25">
      <c r="A139" t="s">
        <v>672</v>
      </c>
      <c r="B139" t="s">
        <v>97</v>
      </c>
      <c r="C139">
        <f t="shared" si="3"/>
        <v>0.05</v>
      </c>
    </row>
    <row r="140" spans="1:3" x14ac:dyDescent="0.25">
      <c r="A140" t="s">
        <v>676</v>
      </c>
      <c r="B140" t="s">
        <v>265</v>
      </c>
      <c r="C140">
        <f t="shared" si="3"/>
        <v>0.2</v>
      </c>
    </row>
    <row r="141" spans="1:3" x14ac:dyDescent="0.25">
      <c r="A141" t="s">
        <v>681</v>
      </c>
      <c r="B141" t="s">
        <v>97</v>
      </c>
      <c r="C141">
        <f t="shared" si="3"/>
        <v>0.05</v>
      </c>
    </row>
    <row r="142" spans="1:3" x14ac:dyDescent="0.25">
      <c r="A142" t="s">
        <v>687</v>
      </c>
      <c r="B142" t="s">
        <v>97</v>
      </c>
      <c r="C142">
        <f t="shared" si="3"/>
        <v>0.05</v>
      </c>
    </row>
    <row r="143" spans="1:3" x14ac:dyDescent="0.25">
      <c r="A143" t="s">
        <v>694</v>
      </c>
      <c r="B143" t="s">
        <v>697</v>
      </c>
      <c r="C143">
        <f t="shared" si="3"/>
        <v>0.6</v>
      </c>
    </row>
    <row r="144" spans="1:3" x14ac:dyDescent="0.25">
      <c r="A144" t="s">
        <v>700</v>
      </c>
      <c r="B144" t="s">
        <v>265</v>
      </c>
      <c r="C144">
        <f t="shared" si="3"/>
        <v>0.2</v>
      </c>
    </row>
    <row r="145" spans="1:3" x14ac:dyDescent="0.25">
      <c r="A145" t="s">
        <v>705</v>
      </c>
      <c r="B145" t="s">
        <v>265</v>
      </c>
      <c r="C145">
        <f t="shared" si="3"/>
        <v>0.2</v>
      </c>
    </row>
    <row r="146" spans="1:3" x14ac:dyDescent="0.25">
      <c r="A146" t="s">
        <v>709</v>
      </c>
      <c r="B146" t="s">
        <v>39</v>
      </c>
      <c r="C146">
        <f t="shared" si="3"/>
        <v>0.2</v>
      </c>
    </row>
    <row r="147" spans="1:3" x14ac:dyDescent="0.25">
      <c r="A147" t="s">
        <v>714</v>
      </c>
      <c r="B147" t="s">
        <v>39</v>
      </c>
      <c r="C147">
        <f t="shared" si="3"/>
        <v>0.2</v>
      </c>
    </row>
    <row r="148" spans="1:3" x14ac:dyDescent="0.25">
      <c r="A148" t="s">
        <v>719</v>
      </c>
      <c r="B148" t="s">
        <v>120</v>
      </c>
      <c r="C148">
        <f t="shared" si="3"/>
        <v>0.2</v>
      </c>
    </row>
    <row r="149" spans="1:3" x14ac:dyDescent="0.25">
      <c r="A149" t="s">
        <v>723</v>
      </c>
      <c r="B149" t="s">
        <v>725</v>
      </c>
      <c r="C149">
        <f t="shared" si="3"/>
        <v>0.6</v>
      </c>
    </row>
    <row r="150" spans="1:3" x14ac:dyDescent="0.25">
      <c r="A150" t="s">
        <v>729</v>
      </c>
      <c r="B150" t="s">
        <v>92</v>
      </c>
      <c r="C150">
        <f t="shared" si="3"/>
        <v>0.6</v>
      </c>
    </row>
    <row r="151" spans="1:3" x14ac:dyDescent="0.25">
      <c r="A151" t="s">
        <v>737</v>
      </c>
      <c r="B151" t="s">
        <v>120</v>
      </c>
      <c r="C151">
        <f t="shared" si="3"/>
        <v>0.2</v>
      </c>
    </row>
    <row r="152" spans="1:3" x14ac:dyDescent="0.25">
      <c r="A152" t="s">
        <v>745</v>
      </c>
      <c r="B152" t="s">
        <v>97</v>
      </c>
      <c r="C152">
        <f t="shared" si="3"/>
        <v>0.05</v>
      </c>
    </row>
    <row r="153" spans="1:3" x14ac:dyDescent="0.25">
      <c r="A153" t="s">
        <v>751</v>
      </c>
      <c r="B153" t="s">
        <v>97</v>
      </c>
      <c r="C153">
        <f t="shared" si="3"/>
        <v>0.05</v>
      </c>
    </row>
    <row r="154" spans="1:3" x14ac:dyDescent="0.25">
      <c r="A154" t="s">
        <v>756</v>
      </c>
      <c r="B154" t="s">
        <v>120</v>
      </c>
      <c r="C154">
        <f t="shared" si="3"/>
        <v>0.2</v>
      </c>
    </row>
    <row r="155" spans="1:3" x14ac:dyDescent="0.25">
      <c r="A155" t="s">
        <v>760</v>
      </c>
      <c r="B155" t="s">
        <v>661</v>
      </c>
      <c r="C155">
        <f t="shared" si="3"/>
        <v>0.6</v>
      </c>
    </row>
    <row r="156" spans="1:3" x14ac:dyDescent="0.25">
      <c r="A156" t="s">
        <v>767</v>
      </c>
      <c r="B156" t="s">
        <v>48</v>
      </c>
      <c r="C156">
        <f t="shared" si="3"/>
        <v>0.6</v>
      </c>
    </row>
    <row r="157" spans="1:3" x14ac:dyDescent="0.25">
      <c r="A157" t="s">
        <v>775</v>
      </c>
      <c r="B157" t="s">
        <v>97</v>
      </c>
      <c r="C157">
        <f t="shared" si="3"/>
        <v>0.05</v>
      </c>
    </row>
    <row r="158" spans="1:3" x14ac:dyDescent="0.25">
      <c r="A158" t="s">
        <v>782</v>
      </c>
      <c r="B158" t="s">
        <v>265</v>
      </c>
      <c r="C158">
        <f t="shared" si="3"/>
        <v>0.2</v>
      </c>
    </row>
    <row r="159" spans="1:3" x14ac:dyDescent="0.25">
      <c r="A159" t="s">
        <v>786</v>
      </c>
      <c r="B159" t="s">
        <v>56</v>
      </c>
      <c r="C159">
        <f t="shared" si="3"/>
        <v>0.6</v>
      </c>
    </row>
    <row r="160" spans="1:3" x14ac:dyDescent="0.25">
      <c r="A160" t="s">
        <v>789</v>
      </c>
      <c r="B160" t="s">
        <v>661</v>
      </c>
      <c r="C160">
        <f t="shared" si="3"/>
        <v>0.6</v>
      </c>
    </row>
    <row r="161" spans="1:3" x14ac:dyDescent="0.25">
      <c r="A161" t="s">
        <v>794</v>
      </c>
      <c r="B161" t="s">
        <v>39</v>
      </c>
      <c r="C161">
        <f t="shared" si="3"/>
        <v>0.2</v>
      </c>
    </row>
    <row r="162" spans="1:3" x14ac:dyDescent="0.25">
      <c r="A162" t="s">
        <v>799</v>
      </c>
      <c r="B162" t="s">
        <v>661</v>
      </c>
      <c r="C162">
        <f t="shared" si="3"/>
        <v>0.6</v>
      </c>
    </row>
    <row r="163" spans="1:3" x14ac:dyDescent="0.25">
      <c r="A163" t="s">
        <v>804</v>
      </c>
      <c r="B163" t="s">
        <v>97</v>
      </c>
      <c r="C163">
        <f t="shared" si="3"/>
        <v>0.05</v>
      </c>
    </row>
    <row r="164" spans="1:3" x14ac:dyDescent="0.25">
      <c r="A164" t="s">
        <v>809</v>
      </c>
      <c r="B164" t="s">
        <v>265</v>
      </c>
      <c r="C164">
        <f t="shared" si="3"/>
        <v>0.2</v>
      </c>
    </row>
    <row r="165" spans="1:3" x14ac:dyDescent="0.25">
      <c r="A165" t="s">
        <v>815</v>
      </c>
      <c r="B165" t="s">
        <v>92</v>
      </c>
      <c r="C165">
        <f t="shared" si="3"/>
        <v>0.6</v>
      </c>
    </row>
    <row r="166" spans="1:3" x14ac:dyDescent="0.25">
      <c r="A166" t="s">
        <v>821</v>
      </c>
      <c r="B166" t="s">
        <v>826</v>
      </c>
      <c r="C166">
        <f t="shared" si="3"/>
        <v>0.6</v>
      </c>
    </row>
    <row r="167" spans="1:3" x14ac:dyDescent="0.25">
      <c r="A167" t="s">
        <v>829</v>
      </c>
      <c r="B167" t="s">
        <v>76</v>
      </c>
      <c r="C167">
        <f t="shared" si="3"/>
        <v>0.6</v>
      </c>
    </row>
    <row r="168" spans="1:3" x14ac:dyDescent="0.25">
      <c r="A168" t="s">
        <v>835</v>
      </c>
      <c r="B168" t="s">
        <v>265</v>
      </c>
      <c r="C168">
        <f t="shared" si="3"/>
        <v>0.2</v>
      </c>
    </row>
    <row r="169" spans="1:3" x14ac:dyDescent="0.25">
      <c r="A169" t="s">
        <v>840</v>
      </c>
      <c r="B169" t="s">
        <v>265</v>
      </c>
      <c r="C169">
        <f t="shared" si="3"/>
        <v>0.2</v>
      </c>
    </row>
    <row r="170" spans="1:3" x14ac:dyDescent="0.25">
      <c r="A170" t="s">
        <v>844</v>
      </c>
      <c r="B170" t="s">
        <v>120</v>
      </c>
      <c r="C170">
        <f t="shared" si="3"/>
        <v>0.2</v>
      </c>
    </row>
    <row r="171" spans="1:3" x14ac:dyDescent="0.25">
      <c r="A171" t="s">
        <v>847</v>
      </c>
      <c r="B171" t="s">
        <v>97</v>
      </c>
      <c r="C171">
        <f t="shared" si="3"/>
        <v>0.05</v>
      </c>
    </row>
    <row r="172" spans="1:3" x14ac:dyDescent="0.25">
      <c r="A172" t="s">
        <v>850</v>
      </c>
      <c r="B172" t="s">
        <v>97</v>
      </c>
      <c r="C172">
        <f t="shared" si="3"/>
        <v>0.05</v>
      </c>
    </row>
    <row r="173" spans="1:3" x14ac:dyDescent="0.25">
      <c r="A173" t="s">
        <v>854</v>
      </c>
      <c r="B173" t="s">
        <v>265</v>
      </c>
      <c r="C173">
        <f t="shared" si="3"/>
        <v>0.2</v>
      </c>
    </row>
    <row r="174" spans="1:3" x14ac:dyDescent="0.25">
      <c r="A174" t="s">
        <v>856</v>
      </c>
      <c r="B174" t="s">
        <v>265</v>
      </c>
      <c r="C174">
        <f t="shared" si="3"/>
        <v>0.2</v>
      </c>
    </row>
    <row r="175" spans="1:3" x14ac:dyDescent="0.25">
      <c r="A175" t="s">
        <v>861</v>
      </c>
      <c r="B175" t="s">
        <v>120</v>
      </c>
      <c r="C175">
        <f t="shared" si="3"/>
        <v>0.2</v>
      </c>
    </row>
    <row r="176" spans="1:3" x14ac:dyDescent="0.25">
      <c r="A176" t="s">
        <v>867</v>
      </c>
      <c r="B176" t="s">
        <v>661</v>
      </c>
      <c r="C176">
        <f t="shared" si="3"/>
        <v>0.6</v>
      </c>
    </row>
    <row r="177" spans="1:3" x14ac:dyDescent="0.25">
      <c r="A177" t="s">
        <v>871</v>
      </c>
      <c r="B177" t="s">
        <v>22</v>
      </c>
      <c r="C177">
        <f t="shared" si="3"/>
        <v>0.85</v>
      </c>
    </row>
    <row r="178" spans="1:3" x14ac:dyDescent="0.25">
      <c r="A178" t="s">
        <v>876</v>
      </c>
      <c r="B178" t="s">
        <v>56</v>
      </c>
      <c r="C178">
        <f t="shared" si="3"/>
        <v>0.6</v>
      </c>
    </row>
    <row r="179" spans="1:3" x14ac:dyDescent="0.25">
      <c r="A179" t="s">
        <v>881</v>
      </c>
      <c r="B179" t="s">
        <v>56</v>
      </c>
      <c r="C179">
        <f t="shared" si="3"/>
        <v>0.6</v>
      </c>
    </row>
    <row r="180" spans="1:3" x14ac:dyDescent="0.25">
      <c r="A180" t="s">
        <v>887</v>
      </c>
      <c r="B180" t="s">
        <v>891</v>
      </c>
      <c r="C180">
        <f t="shared" si="3"/>
        <v>0.6</v>
      </c>
    </row>
    <row r="181" spans="1:3" x14ac:dyDescent="0.25">
      <c r="A181" t="s">
        <v>895</v>
      </c>
      <c r="B181" t="s">
        <v>39</v>
      </c>
      <c r="C181">
        <f t="shared" si="3"/>
        <v>0.2</v>
      </c>
    </row>
    <row r="182" spans="1:3" x14ac:dyDescent="0.25">
      <c r="A182" t="s">
        <v>902</v>
      </c>
      <c r="B182" t="s">
        <v>907</v>
      </c>
      <c r="C182">
        <f t="shared" si="3"/>
        <v>0.6</v>
      </c>
    </row>
    <row r="183" spans="1:3" x14ac:dyDescent="0.25">
      <c r="A183" t="s">
        <v>911</v>
      </c>
      <c r="B183" t="s">
        <v>97</v>
      </c>
      <c r="C183">
        <f t="shared" si="3"/>
        <v>0.05</v>
      </c>
    </row>
    <row r="184" spans="1:3" x14ac:dyDescent="0.25">
      <c r="A184" t="s">
        <v>917</v>
      </c>
      <c r="B184" t="s">
        <v>921</v>
      </c>
      <c r="C184">
        <f t="shared" si="3"/>
        <v>0.6</v>
      </c>
    </row>
    <row r="185" spans="1:3" x14ac:dyDescent="0.25">
      <c r="A185" t="s">
        <v>924</v>
      </c>
      <c r="B185" t="s">
        <v>921</v>
      </c>
      <c r="C185">
        <f t="shared" si="3"/>
        <v>0.6</v>
      </c>
    </row>
    <row r="186" spans="1:3" x14ac:dyDescent="0.25">
      <c r="A186" t="s">
        <v>930</v>
      </c>
      <c r="B186" t="s">
        <v>934</v>
      </c>
      <c r="C186">
        <f t="shared" si="3"/>
        <v>0.6</v>
      </c>
    </row>
    <row r="187" spans="1:3" x14ac:dyDescent="0.25">
      <c r="A187" t="s">
        <v>938</v>
      </c>
      <c r="B187" t="s">
        <v>934</v>
      </c>
      <c r="C187">
        <f t="shared" si="3"/>
        <v>0.6</v>
      </c>
    </row>
    <row r="188" spans="1:3" x14ac:dyDescent="0.25">
      <c r="A188" t="s">
        <v>944</v>
      </c>
      <c r="B188" t="s">
        <v>949</v>
      </c>
      <c r="C188">
        <f t="shared" si="3"/>
        <v>0.85</v>
      </c>
    </row>
    <row r="189" spans="1:3" x14ac:dyDescent="0.25">
      <c r="A189" t="s">
        <v>952</v>
      </c>
      <c r="B189" t="s">
        <v>56</v>
      </c>
      <c r="C189">
        <f t="shared" si="3"/>
        <v>0.6</v>
      </c>
    </row>
    <row r="190" spans="1:3" x14ac:dyDescent="0.25">
      <c r="A190" t="s">
        <v>959</v>
      </c>
      <c r="B190" t="s">
        <v>697</v>
      </c>
      <c r="C190">
        <f t="shared" si="3"/>
        <v>0.6</v>
      </c>
    </row>
    <row r="191" spans="1:3" x14ac:dyDescent="0.25">
      <c r="A191" t="s">
        <v>965</v>
      </c>
      <c r="B191" t="s">
        <v>120</v>
      </c>
      <c r="C191">
        <f t="shared" si="3"/>
        <v>0.2</v>
      </c>
    </row>
    <row r="192" spans="1:3" x14ac:dyDescent="0.25">
      <c r="A192" t="s">
        <v>971</v>
      </c>
      <c r="B192" t="s">
        <v>265</v>
      </c>
      <c r="C192">
        <f t="shared" si="3"/>
        <v>0.2</v>
      </c>
    </row>
    <row r="193" spans="1:3" x14ac:dyDescent="0.25">
      <c r="A193" t="s">
        <v>976</v>
      </c>
      <c r="B193" t="s">
        <v>265</v>
      </c>
      <c r="C193">
        <f t="shared" si="3"/>
        <v>0.2</v>
      </c>
    </row>
    <row r="194" spans="1:3" x14ac:dyDescent="0.25">
      <c r="A194" t="s">
        <v>980</v>
      </c>
      <c r="B194" t="s">
        <v>97</v>
      </c>
      <c r="C194">
        <f t="shared" si="3"/>
        <v>0.05</v>
      </c>
    </row>
    <row r="195" spans="1:3" x14ac:dyDescent="0.25">
      <c r="A195" t="s">
        <v>985</v>
      </c>
      <c r="B195" t="s">
        <v>97</v>
      </c>
      <c r="C195">
        <f t="shared" ref="C195:C256" si="4">VLOOKUP(B195,$D$1:$F$36,3,0)</f>
        <v>0.05</v>
      </c>
    </row>
    <row r="196" spans="1:3" x14ac:dyDescent="0.25">
      <c r="A196" t="s">
        <v>990</v>
      </c>
      <c r="B196" t="s">
        <v>120</v>
      </c>
      <c r="C196">
        <f t="shared" si="4"/>
        <v>0.2</v>
      </c>
    </row>
    <row r="197" spans="1:3" x14ac:dyDescent="0.25">
      <c r="A197" t="s">
        <v>996</v>
      </c>
      <c r="B197" t="s">
        <v>999</v>
      </c>
      <c r="C197">
        <f t="shared" si="4"/>
        <v>0.85</v>
      </c>
    </row>
    <row r="198" spans="1:3" x14ac:dyDescent="0.25">
      <c r="A198" t="s">
        <v>1001</v>
      </c>
      <c r="B198" t="s">
        <v>120</v>
      </c>
      <c r="C198">
        <f t="shared" si="4"/>
        <v>0.2</v>
      </c>
    </row>
    <row r="199" spans="1:3" x14ac:dyDescent="0.25">
      <c r="A199" t="s">
        <v>1006</v>
      </c>
      <c r="B199" t="s">
        <v>120</v>
      </c>
      <c r="C199">
        <f t="shared" si="4"/>
        <v>0.2</v>
      </c>
    </row>
    <row r="200" spans="1:3" x14ac:dyDescent="0.25">
      <c r="A200" t="s">
        <v>1014</v>
      </c>
      <c r="B200" t="s">
        <v>907</v>
      </c>
      <c r="C200">
        <f t="shared" si="4"/>
        <v>0.6</v>
      </c>
    </row>
    <row r="201" spans="1:3" x14ac:dyDescent="0.25">
      <c r="A201" t="s">
        <v>1018</v>
      </c>
      <c r="B201" t="s">
        <v>97</v>
      </c>
      <c r="C201">
        <f t="shared" si="4"/>
        <v>0.05</v>
      </c>
    </row>
    <row r="202" spans="1:3" x14ac:dyDescent="0.25">
      <c r="A202" t="s">
        <v>1024</v>
      </c>
      <c r="B202" t="s">
        <v>120</v>
      </c>
      <c r="C202">
        <f t="shared" si="4"/>
        <v>0.2</v>
      </c>
    </row>
    <row r="203" spans="1:3" x14ac:dyDescent="0.25">
      <c r="A203" t="s">
        <v>1030</v>
      </c>
      <c r="B203" t="s">
        <v>56</v>
      </c>
      <c r="C203">
        <f t="shared" si="4"/>
        <v>0.6</v>
      </c>
    </row>
    <row r="204" spans="1:3" x14ac:dyDescent="0.25">
      <c r="A204" t="s">
        <v>1034</v>
      </c>
      <c r="B204" t="s">
        <v>265</v>
      </c>
      <c r="C204">
        <f t="shared" si="4"/>
        <v>0.2</v>
      </c>
    </row>
    <row r="205" spans="1:3" x14ac:dyDescent="0.25">
      <c r="A205" t="s">
        <v>1038</v>
      </c>
      <c r="B205" t="s">
        <v>265</v>
      </c>
      <c r="C205">
        <f t="shared" si="4"/>
        <v>0.2</v>
      </c>
    </row>
    <row r="206" spans="1:3" x14ac:dyDescent="0.25">
      <c r="A206" t="s">
        <v>1041</v>
      </c>
      <c r="B206" t="s">
        <v>697</v>
      </c>
      <c r="C206">
        <f t="shared" si="4"/>
        <v>0.6</v>
      </c>
    </row>
    <row r="207" spans="1:3" x14ac:dyDescent="0.25">
      <c r="A207" t="s">
        <v>1047</v>
      </c>
      <c r="B207" t="s">
        <v>725</v>
      </c>
      <c r="C207">
        <f t="shared" si="4"/>
        <v>0.6</v>
      </c>
    </row>
    <row r="208" spans="1:3" x14ac:dyDescent="0.25">
      <c r="A208" t="s">
        <v>1055</v>
      </c>
      <c r="B208" t="s">
        <v>97</v>
      </c>
      <c r="C208">
        <f t="shared" si="4"/>
        <v>0.05</v>
      </c>
    </row>
    <row r="209" spans="1:3" x14ac:dyDescent="0.25">
      <c r="A209" t="s">
        <v>1060</v>
      </c>
      <c r="B209" t="s">
        <v>1064</v>
      </c>
      <c r="C209">
        <f t="shared" si="4"/>
        <v>0.85</v>
      </c>
    </row>
    <row r="210" spans="1:3" x14ac:dyDescent="0.25">
      <c r="A210" t="s">
        <v>1068</v>
      </c>
      <c r="B210" t="s">
        <v>30</v>
      </c>
      <c r="C210">
        <f t="shared" si="4"/>
        <v>0.6</v>
      </c>
    </row>
    <row r="211" spans="1:3" x14ac:dyDescent="0.25">
      <c r="A211" t="s">
        <v>1076</v>
      </c>
      <c r="B211" t="s">
        <v>265</v>
      </c>
      <c r="C211">
        <f t="shared" si="4"/>
        <v>0.2</v>
      </c>
    </row>
    <row r="212" spans="1:3" x14ac:dyDescent="0.25">
      <c r="A212" t="s">
        <v>1081</v>
      </c>
      <c r="B212" t="s">
        <v>891</v>
      </c>
      <c r="C212">
        <f t="shared" si="4"/>
        <v>0.6</v>
      </c>
    </row>
    <row r="213" spans="1:3" x14ac:dyDescent="0.25">
      <c r="A213" t="s">
        <v>1086</v>
      </c>
      <c r="B213" t="s">
        <v>826</v>
      </c>
      <c r="C213">
        <f t="shared" si="4"/>
        <v>0.6</v>
      </c>
    </row>
    <row r="214" spans="1:3" x14ac:dyDescent="0.25">
      <c r="A214" t="s">
        <v>1092</v>
      </c>
      <c r="B214" t="s">
        <v>39</v>
      </c>
      <c r="C214">
        <f t="shared" si="4"/>
        <v>0.2</v>
      </c>
    </row>
    <row r="215" spans="1:3" x14ac:dyDescent="0.25">
      <c r="A215" t="s">
        <v>1099</v>
      </c>
      <c r="B215" t="s">
        <v>1104</v>
      </c>
      <c r="C215">
        <f t="shared" si="4"/>
        <v>1</v>
      </c>
    </row>
    <row r="216" spans="1:3" x14ac:dyDescent="0.25">
      <c r="A216" t="s">
        <v>1108</v>
      </c>
      <c r="B216" t="s">
        <v>1112</v>
      </c>
      <c r="C216">
        <f t="shared" si="4"/>
        <v>1</v>
      </c>
    </row>
    <row r="217" spans="1:3" x14ac:dyDescent="0.25">
      <c r="A217" t="s">
        <v>1116</v>
      </c>
      <c r="B217" t="s">
        <v>265</v>
      </c>
      <c r="C217">
        <f t="shared" si="4"/>
        <v>0.2</v>
      </c>
    </row>
    <row r="218" spans="1:3" x14ac:dyDescent="0.25">
      <c r="A218" t="s">
        <v>1123</v>
      </c>
      <c r="B218" t="s">
        <v>725</v>
      </c>
      <c r="C218">
        <f t="shared" si="4"/>
        <v>0.6</v>
      </c>
    </row>
    <row r="219" spans="1:3" x14ac:dyDescent="0.25">
      <c r="A219" t="s">
        <v>1129</v>
      </c>
      <c r="B219" t="s">
        <v>1133</v>
      </c>
      <c r="C219">
        <f t="shared" si="4"/>
        <v>1</v>
      </c>
    </row>
    <row r="220" spans="1:3" x14ac:dyDescent="0.25">
      <c r="A220" t="s">
        <v>1137</v>
      </c>
      <c r="B220" t="s">
        <v>92</v>
      </c>
      <c r="C220">
        <f t="shared" si="4"/>
        <v>0.6</v>
      </c>
    </row>
    <row r="221" spans="1:3" x14ac:dyDescent="0.25">
      <c r="A221" t="s">
        <v>1145</v>
      </c>
      <c r="B221" t="s">
        <v>148</v>
      </c>
      <c r="C221">
        <f t="shared" si="4"/>
        <v>0.6</v>
      </c>
    </row>
    <row r="222" spans="1:3" x14ac:dyDescent="0.25">
      <c r="A222" t="s">
        <v>1152</v>
      </c>
      <c r="B222" t="s">
        <v>826</v>
      </c>
      <c r="C222">
        <f t="shared" si="4"/>
        <v>0.6</v>
      </c>
    </row>
    <row r="223" spans="1:3" x14ac:dyDescent="0.25">
      <c r="A223" t="s">
        <v>1159</v>
      </c>
      <c r="B223" t="s">
        <v>56</v>
      </c>
      <c r="C223">
        <f t="shared" si="4"/>
        <v>0.6</v>
      </c>
    </row>
    <row r="224" spans="1:3" x14ac:dyDescent="0.25">
      <c r="A224" t="s">
        <v>1166</v>
      </c>
      <c r="B224" t="s">
        <v>1170</v>
      </c>
      <c r="C224">
        <f t="shared" si="4"/>
        <v>1</v>
      </c>
    </row>
    <row r="225" spans="1:3" x14ac:dyDescent="0.25">
      <c r="A225" t="s">
        <v>1174</v>
      </c>
      <c r="B225" t="s">
        <v>999</v>
      </c>
      <c r="C225">
        <f t="shared" si="4"/>
        <v>0.85</v>
      </c>
    </row>
    <row r="226" spans="1:3" x14ac:dyDescent="0.25">
      <c r="A226" t="s">
        <v>1181</v>
      </c>
      <c r="B226" t="s">
        <v>67</v>
      </c>
      <c r="C226">
        <f t="shared" si="4"/>
        <v>0.85</v>
      </c>
    </row>
    <row r="227" spans="1:3" x14ac:dyDescent="0.25">
      <c r="A227" t="s">
        <v>1187</v>
      </c>
      <c r="B227" t="s">
        <v>30</v>
      </c>
      <c r="C227">
        <f t="shared" si="4"/>
        <v>0.6</v>
      </c>
    </row>
    <row r="228" spans="1:3" x14ac:dyDescent="0.25">
      <c r="A228" t="s">
        <v>1191</v>
      </c>
      <c r="B228" t="s">
        <v>39</v>
      </c>
      <c r="C228">
        <f t="shared" si="4"/>
        <v>0.2</v>
      </c>
    </row>
    <row r="229" spans="1:3" x14ac:dyDescent="0.25">
      <c r="A229" t="s">
        <v>1196</v>
      </c>
      <c r="B229" t="s">
        <v>39</v>
      </c>
      <c r="C229">
        <f t="shared" si="4"/>
        <v>0.2</v>
      </c>
    </row>
    <row r="230" spans="1:3" x14ac:dyDescent="0.25">
      <c r="A230" t="s">
        <v>1203</v>
      </c>
      <c r="B230" t="s">
        <v>1207</v>
      </c>
      <c r="C230">
        <f t="shared" si="4"/>
        <v>1</v>
      </c>
    </row>
    <row r="231" spans="1:3" x14ac:dyDescent="0.25">
      <c r="A231" t="s">
        <v>1211</v>
      </c>
      <c r="B231" t="s">
        <v>92</v>
      </c>
      <c r="C231">
        <f t="shared" si="4"/>
        <v>0.6</v>
      </c>
    </row>
    <row r="232" spans="1:3" x14ac:dyDescent="0.25">
      <c r="A232" t="s">
        <v>1219</v>
      </c>
      <c r="B232" t="s">
        <v>48</v>
      </c>
      <c r="C232">
        <f t="shared" si="4"/>
        <v>0.6</v>
      </c>
    </row>
    <row r="233" spans="1:3" x14ac:dyDescent="0.25">
      <c r="A233" t="s">
        <v>1227</v>
      </c>
      <c r="B233" t="s">
        <v>39</v>
      </c>
      <c r="C233">
        <f t="shared" si="4"/>
        <v>0.2</v>
      </c>
    </row>
    <row r="234" spans="1:3" x14ac:dyDescent="0.25">
      <c r="A234" t="s">
        <v>1233</v>
      </c>
      <c r="B234" t="s">
        <v>265</v>
      </c>
      <c r="C234">
        <f t="shared" si="4"/>
        <v>0.2</v>
      </c>
    </row>
    <row r="235" spans="1:3" x14ac:dyDescent="0.25">
      <c r="A235" t="s">
        <v>1240</v>
      </c>
      <c r="B235" t="s">
        <v>1064</v>
      </c>
      <c r="C235">
        <f t="shared" si="4"/>
        <v>0.85</v>
      </c>
    </row>
    <row r="236" spans="1:3" x14ac:dyDescent="0.25">
      <c r="A236" t="s">
        <v>1247</v>
      </c>
      <c r="B236" t="s">
        <v>1252</v>
      </c>
      <c r="C236">
        <f t="shared" si="4"/>
        <v>0.6</v>
      </c>
    </row>
    <row r="237" spans="1:3" x14ac:dyDescent="0.25">
      <c r="A237" t="s">
        <v>1256</v>
      </c>
      <c r="B237" t="s">
        <v>97</v>
      </c>
      <c r="C237">
        <f t="shared" si="4"/>
        <v>0.05</v>
      </c>
    </row>
    <row r="238" spans="1:3" x14ac:dyDescent="0.25">
      <c r="A238" t="s">
        <v>1263</v>
      </c>
      <c r="B238" t="s">
        <v>1267</v>
      </c>
      <c r="C238">
        <f t="shared" si="4"/>
        <v>0.85</v>
      </c>
    </row>
    <row r="239" spans="1:3" x14ac:dyDescent="0.25">
      <c r="A239" t="s">
        <v>1271</v>
      </c>
      <c r="B239" t="s">
        <v>120</v>
      </c>
      <c r="C239">
        <f t="shared" si="4"/>
        <v>0.2</v>
      </c>
    </row>
    <row r="240" spans="1:3" x14ac:dyDescent="0.25">
      <c r="A240" t="s">
        <v>1279</v>
      </c>
      <c r="B240" t="s">
        <v>120</v>
      </c>
      <c r="C240">
        <f t="shared" si="4"/>
        <v>0.2</v>
      </c>
    </row>
    <row r="241" spans="1:3" x14ac:dyDescent="0.25">
      <c r="A241" t="s">
        <v>1286</v>
      </c>
      <c r="B241" t="s">
        <v>661</v>
      </c>
      <c r="C241">
        <f t="shared" si="4"/>
        <v>0.6</v>
      </c>
    </row>
    <row r="242" spans="1:3" x14ac:dyDescent="0.25">
      <c r="A242" t="s">
        <v>1294</v>
      </c>
      <c r="B242" t="s">
        <v>1299</v>
      </c>
      <c r="C242">
        <f t="shared" si="4"/>
        <v>0.85</v>
      </c>
    </row>
    <row r="243" spans="1:3" x14ac:dyDescent="0.25">
      <c r="A243" t="s">
        <v>1302</v>
      </c>
      <c r="B243" t="s">
        <v>661</v>
      </c>
      <c r="C243">
        <f t="shared" si="4"/>
        <v>0.6</v>
      </c>
    </row>
    <row r="244" spans="1:3" x14ac:dyDescent="0.25">
      <c r="A244" t="s">
        <v>1307</v>
      </c>
      <c r="B244" t="s">
        <v>265</v>
      </c>
      <c r="C244">
        <f t="shared" si="4"/>
        <v>0.2</v>
      </c>
    </row>
    <row r="245" spans="1:3" x14ac:dyDescent="0.25">
      <c r="A245" t="s">
        <v>1310</v>
      </c>
      <c r="B245" t="s">
        <v>934</v>
      </c>
      <c r="C245">
        <f t="shared" si="4"/>
        <v>0.6</v>
      </c>
    </row>
    <row r="246" spans="1:3" x14ac:dyDescent="0.25">
      <c r="A246" t="s">
        <v>1316</v>
      </c>
      <c r="B246" t="s">
        <v>999</v>
      </c>
      <c r="C246">
        <f t="shared" si="4"/>
        <v>0.85</v>
      </c>
    </row>
    <row r="247" spans="1:3" x14ac:dyDescent="0.25">
      <c r="A247" t="s">
        <v>1322</v>
      </c>
      <c r="B247" t="s">
        <v>697</v>
      </c>
      <c r="C247">
        <f t="shared" si="4"/>
        <v>0.6</v>
      </c>
    </row>
    <row r="248" spans="1:3" x14ac:dyDescent="0.25">
      <c r="A248" t="s">
        <v>1330</v>
      </c>
      <c r="B248" t="s">
        <v>56</v>
      </c>
      <c r="C248">
        <f t="shared" si="4"/>
        <v>0.6</v>
      </c>
    </row>
    <row r="249" spans="1:3" x14ac:dyDescent="0.25">
      <c r="A249" t="s">
        <v>1337</v>
      </c>
      <c r="B249" t="s">
        <v>92</v>
      </c>
      <c r="C249">
        <f t="shared" si="4"/>
        <v>0.6</v>
      </c>
    </row>
    <row r="250" spans="1:3" x14ac:dyDescent="0.25">
      <c r="A250" t="s">
        <v>1344</v>
      </c>
      <c r="B250" t="s">
        <v>265</v>
      </c>
      <c r="C250">
        <f t="shared" si="4"/>
        <v>0.2</v>
      </c>
    </row>
    <row r="251" spans="1:3" x14ac:dyDescent="0.25">
      <c r="A251" t="s">
        <v>1349</v>
      </c>
      <c r="B251" t="s">
        <v>1354</v>
      </c>
      <c r="C251">
        <f t="shared" si="4"/>
        <v>1</v>
      </c>
    </row>
    <row r="252" spans="1:3" x14ac:dyDescent="0.25">
      <c r="A252" t="s">
        <v>1358</v>
      </c>
      <c r="B252" t="s">
        <v>1363</v>
      </c>
      <c r="C252">
        <f t="shared" si="4"/>
        <v>0.6</v>
      </c>
    </row>
    <row r="253" spans="1:3" x14ac:dyDescent="0.25">
      <c r="A253" t="s">
        <v>1367</v>
      </c>
      <c r="B253" t="s">
        <v>1370</v>
      </c>
      <c r="C253">
        <f t="shared" si="4"/>
        <v>1</v>
      </c>
    </row>
    <row r="254" spans="1:3" x14ac:dyDescent="0.25">
      <c r="A254" t="s">
        <v>1374</v>
      </c>
      <c r="B254" t="s">
        <v>92</v>
      </c>
      <c r="C254">
        <f t="shared" si="4"/>
        <v>0.6</v>
      </c>
    </row>
    <row r="255" spans="1:3" x14ac:dyDescent="0.25">
      <c r="A255" t="s">
        <v>1382</v>
      </c>
      <c r="B255" t="s">
        <v>56</v>
      </c>
      <c r="C255">
        <f t="shared" si="4"/>
        <v>0.6</v>
      </c>
    </row>
    <row r="256" spans="1:3" x14ac:dyDescent="0.25">
      <c r="A256" t="s">
        <v>1390</v>
      </c>
      <c r="B256" t="s">
        <v>907</v>
      </c>
      <c r="C256">
        <f t="shared" si="4"/>
        <v>0.6</v>
      </c>
    </row>
  </sheetData>
  <autoFilter ref="D1:D256" xr:uid="{00000000-0009-0000-0000-00000B000000}">
    <sortState ref="D2:D256">
      <sortCondition ref="D1:D256"/>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77"/>
  <sheetViews>
    <sheetView workbookViewId="0"/>
  </sheetViews>
  <sheetFormatPr defaultRowHeight="15" x14ac:dyDescent="0.25"/>
  <cols>
    <col min="1" max="1" width="29" customWidth="1"/>
    <col min="5" max="5" width="14.140625" bestFit="1" customWidth="1"/>
  </cols>
  <sheetData>
    <row r="1" spans="1:11" x14ac:dyDescent="0.25">
      <c r="A1" t="s">
        <v>2</v>
      </c>
      <c r="B1" t="s">
        <v>8</v>
      </c>
      <c r="G1" t="s">
        <v>2922</v>
      </c>
      <c r="I1" t="s">
        <v>2912</v>
      </c>
      <c r="J1" t="s">
        <v>2913</v>
      </c>
    </row>
    <row r="2" spans="1:11" x14ac:dyDescent="0.25">
      <c r="A2" t="s">
        <v>952</v>
      </c>
      <c r="B2" s="14" t="s">
        <v>2911</v>
      </c>
      <c r="E2" t="s">
        <v>952</v>
      </c>
      <c r="F2" t="str">
        <f>VLOOKUP(E2,A:B,2,0)</f>
        <v>1_x000D_2</v>
      </c>
      <c r="G2">
        <f>VLOOKUP(F2,$I$2:$K$15,3,0)</f>
        <v>1</v>
      </c>
      <c r="I2" t="s">
        <v>265</v>
      </c>
      <c r="J2">
        <f t="shared" ref="J2:J15" si="0">COUNTIF($F:$F,I2)</f>
        <v>144</v>
      </c>
      <c r="K2">
        <v>0.05</v>
      </c>
    </row>
    <row r="3" spans="1:11" x14ac:dyDescent="0.25">
      <c r="A3" t="s">
        <v>1068</v>
      </c>
      <c r="B3" s="14" t="s">
        <v>921</v>
      </c>
      <c r="E3" t="s">
        <v>1068</v>
      </c>
      <c r="F3" t="str">
        <f t="shared" ref="F3:F66" si="1">VLOOKUP(E3,A:B,2,0)</f>
        <v>22</v>
      </c>
      <c r="G3">
        <f t="shared" ref="G3:G66" si="2">VLOOKUP(F3,$I$2:$K$15,3,0)</f>
        <v>1</v>
      </c>
      <c r="I3" t="s">
        <v>120</v>
      </c>
      <c r="J3">
        <f t="shared" si="0"/>
        <v>45</v>
      </c>
      <c r="K3">
        <v>0.2</v>
      </c>
    </row>
    <row r="4" spans="1:11" x14ac:dyDescent="0.25">
      <c r="A4" t="s">
        <v>944</v>
      </c>
      <c r="B4" s="14" t="s">
        <v>1252</v>
      </c>
      <c r="E4" t="s">
        <v>944</v>
      </c>
      <c r="F4" t="str">
        <f t="shared" si="1"/>
        <v>18</v>
      </c>
      <c r="G4">
        <f t="shared" si="2"/>
        <v>1</v>
      </c>
      <c r="I4" t="s">
        <v>39</v>
      </c>
      <c r="J4">
        <f t="shared" si="0"/>
        <v>28</v>
      </c>
      <c r="K4">
        <v>0.6</v>
      </c>
    </row>
    <row r="5" spans="1:11" x14ac:dyDescent="0.25">
      <c r="A5" t="s">
        <v>1099</v>
      </c>
      <c r="B5" s="14" t="s">
        <v>1252</v>
      </c>
      <c r="E5" t="s">
        <v>1099</v>
      </c>
      <c r="F5" t="str">
        <f t="shared" si="1"/>
        <v>18</v>
      </c>
      <c r="G5">
        <f t="shared" si="2"/>
        <v>1</v>
      </c>
      <c r="I5" t="s">
        <v>661</v>
      </c>
      <c r="J5">
        <f t="shared" si="0"/>
        <v>10</v>
      </c>
      <c r="K5">
        <v>0.6</v>
      </c>
    </row>
    <row r="6" spans="1:11" x14ac:dyDescent="0.25">
      <c r="A6" t="s">
        <v>944</v>
      </c>
      <c r="B6" s="14" t="s">
        <v>1962</v>
      </c>
      <c r="E6" t="s">
        <v>100</v>
      </c>
      <c r="F6" t="str">
        <f t="shared" si="1"/>
        <v>12</v>
      </c>
      <c r="G6">
        <f t="shared" si="2"/>
        <v>1</v>
      </c>
      <c r="I6" t="s">
        <v>56</v>
      </c>
      <c r="J6">
        <f t="shared" si="0"/>
        <v>12</v>
      </c>
      <c r="K6">
        <v>0.6</v>
      </c>
    </row>
    <row r="7" spans="1:11" x14ac:dyDescent="0.25">
      <c r="A7" t="s">
        <v>944</v>
      </c>
      <c r="B7" s="14" t="s">
        <v>826</v>
      </c>
      <c r="E7" t="s">
        <v>959</v>
      </c>
      <c r="F7" t="str">
        <f t="shared" si="1"/>
        <v>11</v>
      </c>
      <c r="G7">
        <f t="shared" si="2"/>
        <v>0.85</v>
      </c>
      <c r="I7" t="s">
        <v>92</v>
      </c>
      <c r="J7">
        <f t="shared" si="0"/>
        <v>5</v>
      </c>
      <c r="K7">
        <v>0.85</v>
      </c>
    </row>
    <row r="8" spans="1:11" x14ac:dyDescent="0.25">
      <c r="A8" t="s">
        <v>100</v>
      </c>
      <c r="B8" s="14" t="s">
        <v>1501</v>
      </c>
      <c r="E8" t="s">
        <v>629</v>
      </c>
      <c r="F8" t="str">
        <f t="shared" si="1"/>
        <v>9</v>
      </c>
      <c r="G8">
        <f t="shared" si="2"/>
        <v>0.85</v>
      </c>
      <c r="I8" t="s">
        <v>907</v>
      </c>
      <c r="J8">
        <f t="shared" si="0"/>
        <v>2</v>
      </c>
      <c r="K8">
        <v>0.85</v>
      </c>
    </row>
    <row r="9" spans="1:11" x14ac:dyDescent="0.25">
      <c r="A9" t="s">
        <v>944</v>
      </c>
      <c r="B9" s="14" t="s">
        <v>1501</v>
      </c>
      <c r="E9" t="s">
        <v>1060</v>
      </c>
      <c r="F9" t="str">
        <f t="shared" si="1"/>
        <v>9</v>
      </c>
      <c r="G9">
        <f t="shared" si="2"/>
        <v>0.85</v>
      </c>
      <c r="I9" t="s">
        <v>697</v>
      </c>
      <c r="J9">
        <f t="shared" si="0"/>
        <v>1</v>
      </c>
      <c r="K9">
        <v>0.85</v>
      </c>
    </row>
    <row r="10" spans="1:11" x14ac:dyDescent="0.25">
      <c r="A10" t="s">
        <v>959</v>
      </c>
      <c r="B10" s="14" t="s">
        <v>934</v>
      </c>
      <c r="E10" t="s">
        <v>554</v>
      </c>
      <c r="F10" t="str">
        <f t="shared" si="1"/>
        <v>8</v>
      </c>
      <c r="G10">
        <f t="shared" si="2"/>
        <v>0.85</v>
      </c>
      <c r="I10" t="s">
        <v>76</v>
      </c>
      <c r="J10">
        <f t="shared" si="0"/>
        <v>2</v>
      </c>
      <c r="K10">
        <v>0.85</v>
      </c>
    </row>
    <row r="11" spans="1:11" x14ac:dyDescent="0.25">
      <c r="A11" t="s">
        <v>629</v>
      </c>
      <c r="B11" s="14" t="s">
        <v>76</v>
      </c>
      <c r="E11" t="s">
        <v>930</v>
      </c>
      <c r="F11" t="str">
        <f t="shared" si="1"/>
        <v>7</v>
      </c>
      <c r="G11">
        <f t="shared" si="2"/>
        <v>0.85</v>
      </c>
      <c r="I11" t="s">
        <v>934</v>
      </c>
      <c r="J11">
        <f t="shared" si="0"/>
        <v>1</v>
      </c>
      <c r="K11">
        <v>0.85</v>
      </c>
    </row>
    <row r="12" spans="1:11" x14ac:dyDescent="0.25">
      <c r="A12" t="s">
        <v>944</v>
      </c>
      <c r="B12" s="14" t="s">
        <v>76</v>
      </c>
      <c r="E12" t="s">
        <v>938</v>
      </c>
      <c r="F12" t="str">
        <f t="shared" si="1"/>
        <v>7</v>
      </c>
      <c r="G12">
        <f t="shared" si="2"/>
        <v>0.85</v>
      </c>
      <c r="I12" t="s">
        <v>1501</v>
      </c>
      <c r="J12">
        <f t="shared" si="0"/>
        <v>1</v>
      </c>
      <c r="K12">
        <v>1</v>
      </c>
    </row>
    <row r="13" spans="1:11" x14ac:dyDescent="0.25">
      <c r="A13" t="s">
        <v>1060</v>
      </c>
      <c r="B13" s="14" t="s">
        <v>76</v>
      </c>
      <c r="E13" t="s">
        <v>143</v>
      </c>
      <c r="F13" t="str">
        <f t="shared" si="1"/>
        <v>6</v>
      </c>
      <c r="G13">
        <f t="shared" si="2"/>
        <v>0.85</v>
      </c>
      <c r="I13" t="s">
        <v>1252</v>
      </c>
      <c r="J13">
        <f t="shared" si="0"/>
        <v>2</v>
      </c>
      <c r="K13">
        <v>1</v>
      </c>
    </row>
    <row r="14" spans="1:11" x14ac:dyDescent="0.25">
      <c r="A14" t="s">
        <v>1068</v>
      </c>
      <c r="B14" s="14" t="s">
        <v>76</v>
      </c>
      <c r="E14" t="s">
        <v>447</v>
      </c>
      <c r="F14" t="str">
        <f t="shared" si="1"/>
        <v>6</v>
      </c>
      <c r="G14">
        <f t="shared" si="2"/>
        <v>0.85</v>
      </c>
      <c r="I14" t="s">
        <v>921</v>
      </c>
      <c r="J14">
        <f t="shared" si="0"/>
        <v>1</v>
      </c>
      <c r="K14">
        <v>1</v>
      </c>
    </row>
    <row r="15" spans="1:11" x14ac:dyDescent="0.25">
      <c r="A15" t="s">
        <v>554</v>
      </c>
      <c r="B15" s="14" t="s">
        <v>697</v>
      </c>
      <c r="E15" t="s">
        <v>737</v>
      </c>
      <c r="F15" t="str">
        <f t="shared" si="1"/>
        <v>6</v>
      </c>
      <c r="G15">
        <f t="shared" si="2"/>
        <v>0.85</v>
      </c>
      <c r="I15" t="s">
        <v>2911</v>
      </c>
      <c r="J15">
        <f t="shared" si="0"/>
        <v>1</v>
      </c>
      <c r="K15">
        <v>1</v>
      </c>
    </row>
    <row r="16" spans="1:11" x14ac:dyDescent="0.25">
      <c r="A16" t="s">
        <v>930</v>
      </c>
      <c r="B16" s="14" t="s">
        <v>907</v>
      </c>
      <c r="E16" t="s">
        <v>861</v>
      </c>
      <c r="F16" t="str">
        <f t="shared" si="1"/>
        <v>6</v>
      </c>
      <c r="G16">
        <f t="shared" si="2"/>
        <v>0.85</v>
      </c>
    </row>
    <row r="17" spans="1:7" x14ac:dyDescent="0.25">
      <c r="A17" t="s">
        <v>938</v>
      </c>
      <c r="B17" s="14" t="s">
        <v>907</v>
      </c>
      <c r="E17" t="s">
        <v>1116</v>
      </c>
      <c r="F17" t="str">
        <f t="shared" si="1"/>
        <v>6</v>
      </c>
      <c r="G17">
        <f t="shared" si="2"/>
        <v>0.85</v>
      </c>
    </row>
    <row r="18" spans="1:7" x14ac:dyDescent="0.25">
      <c r="A18" t="s">
        <v>143</v>
      </c>
      <c r="B18" s="14" t="s">
        <v>92</v>
      </c>
      <c r="E18" t="s">
        <v>131</v>
      </c>
      <c r="F18" t="str">
        <f t="shared" si="1"/>
        <v>5</v>
      </c>
      <c r="G18">
        <f t="shared" si="2"/>
        <v>0.6</v>
      </c>
    </row>
    <row r="19" spans="1:7" x14ac:dyDescent="0.25">
      <c r="A19" t="s">
        <v>447</v>
      </c>
      <c r="B19" s="14" t="s">
        <v>92</v>
      </c>
      <c r="E19" t="s">
        <v>369</v>
      </c>
      <c r="F19" t="str">
        <f t="shared" si="1"/>
        <v>5</v>
      </c>
      <c r="G19">
        <f t="shared" si="2"/>
        <v>0.6</v>
      </c>
    </row>
    <row r="20" spans="1:7" x14ac:dyDescent="0.25">
      <c r="A20" t="s">
        <v>737</v>
      </c>
      <c r="B20" s="14" t="s">
        <v>92</v>
      </c>
      <c r="E20" t="s">
        <v>432</v>
      </c>
      <c r="F20" t="str">
        <f t="shared" si="1"/>
        <v>5</v>
      </c>
      <c r="G20">
        <f t="shared" si="2"/>
        <v>0.6</v>
      </c>
    </row>
    <row r="21" spans="1:7" x14ac:dyDescent="0.25">
      <c r="A21" t="s">
        <v>861</v>
      </c>
      <c r="B21" s="14" t="s">
        <v>92</v>
      </c>
      <c r="E21" t="s">
        <v>488</v>
      </c>
      <c r="F21" t="str">
        <f t="shared" si="1"/>
        <v>5</v>
      </c>
      <c r="G21">
        <f t="shared" si="2"/>
        <v>0.6</v>
      </c>
    </row>
    <row r="22" spans="1:7" x14ac:dyDescent="0.25">
      <c r="A22" t="s">
        <v>938</v>
      </c>
      <c r="B22" s="14" t="s">
        <v>92</v>
      </c>
      <c r="E22" t="s">
        <v>530</v>
      </c>
      <c r="F22" t="str">
        <f t="shared" si="1"/>
        <v>5</v>
      </c>
      <c r="G22">
        <f t="shared" si="2"/>
        <v>0.6</v>
      </c>
    </row>
    <row r="23" spans="1:7" x14ac:dyDescent="0.25">
      <c r="A23" t="s">
        <v>944</v>
      </c>
      <c r="B23" s="14" t="s">
        <v>92</v>
      </c>
      <c r="E23" t="s">
        <v>996</v>
      </c>
      <c r="F23" t="str">
        <f t="shared" si="1"/>
        <v>5</v>
      </c>
      <c r="G23">
        <f t="shared" si="2"/>
        <v>0.6</v>
      </c>
    </row>
    <row r="24" spans="1:7" x14ac:dyDescent="0.25">
      <c r="A24" t="s">
        <v>1060</v>
      </c>
      <c r="B24" s="14" t="s">
        <v>92</v>
      </c>
      <c r="E24" t="s">
        <v>1041</v>
      </c>
      <c r="F24" t="str">
        <f t="shared" si="1"/>
        <v>5</v>
      </c>
      <c r="G24">
        <f t="shared" si="2"/>
        <v>0.6</v>
      </c>
    </row>
    <row r="25" spans="1:7" x14ac:dyDescent="0.25">
      <c r="A25" t="s">
        <v>1068</v>
      </c>
      <c r="B25" s="14" t="s">
        <v>92</v>
      </c>
      <c r="E25" t="s">
        <v>1092</v>
      </c>
      <c r="F25" t="str">
        <f t="shared" si="1"/>
        <v>5</v>
      </c>
      <c r="G25">
        <f t="shared" si="2"/>
        <v>0.6</v>
      </c>
    </row>
    <row r="26" spans="1:7" x14ac:dyDescent="0.25">
      <c r="A26" t="s">
        <v>1116</v>
      </c>
      <c r="B26" s="14" t="s">
        <v>92</v>
      </c>
      <c r="E26" t="s">
        <v>1137</v>
      </c>
      <c r="F26" t="str">
        <f t="shared" si="1"/>
        <v>5</v>
      </c>
      <c r="G26">
        <f t="shared" si="2"/>
        <v>0.6</v>
      </c>
    </row>
    <row r="27" spans="1:7" x14ac:dyDescent="0.25">
      <c r="A27" t="s">
        <v>131</v>
      </c>
      <c r="B27" s="14" t="s">
        <v>56</v>
      </c>
      <c r="E27" t="s">
        <v>1152</v>
      </c>
      <c r="F27" t="str">
        <f t="shared" si="1"/>
        <v>5</v>
      </c>
      <c r="G27">
        <f t="shared" si="2"/>
        <v>0.6</v>
      </c>
    </row>
    <row r="28" spans="1:7" x14ac:dyDescent="0.25">
      <c r="A28" t="s">
        <v>369</v>
      </c>
      <c r="B28" s="14" t="s">
        <v>56</v>
      </c>
      <c r="E28" t="s">
        <v>1233</v>
      </c>
      <c r="F28" t="str">
        <f t="shared" si="1"/>
        <v>5</v>
      </c>
      <c r="G28">
        <f t="shared" si="2"/>
        <v>0.6</v>
      </c>
    </row>
    <row r="29" spans="1:7" x14ac:dyDescent="0.25">
      <c r="A29" t="s">
        <v>432</v>
      </c>
      <c r="B29" s="14" t="s">
        <v>56</v>
      </c>
      <c r="E29" t="s">
        <v>1349</v>
      </c>
      <c r="F29" t="str">
        <f t="shared" si="1"/>
        <v>5</v>
      </c>
      <c r="G29">
        <f t="shared" si="2"/>
        <v>0.6</v>
      </c>
    </row>
    <row r="30" spans="1:7" x14ac:dyDescent="0.25">
      <c r="A30" t="s">
        <v>488</v>
      </c>
      <c r="B30" s="14" t="s">
        <v>56</v>
      </c>
      <c r="E30" t="s">
        <v>34</v>
      </c>
      <c r="F30" t="str">
        <f t="shared" si="1"/>
        <v>4</v>
      </c>
      <c r="G30">
        <f t="shared" si="2"/>
        <v>0.6</v>
      </c>
    </row>
    <row r="31" spans="1:7" x14ac:dyDescent="0.25">
      <c r="A31" t="s">
        <v>530</v>
      </c>
      <c r="B31" s="14" t="s">
        <v>56</v>
      </c>
      <c r="E31" t="s">
        <v>325</v>
      </c>
      <c r="F31" t="str">
        <f t="shared" si="1"/>
        <v>4</v>
      </c>
      <c r="G31">
        <f t="shared" si="2"/>
        <v>0.6</v>
      </c>
    </row>
    <row r="32" spans="1:7" x14ac:dyDescent="0.25">
      <c r="A32" t="s">
        <v>861</v>
      </c>
      <c r="B32" s="14" t="s">
        <v>56</v>
      </c>
      <c r="E32" t="s">
        <v>338</v>
      </c>
      <c r="F32" t="str">
        <f t="shared" si="1"/>
        <v>4</v>
      </c>
      <c r="G32">
        <f t="shared" si="2"/>
        <v>0.6</v>
      </c>
    </row>
    <row r="33" spans="1:7" x14ac:dyDescent="0.25">
      <c r="A33" t="s">
        <v>930</v>
      </c>
      <c r="B33" s="14" t="s">
        <v>56</v>
      </c>
      <c r="E33" t="s">
        <v>985</v>
      </c>
      <c r="F33" t="str">
        <f t="shared" si="1"/>
        <v>4</v>
      </c>
      <c r="G33">
        <f t="shared" si="2"/>
        <v>0.6</v>
      </c>
    </row>
    <row r="34" spans="1:7" x14ac:dyDescent="0.25">
      <c r="A34" t="s">
        <v>996</v>
      </c>
      <c r="B34" s="14" t="s">
        <v>56</v>
      </c>
      <c r="E34" t="s">
        <v>1108</v>
      </c>
      <c r="F34" t="str">
        <f t="shared" si="1"/>
        <v>4</v>
      </c>
      <c r="G34">
        <f t="shared" si="2"/>
        <v>0.6</v>
      </c>
    </row>
    <row r="35" spans="1:7" x14ac:dyDescent="0.25">
      <c r="A35" t="s">
        <v>1041</v>
      </c>
      <c r="B35" s="14" t="s">
        <v>56</v>
      </c>
      <c r="E35" t="s">
        <v>1219</v>
      </c>
      <c r="F35" t="str">
        <f t="shared" si="1"/>
        <v>4</v>
      </c>
      <c r="G35">
        <f t="shared" si="2"/>
        <v>0.6</v>
      </c>
    </row>
    <row r="36" spans="1:7" x14ac:dyDescent="0.25">
      <c r="A36" t="s">
        <v>1060</v>
      </c>
      <c r="B36" s="14" t="s">
        <v>56</v>
      </c>
      <c r="E36" t="s">
        <v>1247</v>
      </c>
      <c r="F36" t="str">
        <f t="shared" si="1"/>
        <v>4</v>
      </c>
      <c r="G36">
        <f t="shared" si="2"/>
        <v>0.6</v>
      </c>
    </row>
    <row r="37" spans="1:7" x14ac:dyDescent="0.25">
      <c r="A37" t="s">
        <v>1092</v>
      </c>
      <c r="B37" s="14" t="s">
        <v>56</v>
      </c>
      <c r="E37" t="s">
        <v>1263</v>
      </c>
      <c r="F37" t="str">
        <f t="shared" si="1"/>
        <v>4</v>
      </c>
      <c r="G37">
        <f t="shared" si="2"/>
        <v>0.6</v>
      </c>
    </row>
    <row r="38" spans="1:7" x14ac:dyDescent="0.25">
      <c r="A38" t="s">
        <v>1137</v>
      </c>
      <c r="B38" s="14" t="s">
        <v>56</v>
      </c>
      <c r="E38" t="s">
        <v>1316</v>
      </c>
      <c r="F38" t="str">
        <f t="shared" si="1"/>
        <v>4</v>
      </c>
      <c r="G38">
        <f t="shared" si="2"/>
        <v>0.6</v>
      </c>
    </row>
    <row r="39" spans="1:7" x14ac:dyDescent="0.25">
      <c r="A39" t="s">
        <v>1152</v>
      </c>
      <c r="B39" s="14" t="s">
        <v>56</v>
      </c>
      <c r="E39" t="s">
        <v>1390</v>
      </c>
      <c r="F39" t="str">
        <f t="shared" si="1"/>
        <v>4</v>
      </c>
      <c r="G39">
        <f t="shared" si="2"/>
        <v>0.6</v>
      </c>
    </row>
    <row r="40" spans="1:7" x14ac:dyDescent="0.25">
      <c r="A40" t="s">
        <v>1233</v>
      </c>
      <c r="B40" s="14" t="s">
        <v>56</v>
      </c>
      <c r="E40" t="s">
        <v>19</v>
      </c>
      <c r="F40" t="str">
        <f t="shared" si="1"/>
        <v>3</v>
      </c>
      <c r="G40">
        <f t="shared" si="2"/>
        <v>0.6</v>
      </c>
    </row>
    <row r="41" spans="1:7" x14ac:dyDescent="0.25">
      <c r="A41" t="s">
        <v>1349</v>
      </c>
      <c r="B41" s="14" t="s">
        <v>56</v>
      </c>
      <c r="E41" t="s">
        <v>43</v>
      </c>
      <c r="F41" t="str">
        <f t="shared" si="1"/>
        <v>3</v>
      </c>
      <c r="G41">
        <f t="shared" si="2"/>
        <v>0.6</v>
      </c>
    </row>
    <row r="42" spans="1:7" x14ac:dyDescent="0.25">
      <c r="A42" t="s">
        <v>34</v>
      </c>
      <c r="B42" s="14" t="s">
        <v>661</v>
      </c>
      <c r="E42" t="s">
        <v>233</v>
      </c>
      <c r="F42" t="str">
        <f t="shared" si="1"/>
        <v>3</v>
      </c>
      <c r="G42">
        <f t="shared" si="2"/>
        <v>0.6</v>
      </c>
    </row>
    <row r="43" spans="1:7" x14ac:dyDescent="0.25">
      <c r="A43" t="s">
        <v>325</v>
      </c>
      <c r="B43" s="14" t="s">
        <v>661</v>
      </c>
      <c r="E43" t="s">
        <v>240</v>
      </c>
      <c r="F43" t="str">
        <f t="shared" si="1"/>
        <v>3</v>
      </c>
      <c r="G43">
        <f t="shared" si="2"/>
        <v>0.6</v>
      </c>
    </row>
    <row r="44" spans="1:7" x14ac:dyDescent="0.25">
      <c r="A44" t="s">
        <v>338</v>
      </c>
      <c r="B44" s="14" t="s">
        <v>661</v>
      </c>
      <c r="E44" t="s">
        <v>245</v>
      </c>
      <c r="F44" t="str">
        <f t="shared" si="1"/>
        <v>3</v>
      </c>
      <c r="G44">
        <f t="shared" si="2"/>
        <v>0.6</v>
      </c>
    </row>
    <row r="45" spans="1:7" x14ac:dyDescent="0.25">
      <c r="A45" t="s">
        <v>432</v>
      </c>
      <c r="B45" s="14" t="s">
        <v>661</v>
      </c>
      <c r="E45" t="s">
        <v>254</v>
      </c>
      <c r="F45" t="str">
        <f t="shared" si="1"/>
        <v>3</v>
      </c>
      <c r="G45">
        <f t="shared" si="2"/>
        <v>0.6</v>
      </c>
    </row>
    <row r="46" spans="1:7" x14ac:dyDescent="0.25">
      <c r="A46" t="s">
        <v>530</v>
      </c>
      <c r="B46" s="14" t="s">
        <v>661</v>
      </c>
      <c r="E46" t="s">
        <v>296</v>
      </c>
      <c r="F46" t="str">
        <f t="shared" si="1"/>
        <v>3</v>
      </c>
      <c r="G46">
        <f t="shared" si="2"/>
        <v>0.6</v>
      </c>
    </row>
    <row r="47" spans="1:7" x14ac:dyDescent="0.25">
      <c r="A47" t="s">
        <v>737</v>
      </c>
      <c r="B47" s="14" t="s">
        <v>661</v>
      </c>
      <c r="E47" t="s">
        <v>302</v>
      </c>
      <c r="F47" t="str">
        <f t="shared" si="1"/>
        <v>3</v>
      </c>
      <c r="G47">
        <f t="shared" si="2"/>
        <v>0.6</v>
      </c>
    </row>
    <row r="48" spans="1:7" x14ac:dyDescent="0.25">
      <c r="A48" t="s">
        <v>930</v>
      </c>
      <c r="B48" s="14" t="s">
        <v>661</v>
      </c>
      <c r="E48" t="s">
        <v>307</v>
      </c>
      <c r="F48" t="str">
        <f t="shared" si="1"/>
        <v>3</v>
      </c>
      <c r="G48">
        <f t="shared" si="2"/>
        <v>0.6</v>
      </c>
    </row>
    <row r="49" spans="1:7" x14ac:dyDescent="0.25">
      <c r="A49" t="s">
        <v>938</v>
      </c>
      <c r="B49" s="14" t="s">
        <v>661</v>
      </c>
      <c r="E49" t="s">
        <v>342</v>
      </c>
      <c r="F49" t="str">
        <f t="shared" si="1"/>
        <v>3</v>
      </c>
      <c r="G49">
        <f t="shared" si="2"/>
        <v>0.6</v>
      </c>
    </row>
    <row r="50" spans="1:7" x14ac:dyDescent="0.25">
      <c r="A50" t="s">
        <v>959</v>
      </c>
      <c r="B50" s="14" t="s">
        <v>661</v>
      </c>
      <c r="E50" t="s">
        <v>374</v>
      </c>
      <c r="F50" t="str">
        <f t="shared" si="1"/>
        <v>3</v>
      </c>
      <c r="G50">
        <f t="shared" si="2"/>
        <v>0.6</v>
      </c>
    </row>
    <row r="51" spans="1:7" x14ac:dyDescent="0.25">
      <c r="A51" t="s">
        <v>985</v>
      </c>
      <c r="B51" s="14" t="s">
        <v>661</v>
      </c>
      <c r="E51" t="s">
        <v>408</v>
      </c>
      <c r="F51" t="str">
        <f t="shared" si="1"/>
        <v>3</v>
      </c>
      <c r="G51">
        <f t="shared" si="2"/>
        <v>0.6</v>
      </c>
    </row>
    <row r="52" spans="1:7" x14ac:dyDescent="0.25">
      <c r="A52" t="s">
        <v>1068</v>
      </c>
      <c r="B52" s="14" t="s">
        <v>661</v>
      </c>
      <c r="E52" t="s">
        <v>483</v>
      </c>
      <c r="F52" t="str">
        <f t="shared" si="1"/>
        <v>3</v>
      </c>
      <c r="G52">
        <f t="shared" si="2"/>
        <v>0.6</v>
      </c>
    </row>
    <row r="53" spans="1:7" x14ac:dyDescent="0.25">
      <c r="A53" t="s">
        <v>1092</v>
      </c>
      <c r="B53" s="14" t="s">
        <v>661</v>
      </c>
      <c r="E53" t="s">
        <v>659</v>
      </c>
      <c r="F53" t="str">
        <f t="shared" si="1"/>
        <v>3</v>
      </c>
      <c r="G53">
        <f t="shared" si="2"/>
        <v>0.6</v>
      </c>
    </row>
    <row r="54" spans="1:7" x14ac:dyDescent="0.25">
      <c r="A54" t="s">
        <v>1099</v>
      </c>
      <c r="B54" s="14" t="s">
        <v>661</v>
      </c>
      <c r="E54" t="s">
        <v>687</v>
      </c>
      <c r="F54" t="str">
        <f t="shared" si="1"/>
        <v>3</v>
      </c>
      <c r="G54">
        <f t="shared" si="2"/>
        <v>0.6</v>
      </c>
    </row>
    <row r="55" spans="1:7" x14ac:dyDescent="0.25">
      <c r="A55" t="s">
        <v>1108</v>
      </c>
      <c r="B55" s="14" t="s">
        <v>661</v>
      </c>
      <c r="E55" t="s">
        <v>700</v>
      </c>
      <c r="F55" t="str">
        <f t="shared" si="1"/>
        <v>3</v>
      </c>
      <c r="G55">
        <f t="shared" si="2"/>
        <v>0.6</v>
      </c>
    </row>
    <row r="56" spans="1:7" x14ac:dyDescent="0.25">
      <c r="A56" t="s">
        <v>1137</v>
      </c>
      <c r="B56" s="14" t="s">
        <v>661</v>
      </c>
      <c r="E56" t="s">
        <v>871</v>
      </c>
      <c r="F56" t="str">
        <f t="shared" si="1"/>
        <v>3</v>
      </c>
      <c r="G56">
        <f t="shared" si="2"/>
        <v>0.6</v>
      </c>
    </row>
    <row r="57" spans="1:7" x14ac:dyDescent="0.25">
      <c r="A57" t="s">
        <v>1219</v>
      </c>
      <c r="B57" s="14" t="s">
        <v>661</v>
      </c>
      <c r="E57" t="s">
        <v>1030</v>
      </c>
      <c r="F57" t="str">
        <f t="shared" si="1"/>
        <v>3</v>
      </c>
      <c r="G57">
        <f t="shared" si="2"/>
        <v>0.6</v>
      </c>
    </row>
    <row r="58" spans="1:7" x14ac:dyDescent="0.25">
      <c r="A58" t="s">
        <v>1247</v>
      </c>
      <c r="B58" s="14" t="s">
        <v>661</v>
      </c>
      <c r="E58" t="s">
        <v>1081</v>
      </c>
      <c r="F58" t="str">
        <f t="shared" si="1"/>
        <v>3</v>
      </c>
      <c r="G58">
        <f t="shared" si="2"/>
        <v>0.6</v>
      </c>
    </row>
    <row r="59" spans="1:7" x14ac:dyDescent="0.25">
      <c r="A59" t="s">
        <v>1263</v>
      </c>
      <c r="B59" s="14" t="s">
        <v>661</v>
      </c>
      <c r="E59" t="s">
        <v>1086</v>
      </c>
      <c r="F59" t="str">
        <f t="shared" si="1"/>
        <v>3</v>
      </c>
      <c r="G59">
        <f t="shared" si="2"/>
        <v>0.6</v>
      </c>
    </row>
    <row r="60" spans="1:7" x14ac:dyDescent="0.25">
      <c r="A60" t="s">
        <v>1316</v>
      </c>
      <c r="B60" s="14" t="s">
        <v>661</v>
      </c>
      <c r="E60" t="s">
        <v>1123</v>
      </c>
      <c r="F60" t="str">
        <f t="shared" si="1"/>
        <v>3</v>
      </c>
      <c r="G60">
        <f t="shared" si="2"/>
        <v>0.6</v>
      </c>
    </row>
    <row r="61" spans="1:7" x14ac:dyDescent="0.25">
      <c r="A61" t="s">
        <v>1390</v>
      </c>
      <c r="B61" s="14" t="s">
        <v>661</v>
      </c>
      <c r="E61" t="s">
        <v>1174</v>
      </c>
      <c r="F61" t="str">
        <f t="shared" si="1"/>
        <v>3</v>
      </c>
      <c r="G61">
        <f t="shared" si="2"/>
        <v>0.6</v>
      </c>
    </row>
    <row r="62" spans="1:7" x14ac:dyDescent="0.25">
      <c r="A62" t="s">
        <v>19</v>
      </c>
      <c r="B62" s="14" t="s">
        <v>39</v>
      </c>
      <c r="E62" t="s">
        <v>1181</v>
      </c>
      <c r="F62" t="str">
        <f t="shared" si="1"/>
        <v>3</v>
      </c>
      <c r="G62">
        <f t="shared" si="2"/>
        <v>0.6</v>
      </c>
    </row>
    <row r="63" spans="1:7" x14ac:dyDescent="0.25">
      <c r="A63" t="s">
        <v>34</v>
      </c>
      <c r="B63" s="14" t="s">
        <v>39</v>
      </c>
      <c r="E63" t="s">
        <v>1187</v>
      </c>
      <c r="F63" t="str">
        <f t="shared" si="1"/>
        <v>3</v>
      </c>
      <c r="G63">
        <f t="shared" si="2"/>
        <v>0.6</v>
      </c>
    </row>
    <row r="64" spans="1:7" x14ac:dyDescent="0.25">
      <c r="A64" t="s">
        <v>43</v>
      </c>
      <c r="B64" s="14" t="s">
        <v>39</v>
      </c>
      <c r="E64" t="s">
        <v>1211</v>
      </c>
      <c r="F64" t="str">
        <f t="shared" si="1"/>
        <v>3</v>
      </c>
      <c r="G64">
        <f t="shared" si="2"/>
        <v>0.6</v>
      </c>
    </row>
    <row r="65" spans="1:7" x14ac:dyDescent="0.25">
      <c r="A65" t="s">
        <v>233</v>
      </c>
      <c r="B65" s="14" t="s">
        <v>39</v>
      </c>
      <c r="E65" t="s">
        <v>1286</v>
      </c>
      <c r="F65" t="str">
        <f t="shared" si="1"/>
        <v>3</v>
      </c>
      <c r="G65">
        <f t="shared" si="2"/>
        <v>0.6</v>
      </c>
    </row>
    <row r="66" spans="1:7" x14ac:dyDescent="0.25">
      <c r="A66" t="s">
        <v>240</v>
      </c>
      <c r="B66" s="14" t="s">
        <v>39</v>
      </c>
      <c r="E66" t="s">
        <v>1358</v>
      </c>
      <c r="F66" t="str">
        <f t="shared" si="1"/>
        <v>3</v>
      </c>
      <c r="G66">
        <f t="shared" si="2"/>
        <v>0.6</v>
      </c>
    </row>
    <row r="67" spans="1:7" x14ac:dyDescent="0.25">
      <c r="A67" t="s">
        <v>245</v>
      </c>
      <c r="B67" s="14" t="s">
        <v>39</v>
      </c>
      <c r="E67" t="s">
        <v>1367</v>
      </c>
      <c r="F67" t="str">
        <f t="shared" ref="F67:F130" si="3">VLOOKUP(E67,A:B,2,0)</f>
        <v>3</v>
      </c>
      <c r="G67">
        <f t="shared" ref="G67:G130" si="4">VLOOKUP(F67,$I$2:$K$15,3,0)</f>
        <v>0.6</v>
      </c>
    </row>
    <row r="68" spans="1:7" x14ac:dyDescent="0.25">
      <c r="A68" t="s">
        <v>254</v>
      </c>
      <c r="B68" s="14" t="s">
        <v>39</v>
      </c>
      <c r="E68" t="s">
        <v>26</v>
      </c>
      <c r="F68" t="str">
        <f t="shared" si="3"/>
        <v>2</v>
      </c>
      <c r="G68">
        <f t="shared" si="4"/>
        <v>0.2</v>
      </c>
    </row>
    <row r="69" spans="1:7" x14ac:dyDescent="0.25">
      <c r="A69" t="s">
        <v>296</v>
      </c>
      <c r="B69" s="14" t="s">
        <v>39</v>
      </c>
      <c r="E69" t="s">
        <v>63</v>
      </c>
      <c r="F69" t="str">
        <f t="shared" si="3"/>
        <v>2</v>
      </c>
      <c r="G69">
        <f t="shared" si="4"/>
        <v>0.2</v>
      </c>
    </row>
    <row r="70" spans="1:7" x14ac:dyDescent="0.25">
      <c r="A70" t="s">
        <v>302</v>
      </c>
      <c r="B70" s="14" t="s">
        <v>39</v>
      </c>
      <c r="E70" t="s">
        <v>71</v>
      </c>
      <c r="F70" t="str">
        <f t="shared" si="3"/>
        <v>2</v>
      </c>
      <c r="G70">
        <f t="shared" si="4"/>
        <v>0.2</v>
      </c>
    </row>
    <row r="71" spans="1:7" x14ac:dyDescent="0.25">
      <c r="A71" t="s">
        <v>307</v>
      </c>
      <c r="B71" s="14" t="s">
        <v>39</v>
      </c>
      <c r="E71" t="s">
        <v>80</v>
      </c>
      <c r="F71" t="str">
        <f t="shared" si="3"/>
        <v>2</v>
      </c>
      <c r="G71">
        <f t="shared" si="4"/>
        <v>0.2</v>
      </c>
    </row>
    <row r="72" spans="1:7" x14ac:dyDescent="0.25">
      <c r="A72" t="s">
        <v>325</v>
      </c>
      <c r="B72" s="14" t="s">
        <v>39</v>
      </c>
      <c r="E72" t="s">
        <v>115</v>
      </c>
      <c r="F72" t="str">
        <f t="shared" si="3"/>
        <v>2</v>
      </c>
      <c r="G72">
        <f t="shared" si="4"/>
        <v>0.2</v>
      </c>
    </row>
    <row r="73" spans="1:7" x14ac:dyDescent="0.25">
      <c r="A73" t="s">
        <v>342</v>
      </c>
      <c r="B73" s="14" t="s">
        <v>39</v>
      </c>
      <c r="E73" t="s">
        <v>191</v>
      </c>
      <c r="F73" t="str">
        <f t="shared" si="3"/>
        <v>2</v>
      </c>
      <c r="G73">
        <f t="shared" si="4"/>
        <v>0.2</v>
      </c>
    </row>
    <row r="74" spans="1:7" x14ac:dyDescent="0.25">
      <c r="A74" t="s">
        <v>374</v>
      </c>
      <c r="B74" s="14" t="s">
        <v>39</v>
      </c>
      <c r="E74" t="s">
        <v>248</v>
      </c>
      <c r="F74" t="str">
        <f t="shared" si="3"/>
        <v>2</v>
      </c>
      <c r="G74">
        <f t="shared" si="4"/>
        <v>0.2</v>
      </c>
    </row>
    <row r="75" spans="1:7" x14ac:dyDescent="0.25">
      <c r="A75" t="s">
        <v>408</v>
      </c>
      <c r="B75" s="14" t="s">
        <v>39</v>
      </c>
      <c r="E75" t="s">
        <v>271</v>
      </c>
      <c r="F75" t="str">
        <f t="shared" si="3"/>
        <v>2</v>
      </c>
      <c r="G75">
        <f t="shared" si="4"/>
        <v>0.2</v>
      </c>
    </row>
    <row r="76" spans="1:7" x14ac:dyDescent="0.25">
      <c r="A76" t="s">
        <v>483</v>
      </c>
      <c r="B76" s="14" t="s">
        <v>39</v>
      </c>
      <c r="E76" t="s">
        <v>291</v>
      </c>
      <c r="F76" t="str">
        <f t="shared" si="3"/>
        <v>2</v>
      </c>
      <c r="G76">
        <f t="shared" si="4"/>
        <v>0.2</v>
      </c>
    </row>
    <row r="77" spans="1:7" x14ac:dyDescent="0.25">
      <c r="A77" t="s">
        <v>530</v>
      </c>
      <c r="B77" s="14" t="s">
        <v>39</v>
      </c>
      <c r="E77" t="s">
        <v>311</v>
      </c>
      <c r="F77" t="str">
        <f t="shared" si="3"/>
        <v>2</v>
      </c>
      <c r="G77">
        <f t="shared" si="4"/>
        <v>0.2</v>
      </c>
    </row>
    <row r="78" spans="1:7" x14ac:dyDescent="0.25">
      <c r="A78" t="s">
        <v>629</v>
      </c>
      <c r="B78" s="14" t="s">
        <v>39</v>
      </c>
      <c r="E78" t="s">
        <v>317</v>
      </c>
      <c r="F78" t="str">
        <f t="shared" si="3"/>
        <v>2</v>
      </c>
      <c r="G78">
        <f t="shared" si="4"/>
        <v>0.2</v>
      </c>
    </row>
    <row r="79" spans="1:7" x14ac:dyDescent="0.25">
      <c r="A79" t="s">
        <v>659</v>
      </c>
      <c r="B79" s="14" t="s">
        <v>39</v>
      </c>
      <c r="E79" t="s">
        <v>331</v>
      </c>
      <c r="F79" t="str">
        <f t="shared" si="3"/>
        <v>2</v>
      </c>
      <c r="G79">
        <f t="shared" si="4"/>
        <v>0.2</v>
      </c>
    </row>
    <row r="80" spans="1:7" x14ac:dyDescent="0.25">
      <c r="A80" t="s">
        <v>687</v>
      </c>
      <c r="B80" s="14" t="s">
        <v>39</v>
      </c>
      <c r="E80" t="s">
        <v>349</v>
      </c>
      <c r="F80" t="str">
        <f t="shared" si="3"/>
        <v>2</v>
      </c>
      <c r="G80">
        <f t="shared" si="4"/>
        <v>0.2</v>
      </c>
    </row>
    <row r="81" spans="1:7" x14ac:dyDescent="0.25">
      <c r="A81" t="s">
        <v>700</v>
      </c>
      <c r="B81" s="14" t="s">
        <v>39</v>
      </c>
      <c r="E81" t="s">
        <v>364</v>
      </c>
      <c r="F81" t="str">
        <f t="shared" si="3"/>
        <v>2</v>
      </c>
      <c r="G81">
        <f t="shared" si="4"/>
        <v>0.2</v>
      </c>
    </row>
    <row r="82" spans="1:7" x14ac:dyDescent="0.25">
      <c r="A82" t="s">
        <v>737</v>
      </c>
      <c r="B82" s="14" t="s">
        <v>39</v>
      </c>
      <c r="E82" t="s">
        <v>378</v>
      </c>
      <c r="F82" t="str">
        <f t="shared" si="3"/>
        <v>2</v>
      </c>
      <c r="G82">
        <f t="shared" si="4"/>
        <v>0.2</v>
      </c>
    </row>
    <row r="83" spans="1:7" x14ac:dyDescent="0.25">
      <c r="A83" t="s">
        <v>871</v>
      </c>
      <c r="B83" s="14" t="s">
        <v>39</v>
      </c>
      <c r="E83" t="s">
        <v>382</v>
      </c>
      <c r="F83" t="str">
        <f t="shared" si="3"/>
        <v>2</v>
      </c>
      <c r="G83">
        <f t="shared" si="4"/>
        <v>0.2</v>
      </c>
    </row>
    <row r="84" spans="1:7" x14ac:dyDescent="0.25">
      <c r="A84" t="s">
        <v>959</v>
      </c>
      <c r="B84" s="14" t="s">
        <v>39</v>
      </c>
      <c r="E84" t="s">
        <v>384</v>
      </c>
      <c r="F84" t="str">
        <f t="shared" si="3"/>
        <v>2</v>
      </c>
      <c r="G84">
        <f t="shared" si="4"/>
        <v>0.2</v>
      </c>
    </row>
    <row r="85" spans="1:7" x14ac:dyDescent="0.25">
      <c r="A85" t="s">
        <v>1030</v>
      </c>
      <c r="B85" s="14" t="s">
        <v>39</v>
      </c>
      <c r="E85" t="s">
        <v>415</v>
      </c>
      <c r="F85" t="str">
        <f t="shared" si="3"/>
        <v>2</v>
      </c>
      <c r="G85">
        <f t="shared" si="4"/>
        <v>0.2</v>
      </c>
    </row>
    <row r="86" spans="1:7" x14ac:dyDescent="0.25">
      <c r="A86" t="s">
        <v>1068</v>
      </c>
      <c r="B86" s="14" t="s">
        <v>39</v>
      </c>
      <c r="E86" t="s">
        <v>421</v>
      </c>
      <c r="F86" t="str">
        <f t="shared" si="3"/>
        <v>2</v>
      </c>
      <c r="G86">
        <f t="shared" si="4"/>
        <v>0.2</v>
      </c>
    </row>
    <row r="87" spans="1:7" x14ac:dyDescent="0.25">
      <c r="A87" t="s">
        <v>1081</v>
      </c>
      <c r="B87" s="14" t="s">
        <v>39</v>
      </c>
      <c r="E87" t="s">
        <v>478</v>
      </c>
      <c r="F87" t="str">
        <f t="shared" si="3"/>
        <v>2</v>
      </c>
      <c r="G87">
        <f t="shared" si="4"/>
        <v>0.2</v>
      </c>
    </row>
    <row r="88" spans="1:7" x14ac:dyDescent="0.25">
      <c r="A88" t="s">
        <v>1086</v>
      </c>
      <c r="B88" s="14" t="s">
        <v>39</v>
      </c>
      <c r="E88" t="s">
        <v>537</v>
      </c>
      <c r="F88" t="str">
        <f t="shared" si="3"/>
        <v>2</v>
      </c>
      <c r="G88">
        <f t="shared" si="4"/>
        <v>0.2</v>
      </c>
    </row>
    <row r="89" spans="1:7" x14ac:dyDescent="0.25">
      <c r="A89" t="s">
        <v>1108</v>
      </c>
      <c r="B89" s="14" t="s">
        <v>39</v>
      </c>
      <c r="E89" t="s">
        <v>561</v>
      </c>
      <c r="F89" t="str">
        <f t="shared" si="3"/>
        <v>2</v>
      </c>
      <c r="G89">
        <f t="shared" si="4"/>
        <v>0.2</v>
      </c>
    </row>
    <row r="90" spans="1:7" x14ac:dyDescent="0.25">
      <c r="A90" t="s">
        <v>1123</v>
      </c>
      <c r="B90" s="14" t="s">
        <v>39</v>
      </c>
      <c r="E90" t="s">
        <v>648</v>
      </c>
      <c r="F90" t="str">
        <f t="shared" si="3"/>
        <v>2</v>
      </c>
      <c r="G90">
        <f t="shared" si="4"/>
        <v>0.2</v>
      </c>
    </row>
    <row r="91" spans="1:7" x14ac:dyDescent="0.25">
      <c r="A91" t="s">
        <v>1174</v>
      </c>
      <c r="B91" s="14" t="s">
        <v>39</v>
      </c>
      <c r="E91" t="s">
        <v>665</v>
      </c>
      <c r="F91" t="str">
        <f t="shared" si="3"/>
        <v>2</v>
      </c>
      <c r="G91">
        <f t="shared" si="4"/>
        <v>0.2</v>
      </c>
    </row>
    <row r="92" spans="1:7" x14ac:dyDescent="0.25">
      <c r="A92" t="s">
        <v>1181</v>
      </c>
      <c r="B92" s="14" t="s">
        <v>39</v>
      </c>
      <c r="E92" t="s">
        <v>729</v>
      </c>
      <c r="F92" t="str">
        <f t="shared" si="3"/>
        <v>2</v>
      </c>
      <c r="G92">
        <f t="shared" si="4"/>
        <v>0.2</v>
      </c>
    </row>
    <row r="93" spans="1:7" x14ac:dyDescent="0.25">
      <c r="A93" t="s">
        <v>1187</v>
      </c>
      <c r="B93" s="14" t="s">
        <v>39</v>
      </c>
      <c r="E93" t="s">
        <v>767</v>
      </c>
      <c r="F93" t="str">
        <f t="shared" si="3"/>
        <v>2</v>
      </c>
      <c r="G93">
        <f t="shared" si="4"/>
        <v>0.2</v>
      </c>
    </row>
    <row r="94" spans="1:7" x14ac:dyDescent="0.25">
      <c r="A94" t="s">
        <v>1211</v>
      </c>
      <c r="B94" s="14" t="s">
        <v>39</v>
      </c>
      <c r="E94" t="s">
        <v>809</v>
      </c>
      <c r="F94" t="str">
        <f t="shared" si="3"/>
        <v>2</v>
      </c>
      <c r="G94">
        <f t="shared" si="4"/>
        <v>0.2</v>
      </c>
    </row>
    <row r="95" spans="1:7" x14ac:dyDescent="0.25">
      <c r="A95" t="s">
        <v>1263</v>
      </c>
      <c r="B95" s="14" t="s">
        <v>39</v>
      </c>
      <c r="E95" t="s">
        <v>829</v>
      </c>
      <c r="F95" t="str">
        <f t="shared" si="3"/>
        <v>2</v>
      </c>
      <c r="G95">
        <f t="shared" si="4"/>
        <v>0.2</v>
      </c>
    </row>
    <row r="96" spans="1:7" x14ac:dyDescent="0.25">
      <c r="A96" t="s">
        <v>1286</v>
      </c>
      <c r="B96" s="14" t="s">
        <v>39</v>
      </c>
      <c r="E96" t="s">
        <v>887</v>
      </c>
      <c r="F96" t="str">
        <f t="shared" si="3"/>
        <v>2</v>
      </c>
      <c r="G96">
        <f t="shared" si="4"/>
        <v>0.2</v>
      </c>
    </row>
    <row r="97" spans="1:7" x14ac:dyDescent="0.25">
      <c r="A97" t="s">
        <v>1349</v>
      </c>
      <c r="B97" s="14" t="s">
        <v>39</v>
      </c>
      <c r="E97" t="s">
        <v>895</v>
      </c>
      <c r="F97" t="str">
        <f t="shared" si="3"/>
        <v>2</v>
      </c>
      <c r="G97">
        <f t="shared" si="4"/>
        <v>0.2</v>
      </c>
    </row>
    <row r="98" spans="1:7" x14ac:dyDescent="0.25">
      <c r="A98" t="s">
        <v>1358</v>
      </c>
      <c r="B98" s="14" t="s">
        <v>39</v>
      </c>
      <c r="E98" t="s">
        <v>917</v>
      </c>
      <c r="F98" t="str">
        <f t="shared" si="3"/>
        <v>2</v>
      </c>
      <c r="G98">
        <f t="shared" si="4"/>
        <v>0.2</v>
      </c>
    </row>
    <row r="99" spans="1:7" x14ac:dyDescent="0.25">
      <c r="A99" t="s">
        <v>1367</v>
      </c>
      <c r="B99" s="14" t="s">
        <v>39</v>
      </c>
      <c r="E99" t="s">
        <v>924</v>
      </c>
      <c r="F99" t="str">
        <f t="shared" si="3"/>
        <v>2</v>
      </c>
      <c r="G99">
        <f t="shared" si="4"/>
        <v>0.2</v>
      </c>
    </row>
    <row r="100" spans="1:7" x14ac:dyDescent="0.25">
      <c r="A100" t="s">
        <v>26</v>
      </c>
      <c r="B100" s="14" t="s">
        <v>120</v>
      </c>
      <c r="E100" t="s">
        <v>1006</v>
      </c>
      <c r="F100" t="str">
        <f t="shared" si="3"/>
        <v>2</v>
      </c>
      <c r="G100">
        <f t="shared" si="4"/>
        <v>0.2</v>
      </c>
    </row>
    <row r="101" spans="1:7" x14ac:dyDescent="0.25">
      <c r="A101" t="s">
        <v>43</v>
      </c>
      <c r="B101" s="14" t="s">
        <v>120</v>
      </c>
      <c r="E101" t="s">
        <v>1014</v>
      </c>
      <c r="F101" t="str">
        <f t="shared" si="3"/>
        <v>2</v>
      </c>
      <c r="G101">
        <f t="shared" si="4"/>
        <v>0.2</v>
      </c>
    </row>
    <row r="102" spans="1:7" x14ac:dyDescent="0.25">
      <c r="A102" t="s">
        <v>63</v>
      </c>
      <c r="B102" s="14" t="s">
        <v>120</v>
      </c>
      <c r="E102" t="s">
        <v>1024</v>
      </c>
      <c r="F102" t="str">
        <f t="shared" si="3"/>
        <v>2</v>
      </c>
      <c r="G102">
        <f t="shared" si="4"/>
        <v>0.2</v>
      </c>
    </row>
    <row r="103" spans="1:7" x14ac:dyDescent="0.25">
      <c r="A103" t="s">
        <v>71</v>
      </c>
      <c r="B103" s="14" t="s">
        <v>120</v>
      </c>
      <c r="E103" t="s">
        <v>1145</v>
      </c>
      <c r="F103" t="str">
        <f t="shared" si="3"/>
        <v>2</v>
      </c>
      <c r="G103">
        <f t="shared" si="4"/>
        <v>0.2</v>
      </c>
    </row>
    <row r="104" spans="1:7" x14ac:dyDescent="0.25">
      <c r="A104" t="s">
        <v>80</v>
      </c>
      <c r="B104" s="14" t="s">
        <v>120</v>
      </c>
      <c r="E104" t="s">
        <v>1159</v>
      </c>
      <c r="F104" t="str">
        <f t="shared" si="3"/>
        <v>2</v>
      </c>
      <c r="G104">
        <f t="shared" si="4"/>
        <v>0.2</v>
      </c>
    </row>
    <row r="105" spans="1:7" x14ac:dyDescent="0.25">
      <c r="A105" t="s">
        <v>100</v>
      </c>
      <c r="B105" s="14" t="s">
        <v>120</v>
      </c>
      <c r="E105" t="s">
        <v>1196</v>
      </c>
      <c r="F105" t="str">
        <f t="shared" si="3"/>
        <v>2</v>
      </c>
      <c r="G105">
        <f t="shared" si="4"/>
        <v>0.2</v>
      </c>
    </row>
    <row r="106" spans="1:7" x14ac:dyDescent="0.25">
      <c r="A106" t="s">
        <v>115</v>
      </c>
      <c r="B106" s="14" t="s">
        <v>120</v>
      </c>
      <c r="E106" t="s">
        <v>1203</v>
      </c>
      <c r="F106" t="str">
        <f t="shared" si="3"/>
        <v>2</v>
      </c>
      <c r="G106">
        <f t="shared" si="4"/>
        <v>0.2</v>
      </c>
    </row>
    <row r="107" spans="1:7" x14ac:dyDescent="0.25">
      <c r="A107" t="s">
        <v>191</v>
      </c>
      <c r="B107" s="14" t="s">
        <v>120</v>
      </c>
      <c r="E107" t="s">
        <v>1240</v>
      </c>
      <c r="F107" t="str">
        <f t="shared" si="3"/>
        <v>2</v>
      </c>
      <c r="G107">
        <f t="shared" si="4"/>
        <v>0.2</v>
      </c>
    </row>
    <row r="108" spans="1:7" x14ac:dyDescent="0.25">
      <c r="A108" t="s">
        <v>248</v>
      </c>
      <c r="B108" s="14" t="s">
        <v>120</v>
      </c>
      <c r="E108" t="s">
        <v>1271</v>
      </c>
      <c r="F108" t="str">
        <f t="shared" si="3"/>
        <v>2</v>
      </c>
      <c r="G108">
        <f t="shared" si="4"/>
        <v>0.2</v>
      </c>
    </row>
    <row r="109" spans="1:7" x14ac:dyDescent="0.25">
      <c r="A109" t="s">
        <v>271</v>
      </c>
      <c r="B109" s="14" t="s">
        <v>120</v>
      </c>
      <c r="E109" t="s">
        <v>1294</v>
      </c>
      <c r="F109" t="str">
        <f t="shared" si="3"/>
        <v>2</v>
      </c>
      <c r="G109">
        <f t="shared" si="4"/>
        <v>0.2</v>
      </c>
    </row>
    <row r="110" spans="1:7" x14ac:dyDescent="0.25">
      <c r="A110" t="s">
        <v>291</v>
      </c>
      <c r="B110" s="14" t="s">
        <v>120</v>
      </c>
      <c r="E110" t="s">
        <v>1322</v>
      </c>
      <c r="F110" t="str">
        <f t="shared" si="3"/>
        <v>2</v>
      </c>
      <c r="G110">
        <f t="shared" si="4"/>
        <v>0.2</v>
      </c>
    </row>
    <row r="111" spans="1:7" x14ac:dyDescent="0.25">
      <c r="A111" t="s">
        <v>311</v>
      </c>
      <c r="B111" s="14" t="s">
        <v>120</v>
      </c>
      <c r="E111" t="s">
        <v>1344</v>
      </c>
      <c r="F111" t="str">
        <f t="shared" si="3"/>
        <v>2</v>
      </c>
      <c r="G111">
        <f t="shared" si="4"/>
        <v>0.2</v>
      </c>
    </row>
    <row r="112" spans="1:7" x14ac:dyDescent="0.25">
      <c r="A112" t="s">
        <v>317</v>
      </c>
      <c r="B112" s="14" t="s">
        <v>120</v>
      </c>
      <c r="E112" t="s">
        <v>1382</v>
      </c>
      <c r="F112" t="str">
        <f t="shared" si="3"/>
        <v>2</v>
      </c>
      <c r="G112">
        <f t="shared" si="4"/>
        <v>0.2</v>
      </c>
    </row>
    <row r="113" spans="1:7" x14ac:dyDescent="0.25">
      <c r="A113" t="s">
        <v>331</v>
      </c>
      <c r="B113" s="14" t="s">
        <v>120</v>
      </c>
      <c r="E113" t="s">
        <v>11</v>
      </c>
      <c r="F113" t="str">
        <f t="shared" si="3"/>
        <v>1</v>
      </c>
      <c r="G113">
        <f t="shared" si="4"/>
        <v>0.05</v>
      </c>
    </row>
    <row r="114" spans="1:7" x14ac:dyDescent="0.25">
      <c r="A114" t="s">
        <v>349</v>
      </c>
      <c r="B114" s="14" t="s">
        <v>120</v>
      </c>
      <c r="E114" t="s">
        <v>136</v>
      </c>
      <c r="F114" t="str">
        <f t="shared" si="3"/>
        <v>1</v>
      </c>
      <c r="G114">
        <f t="shared" si="4"/>
        <v>0.05</v>
      </c>
    </row>
    <row r="115" spans="1:7" x14ac:dyDescent="0.25">
      <c r="A115" t="s">
        <v>364</v>
      </c>
      <c r="B115" s="14" t="s">
        <v>120</v>
      </c>
      <c r="E115" t="s">
        <v>153</v>
      </c>
      <c r="F115" t="str">
        <f t="shared" si="3"/>
        <v>1</v>
      </c>
      <c r="G115">
        <f t="shared" si="4"/>
        <v>0.05</v>
      </c>
    </row>
    <row r="116" spans="1:7" x14ac:dyDescent="0.25">
      <c r="A116" t="s">
        <v>378</v>
      </c>
      <c r="B116" s="14" t="s">
        <v>120</v>
      </c>
      <c r="E116" t="s">
        <v>160</v>
      </c>
      <c r="F116" t="str">
        <f t="shared" si="3"/>
        <v>1</v>
      </c>
      <c r="G116">
        <f t="shared" si="4"/>
        <v>0.05</v>
      </c>
    </row>
    <row r="117" spans="1:7" x14ac:dyDescent="0.25">
      <c r="A117" t="s">
        <v>382</v>
      </c>
      <c r="B117" s="14" t="s">
        <v>120</v>
      </c>
      <c r="E117" t="s">
        <v>168</v>
      </c>
      <c r="F117" t="str">
        <f t="shared" si="3"/>
        <v>1</v>
      </c>
      <c r="G117">
        <f t="shared" si="4"/>
        <v>0.05</v>
      </c>
    </row>
    <row r="118" spans="1:7" x14ac:dyDescent="0.25">
      <c r="A118" t="s">
        <v>384</v>
      </c>
      <c r="B118" s="14" t="s">
        <v>120</v>
      </c>
      <c r="E118" t="s">
        <v>172</v>
      </c>
      <c r="F118" t="str">
        <f t="shared" si="3"/>
        <v>1</v>
      </c>
      <c r="G118">
        <f t="shared" si="4"/>
        <v>0.05</v>
      </c>
    </row>
    <row r="119" spans="1:7" x14ac:dyDescent="0.25">
      <c r="A119" t="s">
        <v>415</v>
      </c>
      <c r="B119" s="14" t="s">
        <v>120</v>
      </c>
      <c r="E119" t="s">
        <v>177</v>
      </c>
      <c r="F119" t="str">
        <f t="shared" si="3"/>
        <v>1</v>
      </c>
      <c r="G119">
        <f t="shared" si="4"/>
        <v>0.05</v>
      </c>
    </row>
    <row r="120" spans="1:7" x14ac:dyDescent="0.25">
      <c r="A120" t="s">
        <v>421</v>
      </c>
      <c r="B120" s="14" t="s">
        <v>120</v>
      </c>
      <c r="E120" t="s">
        <v>180</v>
      </c>
      <c r="F120" t="str">
        <f t="shared" si="3"/>
        <v>1</v>
      </c>
      <c r="G120">
        <f t="shared" si="4"/>
        <v>0.05</v>
      </c>
    </row>
    <row r="121" spans="1:7" x14ac:dyDescent="0.25">
      <c r="A121" t="s">
        <v>432</v>
      </c>
      <c r="B121" s="14" t="s">
        <v>120</v>
      </c>
      <c r="E121" t="s">
        <v>183</v>
      </c>
      <c r="F121" t="str">
        <f t="shared" si="3"/>
        <v>1</v>
      </c>
      <c r="G121">
        <f t="shared" si="4"/>
        <v>0.05</v>
      </c>
    </row>
    <row r="122" spans="1:7" x14ac:dyDescent="0.25">
      <c r="A122" t="s">
        <v>478</v>
      </c>
      <c r="B122" s="14" t="s">
        <v>120</v>
      </c>
      <c r="E122" t="s">
        <v>186</v>
      </c>
      <c r="F122" t="str">
        <f t="shared" si="3"/>
        <v>1</v>
      </c>
      <c r="G122">
        <f t="shared" si="4"/>
        <v>0.05</v>
      </c>
    </row>
    <row r="123" spans="1:7" x14ac:dyDescent="0.25">
      <c r="A123" t="s">
        <v>530</v>
      </c>
      <c r="B123" s="14" t="s">
        <v>120</v>
      </c>
      <c r="E123" t="s">
        <v>196</v>
      </c>
      <c r="F123" t="str">
        <f t="shared" si="3"/>
        <v>1</v>
      </c>
      <c r="G123">
        <f t="shared" si="4"/>
        <v>0.05</v>
      </c>
    </row>
    <row r="124" spans="1:7" x14ac:dyDescent="0.25">
      <c r="A124" t="s">
        <v>537</v>
      </c>
      <c r="B124" s="14" t="s">
        <v>120</v>
      </c>
      <c r="E124" t="s">
        <v>200</v>
      </c>
      <c r="F124" t="str">
        <f t="shared" si="3"/>
        <v>1</v>
      </c>
      <c r="G124">
        <f t="shared" si="4"/>
        <v>0.05</v>
      </c>
    </row>
    <row r="125" spans="1:7" x14ac:dyDescent="0.25">
      <c r="A125" t="s">
        <v>554</v>
      </c>
      <c r="B125" s="14" t="s">
        <v>120</v>
      </c>
      <c r="E125" t="s">
        <v>204</v>
      </c>
      <c r="F125" t="str">
        <f t="shared" si="3"/>
        <v>1</v>
      </c>
      <c r="G125">
        <f t="shared" si="4"/>
        <v>0.05</v>
      </c>
    </row>
    <row r="126" spans="1:7" x14ac:dyDescent="0.25">
      <c r="A126" t="s">
        <v>561</v>
      </c>
      <c r="B126" s="14" t="s">
        <v>120</v>
      </c>
      <c r="E126" t="s">
        <v>208</v>
      </c>
      <c r="F126" t="str">
        <f t="shared" si="3"/>
        <v>1</v>
      </c>
      <c r="G126">
        <f t="shared" si="4"/>
        <v>0.05</v>
      </c>
    </row>
    <row r="127" spans="1:7" x14ac:dyDescent="0.25">
      <c r="A127" t="s">
        <v>629</v>
      </c>
      <c r="B127" s="14" t="s">
        <v>120</v>
      </c>
      <c r="E127" t="s">
        <v>211</v>
      </c>
      <c r="F127" t="str">
        <f t="shared" si="3"/>
        <v>1</v>
      </c>
      <c r="G127">
        <f t="shared" si="4"/>
        <v>0.05</v>
      </c>
    </row>
    <row r="128" spans="1:7" x14ac:dyDescent="0.25">
      <c r="A128" t="s">
        <v>648</v>
      </c>
      <c r="B128" s="14" t="s">
        <v>120</v>
      </c>
      <c r="E128" t="s">
        <v>213</v>
      </c>
      <c r="F128" t="str">
        <f t="shared" si="3"/>
        <v>1</v>
      </c>
      <c r="G128">
        <f t="shared" si="4"/>
        <v>0.05</v>
      </c>
    </row>
    <row r="129" spans="1:7" x14ac:dyDescent="0.25">
      <c r="A129" t="s">
        <v>665</v>
      </c>
      <c r="B129" s="14" t="s">
        <v>120</v>
      </c>
      <c r="E129" t="s">
        <v>215</v>
      </c>
      <c r="F129" t="str">
        <f t="shared" si="3"/>
        <v>1</v>
      </c>
      <c r="G129">
        <f t="shared" si="4"/>
        <v>0.05</v>
      </c>
    </row>
    <row r="130" spans="1:7" x14ac:dyDescent="0.25">
      <c r="A130" t="s">
        <v>687</v>
      </c>
      <c r="B130" s="14" t="s">
        <v>120</v>
      </c>
      <c r="E130" t="s">
        <v>217</v>
      </c>
      <c r="F130" t="str">
        <f t="shared" si="3"/>
        <v>1</v>
      </c>
      <c r="G130">
        <f t="shared" si="4"/>
        <v>0.05</v>
      </c>
    </row>
    <row r="131" spans="1:7" x14ac:dyDescent="0.25">
      <c r="A131" t="s">
        <v>729</v>
      </c>
      <c r="B131" s="14" t="s">
        <v>120</v>
      </c>
      <c r="E131" t="s">
        <v>219</v>
      </c>
      <c r="F131" t="str">
        <f t="shared" ref="F131:F194" si="5">VLOOKUP(E131,A:B,2,0)</f>
        <v>1</v>
      </c>
      <c r="G131">
        <f t="shared" ref="G131:G194" si="6">VLOOKUP(F131,$I$2:$K$15,3,0)</f>
        <v>0.05</v>
      </c>
    </row>
    <row r="132" spans="1:7" x14ac:dyDescent="0.25">
      <c r="A132" t="s">
        <v>737</v>
      </c>
      <c r="B132" s="14" t="s">
        <v>120</v>
      </c>
      <c r="E132" t="s">
        <v>221</v>
      </c>
      <c r="F132" t="str">
        <f t="shared" si="5"/>
        <v>1</v>
      </c>
      <c r="G132">
        <f t="shared" si="6"/>
        <v>0.05</v>
      </c>
    </row>
    <row r="133" spans="1:7" x14ac:dyDescent="0.25">
      <c r="A133" t="s">
        <v>767</v>
      </c>
      <c r="B133" s="14" t="s">
        <v>120</v>
      </c>
      <c r="E133" t="s">
        <v>227</v>
      </c>
      <c r="F133" t="str">
        <f t="shared" si="5"/>
        <v>1</v>
      </c>
      <c r="G133">
        <f t="shared" si="6"/>
        <v>0.05</v>
      </c>
    </row>
    <row r="134" spans="1:7" x14ac:dyDescent="0.25">
      <c r="A134" t="s">
        <v>809</v>
      </c>
      <c r="B134" s="14" t="s">
        <v>120</v>
      </c>
      <c r="E134" t="s">
        <v>260</v>
      </c>
      <c r="F134" t="str">
        <f t="shared" si="5"/>
        <v>1</v>
      </c>
      <c r="G134">
        <f t="shared" si="6"/>
        <v>0.05</v>
      </c>
    </row>
    <row r="135" spans="1:7" x14ac:dyDescent="0.25">
      <c r="A135" t="s">
        <v>829</v>
      </c>
      <c r="B135" s="14" t="s">
        <v>120</v>
      </c>
      <c r="E135" t="s">
        <v>266</v>
      </c>
      <c r="F135" t="str">
        <f t="shared" si="5"/>
        <v>1</v>
      </c>
      <c r="G135">
        <f t="shared" si="6"/>
        <v>0.05</v>
      </c>
    </row>
    <row r="136" spans="1:7" x14ac:dyDescent="0.25">
      <c r="A136" t="s">
        <v>861</v>
      </c>
      <c r="B136" s="14" t="s">
        <v>120</v>
      </c>
      <c r="E136" t="s">
        <v>276</v>
      </c>
      <c r="F136" t="str">
        <f t="shared" si="5"/>
        <v>1</v>
      </c>
      <c r="G136">
        <f t="shared" si="6"/>
        <v>0.05</v>
      </c>
    </row>
    <row r="137" spans="1:7" x14ac:dyDescent="0.25">
      <c r="A137" t="s">
        <v>887</v>
      </c>
      <c r="B137" s="14" t="s">
        <v>120</v>
      </c>
      <c r="E137" t="s">
        <v>283</v>
      </c>
      <c r="F137" t="str">
        <f t="shared" si="5"/>
        <v>1</v>
      </c>
      <c r="G137">
        <f t="shared" si="6"/>
        <v>0.05</v>
      </c>
    </row>
    <row r="138" spans="1:7" x14ac:dyDescent="0.25">
      <c r="A138" t="s">
        <v>895</v>
      </c>
      <c r="B138" s="14" t="s">
        <v>120</v>
      </c>
      <c r="E138" t="s">
        <v>335</v>
      </c>
      <c r="F138" t="str">
        <f t="shared" si="5"/>
        <v>1</v>
      </c>
      <c r="G138">
        <f t="shared" si="6"/>
        <v>0.05</v>
      </c>
    </row>
    <row r="139" spans="1:7" x14ac:dyDescent="0.25">
      <c r="A139" t="s">
        <v>917</v>
      </c>
      <c r="B139" s="14" t="s">
        <v>120</v>
      </c>
      <c r="E139" t="s">
        <v>345</v>
      </c>
      <c r="F139" t="str">
        <f t="shared" si="5"/>
        <v>1</v>
      </c>
      <c r="G139">
        <f t="shared" si="6"/>
        <v>0.05</v>
      </c>
    </row>
    <row r="140" spans="1:7" x14ac:dyDescent="0.25">
      <c r="A140" t="s">
        <v>924</v>
      </c>
      <c r="B140" s="14" t="s">
        <v>120</v>
      </c>
      <c r="E140" t="s">
        <v>352</v>
      </c>
      <c r="F140" t="str">
        <f t="shared" si="5"/>
        <v>1</v>
      </c>
      <c r="G140">
        <f t="shared" si="6"/>
        <v>0.05</v>
      </c>
    </row>
    <row r="141" spans="1:7" x14ac:dyDescent="0.25">
      <c r="A141" t="s">
        <v>930</v>
      </c>
      <c r="B141" s="14" t="s">
        <v>120</v>
      </c>
      <c r="E141" t="s">
        <v>355</v>
      </c>
      <c r="F141" t="str">
        <f t="shared" si="5"/>
        <v>1</v>
      </c>
      <c r="G141">
        <f t="shared" si="6"/>
        <v>0.05</v>
      </c>
    </row>
    <row r="142" spans="1:7" x14ac:dyDescent="0.25">
      <c r="A142" t="s">
        <v>1006</v>
      </c>
      <c r="B142" s="14" t="s">
        <v>120</v>
      </c>
      <c r="E142" t="s">
        <v>358</v>
      </c>
      <c r="F142" t="str">
        <f t="shared" si="5"/>
        <v>1</v>
      </c>
      <c r="G142">
        <f t="shared" si="6"/>
        <v>0.05</v>
      </c>
    </row>
    <row r="143" spans="1:7" x14ac:dyDescent="0.25">
      <c r="A143" t="s">
        <v>1014</v>
      </c>
      <c r="B143" s="14" t="s">
        <v>120</v>
      </c>
      <c r="E143" t="s">
        <v>361</v>
      </c>
      <c r="F143" t="str">
        <f t="shared" si="5"/>
        <v>1</v>
      </c>
      <c r="G143">
        <f t="shared" si="6"/>
        <v>0.05</v>
      </c>
    </row>
    <row r="144" spans="1:7" x14ac:dyDescent="0.25">
      <c r="A144" t="s">
        <v>1024</v>
      </c>
      <c r="B144" s="14" t="s">
        <v>120</v>
      </c>
      <c r="E144" t="s">
        <v>387</v>
      </c>
      <c r="F144" t="str">
        <f t="shared" si="5"/>
        <v>1</v>
      </c>
      <c r="G144">
        <f t="shared" si="6"/>
        <v>0.05</v>
      </c>
    </row>
    <row r="145" spans="1:7" x14ac:dyDescent="0.25">
      <c r="A145" t="s">
        <v>1099</v>
      </c>
      <c r="B145" s="14" t="s">
        <v>120</v>
      </c>
      <c r="E145" t="s">
        <v>389</v>
      </c>
      <c r="F145" t="str">
        <f t="shared" si="5"/>
        <v>1</v>
      </c>
      <c r="G145">
        <f t="shared" si="6"/>
        <v>0.05</v>
      </c>
    </row>
    <row r="146" spans="1:7" x14ac:dyDescent="0.25">
      <c r="A146" t="s">
        <v>1108</v>
      </c>
      <c r="B146" s="14" t="s">
        <v>120</v>
      </c>
      <c r="E146" t="s">
        <v>391</v>
      </c>
      <c r="F146" t="str">
        <f t="shared" si="5"/>
        <v>1</v>
      </c>
      <c r="G146">
        <f t="shared" si="6"/>
        <v>0.05</v>
      </c>
    </row>
    <row r="147" spans="1:7" x14ac:dyDescent="0.25">
      <c r="A147" t="s">
        <v>1123</v>
      </c>
      <c r="B147" s="14" t="s">
        <v>120</v>
      </c>
      <c r="E147" t="s">
        <v>393</v>
      </c>
      <c r="F147" t="str">
        <f t="shared" si="5"/>
        <v>1</v>
      </c>
      <c r="G147">
        <f t="shared" si="6"/>
        <v>0.05</v>
      </c>
    </row>
    <row r="148" spans="1:7" x14ac:dyDescent="0.25">
      <c r="A148" t="s">
        <v>1145</v>
      </c>
      <c r="B148" s="14" t="s">
        <v>120</v>
      </c>
      <c r="E148" t="s">
        <v>395</v>
      </c>
      <c r="F148" t="str">
        <f t="shared" si="5"/>
        <v>1</v>
      </c>
      <c r="G148">
        <f t="shared" si="6"/>
        <v>0.05</v>
      </c>
    </row>
    <row r="149" spans="1:7" x14ac:dyDescent="0.25">
      <c r="A149" t="s">
        <v>1152</v>
      </c>
      <c r="B149" s="14" t="s">
        <v>120</v>
      </c>
      <c r="E149" t="s">
        <v>400</v>
      </c>
      <c r="F149" t="str">
        <f t="shared" si="5"/>
        <v>1</v>
      </c>
      <c r="G149">
        <f t="shared" si="6"/>
        <v>0.05</v>
      </c>
    </row>
    <row r="150" spans="1:7" x14ac:dyDescent="0.25">
      <c r="A150" t="s">
        <v>1159</v>
      </c>
      <c r="B150" s="14" t="s">
        <v>120</v>
      </c>
      <c r="E150" t="s">
        <v>404</v>
      </c>
      <c r="F150" t="str">
        <f t="shared" si="5"/>
        <v>1</v>
      </c>
      <c r="G150">
        <f t="shared" si="6"/>
        <v>0.05</v>
      </c>
    </row>
    <row r="151" spans="1:7" x14ac:dyDescent="0.25">
      <c r="A151" t="s">
        <v>1174</v>
      </c>
      <c r="B151" s="14" t="s">
        <v>120</v>
      </c>
      <c r="E151" t="s">
        <v>437</v>
      </c>
      <c r="F151" t="str">
        <f t="shared" si="5"/>
        <v>1</v>
      </c>
      <c r="G151">
        <f t="shared" si="6"/>
        <v>0.05</v>
      </c>
    </row>
    <row r="152" spans="1:7" x14ac:dyDescent="0.25">
      <c r="A152" t="s">
        <v>1196</v>
      </c>
      <c r="B152" s="14" t="s">
        <v>120</v>
      </c>
      <c r="E152" t="s">
        <v>442</v>
      </c>
      <c r="F152" t="str">
        <f t="shared" si="5"/>
        <v>1</v>
      </c>
      <c r="G152">
        <f t="shared" si="6"/>
        <v>0.05</v>
      </c>
    </row>
    <row r="153" spans="1:7" x14ac:dyDescent="0.25">
      <c r="A153" t="s">
        <v>1203</v>
      </c>
      <c r="B153" s="14" t="s">
        <v>120</v>
      </c>
      <c r="E153" t="s">
        <v>452</v>
      </c>
      <c r="F153" t="str">
        <f t="shared" si="5"/>
        <v>1</v>
      </c>
      <c r="G153">
        <f t="shared" si="6"/>
        <v>0.05</v>
      </c>
    </row>
    <row r="154" spans="1:7" x14ac:dyDescent="0.25">
      <c r="A154" t="s">
        <v>1240</v>
      </c>
      <c r="B154" s="14" t="s">
        <v>120</v>
      </c>
      <c r="E154" t="s">
        <v>458</v>
      </c>
      <c r="F154" t="str">
        <f t="shared" si="5"/>
        <v>1</v>
      </c>
      <c r="G154">
        <f t="shared" si="6"/>
        <v>0.05</v>
      </c>
    </row>
    <row r="155" spans="1:7" x14ac:dyDescent="0.25">
      <c r="A155" t="s">
        <v>1263</v>
      </c>
      <c r="B155" s="14" t="s">
        <v>120</v>
      </c>
      <c r="E155" t="s">
        <v>463</v>
      </c>
      <c r="F155" t="str">
        <f t="shared" si="5"/>
        <v>1</v>
      </c>
      <c r="G155">
        <f t="shared" si="6"/>
        <v>0.05</v>
      </c>
    </row>
    <row r="156" spans="1:7" x14ac:dyDescent="0.25">
      <c r="A156" t="s">
        <v>1271</v>
      </c>
      <c r="B156" s="14" t="s">
        <v>120</v>
      </c>
      <c r="E156" t="s">
        <v>466</v>
      </c>
      <c r="F156" t="str">
        <f t="shared" si="5"/>
        <v>1</v>
      </c>
      <c r="G156">
        <f t="shared" si="6"/>
        <v>0.05</v>
      </c>
    </row>
    <row r="157" spans="1:7" x14ac:dyDescent="0.25">
      <c r="A157" t="s">
        <v>1286</v>
      </c>
      <c r="B157" s="14" t="s">
        <v>120</v>
      </c>
      <c r="E157" t="s">
        <v>469</v>
      </c>
      <c r="F157" t="str">
        <f t="shared" si="5"/>
        <v>1</v>
      </c>
      <c r="G157">
        <f t="shared" si="6"/>
        <v>0.05</v>
      </c>
    </row>
    <row r="158" spans="1:7" x14ac:dyDescent="0.25">
      <c r="A158" t="s">
        <v>1294</v>
      </c>
      <c r="B158" s="14" t="s">
        <v>120</v>
      </c>
      <c r="E158" t="s">
        <v>472</v>
      </c>
      <c r="F158" t="str">
        <f t="shared" si="5"/>
        <v>1</v>
      </c>
      <c r="G158">
        <f t="shared" si="6"/>
        <v>0.05</v>
      </c>
    </row>
    <row r="159" spans="1:7" x14ac:dyDescent="0.25">
      <c r="A159" t="s">
        <v>1322</v>
      </c>
      <c r="B159" s="14" t="s">
        <v>120</v>
      </c>
      <c r="E159" t="s">
        <v>493</v>
      </c>
      <c r="F159" t="str">
        <f t="shared" si="5"/>
        <v>1</v>
      </c>
      <c r="G159">
        <f t="shared" si="6"/>
        <v>0.05</v>
      </c>
    </row>
    <row r="160" spans="1:7" x14ac:dyDescent="0.25">
      <c r="A160" t="s">
        <v>1344</v>
      </c>
      <c r="B160" s="14" t="s">
        <v>120</v>
      </c>
      <c r="E160" t="s">
        <v>498</v>
      </c>
      <c r="F160" t="str">
        <f t="shared" si="5"/>
        <v>1</v>
      </c>
      <c r="G160">
        <f t="shared" si="6"/>
        <v>0.05</v>
      </c>
    </row>
    <row r="161" spans="1:7" x14ac:dyDescent="0.25">
      <c r="A161" t="s">
        <v>1358</v>
      </c>
      <c r="B161" s="14" t="s">
        <v>120</v>
      </c>
      <c r="E161" t="s">
        <v>504</v>
      </c>
      <c r="F161" t="str">
        <f t="shared" si="5"/>
        <v>1</v>
      </c>
      <c r="G161">
        <f t="shared" si="6"/>
        <v>0.05</v>
      </c>
    </row>
    <row r="162" spans="1:7" x14ac:dyDescent="0.25">
      <c r="A162" t="s">
        <v>1367</v>
      </c>
      <c r="B162" s="14" t="s">
        <v>120</v>
      </c>
      <c r="E162" t="s">
        <v>509</v>
      </c>
      <c r="F162" t="str">
        <f t="shared" si="5"/>
        <v>1</v>
      </c>
      <c r="G162">
        <f t="shared" si="6"/>
        <v>0.05</v>
      </c>
    </row>
    <row r="163" spans="1:7" x14ac:dyDescent="0.25">
      <c r="A163" t="s">
        <v>1382</v>
      </c>
      <c r="B163" s="14" t="s">
        <v>120</v>
      </c>
      <c r="E163" t="s">
        <v>515</v>
      </c>
      <c r="F163" t="str">
        <f t="shared" si="5"/>
        <v>1</v>
      </c>
      <c r="G163">
        <f t="shared" si="6"/>
        <v>0.05</v>
      </c>
    </row>
    <row r="164" spans="1:7" x14ac:dyDescent="0.25">
      <c r="A164" t="s">
        <v>1390</v>
      </c>
      <c r="B164" s="14" t="s">
        <v>120</v>
      </c>
      <c r="E164" t="s">
        <v>524</v>
      </c>
      <c r="F164" t="str">
        <f t="shared" si="5"/>
        <v>1</v>
      </c>
      <c r="G164">
        <f t="shared" si="6"/>
        <v>0.05</v>
      </c>
    </row>
    <row r="165" spans="1:7" x14ac:dyDescent="0.25">
      <c r="A165" t="s">
        <v>11</v>
      </c>
      <c r="B165" s="14" t="s">
        <v>265</v>
      </c>
      <c r="E165" t="s">
        <v>543</v>
      </c>
      <c r="F165" t="str">
        <f t="shared" si="5"/>
        <v>1</v>
      </c>
      <c r="G165">
        <f t="shared" si="6"/>
        <v>0.05</v>
      </c>
    </row>
    <row r="166" spans="1:7" x14ac:dyDescent="0.25">
      <c r="A166" t="s">
        <v>26</v>
      </c>
      <c r="B166" s="14" t="s">
        <v>265</v>
      </c>
      <c r="E166" t="s">
        <v>548</v>
      </c>
      <c r="F166" t="str">
        <f t="shared" si="5"/>
        <v>1</v>
      </c>
      <c r="G166">
        <f t="shared" si="6"/>
        <v>0.05</v>
      </c>
    </row>
    <row r="167" spans="1:7" x14ac:dyDescent="0.25">
      <c r="A167" t="s">
        <v>34</v>
      </c>
      <c r="B167" s="14" t="s">
        <v>265</v>
      </c>
      <c r="E167" t="s">
        <v>566</v>
      </c>
      <c r="F167" t="str">
        <f t="shared" si="5"/>
        <v>1</v>
      </c>
      <c r="G167">
        <f t="shared" si="6"/>
        <v>0.05</v>
      </c>
    </row>
    <row r="168" spans="1:7" x14ac:dyDescent="0.25">
      <c r="A168" t="s">
        <v>43</v>
      </c>
      <c r="B168" s="14" t="s">
        <v>265</v>
      </c>
      <c r="E168" t="s">
        <v>571</v>
      </c>
      <c r="F168" t="str">
        <f t="shared" si="5"/>
        <v>1</v>
      </c>
      <c r="G168">
        <f t="shared" si="6"/>
        <v>0.05</v>
      </c>
    </row>
    <row r="169" spans="1:7" x14ac:dyDescent="0.25">
      <c r="A169" t="s">
        <v>63</v>
      </c>
      <c r="B169" s="14" t="s">
        <v>265</v>
      </c>
      <c r="E169" t="s">
        <v>573</v>
      </c>
      <c r="F169" t="str">
        <f t="shared" si="5"/>
        <v>1</v>
      </c>
      <c r="G169">
        <f t="shared" si="6"/>
        <v>0.05</v>
      </c>
    </row>
    <row r="170" spans="1:7" x14ac:dyDescent="0.25">
      <c r="A170" t="s">
        <v>80</v>
      </c>
      <c r="B170" s="14" t="s">
        <v>265</v>
      </c>
      <c r="E170" t="s">
        <v>575</v>
      </c>
      <c r="F170" t="str">
        <f t="shared" si="5"/>
        <v>1</v>
      </c>
      <c r="G170">
        <f t="shared" si="6"/>
        <v>0.05</v>
      </c>
    </row>
    <row r="171" spans="1:7" x14ac:dyDescent="0.25">
      <c r="A171" t="s">
        <v>100</v>
      </c>
      <c r="B171" s="14" t="s">
        <v>265</v>
      </c>
      <c r="E171" t="s">
        <v>579</v>
      </c>
      <c r="F171" t="str">
        <f t="shared" si="5"/>
        <v>1</v>
      </c>
      <c r="G171">
        <f t="shared" si="6"/>
        <v>0.05</v>
      </c>
    </row>
    <row r="172" spans="1:7" x14ac:dyDescent="0.25">
      <c r="A172" t="s">
        <v>136</v>
      </c>
      <c r="B172" s="14" t="s">
        <v>265</v>
      </c>
      <c r="E172" t="s">
        <v>583</v>
      </c>
      <c r="F172" t="str">
        <f t="shared" si="5"/>
        <v>1</v>
      </c>
      <c r="G172">
        <f t="shared" si="6"/>
        <v>0.05</v>
      </c>
    </row>
    <row r="173" spans="1:7" x14ac:dyDescent="0.25">
      <c r="A173" t="s">
        <v>143</v>
      </c>
      <c r="B173" s="14" t="s">
        <v>265</v>
      </c>
      <c r="E173" t="s">
        <v>587</v>
      </c>
      <c r="F173" t="str">
        <f t="shared" si="5"/>
        <v>1</v>
      </c>
      <c r="G173">
        <f t="shared" si="6"/>
        <v>0.05</v>
      </c>
    </row>
    <row r="174" spans="1:7" x14ac:dyDescent="0.25">
      <c r="A174" t="s">
        <v>153</v>
      </c>
      <c r="B174" s="14" t="s">
        <v>265</v>
      </c>
      <c r="E174" t="s">
        <v>591</v>
      </c>
      <c r="F174" t="str">
        <f t="shared" si="5"/>
        <v>1</v>
      </c>
      <c r="G174">
        <f t="shared" si="6"/>
        <v>0.05</v>
      </c>
    </row>
    <row r="175" spans="1:7" x14ac:dyDescent="0.25">
      <c r="A175" t="s">
        <v>160</v>
      </c>
      <c r="B175" s="14" t="s">
        <v>265</v>
      </c>
      <c r="E175" t="s">
        <v>594</v>
      </c>
      <c r="F175" t="str">
        <f t="shared" si="5"/>
        <v>1</v>
      </c>
      <c r="G175">
        <f t="shared" si="6"/>
        <v>0.05</v>
      </c>
    </row>
    <row r="176" spans="1:7" x14ac:dyDescent="0.25">
      <c r="A176" t="s">
        <v>168</v>
      </c>
      <c r="B176" s="14" t="s">
        <v>265</v>
      </c>
      <c r="E176" t="s">
        <v>598</v>
      </c>
      <c r="F176" t="str">
        <f t="shared" si="5"/>
        <v>1</v>
      </c>
      <c r="G176">
        <f t="shared" si="6"/>
        <v>0.05</v>
      </c>
    </row>
    <row r="177" spans="1:7" x14ac:dyDescent="0.25">
      <c r="A177" t="s">
        <v>172</v>
      </c>
      <c r="B177" s="14" t="s">
        <v>265</v>
      </c>
      <c r="E177" t="s">
        <v>602</v>
      </c>
      <c r="F177" t="str">
        <f t="shared" si="5"/>
        <v>1</v>
      </c>
      <c r="G177">
        <f t="shared" si="6"/>
        <v>0.05</v>
      </c>
    </row>
    <row r="178" spans="1:7" x14ac:dyDescent="0.25">
      <c r="A178" t="s">
        <v>177</v>
      </c>
      <c r="B178" s="14" t="s">
        <v>265</v>
      </c>
      <c r="E178" t="s">
        <v>606</v>
      </c>
      <c r="F178" t="str">
        <f t="shared" si="5"/>
        <v>1</v>
      </c>
      <c r="G178">
        <f t="shared" si="6"/>
        <v>0.05</v>
      </c>
    </row>
    <row r="179" spans="1:7" x14ac:dyDescent="0.25">
      <c r="A179" t="s">
        <v>180</v>
      </c>
      <c r="B179" s="14" t="s">
        <v>265</v>
      </c>
      <c r="E179" t="s">
        <v>609</v>
      </c>
      <c r="F179" t="str">
        <f t="shared" si="5"/>
        <v>1</v>
      </c>
      <c r="G179">
        <f t="shared" si="6"/>
        <v>0.05</v>
      </c>
    </row>
    <row r="180" spans="1:7" x14ac:dyDescent="0.25">
      <c r="A180" t="s">
        <v>183</v>
      </c>
      <c r="B180" s="14" t="s">
        <v>265</v>
      </c>
      <c r="E180" t="s">
        <v>612</v>
      </c>
      <c r="F180" t="str">
        <f t="shared" si="5"/>
        <v>1</v>
      </c>
      <c r="G180">
        <f t="shared" si="6"/>
        <v>0.05</v>
      </c>
    </row>
    <row r="181" spans="1:7" x14ac:dyDescent="0.25">
      <c r="A181" t="s">
        <v>186</v>
      </c>
      <c r="B181" s="14" t="s">
        <v>265</v>
      </c>
      <c r="E181" t="s">
        <v>615</v>
      </c>
      <c r="F181" t="str">
        <f t="shared" si="5"/>
        <v>1</v>
      </c>
      <c r="G181">
        <f t="shared" si="6"/>
        <v>0.05</v>
      </c>
    </row>
    <row r="182" spans="1:7" x14ac:dyDescent="0.25">
      <c r="A182" t="s">
        <v>196</v>
      </c>
      <c r="B182" s="14" t="s">
        <v>265</v>
      </c>
      <c r="E182" t="s">
        <v>618</v>
      </c>
      <c r="F182" t="str">
        <f t="shared" si="5"/>
        <v>1</v>
      </c>
      <c r="G182">
        <f t="shared" si="6"/>
        <v>0.05</v>
      </c>
    </row>
    <row r="183" spans="1:7" x14ac:dyDescent="0.25">
      <c r="A183" t="s">
        <v>200</v>
      </c>
      <c r="B183" s="14" t="s">
        <v>265</v>
      </c>
      <c r="E183" t="s">
        <v>622</v>
      </c>
      <c r="F183" t="str">
        <f t="shared" si="5"/>
        <v>1</v>
      </c>
      <c r="G183">
        <f t="shared" si="6"/>
        <v>0.05</v>
      </c>
    </row>
    <row r="184" spans="1:7" x14ac:dyDescent="0.25">
      <c r="A184" t="s">
        <v>204</v>
      </c>
      <c r="B184" s="14" t="s">
        <v>265</v>
      </c>
      <c r="E184" t="s">
        <v>635</v>
      </c>
      <c r="F184" t="str">
        <f t="shared" si="5"/>
        <v>1</v>
      </c>
      <c r="G184">
        <f t="shared" si="6"/>
        <v>0.05</v>
      </c>
    </row>
    <row r="185" spans="1:7" x14ac:dyDescent="0.25">
      <c r="A185" t="s">
        <v>208</v>
      </c>
      <c r="B185" s="14" t="s">
        <v>265</v>
      </c>
      <c r="E185" t="s">
        <v>639</v>
      </c>
      <c r="F185" t="str">
        <f t="shared" si="5"/>
        <v>1</v>
      </c>
      <c r="G185">
        <f t="shared" si="6"/>
        <v>0.05</v>
      </c>
    </row>
    <row r="186" spans="1:7" x14ac:dyDescent="0.25">
      <c r="A186" t="s">
        <v>211</v>
      </c>
      <c r="B186" s="14" t="s">
        <v>265</v>
      </c>
      <c r="E186" t="s">
        <v>644</v>
      </c>
      <c r="F186" t="str">
        <f t="shared" si="5"/>
        <v>1</v>
      </c>
      <c r="G186">
        <f t="shared" si="6"/>
        <v>0.05</v>
      </c>
    </row>
    <row r="187" spans="1:7" x14ac:dyDescent="0.25">
      <c r="A187" t="s">
        <v>213</v>
      </c>
      <c r="B187" s="14" t="s">
        <v>265</v>
      </c>
      <c r="E187" t="s">
        <v>654</v>
      </c>
      <c r="F187" t="str">
        <f t="shared" si="5"/>
        <v>1</v>
      </c>
      <c r="G187">
        <f t="shared" si="6"/>
        <v>0.05</v>
      </c>
    </row>
    <row r="188" spans="1:7" x14ac:dyDescent="0.25">
      <c r="A188" t="s">
        <v>215</v>
      </c>
      <c r="B188" s="14" t="s">
        <v>265</v>
      </c>
      <c r="E188" t="s">
        <v>672</v>
      </c>
      <c r="F188" t="str">
        <f t="shared" si="5"/>
        <v>1</v>
      </c>
      <c r="G188">
        <f t="shared" si="6"/>
        <v>0.05</v>
      </c>
    </row>
    <row r="189" spans="1:7" x14ac:dyDescent="0.25">
      <c r="A189" t="s">
        <v>217</v>
      </c>
      <c r="B189" s="14" t="s">
        <v>265</v>
      </c>
      <c r="E189" t="s">
        <v>676</v>
      </c>
      <c r="F189" t="str">
        <f t="shared" si="5"/>
        <v>1</v>
      </c>
      <c r="G189">
        <f t="shared" si="6"/>
        <v>0.05</v>
      </c>
    </row>
    <row r="190" spans="1:7" x14ac:dyDescent="0.25">
      <c r="A190" t="s">
        <v>219</v>
      </c>
      <c r="B190" s="14" t="s">
        <v>265</v>
      </c>
      <c r="E190" t="s">
        <v>681</v>
      </c>
      <c r="F190" t="str">
        <f t="shared" si="5"/>
        <v>1</v>
      </c>
      <c r="G190">
        <f t="shared" si="6"/>
        <v>0.05</v>
      </c>
    </row>
    <row r="191" spans="1:7" x14ac:dyDescent="0.25">
      <c r="A191" t="s">
        <v>221</v>
      </c>
      <c r="B191" s="14" t="s">
        <v>265</v>
      </c>
      <c r="E191" t="s">
        <v>694</v>
      </c>
      <c r="F191" t="str">
        <f t="shared" si="5"/>
        <v>1</v>
      </c>
      <c r="G191">
        <f t="shared" si="6"/>
        <v>0.05</v>
      </c>
    </row>
    <row r="192" spans="1:7" x14ac:dyDescent="0.25">
      <c r="A192" t="s">
        <v>227</v>
      </c>
      <c r="B192" s="14" t="s">
        <v>265</v>
      </c>
      <c r="E192" t="s">
        <v>709</v>
      </c>
      <c r="F192" t="str">
        <f t="shared" si="5"/>
        <v>1</v>
      </c>
      <c r="G192">
        <f t="shared" si="6"/>
        <v>0.05</v>
      </c>
    </row>
    <row r="193" spans="1:7" x14ac:dyDescent="0.25">
      <c r="A193" t="s">
        <v>260</v>
      </c>
      <c r="B193" s="14" t="s">
        <v>265</v>
      </c>
      <c r="E193" t="s">
        <v>714</v>
      </c>
      <c r="F193" t="str">
        <f t="shared" si="5"/>
        <v>1</v>
      </c>
      <c r="G193">
        <f t="shared" si="6"/>
        <v>0.05</v>
      </c>
    </row>
    <row r="194" spans="1:7" x14ac:dyDescent="0.25">
      <c r="A194" t="s">
        <v>266</v>
      </c>
      <c r="B194" s="14" t="s">
        <v>265</v>
      </c>
      <c r="E194" t="s">
        <v>719</v>
      </c>
      <c r="F194" t="str">
        <f t="shared" si="5"/>
        <v>1</v>
      </c>
      <c r="G194">
        <f t="shared" si="6"/>
        <v>0.05</v>
      </c>
    </row>
    <row r="195" spans="1:7" x14ac:dyDescent="0.25">
      <c r="A195" t="s">
        <v>276</v>
      </c>
      <c r="B195" s="14" t="s">
        <v>265</v>
      </c>
      <c r="E195" t="s">
        <v>723</v>
      </c>
      <c r="F195" t="str">
        <f t="shared" ref="F195:F228" si="7">VLOOKUP(E195,A:B,2,0)</f>
        <v>1</v>
      </c>
      <c r="G195">
        <f t="shared" ref="G195:G228" si="8">VLOOKUP(F195,$I$2:$K$15,3,0)</f>
        <v>0.05</v>
      </c>
    </row>
    <row r="196" spans="1:7" x14ac:dyDescent="0.25">
      <c r="A196" t="s">
        <v>283</v>
      </c>
      <c r="B196" s="14" t="s">
        <v>265</v>
      </c>
      <c r="E196" t="s">
        <v>745</v>
      </c>
      <c r="F196" t="str">
        <f t="shared" si="7"/>
        <v>1</v>
      </c>
      <c r="G196">
        <f t="shared" si="8"/>
        <v>0.05</v>
      </c>
    </row>
    <row r="197" spans="1:7" x14ac:dyDescent="0.25">
      <c r="A197" t="s">
        <v>335</v>
      </c>
      <c r="B197" s="14" t="s">
        <v>265</v>
      </c>
      <c r="E197" t="s">
        <v>751</v>
      </c>
      <c r="F197" t="str">
        <f t="shared" si="7"/>
        <v>1</v>
      </c>
      <c r="G197">
        <f t="shared" si="8"/>
        <v>0.05</v>
      </c>
    </row>
    <row r="198" spans="1:7" x14ac:dyDescent="0.25">
      <c r="A198" t="s">
        <v>345</v>
      </c>
      <c r="B198" s="14" t="s">
        <v>265</v>
      </c>
      <c r="E198" t="s">
        <v>756</v>
      </c>
      <c r="F198" t="str">
        <f t="shared" si="7"/>
        <v>1</v>
      </c>
      <c r="G198">
        <f t="shared" si="8"/>
        <v>0.05</v>
      </c>
    </row>
    <row r="199" spans="1:7" x14ac:dyDescent="0.25">
      <c r="A199" t="s">
        <v>352</v>
      </c>
      <c r="B199" s="14" t="s">
        <v>265</v>
      </c>
      <c r="E199" t="s">
        <v>760</v>
      </c>
      <c r="F199" t="str">
        <f t="shared" si="7"/>
        <v>1</v>
      </c>
      <c r="G199">
        <f t="shared" si="8"/>
        <v>0.05</v>
      </c>
    </row>
    <row r="200" spans="1:7" x14ac:dyDescent="0.25">
      <c r="A200" t="s">
        <v>355</v>
      </c>
      <c r="B200" s="14" t="s">
        <v>265</v>
      </c>
      <c r="E200" t="s">
        <v>775</v>
      </c>
      <c r="F200" t="str">
        <f t="shared" si="7"/>
        <v>1</v>
      </c>
      <c r="G200">
        <f t="shared" si="8"/>
        <v>0.05</v>
      </c>
    </row>
    <row r="201" spans="1:7" x14ac:dyDescent="0.25">
      <c r="A201" t="s">
        <v>358</v>
      </c>
      <c r="B201" s="14" t="s">
        <v>265</v>
      </c>
      <c r="E201" t="s">
        <v>782</v>
      </c>
      <c r="F201" t="str">
        <f t="shared" si="7"/>
        <v>1</v>
      </c>
      <c r="G201">
        <f t="shared" si="8"/>
        <v>0.05</v>
      </c>
    </row>
    <row r="202" spans="1:7" x14ac:dyDescent="0.25">
      <c r="A202" t="s">
        <v>361</v>
      </c>
      <c r="B202" s="14" t="s">
        <v>265</v>
      </c>
      <c r="E202" t="s">
        <v>786</v>
      </c>
      <c r="F202" t="str">
        <f t="shared" si="7"/>
        <v>1</v>
      </c>
      <c r="G202">
        <f t="shared" si="8"/>
        <v>0.05</v>
      </c>
    </row>
    <row r="203" spans="1:7" x14ac:dyDescent="0.25">
      <c r="A203" t="s">
        <v>387</v>
      </c>
      <c r="B203" s="14" t="s">
        <v>265</v>
      </c>
      <c r="E203" t="s">
        <v>789</v>
      </c>
      <c r="F203" t="str">
        <f t="shared" si="7"/>
        <v>1</v>
      </c>
      <c r="G203">
        <f t="shared" si="8"/>
        <v>0.05</v>
      </c>
    </row>
    <row r="204" spans="1:7" x14ac:dyDescent="0.25">
      <c r="A204" t="s">
        <v>389</v>
      </c>
      <c r="B204" s="14" t="s">
        <v>265</v>
      </c>
      <c r="E204" t="s">
        <v>794</v>
      </c>
      <c r="F204" t="str">
        <f t="shared" si="7"/>
        <v>1</v>
      </c>
      <c r="G204">
        <f t="shared" si="8"/>
        <v>0.05</v>
      </c>
    </row>
    <row r="205" spans="1:7" x14ac:dyDescent="0.25">
      <c r="A205" t="s">
        <v>391</v>
      </c>
      <c r="B205" s="14" t="s">
        <v>265</v>
      </c>
      <c r="E205" t="s">
        <v>799</v>
      </c>
      <c r="F205" t="str">
        <f t="shared" si="7"/>
        <v>1</v>
      </c>
      <c r="G205">
        <f t="shared" si="8"/>
        <v>0.05</v>
      </c>
    </row>
    <row r="206" spans="1:7" x14ac:dyDescent="0.25">
      <c r="A206" t="s">
        <v>393</v>
      </c>
      <c r="B206" s="14" t="s">
        <v>265</v>
      </c>
      <c r="E206" t="s">
        <v>804</v>
      </c>
      <c r="F206" t="str">
        <f t="shared" si="7"/>
        <v>1</v>
      </c>
      <c r="G206">
        <f t="shared" si="8"/>
        <v>0.05</v>
      </c>
    </row>
    <row r="207" spans="1:7" x14ac:dyDescent="0.25">
      <c r="A207" t="s">
        <v>395</v>
      </c>
      <c r="B207" s="14" t="s">
        <v>265</v>
      </c>
      <c r="E207" t="s">
        <v>815</v>
      </c>
      <c r="F207" t="str">
        <f t="shared" si="7"/>
        <v>1</v>
      </c>
      <c r="G207">
        <f t="shared" si="8"/>
        <v>0.05</v>
      </c>
    </row>
    <row r="208" spans="1:7" x14ac:dyDescent="0.25">
      <c r="A208" t="s">
        <v>400</v>
      </c>
      <c r="B208" s="14" t="s">
        <v>265</v>
      </c>
      <c r="E208" t="s">
        <v>821</v>
      </c>
      <c r="F208" t="str">
        <f t="shared" si="7"/>
        <v>1</v>
      </c>
      <c r="G208">
        <f t="shared" si="8"/>
        <v>0.05</v>
      </c>
    </row>
    <row r="209" spans="1:7" x14ac:dyDescent="0.25">
      <c r="A209" t="s">
        <v>404</v>
      </c>
      <c r="B209" s="14" t="s">
        <v>265</v>
      </c>
      <c r="E209" t="s">
        <v>835</v>
      </c>
      <c r="F209" t="str">
        <f t="shared" si="7"/>
        <v>1</v>
      </c>
      <c r="G209">
        <f t="shared" si="8"/>
        <v>0.05</v>
      </c>
    </row>
    <row r="210" spans="1:7" x14ac:dyDescent="0.25">
      <c r="A210" t="s">
        <v>415</v>
      </c>
      <c r="B210" s="14" t="s">
        <v>265</v>
      </c>
      <c r="E210" t="s">
        <v>840</v>
      </c>
      <c r="F210" t="str">
        <f t="shared" si="7"/>
        <v>1</v>
      </c>
      <c r="G210">
        <f t="shared" si="8"/>
        <v>0.05</v>
      </c>
    </row>
    <row r="211" spans="1:7" x14ac:dyDescent="0.25">
      <c r="A211" t="s">
        <v>437</v>
      </c>
      <c r="B211" s="14" t="s">
        <v>265</v>
      </c>
      <c r="E211" t="s">
        <v>844</v>
      </c>
      <c r="F211" t="str">
        <f t="shared" si="7"/>
        <v>1</v>
      </c>
      <c r="G211">
        <f t="shared" si="8"/>
        <v>0.05</v>
      </c>
    </row>
    <row r="212" spans="1:7" x14ac:dyDescent="0.25">
      <c r="A212" t="s">
        <v>442</v>
      </c>
      <c r="B212" s="14" t="s">
        <v>265</v>
      </c>
      <c r="E212" t="s">
        <v>847</v>
      </c>
      <c r="F212" t="str">
        <f t="shared" si="7"/>
        <v>1</v>
      </c>
      <c r="G212">
        <f t="shared" si="8"/>
        <v>0.05</v>
      </c>
    </row>
    <row r="213" spans="1:7" x14ac:dyDescent="0.25">
      <c r="A213" t="s">
        <v>447</v>
      </c>
      <c r="B213" s="14" t="s">
        <v>265</v>
      </c>
      <c r="E213" t="s">
        <v>850</v>
      </c>
      <c r="F213" t="str">
        <f t="shared" si="7"/>
        <v>1</v>
      </c>
      <c r="G213">
        <f t="shared" si="8"/>
        <v>0.05</v>
      </c>
    </row>
    <row r="214" spans="1:7" x14ac:dyDescent="0.25">
      <c r="A214" t="s">
        <v>452</v>
      </c>
      <c r="B214" s="14" t="s">
        <v>265</v>
      </c>
      <c r="E214" t="s">
        <v>854</v>
      </c>
      <c r="F214" t="str">
        <f t="shared" si="7"/>
        <v>1</v>
      </c>
      <c r="G214">
        <f t="shared" si="8"/>
        <v>0.05</v>
      </c>
    </row>
    <row r="215" spans="1:7" x14ac:dyDescent="0.25">
      <c r="A215" t="s">
        <v>458</v>
      </c>
      <c r="B215" s="14" t="s">
        <v>265</v>
      </c>
      <c r="E215" t="s">
        <v>856</v>
      </c>
      <c r="F215" t="str">
        <f t="shared" si="7"/>
        <v>1</v>
      </c>
      <c r="G215">
        <f t="shared" si="8"/>
        <v>0.05</v>
      </c>
    </row>
    <row r="216" spans="1:7" x14ac:dyDescent="0.25">
      <c r="A216" t="s">
        <v>463</v>
      </c>
      <c r="B216" s="14" t="s">
        <v>265</v>
      </c>
      <c r="E216" t="s">
        <v>876</v>
      </c>
      <c r="F216" t="str">
        <f t="shared" si="7"/>
        <v>1</v>
      </c>
      <c r="G216">
        <f t="shared" si="8"/>
        <v>0.05</v>
      </c>
    </row>
    <row r="217" spans="1:7" x14ac:dyDescent="0.25">
      <c r="A217" t="s">
        <v>466</v>
      </c>
      <c r="B217" s="14" t="s">
        <v>265</v>
      </c>
      <c r="E217" t="s">
        <v>881</v>
      </c>
      <c r="F217" t="str">
        <f t="shared" si="7"/>
        <v>1</v>
      </c>
      <c r="G217">
        <f t="shared" si="8"/>
        <v>0.05</v>
      </c>
    </row>
    <row r="218" spans="1:7" x14ac:dyDescent="0.25">
      <c r="A218" t="s">
        <v>469</v>
      </c>
      <c r="B218" s="14" t="s">
        <v>265</v>
      </c>
      <c r="E218" t="s">
        <v>902</v>
      </c>
      <c r="F218" t="str">
        <f t="shared" si="7"/>
        <v>1</v>
      </c>
      <c r="G218">
        <f t="shared" si="8"/>
        <v>0.05</v>
      </c>
    </row>
    <row r="219" spans="1:7" x14ac:dyDescent="0.25">
      <c r="A219" t="s">
        <v>472</v>
      </c>
      <c r="B219" s="14" t="s">
        <v>265</v>
      </c>
      <c r="E219" t="s">
        <v>1047</v>
      </c>
      <c r="F219" t="str">
        <f t="shared" si="7"/>
        <v>1</v>
      </c>
      <c r="G219">
        <f t="shared" si="8"/>
        <v>0.05</v>
      </c>
    </row>
    <row r="220" spans="1:7" x14ac:dyDescent="0.25">
      <c r="A220" t="s">
        <v>478</v>
      </c>
      <c r="B220" s="14" t="s">
        <v>265</v>
      </c>
      <c r="E220" t="s">
        <v>1129</v>
      </c>
      <c r="F220" t="str">
        <f t="shared" si="7"/>
        <v>1</v>
      </c>
      <c r="G220">
        <f t="shared" si="8"/>
        <v>0.05</v>
      </c>
    </row>
    <row r="221" spans="1:7" x14ac:dyDescent="0.25">
      <c r="A221" t="s">
        <v>483</v>
      </c>
      <c r="B221" s="14" t="s">
        <v>265</v>
      </c>
      <c r="E221" t="s">
        <v>1166</v>
      </c>
      <c r="F221" t="str">
        <f t="shared" si="7"/>
        <v>1</v>
      </c>
      <c r="G221">
        <f t="shared" si="8"/>
        <v>0.05</v>
      </c>
    </row>
    <row r="222" spans="1:7" x14ac:dyDescent="0.25">
      <c r="A222" t="s">
        <v>493</v>
      </c>
      <c r="B222" s="14" t="s">
        <v>265</v>
      </c>
      <c r="E222" t="s">
        <v>1191</v>
      </c>
      <c r="F222" t="str">
        <f t="shared" si="7"/>
        <v>1</v>
      </c>
      <c r="G222">
        <f t="shared" si="8"/>
        <v>0.05</v>
      </c>
    </row>
    <row r="223" spans="1:7" x14ac:dyDescent="0.25">
      <c r="A223" t="s">
        <v>498</v>
      </c>
      <c r="B223" s="14" t="s">
        <v>265</v>
      </c>
      <c r="E223" t="s">
        <v>1227</v>
      </c>
      <c r="F223" t="str">
        <f t="shared" si="7"/>
        <v>1</v>
      </c>
      <c r="G223">
        <f t="shared" si="8"/>
        <v>0.05</v>
      </c>
    </row>
    <row r="224" spans="1:7" x14ac:dyDescent="0.25">
      <c r="A224" t="s">
        <v>504</v>
      </c>
      <c r="B224" s="14" t="s">
        <v>265</v>
      </c>
      <c r="E224" t="s">
        <v>1279</v>
      </c>
      <c r="F224" t="str">
        <f t="shared" si="7"/>
        <v>1</v>
      </c>
      <c r="G224">
        <f t="shared" si="8"/>
        <v>0.05</v>
      </c>
    </row>
    <row r="225" spans="1:7" x14ac:dyDescent="0.25">
      <c r="A225" t="s">
        <v>509</v>
      </c>
      <c r="B225" s="14" t="s">
        <v>265</v>
      </c>
      <c r="E225" t="s">
        <v>1310</v>
      </c>
      <c r="F225" t="str">
        <f t="shared" si="7"/>
        <v>1</v>
      </c>
      <c r="G225">
        <f t="shared" si="8"/>
        <v>0.05</v>
      </c>
    </row>
    <row r="226" spans="1:7" x14ac:dyDescent="0.25">
      <c r="A226" t="s">
        <v>515</v>
      </c>
      <c r="B226" s="14" t="s">
        <v>265</v>
      </c>
      <c r="E226" t="s">
        <v>1330</v>
      </c>
      <c r="F226" t="str">
        <f t="shared" si="7"/>
        <v>1</v>
      </c>
      <c r="G226">
        <f t="shared" si="8"/>
        <v>0.05</v>
      </c>
    </row>
    <row r="227" spans="1:7" x14ac:dyDescent="0.25">
      <c r="A227" t="s">
        <v>524</v>
      </c>
      <c r="B227" s="14" t="s">
        <v>265</v>
      </c>
      <c r="E227" t="s">
        <v>1337</v>
      </c>
      <c r="F227" t="str">
        <f t="shared" si="7"/>
        <v>1</v>
      </c>
      <c r="G227">
        <f t="shared" si="8"/>
        <v>0.05</v>
      </c>
    </row>
    <row r="228" spans="1:7" x14ac:dyDescent="0.25">
      <c r="A228" t="s">
        <v>530</v>
      </c>
      <c r="B228" s="14" t="s">
        <v>265</v>
      </c>
      <c r="E228" t="s">
        <v>1374</v>
      </c>
      <c r="F228" t="str">
        <f t="shared" si="7"/>
        <v>1</v>
      </c>
      <c r="G228">
        <f t="shared" si="8"/>
        <v>0.05</v>
      </c>
    </row>
    <row r="229" spans="1:7" x14ac:dyDescent="0.25">
      <c r="A229" t="s">
        <v>543</v>
      </c>
      <c r="B229" s="14" t="s">
        <v>265</v>
      </c>
      <c r="E229" t="s">
        <v>50</v>
      </c>
      <c r="F229" s="15">
        <v>1</v>
      </c>
      <c r="G229">
        <v>0.05</v>
      </c>
    </row>
    <row r="230" spans="1:7" x14ac:dyDescent="0.25">
      <c r="A230" t="s">
        <v>548</v>
      </c>
      <c r="B230" s="14" t="s">
        <v>265</v>
      </c>
      <c r="E230" t="s">
        <v>60</v>
      </c>
      <c r="F230" s="15">
        <v>1</v>
      </c>
      <c r="G230">
        <v>0.05</v>
      </c>
    </row>
    <row r="231" spans="1:7" x14ac:dyDescent="0.25">
      <c r="A231" t="s">
        <v>566</v>
      </c>
      <c r="B231" s="14" t="s">
        <v>265</v>
      </c>
      <c r="E231" t="s">
        <v>87</v>
      </c>
      <c r="F231" s="15">
        <v>1</v>
      </c>
      <c r="G231">
        <v>0.05</v>
      </c>
    </row>
    <row r="232" spans="1:7" x14ac:dyDescent="0.25">
      <c r="A232" t="s">
        <v>571</v>
      </c>
      <c r="B232" s="14" t="s">
        <v>265</v>
      </c>
      <c r="E232" t="s">
        <v>93</v>
      </c>
      <c r="F232" s="15">
        <v>1</v>
      </c>
      <c r="G232">
        <v>0.05</v>
      </c>
    </row>
    <row r="233" spans="1:7" x14ac:dyDescent="0.25">
      <c r="A233" t="s">
        <v>573</v>
      </c>
      <c r="B233" s="14" t="s">
        <v>265</v>
      </c>
      <c r="E233" t="s">
        <v>106</v>
      </c>
      <c r="F233" s="15">
        <v>1</v>
      </c>
      <c r="G233">
        <v>0.05</v>
      </c>
    </row>
    <row r="234" spans="1:7" x14ac:dyDescent="0.25">
      <c r="A234" t="s">
        <v>575</v>
      </c>
      <c r="B234" s="14" t="s">
        <v>265</v>
      </c>
      <c r="E234" t="s">
        <v>110</v>
      </c>
      <c r="F234" s="15">
        <v>1</v>
      </c>
      <c r="G234">
        <v>0.05</v>
      </c>
    </row>
    <row r="235" spans="1:7" x14ac:dyDescent="0.25">
      <c r="A235" t="s">
        <v>579</v>
      </c>
      <c r="B235" s="14" t="s">
        <v>265</v>
      </c>
      <c r="E235" t="s">
        <v>122</v>
      </c>
      <c r="F235" s="15">
        <v>1</v>
      </c>
      <c r="G235">
        <v>0.05</v>
      </c>
    </row>
    <row r="236" spans="1:7" x14ac:dyDescent="0.25">
      <c r="A236" t="s">
        <v>583</v>
      </c>
      <c r="B236" s="14" t="s">
        <v>265</v>
      </c>
      <c r="E236" t="s">
        <v>127</v>
      </c>
      <c r="F236" s="15">
        <v>1</v>
      </c>
      <c r="G236">
        <v>0.05</v>
      </c>
    </row>
    <row r="237" spans="1:7" x14ac:dyDescent="0.25">
      <c r="A237" t="s">
        <v>587</v>
      </c>
      <c r="B237" s="14" t="s">
        <v>265</v>
      </c>
      <c r="E237" t="s">
        <v>150</v>
      </c>
      <c r="F237" s="15">
        <v>1</v>
      </c>
      <c r="G237">
        <v>0.05</v>
      </c>
    </row>
    <row r="238" spans="1:7" x14ac:dyDescent="0.25">
      <c r="A238" t="s">
        <v>591</v>
      </c>
      <c r="B238" s="14" t="s">
        <v>265</v>
      </c>
      <c r="E238" t="s">
        <v>426</v>
      </c>
      <c r="F238" s="15">
        <v>1</v>
      </c>
      <c r="G238">
        <v>0.05</v>
      </c>
    </row>
    <row r="239" spans="1:7" x14ac:dyDescent="0.25">
      <c r="A239" t="s">
        <v>594</v>
      </c>
      <c r="B239" s="14" t="s">
        <v>265</v>
      </c>
      <c r="E239" t="s">
        <v>519</v>
      </c>
      <c r="F239" s="15">
        <v>1</v>
      </c>
      <c r="G239">
        <v>0.05</v>
      </c>
    </row>
    <row r="240" spans="1:7" x14ac:dyDescent="0.25">
      <c r="A240" t="s">
        <v>598</v>
      </c>
      <c r="B240" s="14" t="s">
        <v>265</v>
      </c>
      <c r="E240" t="s">
        <v>705</v>
      </c>
      <c r="F240" s="15">
        <v>1</v>
      </c>
      <c r="G240">
        <v>0.05</v>
      </c>
    </row>
    <row r="241" spans="1:7" x14ac:dyDescent="0.25">
      <c r="A241" t="s">
        <v>602</v>
      </c>
      <c r="B241" s="14" t="s">
        <v>265</v>
      </c>
      <c r="E241" t="s">
        <v>867</v>
      </c>
      <c r="F241" s="15">
        <v>1</v>
      </c>
      <c r="G241">
        <v>0.05</v>
      </c>
    </row>
    <row r="242" spans="1:7" x14ac:dyDescent="0.25">
      <c r="A242" t="s">
        <v>606</v>
      </c>
      <c r="B242" s="14" t="s">
        <v>265</v>
      </c>
      <c r="E242" t="s">
        <v>911</v>
      </c>
      <c r="F242" s="15">
        <v>1</v>
      </c>
      <c r="G242">
        <v>0.05</v>
      </c>
    </row>
    <row r="243" spans="1:7" x14ac:dyDescent="0.25">
      <c r="A243" t="s">
        <v>609</v>
      </c>
      <c r="B243" s="14" t="s">
        <v>265</v>
      </c>
      <c r="E243" t="s">
        <v>965</v>
      </c>
      <c r="F243" s="15">
        <v>1</v>
      </c>
      <c r="G243">
        <v>0.05</v>
      </c>
    </row>
    <row r="244" spans="1:7" x14ac:dyDescent="0.25">
      <c r="A244" t="s">
        <v>612</v>
      </c>
      <c r="B244" s="14" t="s">
        <v>265</v>
      </c>
      <c r="E244" t="s">
        <v>971</v>
      </c>
      <c r="F244" s="15">
        <v>1</v>
      </c>
      <c r="G244">
        <v>0.05</v>
      </c>
    </row>
    <row r="245" spans="1:7" x14ac:dyDescent="0.25">
      <c r="A245" t="s">
        <v>615</v>
      </c>
      <c r="B245" s="14" t="s">
        <v>265</v>
      </c>
      <c r="E245" t="s">
        <v>976</v>
      </c>
      <c r="F245" s="15">
        <v>1</v>
      </c>
      <c r="G245">
        <v>0.05</v>
      </c>
    </row>
    <row r="246" spans="1:7" x14ac:dyDescent="0.25">
      <c r="A246" t="s">
        <v>618</v>
      </c>
      <c r="B246" s="14" t="s">
        <v>265</v>
      </c>
      <c r="E246" t="s">
        <v>980</v>
      </c>
      <c r="F246" s="15">
        <v>1</v>
      </c>
      <c r="G246">
        <v>0.05</v>
      </c>
    </row>
    <row r="247" spans="1:7" x14ac:dyDescent="0.25">
      <c r="A247" t="s">
        <v>622</v>
      </c>
      <c r="B247" s="14" t="s">
        <v>265</v>
      </c>
      <c r="E247" t="s">
        <v>990</v>
      </c>
      <c r="F247" s="15">
        <v>1</v>
      </c>
      <c r="G247">
        <v>0.05</v>
      </c>
    </row>
    <row r="248" spans="1:7" x14ac:dyDescent="0.25">
      <c r="A248" t="s">
        <v>635</v>
      </c>
      <c r="B248" s="14" t="s">
        <v>265</v>
      </c>
      <c r="E248" t="s">
        <v>1001</v>
      </c>
      <c r="F248" s="15">
        <v>1</v>
      </c>
      <c r="G248">
        <v>0.05</v>
      </c>
    </row>
    <row r="249" spans="1:7" x14ac:dyDescent="0.25">
      <c r="A249" t="s">
        <v>639</v>
      </c>
      <c r="B249" s="14" t="s">
        <v>265</v>
      </c>
      <c r="E249" t="s">
        <v>1018</v>
      </c>
      <c r="F249" s="15">
        <v>1</v>
      </c>
      <c r="G249">
        <v>0.05</v>
      </c>
    </row>
    <row r="250" spans="1:7" x14ac:dyDescent="0.25">
      <c r="A250" t="s">
        <v>644</v>
      </c>
      <c r="B250" s="14" t="s">
        <v>265</v>
      </c>
      <c r="E250" t="s">
        <v>1034</v>
      </c>
      <c r="F250" s="15">
        <v>1</v>
      </c>
      <c r="G250">
        <v>0.05</v>
      </c>
    </row>
    <row r="251" spans="1:7" x14ac:dyDescent="0.25">
      <c r="A251" t="s">
        <v>648</v>
      </c>
      <c r="B251" s="14" t="s">
        <v>265</v>
      </c>
      <c r="E251" t="s">
        <v>1038</v>
      </c>
      <c r="F251" s="15">
        <v>1</v>
      </c>
      <c r="G251">
        <v>0.05</v>
      </c>
    </row>
    <row r="252" spans="1:7" x14ac:dyDescent="0.25">
      <c r="A252" t="s">
        <v>654</v>
      </c>
      <c r="B252" s="14" t="s">
        <v>265</v>
      </c>
      <c r="E252" t="s">
        <v>1055</v>
      </c>
      <c r="F252" s="15">
        <v>1</v>
      </c>
      <c r="G252">
        <v>0.05</v>
      </c>
    </row>
    <row r="253" spans="1:7" x14ac:dyDescent="0.25">
      <c r="A253" t="s">
        <v>665</v>
      </c>
      <c r="B253" s="14" t="s">
        <v>265</v>
      </c>
      <c r="E253" t="s">
        <v>1076</v>
      </c>
      <c r="F253" s="15">
        <v>1</v>
      </c>
      <c r="G253">
        <v>0.05</v>
      </c>
    </row>
    <row r="254" spans="1:7" x14ac:dyDescent="0.25">
      <c r="A254" t="s">
        <v>672</v>
      </c>
      <c r="B254" s="14" t="s">
        <v>265</v>
      </c>
      <c r="E254" t="s">
        <v>1256</v>
      </c>
      <c r="F254" s="15">
        <v>1</v>
      </c>
      <c r="G254">
        <v>0.05</v>
      </c>
    </row>
    <row r="255" spans="1:7" x14ac:dyDescent="0.25">
      <c r="A255" t="s">
        <v>676</v>
      </c>
      <c r="B255" s="14" t="s">
        <v>265</v>
      </c>
      <c r="E255" t="s">
        <v>1302</v>
      </c>
      <c r="F255" s="15">
        <v>1</v>
      </c>
      <c r="G255">
        <v>0.05</v>
      </c>
    </row>
    <row r="256" spans="1:7" x14ac:dyDescent="0.25">
      <c r="A256" t="s">
        <v>681</v>
      </c>
      <c r="B256" s="14" t="s">
        <v>265</v>
      </c>
      <c r="E256" t="s">
        <v>1307</v>
      </c>
      <c r="F256" s="15">
        <v>1</v>
      </c>
      <c r="G256">
        <v>0.05</v>
      </c>
    </row>
    <row r="257" spans="1:7" x14ac:dyDescent="0.25">
      <c r="A257" t="s">
        <v>687</v>
      </c>
      <c r="B257" s="14" t="s">
        <v>265</v>
      </c>
      <c r="G257">
        <v>0.05</v>
      </c>
    </row>
    <row r="258" spans="1:7" x14ac:dyDescent="0.25">
      <c r="A258" t="s">
        <v>694</v>
      </c>
      <c r="B258" s="14" t="s">
        <v>265</v>
      </c>
      <c r="G258">
        <v>0.05</v>
      </c>
    </row>
    <row r="259" spans="1:7" x14ac:dyDescent="0.25">
      <c r="A259" t="s">
        <v>700</v>
      </c>
      <c r="B259" s="14" t="s">
        <v>265</v>
      </c>
      <c r="G259">
        <v>0.05</v>
      </c>
    </row>
    <row r="260" spans="1:7" x14ac:dyDescent="0.25">
      <c r="A260" t="s">
        <v>709</v>
      </c>
      <c r="B260" s="14" t="s">
        <v>265</v>
      </c>
      <c r="G260">
        <v>0.05</v>
      </c>
    </row>
    <row r="261" spans="1:7" x14ac:dyDescent="0.25">
      <c r="A261" t="s">
        <v>714</v>
      </c>
      <c r="B261" s="14" t="s">
        <v>265</v>
      </c>
      <c r="G261">
        <v>0.05</v>
      </c>
    </row>
    <row r="262" spans="1:7" x14ac:dyDescent="0.25">
      <c r="A262" t="s">
        <v>719</v>
      </c>
      <c r="B262" s="14" t="s">
        <v>265</v>
      </c>
      <c r="G262">
        <v>0.05</v>
      </c>
    </row>
    <row r="263" spans="1:7" x14ac:dyDescent="0.25">
      <c r="A263" t="s">
        <v>723</v>
      </c>
      <c r="B263" s="14" t="s">
        <v>265</v>
      </c>
      <c r="G263">
        <v>0.05</v>
      </c>
    </row>
    <row r="264" spans="1:7" x14ac:dyDescent="0.25">
      <c r="A264" t="s">
        <v>729</v>
      </c>
      <c r="B264" s="14" t="s">
        <v>265</v>
      </c>
      <c r="G264">
        <v>0.05</v>
      </c>
    </row>
    <row r="265" spans="1:7" x14ac:dyDescent="0.25">
      <c r="A265" t="s">
        <v>737</v>
      </c>
      <c r="B265" s="14" t="s">
        <v>265</v>
      </c>
      <c r="G265">
        <v>0.05</v>
      </c>
    </row>
    <row r="266" spans="1:7" x14ac:dyDescent="0.25">
      <c r="A266" t="s">
        <v>745</v>
      </c>
      <c r="B266" s="14" t="s">
        <v>265</v>
      </c>
      <c r="G266">
        <v>0.05</v>
      </c>
    </row>
    <row r="267" spans="1:7" x14ac:dyDescent="0.25">
      <c r="A267" t="s">
        <v>751</v>
      </c>
      <c r="B267" s="14" t="s">
        <v>265</v>
      </c>
      <c r="G267">
        <v>0.05</v>
      </c>
    </row>
    <row r="268" spans="1:7" x14ac:dyDescent="0.25">
      <c r="A268" t="s">
        <v>756</v>
      </c>
      <c r="B268" s="14" t="s">
        <v>265</v>
      </c>
      <c r="G268">
        <v>0.05</v>
      </c>
    </row>
    <row r="269" spans="1:7" x14ac:dyDescent="0.25">
      <c r="A269" t="s">
        <v>760</v>
      </c>
      <c r="B269" s="14" t="s">
        <v>265</v>
      </c>
      <c r="G269">
        <v>0.05</v>
      </c>
    </row>
    <row r="270" spans="1:7" x14ac:dyDescent="0.25">
      <c r="A270" t="s">
        <v>767</v>
      </c>
      <c r="B270" s="14" t="s">
        <v>265</v>
      </c>
      <c r="G270">
        <v>0.05</v>
      </c>
    </row>
    <row r="271" spans="1:7" x14ac:dyDescent="0.25">
      <c r="A271" t="s">
        <v>775</v>
      </c>
      <c r="B271" s="14" t="s">
        <v>265</v>
      </c>
      <c r="G271">
        <v>0.05</v>
      </c>
    </row>
    <row r="272" spans="1:7" x14ac:dyDescent="0.25">
      <c r="A272" t="s">
        <v>782</v>
      </c>
      <c r="B272" s="14" t="s">
        <v>265</v>
      </c>
      <c r="G272">
        <v>0.05</v>
      </c>
    </row>
    <row r="273" spans="1:7" x14ac:dyDescent="0.25">
      <c r="A273" t="s">
        <v>786</v>
      </c>
      <c r="B273" s="14" t="s">
        <v>265</v>
      </c>
      <c r="G273">
        <v>0.05</v>
      </c>
    </row>
    <row r="274" spans="1:7" x14ac:dyDescent="0.25">
      <c r="A274" t="s">
        <v>789</v>
      </c>
      <c r="B274" s="14" t="s">
        <v>265</v>
      </c>
      <c r="G274">
        <v>0.05</v>
      </c>
    </row>
    <row r="275" spans="1:7" x14ac:dyDescent="0.25">
      <c r="A275" t="s">
        <v>794</v>
      </c>
      <c r="B275" s="14" t="s">
        <v>265</v>
      </c>
      <c r="G275">
        <v>0.05</v>
      </c>
    </row>
    <row r="276" spans="1:7" x14ac:dyDescent="0.25">
      <c r="A276" t="s">
        <v>799</v>
      </c>
      <c r="B276" s="14" t="s">
        <v>265</v>
      </c>
      <c r="G276">
        <v>0.05</v>
      </c>
    </row>
    <row r="277" spans="1:7" x14ac:dyDescent="0.25">
      <c r="A277" t="s">
        <v>804</v>
      </c>
      <c r="B277" s="14" t="s">
        <v>265</v>
      </c>
      <c r="G277">
        <v>0.05</v>
      </c>
    </row>
    <row r="278" spans="1:7" x14ac:dyDescent="0.25">
      <c r="A278" t="s">
        <v>809</v>
      </c>
      <c r="B278" s="14" t="s">
        <v>265</v>
      </c>
      <c r="G278">
        <v>0.05</v>
      </c>
    </row>
    <row r="279" spans="1:7" x14ac:dyDescent="0.25">
      <c r="A279" t="s">
        <v>815</v>
      </c>
      <c r="B279" s="14" t="s">
        <v>265</v>
      </c>
      <c r="G279">
        <v>0.05</v>
      </c>
    </row>
    <row r="280" spans="1:7" x14ac:dyDescent="0.25">
      <c r="A280" t="s">
        <v>821</v>
      </c>
      <c r="B280" s="14" t="s">
        <v>265</v>
      </c>
      <c r="G280">
        <v>0.05</v>
      </c>
    </row>
    <row r="281" spans="1:7" x14ac:dyDescent="0.25">
      <c r="A281" t="s">
        <v>835</v>
      </c>
      <c r="B281" s="14" t="s">
        <v>265</v>
      </c>
      <c r="G281">
        <v>0.05</v>
      </c>
    </row>
    <row r="282" spans="1:7" x14ac:dyDescent="0.25">
      <c r="A282" t="s">
        <v>840</v>
      </c>
      <c r="B282" s="14" t="s">
        <v>265</v>
      </c>
      <c r="G282">
        <v>0.05</v>
      </c>
    </row>
    <row r="283" spans="1:7" x14ac:dyDescent="0.25">
      <c r="A283" t="s">
        <v>844</v>
      </c>
      <c r="B283" s="14" t="s">
        <v>265</v>
      </c>
      <c r="G283">
        <v>0.05</v>
      </c>
    </row>
    <row r="284" spans="1:7" x14ac:dyDescent="0.25">
      <c r="A284" t="s">
        <v>847</v>
      </c>
      <c r="B284" s="14" t="s">
        <v>265</v>
      </c>
      <c r="G284">
        <v>0.05</v>
      </c>
    </row>
    <row r="285" spans="1:7" x14ac:dyDescent="0.25">
      <c r="A285" t="s">
        <v>850</v>
      </c>
      <c r="B285" s="14" t="s">
        <v>265</v>
      </c>
      <c r="G285">
        <v>0.05</v>
      </c>
    </row>
    <row r="286" spans="1:7" x14ac:dyDescent="0.25">
      <c r="A286" t="s">
        <v>854</v>
      </c>
      <c r="B286" s="14" t="s">
        <v>265</v>
      </c>
      <c r="G286">
        <v>0.05</v>
      </c>
    </row>
    <row r="287" spans="1:7" x14ac:dyDescent="0.25">
      <c r="A287" t="s">
        <v>856</v>
      </c>
      <c r="B287" s="14" t="s">
        <v>265</v>
      </c>
      <c r="G287">
        <v>0.05</v>
      </c>
    </row>
    <row r="288" spans="1:7" x14ac:dyDescent="0.25">
      <c r="A288" t="s">
        <v>861</v>
      </c>
      <c r="B288" s="14" t="s">
        <v>265</v>
      </c>
      <c r="G288">
        <v>0.05</v>
      </c>
    </row>
    <row r="289" spans="1:7" x14ac:dyDescent="0.25">
      <c r="A289" t="s">
        <v>876</v>
      </c>
      <c r="B289" s="14" t="s">
        <v>265</v>
      </c>
      <c r="G289">
        <v>0.05</v>
      </c>
    </row>
    <row r="290" spans="1:7" x14ac:dyDescent="0.25">
      <c r="A290" t="s">
        <v>881</v>
      </c>
      <c r="B290" s="14" t="s">
        <v>265</v>
      </c>
      <c r="G290">
        <v>0.05</v>
      </c>
    </row>
    <row r="291" spans="1:7" x14ac:dyDescent="0.25">
      <c r="A291" t="s">
        <v>887</v>
      </c>
      <c r="B291" s="14" t="s">
        <v>265</v>
      </c>
      <c r="G291">
        <v>0.05</v>
      </c>
    </row>
    <row r="292" spans="1:7" x14ac:dyDescent="0.25">
      <c r="A292" t="s">
        <v>895</v>
      </c>
      <c r="B292" s="14" t="s">
        <v>265</v>
      </c>
      <c r="G292">
        <v>0.05</v>
      </c>
    </row>
    <row r="293" spans="1:7" x14ac:dyDescent="0.25">
      <c r="A293" t="s">
        <v>902</v>
      </c>
      <c r="B293" s="14" t="s">
        <v>265</v>
      </c>
      <c r="G293">
        <v>0.05</v>
      </c>
    </row>
    <row r="294" spans="1:7" x14ac:dyDescent="0.25">
      <c r="A294" t="s">
        <v>917</v>
      </c>
      <c r="B294" s="14" t="s">
        <v>265</v>
      </c>
      <c r="G294">
        <v>0.05</v>
      </c>
    </row>
    <row r="295" spans="1:7" x14ac:dyDescent="0.25">
      <c r="A295" t="s">
        <v>924</v>
      </c>
      <c r="B295" s="14" t="s">
        <v>265</v>
      </c>
      <c r="G295">
        <v>0.05</v>
      </c>
    </row>
    <row r="296" spans="1:7" x14ac:dyDescent="0.25">
      <c r="A296" t="s">
        <v>930</v>
      </c>
      <c r="B296" s="14" t="s">
        <v>265</v>
      </c>
      <c r="G296">
        <v>0.05</v>
      </c>
    </row>
    <row r="297" spans="1:7" x14ac:dyDescent="0.25">
      <c r="A297" t="s">
        <v>938</v>
      </c>
      <c r="B297" s="14" t="s">
        <v>265</v>
      </c>
      <c r="G297">
        <v>0.05</v>
      </c>
    </row>
    <row r="298" spans="1:7" x14ac:dyDescent="0.25">
      <c r="A298" t="s">
        <v>944</v>
      </c>
      <c r="B298" s="14" t="s">
        <v>265</v>
      </c>
      <c r="G298">
        <v>0.05</v>
      </c>
    </row>
    <row r="299" spans="1:7" x14ac:dyDescent="0.25">
      <c r="A299" t="s">
        <v>959</v>
      </c>
      <c r="B299" s="14" t="s">
        <v>265</v>
      </c>
      <c r="G299">
        <v>0.05</v>
      </c>
    </row>
    <row r="300" spans="1:7" x14ac:dyDescent="0.25">
      <c r="A300" t="s">
        <v>1047</v>
      </c>
      <c r="B300" s="14" t="s">
        <v>265</v>
      </c>
      <c r="G300">
        <v>0.05</v>
      </c>
    </row>
    <row r="301" spans="1:7" x14ac:dyDescent="0.25">
      <c r="A301" t="s">
        <v>1099</v>
      </c>
      <c r="B301" s="14" t="s">
        <v>265</v>
      </c>
      <c r="G301">
        <v>0.05</v>
      </c>
    </row>
    <row r="302" spans="1:7" x14ac:dyDescent="0.25">
      <c r="A302" t="s">
        <v>1129</v>
      </c>
      <c r="B302" s="14" t="s">
        <v>265</v>
      </c>
      <c r="G302">
        <v>0.05</v>
      </c>
    </row>
    <row r="303" spans="1:7" x14ac:dyDescent="0.25">
      <c r="A303" t="s">
        <v>1145</v>
      </c>
      <c r="B303" s="14" t="s">
        <v>265</v>
      </c>
      <c r="G303">
        <v>0.05</v>
      </c>
    </row>
    <row r="304" spans="1:7" x14ac:dyDescent="0.25">
      <c r="A304" t="s">
        <v>1159</v>
      </c>
      <c r="B304" s="14" t="s">
        <v>265</v>
      </c>
      <c r="G304">
        <v>0.05</v>
      </c>
    </row>
    <row r="305" spans="1:7" x14ac:dyDescent="0.25">
      <c r="A305" t="s">
        <v>1166</v>
      </c>
      <c r="B305" s="14" t="s">
        <v>265</v>
      </c>
      <c r="G305">
        <v>0.05</v>
      </c>
    </row>
    <row r="306" spans="1:7" x14ac:dyDescent="0.25">
      <c r="A306" t="s">
        <v>1191</v>
      </c>
      <c r="B306" s="14" t="s">
        <v>265</v>
      </c>
      <c r="G306">
        <v>0.05</v>
      </c>
    </row>
    <row r="307" spans="1:7" x14ac:dyDescent="0.25">
      <c r="A307" t="s">
        <v>1196</v>
      </c>
      <c r="B307" s="14" t="s">
        <v>265</v>
      </c>
      <c r="G307">
        <v>0.05</v>
      </c>
    </row>
    <row r="308" spans="1:7" x14ac:dyDescent="0.25">
      <c r="A308" t="s">
        <v>1203</v>
      </c>
      <c r="B308" s="14" t="s">
        <v>265</v>
      </c>
      <c r="G308">
        <v>0.05</v>
      </c>
    </row>
    <row r="309" spans="1:7" x14ac:dyDescent="0.25">
      <c r="A309" t="s">
        <v>1211</v>
      </c>
      <c r="B309" s="14" t="s">
        <v>265</v>
      </c>
      <c r="G309">
        <v>0.05</v>
      </c>
    </row>
    <row r="310" spans="1:7" x14ac:dyDescent="0.25">
      <c r="A310" t="s">
        <v>1219</v>
      </c>
      <c r="B310" s="14" t="s">
        <v>265</v>
      </c>
      <c r="G310">
        <v>0.05</v>
      </c>
    </row>
    <row r="311" spans="1:7" x14ac:dyDescent="0.25">
      <c r="A311" t="s">
        <v>1227</v>
      </c>
      <c r="B311" s="14" t="s">
        <v>265</v>
      </c>
      <c r="G311">
        <v>0.05</v>
      </c>
    </row>
    <row r="312" spans="1:7" x14ac:dyDescent="0.25">
      <c r="A312" t="s">
        <v>1240</v>
      </c>
      <c r="B312" s="14" t="s">
        <v>265</v>
      </c>
      <c r="G312">
        <v>0.05</v>
      </c>
    </row>
    <row r="313" spans="1:7" x14ac:dyDescent="0.25">
      <c r="A313" t="s">
        <v>1247</v>
      </c>
      <c r="B313" s="14" t="s">
        <v>265</v>
      </c>
      <c r="G313">
        <v>0.05</v>
      </c>
    </row>
    <row r="314" spans="1:7" x14ac:dyDescent="0.25">
      <c r="A314" t="s">
        <v>1263</v>
      </c>
      <c r="B314" s="14" t="s">
        <v>265</v>
      </c>
      <c r="G314">
        <v>0.05</v>
      </c>
    </row>
    <row r="315" spans="1:7" x14ac:dyDescent="0.25">
      <c r="A315" t="s">
        <v>1271</v>
      </c>
      <c r="B315" s="14" t="s">
        <v>265</v>
      </c>
      <c r="G315">
        <v>0.05</v>
      </c>
    </row>
    <row r="316" spans="1:7" x14ac:dyDescent="0.25">
      <c r="A316" t="s">
        <v>1279</v>
      </c>
      <c r="B316" s="14" t="s">
        <v>265</v>
      </c>
      <c r="G316">
        <v>0.05</v>
      </c>
    </row>
    <row r="317" spans="1:7" x14ac:dyDescent="0.25">
      <c r="A317" t="s">
        <v>1294</v>
      </c>
      <c r="B317" s="14" t="s">
        <v>265</v>
      </c>
      <c r="G317">
        <v>0.05</v>
      </c>
    </row>
    <row r="318" spans="1:7" x14ac:dyDescent="0.25">
      <c r="A318" t="s">
        <v>1310</v>
      </c>
      <c r="B318" s="14" t="s">
        <v>265</v>
      </c>
      <c r="G318">
        <v>0.05</v>
      </c>
    </row>
    <row r="319" spans="1:7" x14ac:dyDescent="0.25">
      <c r="A319" t="s">
        <v>1330</v>
      </c>
      <c r="B319" s="14" t="s">
        <v>265</v>
      </c>
      <c r="G319">
        <v>0.05</v>
      </c>
    </row>
    <row r="320" spans="1:7" x14ac:dyDescent="0.25">
      <c r="A320" t="s">
        <v>1337</v>
      </c>
      <c r="B320" s="14" t="s">
        <v>265</v>
      </c>
      <c r="G320">
        <v>0.05</v>
      </c>
    </row>
    <row r="321" spans="1:7" x14ac:dyDescent="0.25">
      <c r="A321" t="s">
        <v>1344</v>
      </c>
      <c r="B321" s="14" t="s">
        <v>265</v>
      </c>
      <c r="G321">
        <v>0.05</v>
      </c>
    </row>
    <row r="322" spans="1:7" x14ac:dyDescent="0.25">
      <c r="A322" t="s">
        <v>1358</v>
      </c>
      <c r="B322" s="14" t="s">
        <v>265</v>
      </c>
      <c r="G322">
        <v>0.05</v>
      </c>
    </row>
    <row r="323" spans="1:7" x14ac:dyDescent="0.25">
      <c r="A323" t="s">
        <v>1367</v>
      </c>
      <c r="B323" s="14" t="s">
        <v>265</v>
      </c>
      <c r="G323">
        <v>0.05</v>
      </c>
    </row>
    <row r="324" spans="1:7" x14ac:dyDescent="0.25">
      <c r="A324" t="s">
        <v>1374</v>
      </c>
      <c r="B324" s="14" t="s">
        <v>265</v>
      </c>
      <c r="G324">
        <v>0.05</v>
      </c>
    </row>
    <row r="325" spans="1:7" x14ac:dyDescent="0.25">
      <c r="A325" t="s">
        <v>1382</v>
      </c>
      <c r="B325" s="14" t="s">
        <v>265</v>
      </c>
      <c r="G325">
        <v>0.05</v>
      </c>
    </row>
    <row r="326" spans="1:7" x14ac:dyDescent="0.25">
      <c r="A326" t="s">
        <v>1390</v>
      </c>
      <c r="B326" s="14" t="s">
        <v>265</v>
      </c>
      <c r="G326">
        <v>0.05</v>
      </c>
    </row>
    <row r="327" spans="1:7" x14ac:dyDescent="0.25">
      <c r="A327" t="s">
        <v>26</v>
      </c>
      <c r="B327" s="14">
        <v>0</v>
      </c>
      <c r="G327">
        <v>0.05</v>
      </c>
    </row>
    <row r="328" spans="1:7" x14ac:dyDescent="0.25">
      <c r="A328" t="s">
        <v>34</v>
      </c>
      <c r="B328" s="14">
        <v>0</v>
      </c>
      <c r="G328">
        <v>0.05</v>
      </c>
    </row>
    <row r="329" spans="1:7" x14ac:dyDescent="0.25">
      <c r="A329" t="s">
        <v>43</v>
      </c>
      <c r="B329" s="14">
        <v>0</v>
      </c>
      <c r="G329">
        <v>0.05</v>
      </c>
    </row>
    <row r="330" spans="1:7" x14ac:dyDescent="0.25">
      <c r="A330" t="s">
        <v>50</v>
      </c>
      <c r="B330" s="14">
        <v>0</v>
      </c>
      <c r="G330">
        <v>0.05</v>
      </c>
    </row>
    <row r="331" spans="1:7" x14ac:dyDescent="0.25">
      <c r="A331" t="s">
        <v>60</v>
      </c>
      <c r="B331" s="14">
        <v>0</v>
      </c>
      <c r="G331">
        <v>0.05</v>
      </c>
    </row>
    <row r="332" spans="1:7" x14ac:dyDescent="0.25">
      <c r="A332" t="s">
        <v>63</v>
      </c>
      <c r="B332" s="14">
        <v>0</v>
      </c>
      <c r="G332">
        <v>0.05</v>
      </c>
    </row>
    <row r="333" spans="1:7" x14ac:dyDescent="0.25">
      <c r="A333" t="s">
        <v>71</v>
      </c>
      <c r="B333" s="14">
        <v>0</v>
      </c>
      <c r="G333">
        <v>0.05</v>
      </c>
    </row>
    <row r="334" spans="1:7" x14ac:dyDescent="0.25">
      <c r="A334" t="s">
        <v>80</v>
      </c>
      <c r="B334" s="14">
        <v>0</v>
      </c>
      <c r="G334">
        <v>0.05</v>
      </c>
    </row>
    <row r="335" spans="1:7" x14ac:dyDescent="0.25">
      <c r="A335" t="s">
        <v>87</v>
      </c>
      <c r="B335" s="14">
        <v>0</v>
      </c>
      <c r="G335">
        <v>0.05</v>
      </c>
    </row>
    <row r="336" spans="1:7" x14ac:dyDescent="0.25">
      <c r="A336" t="s">
        <v>93</v>
      </c>
      <c r="B336" s="14">
        <v>0</v>
      </c>
      <c r="G336">
        <v>0.05</v>
      </c>
    </row>
    <row r="337" spans="1:7" x14ac:dyDescent="0.25">
      <c r="A337" t="s">
        <v>100</v>
      </c>
      <c r="B337" s="14">
        <v>0</v>
      </c>
      <c r="G337">
        <v>0.05</v>
      </c>
    </row>
    <row r="338" spans="1:7" x14ac:dyDescent="0.25">
      <c r="A338" t="s">
        <v>106</v>
      </c>
      <c r="B338" s="14">
        <v>0</v>
      </c>
      <c r="G338">
        <v>0.05</v>
      </c>
    </row>
    <row r="339" spans="1:7" x14ac:dyDescent="0.25">
      <c r="A339" t="s">
        <v>110</v>
      </c>
      <c r="B339" s="14">
        <v>0</v>
      </c>
      <c r="G339">
        <v>0.05</v>
      </c>
    </row>
    <row r="340" spans="1:7" x14ac:dyDescent="0.25">
      <c r="A340" t="s">
        <v>115</v>
      </c>
      <c r="B340" s="14">
        <v>0</v>
      </c>
      <c r="G340">
        <v>0.05</v>
      </c>
    </row>
    <row r="341" spans="1:7" x14ac:dyDescent="0.25">
      <c r="A341" t="s">
        <v>122</v>
      </c>
      <c r="B341" s="14">
        <v>0</v>
      </c>
      <c r="G341">
        <v>0.05</v>
      </c>
    </row>
    <row r="342" spans="1:7" x14ac:dyDescent="0.25">
      <c r="A342" t="s">
        <v>127</v>
      </c>
      <c r="B342" s="14">
        <v>0</v>
      </c>
      <c r="G342">
        <v>0.05</v>
      </c>
    </row>
    <row r="343" spans="1:7" x14ac:dyDescent="0.25">
      <c r="A343" t="s">
        <v>143</v>
      </c>
      <c r="B343" s="14">
        <v>0</v>
      </c>
      <c r="G343">
        <v>0.05</v>
      </c>
    </row>
    <row r="344" spans="1:7" x14ac:dyDescent="0.25">
      <c r="A344" t="s">
        <v>150</v>
      </c>
      <c r="B344" s="14">
        <v>0</v>
      </c>
      <c r="G344">
        <v>0.05</v>
      </c>
    </row>
    <row r="345" spans="1:7" x14ac:dyDescent="0.25">
      <c r="A345" t="s">
        <v>260</v>
      </c>
      <c r="B345" s="14">
        <v>0</v>
      </c>
      <c r="G345">
        <v>0.05</v>
      </c>
    </row>
    <row r="346" spans="1:7" x14ac:dyDescent="0.25">
      <c r="A346" t="s">
        <v>283</v>
      </c>
      <c r="B346" s="14">
        <v>0</v>
      </c>
      <c r="G346">
        <v>0.05</v>
      </c>
    </row>
    <row r="347" spans="1:7" x14ac:dyDescent="0.25">
      <c r="A347" t="s">
        <v>291</v>
      </c>
      <c r="B347" s="14">
        <v>0</v>
      </c>
      <c r="G347">
        <v>0.05</v>
      </c>
    </row>
    <row r="348" spans="1:7" x14ac:dyDescent="0.25">
      <c r="A348" t="s">
        <v>325</v>
      </c>
      <c r="B348" s="14">
        <v>0</v>
      </c>
      <c r="G348">
        <v>0.05</v>
      </c>
    </row>
    <row r="349" spans="1:7" x14ac:dyDescent="0.25">
      <c r="A349" t="s">
        <v>415</v>
      </c>
      <c r="B349" s="14">
        <v>0</v>
      </c>
      <c r="G349">
        <v>0.05</v>
      </c>
    </row>
    <row r="350" spans="1:7" x14ac:dyDescent="0.25">
      <c r="A350" t="s">
        <v>426</v>
      </c>
      <c r="B350" s="14">
        <v>0</v>
      </c>
      <c r="G350">
        <v>0.05</v>
      </c>
    </row>
    <row r="351" spans="1:7" x14ac:dyDescent="0.25">
      <c r="A351" t="s">
        <v>432</v>
      </c>
      <c r="B351" s="14">
        <v>0</v>
      </c>
      <c r="G351">
        <v>0.05</v>
      </c>
    </row>
    <row r="352" spans="1:7" x14ac:dyDescent="0.25">
      <c r="A352" t="s">
        <v>519</v>
      </c>
      <c r="B352" s="14">
        <v>0</v>
      </c>
      <c r="G352">
        <v>0.05</v>
      </c>
    </row>
    <row r="353" spans="1:7" x14ac:dyDescent="0.25">
      <c r="A353" t="s">
        <v>530</v>
      </c>
      <c r="B353" s="14">
        <v>0</v>
      </c>
      <c r="G353">
        <v>0.05</v>
      </c>
    </row>
    <row r="354" spans="1:7" x14ac:dyDescent="0.25">
      <c r="A354" t="s">
        <v>554</v>
      </c>
      <c r="B354" s="14">
        <v>0</v>
      </c>
      <c r="G354">
        <v>0.05</v>
      </c>
    </row>
    <row r="355" spans="1:7" x14ac:dyDescent="0.25">
      <c r="A355" t="s">
        <v>629</v>
      </c>
      <c r="B355" s="14">
        <v>0</v>
      </c>
      <c r="G355">
        <v>0.05</v>
      </c>
    </row>
    <row r="356" spans="1:7" x14ac:dyDescent="0.25">
      <c r="A356" t="s">
        <v>648</v>
      </c>
      <c r="B356" s="14">
        <v>0</v>
      </c>
      <c r="G356">
        <v>0.05</v>
      </c>
    </row>
    <row r="357" spans="1:7" x14ac:dyDescent="0.25">
      <c r="A357" t="s">
        <v>665</v>
      </c>
      <c r="B357" s="14">
        <v>0</v>
      </c>
      <c r="G357">
        <v>0.05</v>
      </c>
    </row>
    <row r="358" spans="1:7" x14ac:dyDescent="0.25">
      <c r="A358" t="s">
        <v>687</v>
      </c>
      <c r="B358" s="14">
        <v>0</v>
      </c>
      <c r="G358">
        <v>0.05</v>
      </c>
    </row>
    <row r="359" spans="1:7" x14ac:dyDescent="0.25">
      <c r="A359" t="s">
        <v>705</v>
      </c>
      <c r="B359" s="14">
        <v>0</v>
      </c>
      <c r="G359">
        <v>0.05</v>
      </c>
    </row>
    <row r="360" spans="1:7" x14ac:dyDescent="0.25">
      <c r="A360" t="s">
        <v>729</v>
      </c>
      <c r="B360" s="14">
        <v>0</v>
      </c>
      <c r="G360">
        <v>0.05</v>
      </c>
    </row>
    <row r="361" spans="1:7" x14ac:dyDescent="0.25">
      <c r="A361" t="s">
        <v>737</v>
      </c>
      <c r="B361" s="14">
        <v>0</v>
      </c>
      <c r="G361">
        <v>0.05</v>
      </c>
    </row>
    <row r="362" spans="1:7" x14ac:dyDescent="0.25">
      <c r="A362" t="s">
        <v>767</v>
      </c>
      <c r="B362" s="14">
        <v>0</v>
      </c>
      <c r="G362">
        <v>0.05</v>
      </c>
    </row>
    <row r="363" spans="1:7" x14ac:dyDescent="0.25">
      <c r="A363" t="s">
        <v>775</v>
      </c>
      <c r="B363" s="14">
        <v>0</v>
      </c>
      <c r="G363">
        <v>0.05</v>
      </c>
    </row>
    <row r="364" spans="1:7" x14ac:dyDescent="0.25">
      <c r="A364" t="s">
        <v>809</v>
      </c>
      <c r="B364" s="14">
        <v>0</v>
      </c>
      <c r="G364">
        <v>0.05</v>
      </c>
    </row>
    <row r="365" spans="1:7" x14ac:dyDescent="0.25">
      <c r="A365" t="s">
        <v>821</v>
      </c>
      <c r="B365" s="14">
        <v>0</v>
      </c>
      <c r="G365">
        <v>0.05</v>
      </c>
    </row>
    <row r="366" spans="1:7" x14ac:dyDescent="0.25">
      <c r="A366" t="s">
        <v>867</v>
      </c>
      <c r="B366" s="14">
        <v>0</v>
      </c>
      <c r="G366">
        <v>0.05</v>
      </c>
    </row>
    <row r="367" spans="1:7" x14ac:dyDescent="0.25">
      <c r="A367" t="s">
        <v>902</v>
      </c>
      <c r="B367" s="14">
        <v>0</v>
      </c>
      <c r="G367">
        <v>0.05</v>
      </c>
    </row>
    <row r="368" spans="1:7" x14ac:dyDescent="0.25">
      <c r="A368" t="s">
        <v>911</v>
      </c>
      <c r="B368" s="14">
        <v>0</v>
      </c>
      <c r="G368">
        <v>0.05</v>
      </c>
    </row>
    <row r="369" spans="1:7" x14ac:dyDescent="0.25">
      <c r="A369" t="s">
        <v>930</v>
      </c>
      <c r="B369" s="14">
        <v>0</v>
      </c>
      <c r="G369">
        <v>0.05</v>
      </c>
    </row>
    <row r="370" spans="1:7" x14ac:dyDescent="0.25">
      <c r="A370" t="s">
        <v>944</v>
      </c>
      <c r="B370" s="14">
        <v>0</v>
      </c>
      <c r="G370">
        <v>0.05</v>
      </c>
    </row>
    <row r="371" spans="1:7" x14ac:dyDescent="0.25">
      <c r="A371" t="s">
        <v>959</v>
      </c>
      <c r="B371" s="14">
        <v>0</v>
      </c>
      <c r="G371">
        <v>0.05</v>
      </c>
    </row>
    <row r="372" spans="1:7" x14ac:dyDescent="0.25">
      <c r="A372" t="s">
        <v>965</v>
      </c>
      <c r="B372" s="14">
        <v>0</v>
      </c>
      <c r="G372">
        <v>0.05</v>
      </c>
    </row>
    <row r="373" spans="1:7" x14ac:dyDescent="0.25">
      <c r="A373" t="s">
        <v>971</v>
      </c>
      <c r="B373" s="14">
        <v>0</v>
      </c>
      <c r="G373">
        <v>0.05</v>
      </c>
    </row>
    <row r="374" spans="1:7" x14ac:dyDescent="0.25">
      <c r="A374" t="s">
        <v>976</v>
      </c>
      <c r="B374" s="14">
        <v>0</v>
      </c>
      <c r="G374">
        <v>0.05</v>
      </c>
    </row>
    <row r="375" spans="1:7" x14ac:dyDescent="0.25">
      <c r="A375" t="s">
        <v>980</v>
      </c>
      <c r="B375" s="14">
        <v>0</v>
      </c>
      <c r="G375">
        <v>0.05</v>
      </c>
    </row>
    <row r="376" spans="1:7" x14ac:dyDescent="0.25">
      <c r="A376" t="s">
        <v>985</v>
      </c>
      <c r="B376" s="14">
        <v>0</v>
      </c>
      <c r="G376">
        <v>0.05</v>
      </c>
    </row>
    <row r="377" spans="1:7" x14ac:dyDescent="0.25">
      <c r="A377" t="s">
        <v>990</v>
      </c>
      <c r="B377" s="14">
        <v>0</v>
      </c>
      <c r="G377">
        <v>0.05</v>
      </c>
    </row>
    <row r="378" spans="1:7" x14ac:dyDescent="0.25">
      <c r="A378" t="s">
        <v>996</v>
      </c>
      <c r="B378" s="14">
        <v>0</v>
      </c>
      <c r="G378">
        <v>0.05</v>
      </c>
    </row>
    <row r="379" spans="1:7" x14ac:dyDescent="0.25">
      <c r="A379" t="s">
        <v>1001</v>
      </c>
      <c r="B379" s="14">
        <v>0</v>
      </c>
      <c r="G379">
        <v>0.05</v>
      </c>
    </row>
    <row r="380" spans="1:7" x14ac:dyDescent="0.25">
      <c r="A380" t="s">
        <v>1006</v>
      </c>
      <c r="B380" s="14">
        <v>0</v>
      </c>
      <c r="G380">
        <v>0.05</v>
      </c>
    </row>
    <row r="381" spans="1:7" x14ac:dyDescent="0.25">
      <c r="A381" t="s">
        <v>1018</v>
      </c>
      <c r="B381" s="14">
        <v>0</v>
      </c>
      <c r="G381">
        <v>0.05</v>
      </c>
    </row>
    <row r="382" spans="1:7" x14ac:dyDescent="0.25">
      <c r="A382" t="s">
        <v>1034</v>
      </c>
      <c r="B382" s="14">
        <v>0</v>
      </c>
      <c r="G382">
        <v>0.05</v>
      </c>
    </row>
    <row r="383" spans="1:7" x14ac:dyDescent="0.25">
      <c r="A383" t="s">
        <v>1038</v>
      </c>
      <c r="B383" s="14">
        <v>0</v>
      </c>
      <c r="G383">
        <v>0.05</v>
      </c>
    </row>
    <row r="384" spans="1:7" x14ac:dyDescent="0.25">
      <c r="A384" t="s">
        <v>1055</v>
      </c>
      <c r="B384" s="14">
        <v>0</v>
      </c>
      <c r="G384">
        <v>0.05</v>
      </c>
    </row>
    <row r="385" spans="1:7" x14ac:dyDescent="0.25">
      <c r="A385" t="s">
        <v>1060</v>
      </c>
      <c r="B385" s="14">
        <v>0</v>
      </c>
      <c r="G385">
        <v>0.05</v>
      </c>
    </row>
    <row r="386" spans="1:7" x14ac:dyDescent="0.25">
      <c r="A386" t="s">
        <v>1068</v>
      </c>
      <c r="B386" s="14">
        <v>0</v>
      </c>
      <c r="G386">
        <v>0.05</v>
      </c>
    </row>
    <row r="387" spans="1:7" x14ac:dyDescent="0.25">
      <c r="A387" t="s">
        <v>1076</v>
      </c>
      <c r="B387" s="14">
        <v>0</v>
      </c>
      <c r="G387">
        <v>0.05</v>
      </c>
    </row>
    <row r="388" spans="1:7" x14ac:dyDescent="0.25">
      <c r="A388" t="s">
        <v>1092</v>
      </c>
      <c r="B388" s="14">
        <v>0</v>
      </c>
      <c r="G388">
        <v>0.05</v>
      </c>
    </row>
    <row r="389" spans="1:7" x14ac:dyDescent="0.25">
      <c r="A389" t="s">
        <v>1099</v>
      </c>
      <c r="B389" s="14">
        <v>0</v>
      </c>
      <c r="G389">
        <v>0.05</v>
      </c>
    </row>
    <row r="390" spans="1:7" x14ac:dyDescent="0.25">
      <c r="A390" t="s">
        <v>1108</v>
      </c>
      <c r="B390" s="14">
        <v>0</v>
      </c>
      <c r="G390">
        <v>0.05</v>
      </c>
    </row>
    <row r="391" spans="1:7" x14ac:dyDescent="0.25">
      <c r="A391" t="s">
        <v>1116</v>
      </c>
      <c r="B391" s="14">
        <v>0</v>
      </c>
      <c r="G391">
        <v>0.05</v>
      </c>
    </row>
    <row r="392" spans="1:7" x14ac:dyDescent="0.25">
      <c r="A392" t="s">
        <v>1123</v>
      </c>
      <c r="B392" s="14">
        <v>0</v>
      </c>
      <c r="G392">
        <v>0.05</v>
      </c>
    </row>
    <row r="393" spans="1:7" x14ac:dyDescent="0.25">
      <c r="A393" t="s">
        <v>1129</v>
      </c>
      <c r="B393" s="14">
        <v>0</v>
      </c>
      <c r="G393">
        <v>0.05</v>
      </c>
    </row>
    <row r="394" spans="1:7" x14ac:dyDescent="0.25">
      <c r="A394" t="s">
        <v>1137</v>
      </c>
      <c r="B394" s="14">
        <v>0</v>
      </c>
      <c r="G394">
        <v>0.05</v>
      </c>
    </row>
    <row r="395" spans="1:7" x14ac:dyDescent="0.25">
      <c r="A395" t="s">
        <v>1145</v>
      </c>
      <c r="B395" s="14">
        <v>0</v>
      </c>
      <c r="G395">
        <v>0.05</v>
      </c>
    </row>
    <row r="396" spans="1:7" x14ac:dyDescent="0.25">
      <c r="A396" t="s">
        <v>1152</v>
      </c>
      <c r="B396" s="14">
        <v>0</v>
      </c>
      <c r="G396">
        <v>0.05</v>
      </c>
    </row>
    <row r="397" spans="1:7" x14ac:dyDescent="0.25">
      <c r="A397" t="s">
        <v>1159</v>
      </c>
      <c r="B397" s="14">
        <v>0</v>
      </c>
      <c r="G397">
        <v>0.05</v>
      </c>
    </row>
    <row r="398" spans="1:7" x14ac:dyDescent="0.25">
      <c r="A398" t="s">
        <v>1166</v>
      </c>
      <c r="B398" s="14">
        <v>0</v>
      </c>
      <c r="G398">
        <v>0.05</v>
      </c>
    </row>
    <row r="399" spans="1:7" x14ac:dyDescent="0.25">
      <c r="A399" t="s">
        <v>1174</v>
      </c>
      <c r="B399" s="14">
        <v>0</v>
      </c>
      <c r="G399">
        <v>0.05</v>
      </c>
    </row>
    <row r="400" spans="1:7" x14ac:dyDescent="0.25">
      <c r="A400" t="s">
        <v>1181</v>
      </c>
      <c r="B400" s="14">
        <v>0</v>
      </c>
      <c r="G400">
        <v>0.05</v>
      </c>
    </row>
    <row r="401" spans="1:7" x14ac:dyDescent="0.25">
      <c r="A401" t="s">
        <v>1187</v>
      </c>
      <c r="B401" s="14">
        <v>0</v>
      </c>
      <c r="G401">
        <v>0.05</v>
      </c>
    </row>
    <row r="402" spans="1:7" x14ac:dyDescent="0.25">
      <c r="A402" t="s">
        <v>1203</v>
      </c>
      <c r="B402" s="14">
        <v>0</v>
      </c>
      <c r="G402">
        <v>0.05</v>
      </c>
    </row>
    <row r="403" spans="1:7" x14ac:dyDescent="0.25">
      <c r="A403" t="s">
        <v>1211</v>
      </c>
      <c r="B403" s="14">
        <v>0</v>
      </c>
      <c r="G403">
        <v>0.05</v>
      </c>
    </row>
    <row r="404" spans="1:7" x14ac:dyDescent="0.25">
      <c r="A404" t="s">
        <v>1219</v>
      </c>
      <c r="B404" s="14">
        <v>0</v>
      </c>
      <c r="G404">
        <v>0.05</v>
      </c>
    </row>
    <row r="405" spans="1:7" x14ac:dyDescent="0.25">
      <c r="A405" t="s">
        <v>1227</v>
      </c>
      <c r="B405" s="14">
        <v>0</v>
      </c>
      <c r="G405">
        <v>0.05</v>
      </c>
    </row>
    <row r="406" spans="1:7" x14ac:dyDescent="0.25">
      <c r="A406" t="s">
        <v>1240</v>
      </c>
      <c r="B406" s="14">
        <v>0</v>
      </c>
      <c r="G406">
        <v>0.05</v>
      </c>
    </row>
    <row r="407" spans="1:7" x14ac:dyDescent="0.25">
      <c r="A407" t="s">
        <v>1247</v>
      </c>
      <c r="B407" s="14">
        <v>0</v>
      </c>
      <c r="G407">
        <v>0.05</v>
      </c>
    </row>
    <row r="408" spans="1:7" x14ac:dyDescent="0.25">
      <c r="A408" t="s">
        <v>1256</v>
      </c>
      <c r="B408" s="14">
        <v>0</v>
      </c>
      <c r="G408">
        <v>0.05</v>
      </c>
    </row>
    <row r="409" spans="1:7" x14ac:dyDescent="0.25">
      <c r="A409" t="s">
        <v>1263</v>
      </c>
      <c r="B409" s="14">
        <v>0</v>
      </c>
      <c r="G409">
        <v>0.05</v>
      </c>
    </row>
    <row r="410" spans="1:7" x14ac:dyDescent="0.25">
      <c r="A410" t="s">
        <v>1271</v>
      </c>
      <c r="B410" s="14">
        <v>0</v>
      </c>
      <c r="G410">
        <v>0.05</v>
      </c>
    </row>
    <row r="411" spans="1:7" x14ac:dyDescent="0.25">
      <c r="A411" t="s">
        <v>1279</v>
      </c>
      <c r="B411" s="14">
        <v>0</v>
      </c>
      <c r="G411">
        <v>0.05</v>
      </c>
    </row>
    <row r="412" spans="1:7" x14ac:dyDescent="0.25">
      <c r="A412" t="s">
        <v>1286</v>
      </c>
      <c r="B412" s="14">
        <v>0</v>
      </c>
      <c r="G412">
        <v>0.05</v>
      </c>
    </row>
    <row r="413" spans="1:7" x14ac:dyDescent="0.25">
      <c r="A413" t="s">
        <v>1294</v>
      </c>
      <c r="B413" s="14">
        <v>0</v>
      </c>
      <c r="G413">
        <v>0.05</v>
      </c>
    </row>
    <row r="414" spans="1:7" x14ac:dyDescent="0.25">
      <c r="A414" t="s">
        <v>1302</v>
      </c>
      <c r="B414" s="14">
        <v>0</v>
      </c>
      <c r="G414">
        <v>0.05</v>
      </c>
    </row>
    <row r="415" spans="1:7" x14ac:dyDescent="0.25">
      <c r="A415" t="s">
        <v>1307</v>
      </c>
      <c r="B415" s="14">
        <v>0</v>
      </c>
      <c r="G415">
        <v>0.05</v>
      </c>
    </row>
    <row r="416" spans="1:7" x14ac:dyDescent="0.25">
      <c r="A416" t="s">
        <v>1322</v>
      </c>
      <c r="B416" s="14">
        <v>0</v>
      </c>
      <c r="G416">
        <v>0.05</v>
      </c>
    </row>
    <row r="417" spans="1:7" x14ac:dyDescent="0.25">
      <c r="A417" t="s">
        <v>1330</v>
      </c>
      <c r="B417" s="14">
        <v>0</v>
      </c>
      <c r="G417">
        <v>0.05</v>
      </c>
    </row>
    <row r="418" spans="1:7" x14ac:dyDescent="0.25">
      <c r="A418" t="s">
        <v>1337</v>
      </c>
      <c r="B418" s="14">
        <v>0</v>
      </c>
      <c r="G418">
        <v>0.05</v>
      </c>
    </row>
    <row r="419" spans="1:7" x14ac:dyDescent="0.25">
      <c r="A419" t="s">
        <v>1344</v>
      </c>
      <c r="B419" s="14">
        <v>0</v>
      </c>
      <c r="G419">
        <v>0.05</v>
      </c>
    </row>
    <row r="420" spans="1:7" x14ac:dyDescent="0.25">
      <c r="A420" t="s">
        <v>1349</v>
      </c>
      <c r="B420" s="14">
        <v>0</v>
      </c>
      <c r="G420">
        <v>0.05</v>
      </c>
    </row>
    <row r="421" spans="1:7" x14ac:dyDescent="0.25">
      <c r="A421" t="s">
        <v>1358</v>
      </c>
      <c r="B421" s="14">
        <v>0</v>
      </c>
      <c r="G421">
        <v>0.05</v>
      </c>
    </row>
    <row r="422" spans="1:7" x14ac:dyDescent="0.25">
      <c r="A422" t="s">
        <v>1367</v>
      </c>
      <c r="B422" s="14">
        <v>0</v>
      </c>
      <c r="G422">
        <v>0.05</v>
      </c>
    </row>
    <row r="423" spans="1:7" x14ac:dyDescent="0.25">
      <c r="A423" t="s">
        <v>1374</v>
      </c>
      <c r="B423" s="14">
        <v>0</v>
      </c>
      <c r="G423">
        <v>0.05</v>
      </c>
    </row>
    <row r="424" spans="1:7" x14ac:dyDescent="0.25">
      <c r="A424" t="s">
        <v>1382</v>
      </c>
      <c r="B424" s="14">
        <v>0</v>
      </c>
      <c r="G424">
        <v>0.05</v>
      </c>
    </row>
    <row r="425" spans="1:7" x14ac:dyDescent="0.25">
      <c r="A425" t="s">
        <v>1390</v>
      </c>
      <c r="B425" s="14">
        <v>0</v>
      </c>
      <c r="G425">
        <v>0.05</v>
      </c>
    </row>
    <row r="426" spans="1:7" x14ac:dyDescent="0.25">
      <c r="G426">
        <v>0.05</v>
      </c>
    </row>
    <row r="427" spans="1:7" x14ac:dyDescent="0.25">
      <c r="G427">
        <v>0.05</v>
      </c>
    </row>
    <row r="428" spans="1:7" x14ac:dyDescent="0.25">
      <c r="G428">
        <v>0.05</v>
      </c>
    </row>
    <row r="429" spans="1:7" x14ac:dyDescent="0.25">
      <c r="G429">
        <v>0.05</v>
      </c>
    </row>
    <row r="430" spans="1:7" x14ac:dyDescent="0.25">
      <c r="G430">
        <v>0.05</v>
      </c>
    </row>
    <row r="431" spans="1:7" x14ac:dyDescent="0.25">
      <c r="G431">
        <v>0.05</v>
      </c>
    </row>
    <row r="432" spans="1:7" x14ac:dyDescent="0.25">
      <c r="G432">
        <v>0.05</v>
      </c>
    </row>
    <row r="433" spans="7:7" x14ac:dyDescent="0.25">
      <c r="G433">
        <v>0.05</v>
      </c>
    </row>
    <row r="434" spans="7:7" x14ac:dyDescent="0.25">
      <c r="G434">
        <v>0.05</v>
      </c>
    </row>
    <row r="435" spans="7:7" x14ac:dyDescent="0.25">
      <c r="G435">
        <v>0.05</v>
      </c>
    </row>
    <row r="436" spans="7:7" x14ac:dyDescent="0.25">
      <c r="G436">
        <v>0.05</v>
      </c>
    </row>
    <row r="437" spans="7:7" x14ac:dyDescent="0.25">
      <c r="G437">
        <v>0.05</v>
      </c>
    </row>
    <row r="438" spans="7:7" x14ac:dyDescent="0.25">
      <c r="G438">
        <v>0.05</v>
      </c>
    </row>
    <row r="439" spans="7:7" x14ac:dyDescent="0.25">
      <c r="G439">
        <v>0.05</v>
      </c>
    </row>
    <row r="440" spans="7:7" x14ac:dyDescent="0.25">
      <c r="G440">
        <v>0.05</v>
      </c>
    </row>
    <row r="441" spans="7:7" x14ac:dyDescent="0.25">
      <c r="G441">
        <v>0.05</v>
      </c>
    </row>
    <row r="442" spans="7:7" x14ac:dyDescent="0.25">
      <c r="G442">
        <v>0.05</v>
      </c>
    </row>
    <row r="443" spans="7:7" x14ac:dyDescent="0.25">
      <c r="G443">
        <v>0.05</v>
      </c>
    </row>
    <row r="444" spans="7:7" x14ac:dyDescent="0.25">
      <c r="G444">
        <v>0.05</v>
      </c>
    </row>
    <row r="445" spans="7:7" x14ac:dyDescent="0.25">
      <c r="G445">
        <v>0.05</v>
      </c>
    </row>
    <row r="446" spans="7:7" x14ac:dyDescent="0.25">
      <c r="G446">
        <v>0.05</v>
      </c>
    </row>
    <row r="447" spans="7:7" x14ac:dyDescent="0.25">
      <c r="G447">
        <v>0.05</v>
      </c>
    </row>
    <row r="448" spans="7:7" x14ac:dyDescent="0.25">
      <c r="G448">
        <v>0.05</v>
      </c>
    </row>
    <row r="449" spans="7:7" x14ac:dyDescent="0.25">
      <c r="G449">
        <v>0.05</v>
      </c>
    </row>
    <row r="450" spans="7:7" x14ac:dyDescent="0.25">
      <c r="G450">
        <v>0.05</v>
      </c>
    </row>
    <row r="451" spans="7:7" x14ac:dyDescent="0.25">
      <c r="G451">
        <v>0.05</v>
      </c>
    </row>
    <row r="452" spans="7:7" x14ac:dyDescent="0.25">
      <c r="G452">
        <v>0.05</v>
      </c>
    </row>
    <row r="453" spans="7:7" x14ac:dyDescent="0.25">
      <c r="G453">
        <v>0.05</v>
      </c>
    </row>
    <row r="454" spans="7:7" x14ac:dyDescent="0.25">
      <c r="G454">
        <v>0.05</v>
      </c>
    </row>
    <row r="455" spans="7:7" x14ac:dyDescent="0.25">
      <c r="G455">
        <v>0.05</v>
      </c>
    </row>
    <row r="456" spans="7:7" x14ac:dyDescent="0.25">
      <c r="G456">
        <v>0.05</v>
      </c>
    </row>
    <row r="457" spans="7:7" x14ac:dyDescent="0.25">
      <c r="G457">
        <v>0.05</v>
      </c>
    </row>
    <row r="458" spans="7:7" x14ac:dyDescent="0.25">
      <c r="G458">
        <v>0.05</v>
      </c>
    </row>
    <row r="459" spans="7:7" x14ac:dyDescent="0.25">
      <c r="G459">
        <v>0.05</v>
      </c>
    </row>
    <row r="460" spans="7:7" x14ac:dyDescent="0.25">
      <c r="G460">
        <v>0.05</v>
      </c>
    </row>
    <row r="461" spans="7:7" x14ac:dyDescent="0.25">
      <c r="G461">
        <v>0.05</v>
      </c>
    </row>
    <row r="462" spans="7:7" x14ac:dyDescent="0.25">
      <c r="G462">
        <v>0.05</v>
      </c>
    </row>
    <row r="463" spans="7:7" x14ac:dyDescent="0.25">
      <c r="G463">
        <v>0.05</v>
      </c>
    </row>
    <row r="464" spans="7:7" x14ac:dyDescent="0.25">
      <c r="G464">
        <v>0.05</v>
      </c>
    </row>
    <row r="465" spans="7:7" x14ac:dyDescent="0.25">
      <c r="G465">
        <v>0.05</v>
      </c>
    </row>
    <row r="466" spans="7:7" x14ac:dyDescent="0.25">
      <c r="G466">
        <v>0.05</v>
      </c>
    </row>
    <row r="467" spans="7:7" x14ac:dyDescent="0.25">
      <c r="G467">
        <v>0.05</v>
      </c>
    </row>
    <row r="468" spans="7:7" x14ac:dyDescent="0.25">
      <c r="G468">
        <v>0.05</v>
      </c>
    </row>
    <row r="469" spans="7:7" x14ac:dyDescent="0.25">
      <c r="G469">
        <v>0.05</v>
      </c>
    </row>
    <row r="470" spans="7:7" x14ac:dyDescent="0.25">
      <c r="G470">
        <v>0.05</v>
      </c>
    </row>
    <row r="471" spans="7:7" x14ac:dyDescent="0.25">
      <c r="G471">
        <v>0.05</v>
      </c>
    </row>
    <row r="472" spans="7:7" x14ac:dyDescent="0.25">
      <c r="G472">
        <v>0.05</v>
      </c>
    </row>
    <row r="473" spans="7:7" x14ac:dyDescent="0.25">
      <c r="G473">
        <v>0.05</v>
      </c>
    </row>
    <row r="474" spans="7:7" x14ac:dyDescent="0.25">
      <c r="G474">
        <v>0.05</v>
      </c>
    </row>
    <row r="475" spans="7:7" x14ac:dyDescent="0.25">
      <c r="G475">
        <v>0.05</v>
      </c>
    </row>
    <row r="476" spans="7:7" x14ac:dyDescent="0.25">
      <c r="G476">
        <v>0.05</v>
      </c>
    </row>
    <row r="477" spans="7:7" x14ac:dyDescent="0.25">
      <c r="G477">
        <v>0.05</v>
      </c>
    </row>
    <row r="478" spans="7:7" x14ac:dyDescent="0.25">
      <c r="G478">
        <v>0.05</v>
      </c>
    </row>
    <row r="479" spans="7:7" x14ac:dyDescent="0.25">
      <c r="G479">
        <v>0.05</v>
      </c>
    </row>
    <row r="480" spans="7:7" x14ac:dyDescent="0.25">
      <c r="G480">
        <v>0.05</v>
      </c>
    </row>
    <row r="481" spans="7:7" x14ac:dyDescent="0.25">
      <c r="G481">
        <v>0.05</v>
      </c>
    </row>
    <row r="482" spans="7:7" x14ac:dyDescent="0.25">
      <c r="G482">
        <v>0.05</v>
      </c>
    </row>
    <row r="483" spans="7:7" x14ac:dyDescent="0.25">
      <c r="G483">
        <v>0.05</v>
      </c>
    </row>
    <row r="484" spans="7:7" x14ac:dyDescent="0.25">
      <c r="G484">
        <v>0.05</v>
      </c>
    </row>
    <row r="485" spans="7:7" x14ac:dyDescent="0.25">
      <c r="G485">
        <v>0.05</v>
      </c>
    </row>
    <row r="486" spans="7:7" x14ac:dyDescent="0.25">
      <c r="G486">
        <v>0.05</v>
      </c>
    </row>
    <row r="487" spans="7:7" x14ac:dyDescent="0.25">
      <c r="G487">
        <v>0.05</v>
      </c>
    </row>
    <row r="488" spans="7:7" x14ac:dyDescent="0.25">
      <c r="G488">
        <v>0.05</v>
      </c>
    </row>
    <row r="489" spans="7:7" x14ac:dyDescent="0.25">
      <c r="G489">
        <v>0.05</v>
      </c>
    </row>
    <row r="490" spans="7:7" x14ac:dyDescent="0.25">
      <c r="G490">
        <v>0.05</v>
      </c>
    </row>
    <row r="491" spans="7:7" x14ac:dyDescent="0.25">
      <c r="G491">
        <v>0.05</v>
      </c>
    </row>
    <row r="492" spans="7:7" x14ac:dyDescent="0.25">
      <c r="G492">
        <v>0.05</v>
      </c>
    </row>
    <row r="493" spans="7:7" x14ac:dyDescent="0.25">
      <c r="G493">
        <v>0.05</v>
      </c>
    </row>
    <row r="494" spans="7:7" x14ac:dyDescent="0.25">
      <c r="G494">
        <v>0.05</v>
      </c>
    </row>
    <row r="495" spans="7:7" x14ac:dyDescent="0.25">
      <c r="G495">
        <v>0.05</v>
      </c>
    </row>
    <row r="496" spans="7:7" x14ac:dyDescent="0.25">
      <c r="G496">
        <v>0.05</v>
      </c>
    </row>
    <row r="497" spans="7:7" x14ac:dyDescent="0.25">
      <c r="G497">
        <v>0.05</v>
      </c>
    </row>
    <row r="498" spans="7:7" x14ac:dyDescent="0.25">
      <c r="G498">
        <v>0.05</v>
      </c>
    </row>
    <row r="499" spans="7:7" x14ac:dyDescent="0.25">
      <c r="G499">
        <v>0.05</v>
      </c>
    </row>
    <row r="500" spans="7:7" x14ac:dyDescent="0.25">
      <c r="G500">
        <v>0.05</v>
      </c>
    </row>
    <row r="501" spans="7:7" x14ac:dyDescent="0.25">
      <c r="G501">
        <v>0.05</v>
      </c>
    </row>
    <row r="502" spans="7:7" x14ac:dyDescent="0.25">
      <c r="G502">
        <v>0.05</v>
      </c>
    </row>
    <row r="503" spans="7:7" x14ac:dyDescent="0.25">
      <c r="G503">
        <v>0.05</v>
      </c>
    </row>
    <row r="504" spans="7:7" x14ac:dyDescent="0.25">
      <c r="G504">
        <v>0.05</v>
      </c>
    </row>
    <row r="505" spans="7:7" x14ac:dyDescent="0.25">
      <c r="G505">
        <v>0.05</v>
      </c>
    </row>
    <row r="506" spans="7:7" x14ac:dyDescent="0.25">
      <c r="G506">
        <v>0.05</v>
      </c>
    </row>
    <row r="507" spans="7:7" x14ac:dyDescent="0.25">
      <c r="G507">
        <v>0.05</v>
      </c>
    </row>
    <row r="508" spans="7:7" x14ac:dyDescent="0.25">
      <c r="G508">
        <v>0.05</v>
      </c>
    </row>
    <row r="509" spans="7:7" x14ac:dyDescent="0.25">
      <c r="G509">
        <v>0.05</v>
      </c>
    </row>
    <row r="510" spans="7:7" x14ac:dyDescent="0.25">
      <c r="G510">
        <v>0.05</v>
      </c>
    </row>
    <row r="511" spans="7:7" x14ac:dyDescent="0.25">
      <c r="G511">
        <v>0.05</v>
      </c>
    </row>
    <row r="512" spans="7:7" x14ac:dyDescent="0.25">
      <c r="G512">
        <v>0.05</v>
      </c>
    </row>
    <row r="513" spans="7:7" x14ac:dyDescent="0.25">
      <c r="G513">
        <v>0.05</v>
      </c>
    </row>
    <row r="514" spans="7:7" x14ac:dyDescent="0.25">
      <c r="G514">
        <v>0.05</v>
      </c>
    </row>
    <row r="515" spans="7:7" x14ac:dyDescent="0.25">
      <c r="G515">
        <v>0.05</v>
      </c>
    </row>
    <row r="516" spans="7:7" x14ac:dyDescent="0.25">
      <c r="G516">
        <v>0.05</v>
      </c>
    </row>
    <row r="517" spans="7:7" x14ac:dyDescent="0.25">
      <c r="G517">
        <v>0.05</v>
      </c>
    </row>
    <row r="518" spans="7:7" x14ac:dyDescent="0.25">
      <c r="G518">
        <v>0.05</v>
      </c>
    </row>
    <row r="519" spans="7:7" x14ac:dyDescent="0.25">
      <c r="G519">
        <v>0.05</v>
      </c>
    </row>
    <row r="520" spans="7:7" x14ac:dyDescent="0.25">
      <c r="G520">
        <v>0.05</v>
      </c>
    </row>
    <row r="521" spans="7:7" x14ac:dyDescent="0.25">
      <c r="G521">
        <v>0.05</v>
      </c>
    </row>
    <row r="522" spans="7:7" x14ac:dyDescent="0.25">
      <c r="G522">
        <v>0.05</v>
      </c>
    </row>
    <row r="523" spans="7:7" x14ac:dyDescent="0.25">
      <c r="G523">
        <v>0.05</v>
      </c>
    </row>
    <row r="524" spans="7:7" x14ac:dyDescent="0.25">
      <c r="G524">
        <v>0.05</v>
      </c>
    </row>
    <row r="525" spans="7:7" x14ac:dyDescent="0.25">
      <c r="G525">
        <v>0.05</v>
      </c>
    </row>
    <row r="526" spans="7:7" x14ac:dyDescent="0.25">
      <c r="G526">
        <v>0.05</v>
      </c>
    </row>
    <row r="527" spans="7:7" x14ac:dyDescent="0.25">
      <c r="G527">
        <v>0.05</v>
      </c>
    </row>
    <row r="528" spans="7:7" x14ac:dyDescent="0.25">
      <c r="G528">
        <v>0.05</v>
      </c>
    </row>
    <row r="529" spans="7:7" x14ac:dyDescent="0.25">
      <c r="G529">
        <v>0.05</v>
      </c>
    </row>
    <row r="530" spans="7:7" x14ac:dyDescent="0.25">
      <c r="G530">
        <v>0.05</v>
      </c>
    </row>
    <row r="531" spans="7:7" x14ac:dyDescent="0.25">
      <c r="G531">
        <v>0.05</v>
      </c>
    </row>
    <row r="532" spans="7:7" x14ac:dyDescent="0.25">
      <c r="G532">
        <v>0.05</v>
      </c>
    </row>
    <row r="533" spans="7:7" x14ac:dyDescent="0.25">
      <c r="G533">
        <v>0.05</v>
      </c>
    </row>
    <row r="534" spans="7:7" x14ac:dyDescent="0.25">
      <c r="G534">
        <v>0.05</v>
      </c>
    </row>
    <row r="535" spans="7:7" x14ac:dyDescent="0.25">
      <c r="G535">
        <v>0.05</v>
      </c>
    </row>
    <row r="536" spans="7:7" x14ac:dyDescent="0.25">
      <c r="G536">
        <v>0.05</v>
      </c>
    </row>
    <row r="537" spans="7:7" x14ac:dyDescent="0.25">
      <c r="G537">
        <v>0.05</v>
      </c>
    </row>
    <row r="538" spans="7:7" x14ac:dyDescent="0.25">
      <c r="G538">
        <v>0.05</v>
      </c>
    </row>
    <row r="539" spans="7:7" x14ac:dyDescent="0.25">
      <c r="G539">
        <v>0.05</v>
      </c>
    </row>
    <row r="540" spans="7:7" x14ac:dyDescent="0.25">
      <c r="G540">
        <v>0.05</v>
      </c>
    </row>
    <row r="541" spans="7:7" x14ac:dyDescent="0.25">
      <c r="G541">
        <v>0.05</v>
      </c>
    </row>
    <row r="542" spans="7:7" x14ac:dyDescent="0.25">
      <c r="G542">
        <v>0.05</v>
      </c>
    </row>
    <row r="543" spans="7:7" x14ac:dyDescent="0.25">
      <c r="G543">
        <v>0.05</v>
      </c>
    </row>
    <row r="544" spans="7:7" x14ac:dyDescent="0.25">
      <c r="G544">
        <v>0.05</v>
      </c>
    </row>
    <row r="545" spans="7:7" x14ac:dyDescent="0.25">
      <c r="G545">
        <v>0.05</v>
      </c>
    </row>
    <row r="546" spans="7:7" x14ac:dyDescent="0.25">
      <c r="G546">
        <v>0.05</v>
      </c>
    </row>
    <row r="547" spans="7:7" x14ac:dyDescent="0.25">
      <c r="G547">
        <v>0.05</v>
      </c>
    </row>
    <row r="548" spans="7:7" x14ac:dyDescent="0.25">
      <c r="G548">
        <v>0.05</v>
      </c>
    </row>
    <row r="549" spans="7:7" x14ac:dyDescent="0.25">
      <c r="G549">
        <v>0.05</v>
      </c>
    </row>
    <row r="550" spans="7:7" x14ac:dyDescent="0.25">
      <c r="G550">
        <v>0.05</v>
      </c>
    </row>
    <row r="551" spans="7:7" x14ac:dyDescent="0.25">
      <c r="G551">
        <v>0.05</v>
      </c>
    </row>
    <row r="552" spans="7:7" x14ac:dyDescent="0.25">
      <c r="G552">
        <v>0.05</v>
      </c>
    </row>
    <row r="553" spans="7:7" x14ac:dyDescent="0.25">
      <c r="G553">
        <v>0.05</v>
      </c>
    </row>
    <row r="554" spans="7:7" x14ac:dyDescent="0.25">
      <c r="G554">
        <v>0.05</v>
      </c>
    </row>
    <row r="555" spans="7:7" x14ac:dyDescent="0.25">
      <c r="G555">
        <v>0.05</v>
      </c>
    </row>
    <row r="556" spans="7:7" x14ac:dyDescent="0.25">
      <c r="G556">
        <v>0.05</v>
      </c>
    </row>
    <row r="557" spans="7:7" x14ac:dyDescent="0.25">
      <c r="G557">
        <v>0.05</v>
      </c>
    </row>
    <row r="558" spans="7:7" x14ac:dyDescent="0.25">
      <c r="G558">
        <v>0.05</v>
      </c>
    </row>
    <row r="559" spans="7:7" x14ac:dyDescent="0.25">
      <c r="G559">
        <v>0.05</v>
      </c>
    </row>
    <row r="560" spans="7:7" x14ac:dyDescent="0.25">
      <c r="G560">
        <v>0.05</v>
      </c>
    </row>
    <row r="561" spans="7:7" x14ac:dyDescent="0.25">
      <c r="G561">
        <v>0.05</v>
      </c>
    </row>
    <row r="562" spans="7:7" x14ac:dyDescent="0.25">
      <c r="G562">
        <v>0.05</v>
      </c>
    </row>
    <row r="563" spans="7:7" x14ac:dyDescent="0.25">
      <c r="G563">
        <v>0.05</v>
      </c>
    </row>
    <row r="564" spans="7:7" x14ac:dyDescent="0.25">
      <c r="G564">
        <v>0.05</v>
      </c>
    </row>
    <row r="565" spans="7:7" x14ac:dyDescent="0.25">
      <c r="G565">
        <v>0.05</v>
      </c>
    </row>
    <row r="566" spans="7:7" x14ac:dyDescent="0.25">
      <c r="G566">
        <v>0.05</v>
      </c>
    </row>
    <row r="567" spans="7:7" x14ac:dyDescent="0.25">
      <c r="G567">
        <v>0.05</v>
      </c>
    </row>
    <row r="568" spans="7:7" x14ac:dyDescent="0.25">
      <c r="G568">
        <v>0.05</v>
      </c>
    </row>
    <row r="569" spans="7:7" x14ac:dyDescent="0.25">
      <c r="G569">
        <v>0.05</v>
      </c>
    </row>
    <row r="570" spans="7:7" x14ac:dyDescent="0.25">
      <c r="G570">
        <v>0.05</v>
      </c>
    </row>
    <row r="571" spans="7:7" x14ac:dyDescent="0.25">
      <c r="G571">
        <v>0.05</v>
      </c>
    </row>
    <row r="572" spans="7:7" x14ac:dyDescent="0.25">
      <c r="G572">
        <v>0.05</v>
      </c>
    </row>
    <row r="573" spans="7:7" x14ac:dyDescent="0.25">
      <c r="G573">
        <v>0.05</v>
      </c>
    </row>
    <row r="574" spans="7:7" x14ac:dyDescent="0.25">
      <c r="G574">
        <v>0.05</v>
      </c>
    </row>
    <row r="575" spans="7:7" x14ac:dyDescent="0.25">
      <c r="G575">
        <v>0.05</v>
      </c>
    </row>
    <row r="576" spans="7:7" x14ac:dyDescent="0.25">
      <c r="G576">
        <v>0.05</v>
      </c>
    </row>
    <row r="577" spans="7:7" x14ac:dyDescent="0.25">
      <c r="G577">
        <v>0.05</v>
      </c>
    </row>
    <row r="578" spans="7:7" x14ac:dyDescent="0.25">
      <c r="G578">
        <v>0.05</v>
      </c>
    </row>
    <row r="579" spans="7:7" x14ac:dyDescent="0.25">
      <c r="G579">
        <v>0.05</v>
      </c>
    </row>
    <row r="580" spans="7:7" x14ac:dyDescent="0.25">
      <c r="G580">
        <v>0.05</v>
      </c>
    </row>
    <row r="581" spans="7:7" x14ac:dyDescent="0.25">
      <c r="G581">
        <v>0.05</v>
      </c>
    </row>
    <row r="582" spans="7:7" x14ac:dyDescent="0.25">
      <c r="G582">
        <v>0.05</v>
      </c>
    </row>
    <row r="583" spans="7:7" x14ac:dyDescent="0.25">
      <c r="G583">
        <v>0.05</v>
      </c>
    </row>
    <row r="584" spans="7:7" x14ac:dyDescent="0.25">
      <c r="G584">
        <v>0.05</v>
      </c>
    </row>
    <row r="585" spans="7:7" x14ac:dyDescent="0.25">
      <c r="G585">
        <v>0.05</v>
      </c>
    </row>
    <row r="586" spans="7:7" x14ac:dyDescent="0.25">
      <c r="G586">
        <v>0.05</v>
      </c>
    </row>
    <row r="587" spans="7:7" x14ac:dyDescent="0.25">
      <c r="G587">
        <v>0.05</v>
      </c>
    </row>
    <row r="588" spans="7:7" x14ac:dyDescent="0.25">
      <c r="G588">
        <v>0.05</v>
      </c>
    </row>
    <row r="589" spans="7:7" x14ac:dyDescent="0.25">
      <c r="G589">
        <v>0.05</v>
      </c>
    </row>
    <row r="590" spans="7:7" x14ac:dyDescent="0.25">
      <c r="G590">
        <v>0.05</v>
      </c>
    </row>
    <row r="591" spans="7:7" x14ac:dyDescent="0.25">
      <c r="G591">
        <v>0.05</v>
      </c>
    </row>
    <row r="592" spans="7:7" x14ac:dyDescent="0.25">
      <c r="G592">
        <v>0.05</v>
      </c>
    </row>
    <row r="593" spans="7:7" x14ac:dyDescent="0.25">
      <c r="G593">
        <v>0.05</v>
      </c>
    </row>
    <row r="594" spans="7:7" x14ac:dyDescent="0.25">
      <c r="G594">
        <v>0.05</v>
      </c>
    </row>
    <row r="595" spans="7:7" x14ac:dyDescent="0.25">
      <c r="G595">
        <v>0.05</v>
      </c>
    </row>
    <row r="596" spans="7:7" x14ac:dyDescent="0.25">
      <c r="G596">
        <v>0.05</v>
      </c>
    </row>
    <row r="597" spans="7:7" x14ac:dyDescent="0.25">
      <c r="G597">
        <v>0.05</v>
      </c>
    </row>
    <row r="598" spans="7:7" x14ac:dyDescent="0.25">
      <c r="G598">
        <v>0.05</v>
      </c>
    </row>
    <row r="599" spans="7:7" x14ac:dyDescent="0.25">
      <c r="G599">
        <v>0.05</v>
      </c>
    </row>
    <row r="600" spans="7:7" x14ac:dyDescent="0.25">
      <c r="G600">
        <v>0.05</v>
      </c>
    </row>
    <row r="601" spans="7:7" x14ac:dyDescent="0.25">
      <c r="G601">
        <v>0.05</v>
      </c>
    </row>
    <row r="602" spans="7:7" x14ac:dyDescent="0.25">
      <c r="G602">
        <v>0.05</v>
      </c>
    </row>
    <row r="603" spans="7:7" x14ac:dyDescent="0.25">
      <c r="G603">
        <v>0.05</v>
      </c>
    </row>
    <row r="604" spans="7:7" x14ac:dyDescent="0.25">
      <c r="G604">
        <v>0.05</v>
      </c>
    </row>
    <row r="605" spans="7:7" x14ac:dyDescent="0.25">
      <c r="G605">
        <v>0.05</v>
      </c>
    </row>
    <row r="606" spans="7:7" x14ac:dyDescent="0.25">
      <c r="G606">
        <v>0.05</v>
      </c>
    </row>
    <row r="607" spans="7:7" x14ac:dyDescent="0.25">
      <c r="G607">
        <v>0.05</v>
      </c>
    </row>
    <row r="608" spans="7:7" x14ac:dyDescent="0.25">
      <c r="G608">
        <v>0.05</v>
      </c>
    </row>
    <row r="609" spans="7:7" x14ac:dyDescent="0.25">
      <c r="G609">
        <v>0.05</v>
      </c>
    </row>
    <row r="610" spans="7:7" x14ac:dyDescent="0.25">
      <c r="G610">
        <v>0.05</v>
      </c>
    </row>
    <row r="611" spans="7:7" x14ac:dyDescent="0.25">
      <c r="G611">
        <v>0.05</v>
      </c>
    </row>
    <row r="612" spans="7:7" x14ac:dyDescent="0.25">
      <c r="G612">
        <v>0.05</v>
      </c>
    </row>
    <row r="613" spans="7:7" x14ac:dyDescent="0.25">
      <c r="G613">
        <v>0.05</v>
      </c>
    </row>
    <row r="614" spans="7:7" x14ac:dyDescent="0.25">
      <c r="G614">
        <v>0.05</v>
      </c>
    </row>
    <row r="615" spans="7:7" x14ac:dyDescent="0.25">
      <c r="G615">
        <v>0.05</v>
      </c>
    </row>
    <row r="616" spans="7:7" x14ac:dyDescent="0.25">
      <c r="G616">
        <v>0.05</v>
      </c>
    </row>
    <row r="617" spans="7:7" x14ac:dyDescent="0.25">
      <c r="G617">
        <v>0.05</v>
      </c>
    </row>
    <row r="618" spans="7:7" x14ac:dyDescent="0.25">
      <c r="G618">
        <v>0.05</v>
      </c>
    </row>
    <row r="619" spans="7:7" x14ac:dyDescent="0.25">
      <c r="G619">
        <v>0.05</v>
      </c>
    </row>
    <row r="620" spans="7:7" x14ac:dyDescent="0.25">
      <c r="G620">
        <v>0.05</v>
      </c>
    </row>
    <row r="621" spans="7:7" x14ac:dyDescent="0.25">
      <c r="G621">
        <v>0.05</v>
      </c>
    </row>
    <row r="622" spans="7:7" x14ac:dyDescent="0.25">
      <c r="G622">
        <v>0.05</v>
      </c>
    </row>
    <row r="623" spans="7:7" x14ac:dyDescent="0.25">
      <c r="G623">
        <v>0.05</v>
      </c>
    </row>
    <row r="624" spans="7:7" x14ac:dyDescent="0.25">
      <c r="G624">
        <v>0.05</v>
      </c>
    </row>
    <row r="625" spans="7:7" x14ac:dyDescent="0.25">
      <c r="G625">
        <v>0.05</v>
      </c>
    </row>
    <row r="626" spans="7:7" x14ac:dyDescent="0.25">
      <c r="G626">
        <v>0.05</v>
      </c>
    </row>
    <row r="627" spans="7:7" x14ac:dyDescent="0.25">
      <c r="G627">
        <v>0.05</v>
      </c>
    </row>
    <row r="628" spans="7:7" x14ac:dyDescent="0.25">
      <c r="G628">
        <v>0.05</v>
      </c>
    </row>
    <row r="629" spans="7:7" x14ac:dyDescent="0.25">
      <c r="G629">
        <v>0.05</v>
      </c>
    </row>
    <row r="630" spans="7:7" x14ac:dyDescent="0.25">
      <c r="G630">
        <v>0.05</v>
      </c>
    </row>
    <row r="631" spans="7:7" x14ac:dyDescent="0.25">
      <c r="G631">
        <v>0.05</v>
      </c>
    </row>
    <row r="632" spans="7:7" x14ac:dyDescent="0.25">
      <c r="G632">
        <v>0.05</v>
      </c>
    </row>
    <row r="633" spans="7:7" x14ac:dyDescent="0.25">
      <c r="G633">
        <v>0.05</v>
      </c>
    </row>
    <row r="634" spans="7:7" x14ac:dyDescent="0.25">
      <c r="G634">
        <v>0.05</v>
      </c>
    </row>
    <row r="635" spans="7:7" x14ac:dyDescent="0.25">
      <c r="G635">
        <v>0.05</v>
      </c>
    </row>
    <row r="636" spans="7:7" x14ac:dyDescent="0.25">
      <c r="G636">
        <v>0.05</v>
      </c>
    </row>
    <row r="637" spans="7:7" x14ac:dyDescent="0.25">
      <c r="G637">
        <v>0.05</v>
      </c>
    </row>
    <row r="638" spans="7:7" x14ac:dyDescent="0.25">
      <c r="G638">
        <v>0.05</v>
      </c>
    </row>
    <row r="639" spans="7:7" x14ac:dyDescent="0.25">
      <c r="G639">
        <v>0.05</v>
      </c>
    </row>
    <row r="640" spans="7:7" x14ac:dyDescent="0.25">
      <c r="G640">
        <v>0.05</v>
      </c>
    </row>
    <row r="641" spans="7:7" x14ac:dyDescent="0.25">
      <c r="G641">
        <v>0.05</v>
      </c>
    </row>
    <row r="642" spans="7:7" x14ac:dyDescent="0.25">
      <c r="G642">
        <v>0.05</v>
      </c>
    </row>
    <row r="643" spans="7:7" x14ac:dyDescent="0.25">
      <c r="G643">
        <v>0.05</v>
      </c>
    </row>
    <row r="644" spans="7:7" x14ac:dyDescent="0.25">
      <c r="G644">
        <v>0.05</v>
      </c>
    </row>
    <row r="645" spans="7:7" x14ac:dyDescent="0.25">
      <c r="G645">
        <v>0.05</v>
      </c>
    </row>
    <row r="646" spans="7:7" x14ac:dyDescent="0.25">
      <c r="G646">
        <v>0.05</v>
      </c>
    </row>
    <row r="647" spans="7:7" x14ac:dyDescent="0.25">
      <c r="G647">
        <v>0.05</v>
      </c>
    </row>
    <row r="648" spans="7:7" x14ac:dyDescent="0.25">
      <c r="G648">
        <v>0.05</v>
      </c>
    </row>
    <row r="649" spans="7:7" x14ac:dyDescent="0.25">
      <c r="G649">
        <v>0.05</v>
      </c>
    </row>
    <row r="650" spans="7:7" x14ac:dyDescent="0.25">
      <c r="G650">
        <v>0.05</v>
      </c>
    </row>
    <row r="651" spans="7:7" x14ac:dyDescent="0.25">
      <c r="G651">
        <v>0.05</v>
      </c>
    </row>
    <row r="652" spans="7:7" x14ac:dyDescent="0.25">
      <c r="G652">
        <v>0.05</v>
      </c>
    </row>
    <row r="653" spans="7:7" x14ac:dyDescent="0.25">
      <c r="G653">
        <v>0.05</v>
      </c>
    </row>
    <row r="654" spans="7:7" x14ac:dyDescent="0.25">
      <c r="G654">
        <v>0.05</v>
      </c>
    </row>
    <row r="655" spans="7:7" x14ac:dyDescent="0.25">
      <c r="G655">
        <v>0.05</v>
      </c>
    </row>
    <row r="656" spans="7:7" x14ac:dyDescent="0.25">
      <c r="G656">
        <v>0.05</v>
      </c>
    </row>
    <row r="657" spans="7:7" x14ac:dyDescent="0.25">
      <c r="G657">
        <v>0.05</v>
      </c>
    </row>
    <row r="658" spans="7:7" x14ac:dyDescent="0.25">
      <c r="G658">
        <v>0.05</v>
      </c>
    </row>
    <row r="659" spans="7:7" x14ac:dyDescent="0.25">
      <c r="G659">
        <v>0.05</v>
      </c>
    </row>
    <row r="660" spans="7:7" x14ac:dyDescent="0.25">
      <c r="G660">
        <v>0.05</v>
      </c>
    </row>
    <row r="661" spans="7:7" x14ac:dyDescent="0.25">
      <c r="G661">
        <v>0.05</v>
      </c>
    </row>
    <row r="662" spans="7:7" x14ac:dyDescent="0.25">
      <c r="G662">
        <v>0.05</v>
      </c>
    </row>
    <row r="663" spans="7:7" x14ac:dyDescent="0.25">
      <c r="G663">
        <v>0.05</v>
      </c>
    </row>
    <row r="664" spans="7:7" x14ac:dyDescent="0.25">
      <c r="G664">
        <v>0.05</v>
      </c>
    </row>
    <row r="665" spans="7:7" x14ac:dyDescent="0.25">
      <c r="G665">
        <v>0.05</v>
      </c>
    </row>
    <row r="666" spans="7:7" x14ac:dyDescent="0.25">
      <c r="G666">
        <v>0.05</v>
      </c>
    </row>
    <row r="667" spans="7:7" x14ac:dyDescent="0.25">
      <c r="G667">
        <v>0.05</v>
      </c>
    </row>
    <row r="668" spans="7:7" x14ac:dyDescent="0.25">
      <c r="G668">
        <v>0.05</v>
      </c>
    </row>
    <row r="669" spans="7:7" x14ac:dyDescent="0.25">
      <c r="G669">
        <v>0.05</v>
      </c>
    </row>
    <row r="670" spans="7:7" x14ac:dyDescent="0.25">
      <c r="G670">
        <v>0.05</v>
      </c>
    </row>
    <row r="671" spans="7:7" x14ac:dyDescent="0.25">
      <c r="G671">
        <v>0.05</v>
      </c>
    </row>
    <row r="672" spans="7:7" x14ac:dyDescent="0.25">
      <c r="G672">
        <v>0.05</v>
      </c>
    </row>
    <row r="673" spans="7:7" x14ac:dyDescent="0.25">
      <c r="G673">
        <v>0.05</v>
      </c>
    </row>
    <row r="674" spans="7:7" x14ac:dyDescent="0.25">
      <c r="G674">
        <v>0.05</v>
      </c>
    </row>
    <row r="675" spans="7:7" x14ac:dyDescent="0.25">
      <c r="G675">
        <v>0.05</v>
      </c>
    </row>
    <row r="676" spans="7:7" x14ac:dyDescent="0.25">
      <c r="G676">
        <v>0.05</v>
      </c>
    </row>
    <row r="677" spans="7:7" x14ac:dyDescent="0.25">
      <c r="G677">
        <v>0.05</v>
      </c>
    </row>
    <row r="678" spans="7:7" x14ac:dyDescent="0.25">
      <c r="G678">
        <v>0.05</v>
      </c>
    </row>
    <row r="679" spans="7:7" x14ac:dyDescent="0.25">
      <c r="G679">
        <v>0.05</v>
      </c>
    </row>
    <row r="680" spans="7:7" x14ac:dyDescent="0.25">
      <c r="G680">
        <v>0.05</v>
      </c>
    </row>
    <row r="681" spans="7:7" x14ac:dyDescent="0.25">
      <c r="G681">
        <v>0.05</v>
      </c>
    </row>
    <row r="682" spans="7:7" x14ac:dyDescent="0.25">
      <c r="G682">
        <v>0.05</v>
      </c>
    </row>
    <row r="683" spans="7:7" x14ac:dyDescent="0.25">
      <c r="G683">
        <v>0.05</v>
      </c>
    </row>
    <row r="684" spans="7:7" x14ac:dyDescent="0.25">
      <c r="G684">
        <v>0.05</v>
      </c>
    </row>
    <row r="685" spans="7:7" x14ac:dyDescent="0.25">
      <c r="G685">
        <v>0.05</v>
      </c>
    </row>
    <row r="686" spans="7:7" x14ac:dyDescent="0.25">
      <c r="G686">
        <v>0.05</v>
      </c>
    </row>
    <row r="687" spans="7:7" x14ac:dyDescent="0.25">
      <c r="G687">
        <v>0.05</v>
      </c>
    </row>
    <row r="688" spans="7:7" x14ac:dyDescent="0.25">
      <c r="G688">
        <v>0.05</v>
      </c>
    </row>
    <row r="689" spans="7:7" x14ac:dyDescent="0.25">
      <c r="G689">
        <v>0.05</v>
      </c>
    </row>
    <row r="690" spans="7:7" x14ac:dyDescent="0.25">
      <c r="G690">
        <v>0.05</v>
      </c>
    </row>
    <row r="691" spans="7:7" x14ac:dyDescent="0.25">
      <c r="G691">
        <v>0.05</v>
      </c>
    </row>
    <row r="692" spans="7:7" x14ac:dyDescent="0.25">
      <c r="G692">
        <v>0.05</v>
      </c>
    </row>
    <row r="693" spans="7:7" x14ac:dyDescent="0.25">
      <c r="G693">
        <v>0.05</v>
      </c>
    </row>
    <row r="694" spans="7:7" x14ac:dyDescent="0.25">
      <c r="G694">
        <v>0.05</v>
      </c>
    </row>
    <row r="695" spans="7:7" x14ac:dyDescent="0.25">
      <c r="G695">
        <v>0.05</v>
      </c>
    </row>
    <row r="696" spans="7:7" x14ac:dyDescent="0.25">
      <c r="G696">
        <v>0.05</v>
      </c>
    </row>
    <row r="697" spans="7:7" x14ac:dyDescent="0.25">
      <c r="G697">
        <v>0.05</v>
      </c>
    </row>
    <row r="698" spans="7:7" x14ac:dyDescent="0.25">
      <c r="G698">
        <v>0.05</v>
      </c>
    </row>
    <row r="699" spans="7:7" x14ac:dyDescent="0.25">
      <c r="G699">
        <v>0.05</v>
      </c>
    </row>
    <row r="700" spans="7:7" x14ac:dyDescent="0.25">
      <c r="G700">
        <v>0.05</v>
      </c>
    </row>
    <row r="701" spans="7:7" x14ac:dyDescent="0.25">
      <c r="G701">
        <v>0.05</v>
      </c>
    </row>
    <row r="702" spans="7:7" x14ac:dyDescent="0.25">
      <c r="G702">
        <v>0.05</v>
      </c>
    </row>
    <row r="703" spans="7:7" x14ac:dyDescent="0.25">
      <c r="G703">
        <v>0.05</v>
      </c>
    </row>
    <row r="704" spans="7:7" x14ac:dyDescent="0.25">
      <c r="G704">
        <v>0.05</v>
      </c>
    </row>
    <row r="705" spans="7:7" x14ac:dyDescent="0.25">
      <c r="G705">
        <v>0.05</v>
      </c>
    </row>
    <row r="706" spans="7:7" x14ac:dyDescent="0.25">
      <c r="G706">
        <v>0.05</v>
      </c>
    </row>
    <row r="707" spans="7:7" x14ac:dyDescent="0.25">
      <c r="G707">
        <v>0.05</v>
      </c>
    </row>
    <row r="708" spans="7:7" x14ac:dyDescent="0.25">
      <c r="G708">
        <v>0.05</v>
      </c>
    </row>
    <row r="709" spans="7:7" x14ac:dyDescent="0.25">
      <c r="G709">
        <v>0.05</v>
      </c>
    </row>
    <row r="710" spans="7:7" x14ac:dyDescent="0.25">
      <c r="G710">
        <v>0.05</v>
      </c>
    </row>
    <row r="711" spans="7:7" x14ac:dyDescent="0.25">
      <c r="G711">
        <v>0.05</v>
      </c>
    </row>
    <row r="712" spans="7:7" x14ac:dyDescent="0.25">
      <c r="G712">
        <v>0.05</v>
      </c>
    </row>
    <row r="713" spans="7:7" x14ac:dyDescent="0.25">
      <c r="G713">
        <v>0.05</v>
      </c>
    </row>
    <row r="714" spans="7:7" x14ac:dyDescent="0.25">
      <c r="G714">
        <v>0.05</v>
      </c>
    </row>
    <row r="715" spans="7:7" x14ac:dyDescent="0.25">
      <c r="G715">
        <v>0.05</v>
      </c>
    </row>
    <row r="716" spans="7:7" x14ac:dyDescent="0.25">
      <c r="G716">
        <v>0.05</v>
      </c>
    </row>
    <row r="717" spans="7:7" x14ac:dyDescent="0.25">
      <c r="G717">
        <v>0.05</v>
      </c>
    </row>
    <row r="718" spans="7:7" x14ac:dyDescent="0.25">
      <c r="G718">
        <v>0.05</v>
      </c>
    </row>
    <row r="719" spans="7:7" x14ac:dyDescent="0.25">
      <c r="G719">
        <v>0.05</v>
      </c>
    </row>
    <row r="720" spans="7:7" x14ac:dyDescent="0.25">
      <c r="G720">
        <v>0.05</v>
      </c>
    </row>
    <row r="721" spans="7:7" x14ac:dyDescent="0.25">
      <c r="G721">
        <v>0.05</v>
      </c>
    </row>
    <row r="722" spans="7:7" x14ac:dyDescent="0.25">
      <c r="G722">
        <v>0.05</v>
      </c>
    </row>
    <row r="723" spans="7:7" x14ac:dyDescent="0.25">
      <c r="G723">
        <v>0.05</v>
      </c>
    </row>
    <row r="724" spans="7:7" x14ac:dyDescent="0.25">
      <c r="G724">
        <v>0.05</v>
      </c>
    </row>
    <row r="725" spans="7:7" x14ac:dyDescent="0.25">
      <c r="G725">
        <v>0.05</v>
      </c>
    </row>
    <row r="726" spans="7:7" x14ac:dyDescent="0.25">
      <c r="G726">
        <v>0.05</v>
      </c>
    </row>
    <row r="727" spans="7:7" x14ac:dyDescent="0.25">
      <c r="G727">
        <v>0.05</v>
      </c>
    </row>
    <row r="728" spans="7:7" x14ac:dyDescent="0.25">
      <c r="G728">
        <v>0.05</v>
      </c>
    </row>
    <row r="729" spans="7:7" x14ac:dyDescent="0.25">
      <c r="G729">
        <v>0.05</v>
      </c>
    </row>
    <row r="730" spans="7:7" x14ac:dyDescent="0.25">
      <c r="G730">
        <v>0.05</v>
      </c>
    </row>
    <row r="731" spans="7:7" x14ac:dyDescent="0.25">
      <c r="G731">
        <v>0.05</v>
      </c>
    </row>
    <row r="732" spans="7:7" x14ac:dyDescent="0.25">
      <c r="G732">
        <v>0.05</v>
      </c>
    </row>
    <row r="733" spans="7:7" x14ac:dyDescent="0.25">
      <c r="G733">
        <v>0.05</v>
      </c>
    </row>
    <row r="734" spans="7:7" x14ac:dyDescent="0.25">
      <c r="G734">
        <v>0.05</v>
      </c>
    </row>
    <row r="735" spans="7:7" x14ac:dyDescent="0.25">
      <c r="G735">
        <v>0.05</v>
      </c>
    </row>
    <row r="736" spans="7:7" x14ac:dyDescent="0.25">
      <c r="G736">
        <v>0.05</v>
      </c>
    </row>
    <row r="737" spans="7:7" x14ac:dyDescent="0.25">
      <c r="G737">
        <v>0.05</v>
      </c>
    </row>
    <row r="738" spans="7:7" x14ac:dyDescent="0.25">
      <c r="G738">
        <v>0.05</v>
      </c>
    </row>
    <row r="739" spans="7:7" x14ac:dyDescent="0.25">
      <c r="G739">
        <v>0.05</v>
      </c>
    </row>
    <row r="740" spans="7:7" x14ac:dyDescent="0.25">
      <c r="G740">
        <v>0.05</v>
      </c>
    </row>
    <row r="741" spans="7:7" x14ac:dyDescent="0.25">
      <c r="G741">
        <v>0.05</v>
      </c>
    </row>
    <row r="742" spans="7:7" x14ac:dyDescent="0.25">
      <c r="G742">
        <v>0.05</v>
      </c>
    </row>
    <row r="743" spans="7:7" x14ac:dyDescent="0.25">
      <c r="G743">
        <v>0.05</v>
      </c>
    </row>
    <row r="744" spans="7:7" x14ac:dyDescent="0.25">
      <c r="G744">
        <v>0.05</v>
      </c>
    </row>
    <row r="745" spans="7:7" x14ac:dyDescent="0.25">
      <c r="G745">
        <v>0.05</v>
      </c>
    </row>
    <row r="746" spans="7:7" x14ac:dyDescent="0.25">
      <c r="G746">
        <v>0.05</v>
      </c>
    </row>
    <row r="747" spans="7:7" x14ac:dyDescent="0.25">
      <c r="G747">
        <v>0.05</v>
      </c>
    </row>
    <row r="748" spans="7:7" x14ac:dyDescent="0.25">
      <c r="G748">
        <v>0.05</v>
      </c>
    </row>
    <row r="749" spans="7:7" x14ac:dyDescent="0.25">
      <c r="G749">
        <v>0.05</v>
      </c>
    </row>
    <row r="750" spans="7:7" x14ac:dyDescent="0.25">
      <c r="G750">
        <v>0.05</v>
      </c>
    </row>
    <row r="751" spans="7:7" x14ac:dyDescent="0.25">
      <c r="G751">
        <v>0.05</v>
      </c>
    </row>
    <row r="752" spans="7:7" x14ac:dyDescent="0.25">
      <c r="G752">
        <v>0.05</v>
      </c>
    </row>
    <row r="753" spans="7:7" x14ac:dyDescent="0.25">
      <c r="G753">
        <v>0.05</v>
      </c>
    </row>
    <row r="754" spans="7:7" x14ac:dyDescent="0.25">
      <c r="G754">
        <v>0.05</v>
      </c>
    </row>
    <row r="755" spans="7:7" x14ac:dyDescent="0.25">
      <c r="G755">
        <v>0.05</v>
      </c>
    </row>
    <row r="756" spans="7:7" x14ac:dyDescent="0.25">
      <c r="G756">
        <v>0.05</v>
      </c>
    </row>
    <row r="757" spans="7:7" x14ac:dyDescent="0.25">
      <c r="G757">
        <v>0.05</v>
      </c>
    </row>
    <row r="758" spans="7:7" x14ac:dyDescent="0.25">
      <c r="G758">
        <v>0.05</v>
      </c>
    </row>
    <row r="759" spans="7:7" x14ac:dyDescent="0.25">
      <c r="G759">
        <v>0.05</v>
      </c>
    </row>
    <row r="760" spans="7:7" x14ac:dyDescent="0.25">
      <c r="G760">
        <v>0.05</v>
      </c>
    </row>
    <row r="761" spans="7:7" x14ac:dyDescent="0.25">
      <c r="G761">
        <v>0.05</v>
      </c>
    </row>
    <row r="762" spans="7:7" x14ac:dyDescent="0.25">
      <c r="G762">
        <v>0.05</v>
      </c>
    </row>
    <row r="763" spans="7:7" x14ac:dyDescent="0.25">
      <c r="G763">
        <v>0.05</v>
      </c>
    </row>
    <row r="764" spans="7:7" x14ac:dyDescent="0.25">
      <c r="G764">
        <v>0.05</v>
      </c>
    </row>
    <row r="765" spans="7:7" x14ac:dyDescent="0.25">
      <c r="G765">
        <v>0.05</v>
      </c>
    </row>
    <row r="766" spans="7:7" x14ac:dyDescent="0.25">
      <c r="G766">
        <v>0.05</v>
      </c>
    </row>
    <row r="767" spans="7:7" x14ac:dyDescent="0.25">
      <c r="G767">
        <v>0.05</v>
      </c>
    </row>
    <row r="768" spans="7:7" x14ac:dyDescent="0.25">
      <c r="G768">
        <v>0.05</v>
      </c>
    </row>
    <row r="769" spans="7:7" x14ac:dyDescent="0.25">
      <c r="G769">
        <v>0.05</v>
      </c>
    </row>
    <row r="770" spans="7:7" x14ac:dyDescent="0.25">
      <c r="G770">
        <v>0.05</v>
      </c>
    </row>
    <row r="771" spans="7:7" x14ac:dyDescent="0.25">
      <c r="G771">
        <v>0.05</v>
      </c>
    </row>
    <row r="772" spans="7:7" x14ac:dyDescent="0.25">
      <c r="G772">
        <v>0.05</v>
      </c>
    </row>
    <row r="773" spans="7:7" x14ac:dyDescent="0.25">
      <c r="G773">
        <v>0.05</v>
      </c>
    </row>
    <row r="774" spans="7:7" x14ac:dyDescent="0.25">
      <c r="G774">
        <v>0.05</v>
      </c>
    </row>
    <row r="775" spans="7:7" x14ac:dyDescent="0.25">
      <c r="G775">
        <v>0.05</v>
      </c>
    </row>
    <row r="776" spans="7:7" x14ac:dyDescent="0.25">
      <c r="G776">
        <v>0.05</v>
      </c>
    </row>
    <row r="777" spans="7:7" x14ac:dyDescent="0.25">
      <c r="G777">
        <v>0.05</v>
      </c>
    </row>
    <row r="778" spans="7:7" x14ac:dyDescent="0.25">
      <c r="G778">
        <v>0.05</v>
      </c>
    </row>
    <row r="779" spans="7:7" x14ac:dyDescent="0.25">
      <c r="G779">
        <v>0.05</v>
      </c>
    </row>
    <row r="780" spans="7:7" x14ac:dyDescent="0.25">
      <c r="G780">
        <v>0.05</v>
      </c>
    </row>
    <row r="781" spans="7:7" x14ac:dyDescent="0.25">
      <c r="G781">
        <v>0.05</v>
      </c>
    </row>
    <row r="782" spans="7:7" x14ac:dyDescent="0.25">
      <c r="G782">
        <v>0.05</v>
      </c>
    </row>
    <row r="783" spans="7:7" x14ac:dyDescent="0.25">
      <c r="G783">
        <v>0.05</v>
      </c>
    </row>
    <row r="784" spans="7:7" x14ac:dyDescent="0.25">
      <c r="G784">
        <v>0.05</v>
      </c>
    </row>
    <row r="785" spans="7:7" x14ac:dyDescent="0.25">
      <c r="G785">
        <v>0.05</v>
      </c>
    </row>
    <row r="786" spans="7:7" x14ac:dyDescent="0.25">
      <c r="G786">
        <v>0.05</v>
      </c>
    </row>
    <row r="787" spans="7:7" x14ac:dyDescent="0.25">
      <c r="G787">
        <v>0.05</v>
      </c>
    </row>
    <row r="788" spans="7:7" x14ac:dyDescent="0.25">
      <c r="G788">
        <v>0.05</v>
      </c>
    </row>
    <row r="789" spans="7:7" x14ac:dyDescent="0.25">
      <c r="G789">
        <v>0.05</v>
      </c>
    </row>
    <row r="790" spans="7:7" x14ac:dyDescent="0.25">
      <c r="G790">
        <v>0.05</v>
      </c>
    </row>
    <row r="791" spans="7:7" x14ac:dyDescent="0.25">
      <c r="G791">
        <v>0.05</v>
      </c>
    </row>
    <row r="792" spans="7:7" x14ac:dyDescent="0.25">
      <c r="G792">
        <v>0.05</v>
      </c>
    </row>
    <row r="793" spans="7:7" x14ac:dyDescent="0.25">
      <c r="G793">
        <v>0.05</v>
      </c>
    </row>
    <row r="794" spans="7:7" x14ac:dyDescent="0.25">
      <c r="G794">
        <v>0.05</v>
      </c>
    </row>
    <row r="795" spans="7:7" x14ac:dyDescent="0.25">
      <c r="G795">
        <v>0.05</v>
      </c>
    </row>
    <row r="796" spans="7:7" x14ac:dyDescent="0.25">
      <c r="G796">
        <v>0.05</v>
      </c>
    </row>
    <row r="797" spans="7:7" x14ac:dyDescent="0.25">
      <c r="G797">
        <v>0.05</v>
      </c>
    </row>
    <row r="798" spans="7:7" x14ac:dyDescent="0.25">
      <c r="G798">
        <v>0.05</v>
      </c>
    </row>
    <row r="799" spans="7:7" x14ac:dyDescent="0.25">
      <c r="G799">
        <v>0.05</v>
      </c>
    </row>
    <row r="800" spans="7:7" x14ac:dyDescent="0.25">
      <c r="G800">
        <v>0.05</v>
      </c>
    </row>
    <row r="801" spans="7:7" x14ac:dyDescent="0.25">
      <c r="G801">
        <v>0.05</v>
      </c>
    </row>
    <row r="802" spans="7:7" x14ac:dyDescent="0.25">
      <c r="G802">
        <v>0.05</v>
      </c>
    </row>
    <row r="803" spans="7:7" x14ac:dyDescent="0.25">
      <c r="G803">
        <v>0.05</v>
      </c>
    </row>
    <row r="804" spans="7:7" x14ac:dyDescent="0.25">
      <c r="G804">
        <v>0.05</v>
      </c>
    </row>
    <row r="805" spans="7:7" x14ac:dyDescent="0.25">
      <c r="G805">
        <v>0.05</v>
      </c>
    </row>
    <row r="806" spans="7:7" x14ac:dyDescent="0.25">
      <c r="G806">
        <v>0.05</v>
      </c>
    </row>
    <row r="807" spans="7:7" x14ac:dyDescent="0.25">
      <c r="G807">
        <v>0.05</v>
      </c>
    </row>
    <row r="808" spans="7:7" x14ac:dyDescent="0.25">
      <c r="G808">
        <v>0.05</v>
      </c>
    </row>
    <row r="809" spans="7:7" x14ac:dyDescent="0.25">
      <c r="G809">
        <v>0.05</v>
      </c>
    </row>
    <row r="810" spans="7:7" x14ac:dyDescent="0.25">
      <c r="G810">
        <v>0.05</v>
      </c>
    </row>
    <row r="811" spans="7:7" x14ac:dyDescent="0.25">
      <c r="G811">
        <v>0.05</v>
      </c>
    </row>
    <row r="812" spans="7:7" x14ac:dyDescent="0.25">
      <c r="G812">
        <v>0.05</v>
      </c>
    </row>
    <row r="813" spans="7:7" x14ac:dyDescent="0.25">
      <c r="G813">
        <v>0.05</v>
      </c>
    </row>
    <row r="814" spans="7:7" x14ac:dyDescent="0.25">
      <c r="G814">
        <v>0.05</v>
      </c>
    </row>
    <row r="815" spans="7:7" x14ac:dyDescent="0.25">
      <c r="G815">
        <v>0.05</v>
      </c>
    </row>
    <row r="816" spans="7:7" x14ac:dyDescent="0.25">
      <c r="G816">
        <v>0.05</v>
      </c>
    </row>
    <row r="817" spans="7:7" x14ac:dyDescent="0.25">
      <c r="G817">
        <v>0.05</v>
      </c>
    </row>
    <row r="818" spans="7:7" x14ac:dyDescent="0.25">
      <c r="G818">
        <v>0.05</v>
      </c>
    </row>
    <row r="819" spans="7:7" x14ac:dyDescent="0.25">
      <c r="G819">
        <v>0.05</v>
      </c>
    </row>
    <row r="820" spans="7:7" x14ac:dyDescent="0.25">
      <c r="G820">
        <v>0.05</v>
      </c>
    </row>
    <row r="821" spans="7:7" x14ac:dyDescent="0.25">
      <c r="G821">
        <v>0.05</v>
      </c>
    </row>
    <row r="822" spans="7:7" x14ac:dyDescent="0.25">
      <c r="G822">
        <v>0.05</v>
      </c>
    </row>
    <row r="823" spans="7:7" x14ac:dyDescent="0.25">
      <c r="G823">
        <v>0.05</v>
      </c>
    </row>
    <row r="824" spans="7:7" x14ac:dyDescent="0.25">
      <c r="G824">
        <v>0.05</v>
      </c>
    </row>
    <row r="825" spans="7:7" x14ac:dyDescent="0.25">
      <c r="G825">
        <v>0.05</v>
      </c>
    </row>
    <row r="826" spans="7:7" x14ac:dyDescent="0.25">
      <c r="G826">
        <v>0.05</v>
      </c>
    </row>
    <row r="827" spans="7:7" x14ac:dyDescent="0.25">
      <c r="G827">
        <v>0.05</v>
      </c>
    </row>
    <row r="828" spans="7:7" x14ac:dyDescent="0.25">
      <c r="G828">
        <v>0.05</v>
      </c>
    </row>
    <row r="829" spans="7:7" x14ac:dyDescent="0.25">
      <c r="G829">
        <v>0.05</v>
      </c>
    </row>
    <row r="830" spans="7:7" x14ac:dyDescent="0.25">
      <c r="G830">
        <v>0.05</v>
      </c>
    </row>
    <row r="831" spans="7:7" x14ac:dyDescent="0.25">
      <c r="G831">
        <v>0.05</v>
      </c>
    </row>
    <row r="832" spans="7:7" x14ac:dyDescent="0.25">
      <c r="G832">
        <v>0.05</v>
      </c>
    </row>
    <row r="833" spans="7:7" x14ac:dyDescent="0.25">
      <c r="G833">
        <v>0.05</v>
      </c>
    </row>
    <row r="834" spans="7:7" x14ac:dyDescent="0.25">
      <c r="G834">
        <v>0.05</v>
      </c>
    </row>
    <row r="835" spans="7:7" x14ac:dyDescent="0.25">
      <c r="G835">
        <v>0.05</v>
      </c>
    </row>
    <row r="836" spans="7:7" x14ac:dyDescent="0.25">
      <c r="G836">
        <v>0.05</v>
      </c>
    </row>
    <row r="837" spans="7:7" x14ac:dyDescent="0.25">
      <c r="G837">
        <v>0.05</v>
      </c>
    </row>
    <row r="838" spans="7:7" x14ac:dyDescent="0.25">
      <c r="G838">
        <v>0.05</v>
      </c>
    </row>
    <row r="839" spans="7:7" x14ac:dyDescent="0.25">
      <c r="G839">
        <v>0.05</v>
      </c>
    </row>
    <row r="840" spans="7:7" x14ac:dyDescent="0.25">
      <c r="G840">
        <v>0.05</v>
      </c>
    </row>
    <row r="841" spans="7:7" x14ac:dyDescent="0.25">
      <c r="G841">
        <v>0.05</v>
      </c>
    </row>
    <row r="842" spans="7:7" x14ac:dyDescent="0.25">
      <c r="G842">
        <v>0.05</v>
      </c>
    </row>
    <row r="843" spans="7:7" x14ac:dyDescent="0.25">
      <c r="G843">
        <v>0.05</v>
      </c>
    </row>
    <row r="844" spans="7:7" x14ac:dyDescent="0.25">
      <c r="G844">
        <v>0.05</v>
      </c>
    </row>
    <row r="845" spans="7:7" x14ac:dyDescent="0.25">
      <c r="G845">
        <v>0.05</v>
      </c>
    </row>
    <row r="846" spans="7:7" x14ac:dyDescent="0.25">
      <c r="G846">
        <v>0.05</v>
      </c>
    </row>
    <row r="847" spans="7:7" x14ac:dyDescent="0.25">
      <c r="G847">
        <v>0.05</v>
      </c>
    </row>
    <row r="848" spans="7:7" x14ac:dyDescent="0.25">
      <c r="G848">
        <v>0.05</v>
      </c>
    </row>
    <row r="849" spans="7:7" x14ac:dyDescent="0.25">
      <c r="G849">
        <v>0.05</v>
      </c>
    </row>
    <row r="850" spans="7:7" x14ac:dyDescent="0.25">
      <c r="G850">
        <v>0.05</v>
      </c>
    </row>
    <row r="851" spans="7:7" x14ac:dyDescent="0.25">
      <c r="G851">
        <v>0.05</v>
      </c>
    </row>
    <row r="852" spans="7:7" x14ac:dyDescent="0.25">
      <c r="G852">
        <v>0.05</v>
      </c>
    </row>
    <row r="853" spans="7:7" x14ac:dyDescent="0.25">
      <c r="G853">
        <v>0.05</v>
      </c>
    </row>
    <row r="854" spans="7:7" x14ac:dyDescent="0.25">
      <c r="G854">
        <v>0.05</v>
      </c>
    </row>
    <row r="855" spans="7:7" x14ac:dyDescent="0.25">
      <c r="G855">
        <v>0.05</v>
      </c>
    </row>
    <row r="856" spans="7:7" x14ac:dyDescent="0.25">
      <c r="G856">
        <v>0.05</v>
      </c>
    </row>
    <row r="857" spans="7:7" x14ac:dyDescent="0.25">
      <c r="G857">
        <v>0.05</v>
      </c>
    </row>
    <row r="858" spans="7:7" x14ac:dyDescent="0.25">
      <c r="G858">
        <v>0.05</v>
      </c>
    </row>
    <row r="859" spans="7:7" x14ac:dyDescent="0.25">
      <c r="G859">
        <v>0.05</v>
      </c>
    </row>
    <row r="860" spans="7:7" x14ac:dyDescent="0.25">
      <c r="G860">
        <v>0.05</v>
      </c>
    </row>
    <row r="861" spans="7:7" x14ac:dyDescent="0.25">
      <c r="G861">
        <v>0.05</v>
      </c>
    </row>
    <row r="862" spans="7:7" x14ac:dyDescent="0.25">
      <c r="G862">
        <v>0.05</v>
      </c>
    </row>
    <row r="863" spans="7:7" x14ac:dyDescent="0.25">
      <c r="G863">
        <v>0.05</v>
      </c>
    </row>
    <row r="864" spans="7:7" x14ac:dyDescent="0.25">
      <c r="G864">
        <v>0.05</v>
      </c>
    </row>
    <row r="865" spans="7:7" x14ac:dyDescent="0.25">
      <c r="G865">
        <v>0.05</v>
      </c>
    </row>
    <row r="866" spans="7:7" x14ac:dyDescent="0.25">
      <c r="G866">
        <v>0.05</v>
      </c>
    </row>
    <row r="867" spans="7:7" x14ac:dyDescent="0.25">
      <c r="G867">
        <v>0.05</v>
      </c>
    </row>
    <row r="868" spans="7:7" x14ac:dyDescent="0.25">
      <c r="G868">
        <v>0.05</v>
      </c>
    </row>
    <row r="869" spans="7:7" x14ac:dyDescent="0.25">
      <c r="G869">
        <v>0.05</v>
      </c>
    </row>
    <row r="870" spans="7:7" x14ac:dyDescent="0.25">
      <c r="G870">
        <v>0.05</v>
      </c>
    </row>
    <row r="871" spans="7:7" x14ac:dyDescent="0.25">
      <c r="G871">
        <v>0.05</v>
      </c>
    </row>
    <row r="872" spans="7:7" x14ac:dyDescent="0.25">
      <c r="G872">
        <v>0.05</v>
      </c>
    </row>
    <row r="873" spans="7:7" x14ac:dyDescent="0.25">
      <c r="G873">
        <v>0.05</v>
      </c>
    </row>
    <row r="874" spans="7:7" x14ac:dyDescent="0.25">
      <c r="G874">
        <v>0.05</v>
      </c>
    </row>
    <row r="875" spans="7:7" x14ac:dyDescent="0.25">
      <c r="G875">
        <v>0.05</v>
      </c>
    </row>
    <row r="876" spans="7:7" x14ac:dyDescent="0.25">
      <c r="G876">
        <v>0.05</v>
      </c>
    </row>
    <row r="877" spans="7:7" x14ac:dyDescent="0.25">
      <c r="G877">
        <v>0.05</v>
      </c>
    </row>
    <row r="878" spans="7:7" x14ac:dyDescent="0.25">
      <c r="G878">
        <v>0.05</v>
      </c>
    </row>
    <row r="879" spans="7:7" x14ac:dyDescent="0.25">
      <c r="G879">
        <v>0.05</v>
      </c>
    </row>
    <row r="880" spans="7:7" x14ac:dyDescent="0.25">
      <c r="G880">
        <v>0.05</v>
      </c>
    </row>
    <row r="881" spans="7:7" x14ac:dyDescent="0.25">
      <c r="G881">
        <v>0.05</v>
      </c>
    </row>
    <row r="882" spans="7:7" x14ac:dyDescent="0.25">
      <c r="G882">
        <v>0.05</v>
      </c>
    </row>
    <row r="883" spans="7:7" x14ac:dyDescent="0.25">
      <c r="G883">
        <v>0.05</v>
      </c>
    </row>
    <row r="884" spans="7:7" x14ac:dyDescent="0.25">
      <c r="G884">
        <v>0.05</v>
      </c>
    </row>
    <row r="885" spans="7:7" x14ac:dyDescent="0.25">
      <c r="G885">
        <v>0.05</v>
      </c>
    </row>
    <row r="886" spans="7:7" x14ac:dyDescent="0.25">
      <c r="G886">
        <v>0.05</v>
      </c>
    </row>
    <row r="887" spans="7:7" x14ac:dyDescent="0.25">
      <c r="G887">
        <v>0.05</v>
      </c>
    </row>
    <row r="888" spans="7:7" x14ac:dyDescent="0.25">
      <c r="G888">
        <v>0.05</v>
      </c>
    </row>
    <row r="889" spans="7:7" x14ac:dyDescent="0.25">
      <c r="G889">
        <v>0.05</v>
      </c>
    </row>
    <row r="890" spans="7:7" x14ac:dyDescent="0.25">
      <c r="G890">
        <v>0.05</v>
      </c>
    </row>
    <row r="891" spans="7:7" x14ac:dyDescent="0.25">
      <c r="G891">
        <v>0.05</v>
      </c>
    </row>
    <row r="892" spans="7:7" x14ac:dyDescent="0.25">
      <c r="G892">
        <v>0.05</v>
      </c>
    </row>
    <row r="893" spans="7:7" x14ac:dyDescent="0.25">
      <c r="G893">
        <v>0.05</v>
      </c>
    </row>
    <row r="894" spans="7:7" x14ac:dyDescent="0.25">
      <c r="G894">
        <v>0.05</v>
      </c>
    </row>
    <row r="895" spans="7:7" x14ac:dyDescent="0.25">
      <c r="G895">
        <v>0.05</v>
      </c>
    </row>
    <row r="896" spans="7:7" x14ac:dyDescent="0.25">
      <c r="G896">
        <v>0.05</v>
      </c>
    </row>
    <row r="897" spans="7:7" x14ac:dyDescent="0.25">
      <c r="G897">
        <v>0.05</v>
      </c>
    </row>
    <row r="898" spans="7:7" x14ac:dyDescent="0.25">
      <c r="G898">
        <v>0.05</v>
      </c>
    </row>
    <row r="899" spans="7:7" x14ac:dyDescent="0.25">
      <c r="G899">
        <v>0.05</v>
      </c>
    </row>
    <row r="900" spans="7:7" x14ac:dyDescent="0.25">
      <c r="G900">
        <v>0.05</v>
      </c>
    </row>
    <row r="901" spans="7:7" x14ac:dyDescent="0.25">
      <c r="G901">
        <v>0.05</v>
      </c>
    </row>
    <row r="902" spans="7:7" x14ac:dyDescent="0.25">
      <c r="G902">
        <v>0.05</v>
      </c>
    </row>
    <row r="903" spans="7:7" x14ac:dyDescent="0.25">
      <c r="G903">
        <v>0.05</v>
      </c>
    </row>
    <row r="904" spans="7:7" x14ac:dyDescent="0.25">
      <c r="G904">
        <v>0.05</v>
      </c>
    </row>
    <row r="905" spans="7:7" x14ac:dyDescent="0.25">
      <c r="G905">
        <v>0.05</v>
      </c>
    </row>
    <row r="906" spans="7:7" x14ac:dyDescent="0.25">
      <c r="G906">
        <v>0.05</v>
      </c>
    </row>
    <row r="907" spans="7:7" x14ac:dyDescent="0.25">
      <c r="G907">
        <v>0.05</v>
      </c>
    </row>
    <row r="908" spans="7:7" x14ac:dyDescent="0.25">
      <c r="G908">
        <v>0.05</v>
      </c>
    </row>
    <row r="909" spans="7:7" x14ac:dyDescent="0.25">
      <c r="G909">
        <v>0.05</v>
      </c>
    </row>
    <row r="910" spans="7:7" x14ac:dyDescent="0.25">
      <c r="G910">
        <v>0.05</v>
      </c>
    </row>
    <row r="911" spans="7:7" x14ac:dyDescent="0.25">
      <c r="G911">
        <v>0.05</v>
      </c>
    </row>
    <row r="912" spans="7:7" x14ac:dyDescent="0.25">
      <c r="G912">
        <v>0.05</v>
      </c>
    </row>
    <row r="913" spans="7:7" x14ac:dyDescent="0.25">
      <c r="G913">
        <v>0.05</v>
      </c>
    </row>
    <row r="914" spans="7:7" x14ac:dyDescent="0.25">
      <c r="G914">
        <v>0.05</v>
      </c>
    </row>
    <row r="915" spans="7:7" x14ac:dyDescent="0.25">
      <c r="G915">
        <v>0.05</v>
      </c>
    </row>
    <row r="916" spans="7:7" x14ac:dyDescent="0.25">
      <c r="G916">
        <v>0.05</v>
      </c>
    </row>
    <row r="917" spans="7:7" x14ac:dyDescent="0.25">
      <c r="G917">
        <v>0.05</v>
      </c>
    </row>
    <row r="918" spans="7:7" x14ac:dyDescent="0.25">
      <c r="G918">
        <v>0.05</v>
      </c>
    </row>
    <row r="919" spans="7:7" x14ac:dyDescent="0.25">
      <c r="G919">
        <v>0.05</v>
      </c>
    </row>
    <row r="920" spans="7:7" x14ac:dyDescent="0.25">
      <c r="G920">
        <v>0.05</v>
      </c>
    </row>
    <row r="921" spans="7:7" x14ac:dyDescent="0.25">
      <c r="G921">
        <v>0.05</v>
      </c>
    </row>
    <row r="922" spans="7:7" x14ac:dyDescent="0.25">
      <c r="G922">
        <v>0.05</v>
      </c>
    </row>
    <row r="923" spans="7:7" x14ac:dyDescent="0.25">
      <c r="G923">
        <v>0.05</v>
      </c>
    </row>
    <row r="924" spans="7:7" x14ac:dyDescent="0.25">
      <c r="G924">
        <v>0.05</v>
      </c>
    </row>
    <row r="925" spans="7:7" x14ac:dyDescent="0.25">
      <c r="G925">
        <v>0.05</v>
      </c>
    </row>
    <row r="926" spans="7:7" x14ac:dyDescent="0.25">
      <c r="G926">
        <v>0.05</v>
      </c>
    </row>
    <row r="927" spans="7:7" x14ac:dyDescent="0.25">
      <c r="G927">
        <v>0.05</v>
      </c>
    </row>
    <row r="928" spans="7:7" x14ac:dyDescent="0.25">
      <c r="G928">
        <v>0.05</v>
      </c>
    </row>
    <row r="929" spans="7:7" x14ac:dyDescent="0.25">
      <c r="G929">
        <v>0.05</v>
      </c>
    </row>
    <row r="930" spans="7:7" x14ac:dyDescent="0.25">
      <c r="G930">
        <v>0.05</v>
      </c>
    </row>
    <row r="931" spans="7:7" x14ac:dyDescent="0.25">
      <c r="G931">
        <v>0.05</v>
      </c>
    </row>
    <row r="932" spans="7:7" x14ac:dyDescent="0.25">
      <c r="G932">
        <v>0.05</v>
      </c>
    </row>
    <row r="933" spans="7:7" x14ac:dyDescent="0.25">
      <c r="G933">
        <v>0.05</v>
      </c>
    </row>
    <row r="934" spans="7:7" x14ac:dyDescent="0.25">
      <c r="G934">
        <v>0.05</v>
      </c>
    </row>
    <row r="935" spans="7:7" x14ac:dyDescent="0.25">
      <c r="G935">
        <v>0.05</v>
      </c>
    </row>
    <row r="936" spans="7:7" x14ac:dyDescent="0.25">
      <c r="G936">
        <v>0.05</v>
      </c>
    </row>
    <row r="937" spans="7:7" x14ac:dyDescent="0.25">
      <c r="G937">
        <v>0.05</v>
      </c>
    </row>
    <row r="938" spans="7:7" x14ac:dyDescent="0.25">
      <c r="G938">
        <v>0.05</v>
      </c>
    </row>
    <row r="939" spans="7:7" x14ac:dyDescent="0.25">
      <c r="G939">
        <v>0.05</v>
      </c>
    </row>
    <row r="940" spans="7:7" x14ac:dyDescent="0.25">
      <c r="G940">
        <v>0.05</v>
      </c>
    </row>
    <row r="941" spans="7:7" x14ac:dyDescent="0.25">
      <c r="G941">
        <v>0.05</v>
      </c>
    </row>
    <row r="942" spans="7:7" x14ac:dyDescent="0.25">
      <c r="G942">
        <v>0.05</v>
      </c>
    </row>
    <row r="943" spans="7:7" x14ac:dyDescent="0.25">
      <c r="G943">
        <v>0.05</v>
      </c>
    </row>
    <row r="944" spans="7:7" x14ac:dyDescent="0.25">
      <c r="G944">
        <v>0.05</v>
      </c>
    </row>
    <row r="945" spans="7:7" x14ac:dyDescent="0.25">
      <c r="G945">
        <v>0.05</v>
      </c>
    </row>
    <row r="946" spans="7:7" x14ac:dyDescent="0.25">
      <c r="G946">
        <v>0.05</v>
      </c>
    </row>
    <row r="947" spans="7:7" x14ac:dyDescent="0.25">
      <c r="G947">
        <v>0.05</v>
      </c>
    </row>
    <row r="948" spans="7:7" x14ac:dyDescent="0.25">
      <c r="G948">
        <v>0.05</v>
      </c>
    </row>
    <row r="949" spans="7:7" x14ac:dyDescent="0.25">
      <c r="G949">
        <v>0.05</v>
      </c>
    </row>
    <row r="950" spans="7:7" x14ac:dyDescent="0.25">
      <c r="G950">
        <v>0.05</v>
      </c>
    </row>
    <row r="951" spans="7:7" x14ac:dyDescent="0.25">
      <c r="G951">
        <v>0.05</v>
      </c>
    </row>
    <row r="952" spans="7:7" x14ac:dyDescent="0.25">
      <c r="G952">
        <v>0.05</v>
      </c>
    </row>
    <row r="953" spans="7:7" x14ac:dyDescent="0.25">
      <c r="G953">
        <v>0.05</v>
      </c>
    </row>
    <row r="954" spans="7:7" x14ac:dyDescent="0.25">
      <c r="G954">
        <v>0.05</v>
      </c>
    </row>
    <row r="955" spans="7:7" x14ac:dyDescent="0.25">
      <c r="G955">
        <v>0.05</v>
      </c>
    </row>
    <row r="956" spans="7:7" x14ac:dyDescent="0.25">
      <c r="G956">
        <v>0.05</v>
      </c>
    </row>
    <row r="957" spans="7:7" x14ac:dyDescent="0.25">
      <c r="G957">
        <v>0.05</v>
      </c>
    </row>
    <row r="958" spans="7:7" x14ac:dyDescent="0.25">
      <c r="G958">
        <v>0.05</v>
      </c>
    </row>
    <row r="959" spans="7:7" x14ac:dyDescent="0.25">
      <c r="G959">
        <v>0.05</v>
      </c>
    </row>
    <row r="960" spans="7:7" x14ac:dyDescent="0.25">
      <c r="G960">
        <v>0.05</v>
      </c>
    </row>
    <row r="961" spans="7:7" x14ac:dyDescent="0.25">
      <c r="G961">
        <v>0.05</v>
      </c>
    </row>
    <row r="962" spans="7:7" x14ac:dyDescent="0.25">
      <c r="G962">
        <v>0.05</v>
      </c>
    </row>
    <row r="963" spans="7:7" x14ac:dyDescent="0.25">
      <c r="G963">
        <v>0.05</v>
      </c>
    </row>
    <row r="964" spans="7:7" x14ac:dyDescent="0.25">
      <c r="G964">
        <v>0.05</v>
      </c>
    </row>
    <row r="965" spans="7:7" x14ac:dyDescent="0.25">
      <c r="G965">
        <v>0.05</v>
      </c>
    </row>
    <row r="966" spans="7:7" x14ac:dyDescent="0.25">
      <c r="G966">
        <v>0.05</v>
      </c>
    </row>
    <row r="967" spans="7:7" x14ac:dyDescent="0.25">
      <c r="G967">
        <v>0.05</v>
      </c>
    </row>
    <row r="968" spans="7:7" x14ac:dyDescent="0.25">
      <c r="G968">
        <v>0.05</v>
      </c>
    </row>
    <row r="969" spans="7:7" x14ac:dyDescent="0.25">
      <c r="G969">
        <v>0.05</v>
      </c>
    </row>
    <row r="970" spans="7:7" x14ac:dyDescent="0.25">
      <c r="G970">
        <v>0.05</v>
      </c>
    </row>
    <row r="971" spans="7:7" x14ac:dyDescent="0.25">
      <c r="G971">
        <v>0.05</v>
      </c>
    </row>
    <row r="972" spans="7:7" x14ac:dyDescent="0.25">
      <c r="G972">
        <v>0.05</v>
      </c>
    </row>
    <row r="973" spans="7:7" x14ac:dyDescent="0.25">
      <c r="G973">
        <v>0.05</v>
      </c>
    </row>
    <row r="974" spans="7:7" x14ac:dyDescent="0.25">
      <c r="G974">
        <v>0.05</v>
      </c>
    </row>
    <row r="975" spans="7:7" x14ac:dyDescent="0.25">
      <c r="G975">
        <v>0.05</v>
      </c>
    </row>
    <row r="976" spans="7:7" x14ac:dyDescent="0.25">
      <c r="G976">
        <v>0.05</v>
      </c>
    </row>
    <row r="977" spans="7:7" x14ac:dyDescent="0.25">
      <c r="G977">
        <v>0.05</v>
      </c>
    </row>
    <row r="978" spans="7:7" x14ac:dyDescent="0.25">
      <c r="G978">
        <v>0.05</v>
      </c>
    </row>
    <row r="979" spans="7:7" x14ac:dyDescent="0.25">
      <c r="G979">
        <v>0.05</v>
      </c>
    </row>
    <row r="980" spans="7:7" x14ac:dyDescent="0.25">
      <c r="G980">
        <v>0.05</v>
      </c>
    </row>
    <row r="981" spans="7:7" x14ac:dyDescent="0.25">
      <c r="G981">
        <v>0.05</v>
      </c>
    </row>
    <row r="982" spans="7:7" x14ac:dyDescent="0.25">
      <c r="G982">
        <v>0.05</v>
      </c>
    </row>
    <row r="983" spans="7:7" x14ac:dyDescent="0.25">
      <c r="G983">
        <v>0.05</v>
      </c>
    </row>
    <row r="984" spans="7:7" x14ac:dyDescent="0.25">
      <c r="G984">
        <v>0.05</v>
      </c>
    </row>
    <row r="985" spans="7:7" x14ac:dyDescent="0.25">
      <c r="G985">
        <v>0.05</v>
      </c>
    </row>
    <row r="986" spans="7:7" x14ac:dyDescent="0.25">
      <c r="G986">
        <v>0.05</v>
      </c>
    </row>
    <row r="987" spans="7:7" x14ac:dyDescent="0.25">
      <c r="G987">
        <v>0.05</v>
      </c>
    </row>
    <row r="988" spans="7:7" x14ac:dyDescent="0.25">
      <c r="G988">
        <v>0.05</v>
      </c>
    </row>
    <row r="989" spans="7:7" x14ac:dyDescent="0.25">
      <c r="G989">
        <v>0.05</v>
      </c>
    </row>
    <row r="990" spans="7:7" x14ac:dyDescent="0.25">
      <c r="G990">
        <v>0.05</v>
      </c>
    </row>
    <row r="991" spans="7:7" x14ac:dyDescent="0.25">
      <c r="G991">
        <v>0.05</v>
      </c>
    </row>
    <row r="992" spans="7:7" x14ac:dyDescent="0.25">
      <c r="G992">
        <v>0.05</v>
      </c>
    </row>
    <row r="993" spans="7:7" x14ac:dyDescent="0.25">
      <c r="G993">
        <v>0.05</v>
      </c>
    </row>
    <row r="994" spans="7:7" x14ac:dyDescent="0.25">
      <c r="G994">
        <v>0.05</v>
      </c>
    </row>
    <row r="995" spans="7:7" x14ac:dyDescent="0.25">
      <c r="G995">
        <v>0.05</v>
      </c>
    </row>
    <row r="996" spans="7:7" x14ac:dyDescent="0.25">
      <c r="G996">
        <v>0.05</v>
      </c>
    </row>
    <row r="997" spans="7:7" x14ac:dyDescent="0.25">
      <c r="G997">
        <v>0.05</v>
      </c>
    </row>
    <row r="998" spans="7:7" x14ac:dyDescent="0.25">
      <c r="G998">
        <v>0.05</v>
      </c>
    </row>
    <row r="999" spans="7:7" x14ac:dyDescent="0.25">
      <c r="G999">
        <v>0.05</v>
      </c>
    </row>
    <row r="1000" spans="7:7" x14ac:dyDescent="0.25">
      <c r="G1000">
        <v>0.05</v>
      </c>
    </row>
    <row r="1001" spans="7:7" x14ac:dyDescent="0.25">
      <c r="G1001">
        <v>0.05</v>
      </c>
    </row>
    <row r="1002" spans="7:7" x14ac:dyDescent="0.25">
      <c r="G1002">
        <v>0.05</v>
      </c>
    </row>
    <row r="1003" spans="7:7" x14ac:dyDescent="0.25">
      <c r="G1003">
        <v>0.05</v>
      </c>
    </row>
    <row r="1004" spans="7:7" x14ac:dyDescent="0.25">
      <c r="G1004">
        <v>0.05</v>
      </c>
    </row>
    <row r="1005" spans="7:7" x14ac:dyDescent="0.25">
      <c r="G1005">
        <v>0.05</v>
      </c>
    </row>
    <row r="1006" spans="7:7" x14ac:dyDescent="0.25">
      <c r="G1006">
        <v>0.05</v>
      </c>
    </row>
    <row r="1007" spans="7:7" x14ac:dyDescent="0.25">
      <c r="G1007">
        <v>0.05</v>
      </c>
    </row>
    <row r="1008" spans="7:7" x14ac:dyDescent="0.25">
      <c r="G1008">
        <v>0.05</v>
      </c>
    </row>
    <row r="1009" spans="7:7" x14ac:dyDescent="0.25">
      <c r="G1009">
        <v>0.05</v>
      </c>
    </row>
    <row r="1010" spans="7:7" x14ac:dyDescent="0.25">
      <c r="G1010">
        <v>0.05</v>
      </c>
    </row>
    <row r="1011" spans="7:7" x14ac:dyDescent="0.25">
      <c r="G1011">
        <v>0.05</v>
      </c>
    </row>
    <row r="1012" spans="7:7" x14ac:dyDescent="0.25">
      <c r="G1012">
        <v>0.05</v>
      </c>
    </row>
    <row r="1013" spans="7:7" x14ac:dyDescent="0.25">
      <c r="G1013">
        <v>0.05</v>
      </c>
    </row>
    <row r="1014" spans="7:7" x14ac:dyDescent="0.25">
      <c r="G1014">
        <v>0.05</v>
      </c>
    </row>
    <row r="1015" spans="7:7" x14ac:dyDescent="0.25">
      <c r="G1015">
        <v>0.05</v>
      </c>
    </row>
    <row r="1016" spans="7:7" x14ac:dyDescent="0.25">
      <c r="G1016">
        <v>0.05</v>
      </c>
    </row>
    <row r="1017" spans="7:7" x14ac:dyDescent="0.25">
      <c r="G1017">
        <v>0.05</v>
      </c>
    </row>
    <row r="1018" spans="7:7" x14ac:dyDescent="0.25">
      <c r="G1018">
        <v>0.05</v>
      </c>
    </row>
    <row r="1019" spans="7:7" x14ac:dyDescent="0.25">
      <c r="G1019">
        <v>0.05</v>
      </c>
    </row>
    <row r="1020" spans="7:7" x14ac:dyDescent="0.25">
      <c r="G1020">
        <v>0.05</v>
      </c>
    </row>
    <row r="1021" spans="7:7" x14ac:dyDescent="0.25">
      <c r="G1021">
        <v>0.05</v>
      </c>
    </row>
    <row r="1022" spans="7:7" x14ac:dyDescent="0.25">
      <c r="G1022">
        <v>0.05</v>
      </c>
    </row>
    <row r="1023" spans="7:7" x14ac:dyDescent="0.25">
      <c r="G1023">
        <v>0.05</v>
      </c>
    </row>
    <row r="1024" spans="7:7" x14ac:dyDescent="0.25">
      <c r="G1024">
        <v>0.05</v>
      </c>
    </row>
    <row r="1025" spans="7:7" x14ac:dyDescent="0.25">
      <c r="G1025">
        <v>0.05</v>
      </c>
    </row>
    <row r="1026" spans="7:7" x14ac:dyDescent="0.25">
      <c r="G1026">
        <v>0.05</v>
      </c>
    </row>
    <row r="1027" spans="7:7" x14ac:dyDescent="0.25">
      <c r="G1027">
        <v>0.05</v>
      </c>
    </row>
    <row r="1028" spans="7:7" x14ac:dyDescent="0.25">
      <c r="G1028">
        <v>0.05</v>
      </c>
    </row>
    <row r="1029" spans="7:7" x14ac:dyDescent="0.25">
      <c r="G1029">
        <v>0.05</v>
      </c>
    </row>
    <row r="1030" spans="7:7" x14ac:dyDescent="0.25">
      <c r="G1030">
        <v>0.05</v>
      </c>
    </row>
    <row r="1031" spans="7:7" x14ac:dyDescent="0.25">
      <c r="G1031">
        <v>0.05</v>
      </c>
    </row>
    <row r="1032" spans="7:7" x14ac:dyDescent="0.25">
      <c r="G1032">
        <v>0.05</v>
      </c>
    </row>
    <row r="1033" spans="7:7" x14ac:dyDescent="0.25">
      <c r="G1033">
        <v>0.05</v>
      </c>
    </row>
    <row r="1034" spans="7:7" x14ac:dyDescent="0.25">
      <c r="G1034">
        <v>0.05</v>
      </c>
    </row>
    <row r="1035" spans="7:7" x14ac:dyDescent="0.25">
      <c r="G1035">
        <v>0.05</v>
      </c>
    </row>
    <row r="1036" spans="7:7" x14ac:dyDescent="0.25">
      <c r="G1036">
        <v>0.05</v>
      </c>
    </row>
    <row r="1037" spans="7:7" x14ac:dyDescent="0.25">
      <c r="G1037">
        <v>0.05</v>
      </c>
    </row>
    <row r="1038" spans="7:7" x14ac:dyDescent="0.25">
      <c r="G1038">
        <v>0.05</v>
      </c>
    </row>
    <row r="1039" spans="7:7" x14ac:dyDescent="0.25">
      <c r="G1039">
        <v>0.05</v>
      </c>
    </row>
    <row r="1040" spans="7:7" x14ac:dyDescent="0.25">
      <c r="G1040">
        <v>0.05</v>
      </c>
    </row>
    <row r="1041" spans="7:7" x14ac:dyDescent="0.25">
      <c r="G1041">
        <v>0.05</v>
      </c>
    </row>
    <row r="1042" spans="7:7" x14ac:dyDescent="0.25">
      <c r="G1042">
        <v>0.05</v>
      </c>
    </row>
    <row r="1043" spans="7:7" x14ac:dyDescent="0.25">
      <c r="G1043">
        <v>0.05</v>
      </c>
    </row>
    <row r="1044" spans="7:7" x14ac:dyDescent="0.25">
      <c r="G1044">
        <v>0.05</v>
      </c>
    </row>
    <row r="1045" spans="7:7" x14ac:dyDescent="0.25">
      <c r="G1045">
        <v>0.05</v>
      </c>
    </row>
    <row r="1046" spans="7:7" x14ac:dyDescent="0.25">
      <c r="G1046">
        <v>0.05</v>
      </c>
    </row>
    <row r="1047" spans="7:7" x14ac:dyDescent="0.25">
      <c r="G1047">
        <v>0.05</v>
      </c>
    </row>
    <row r="1048" spans="7:7" x14ac:dyDescent="0.25">
      <c r="G1048">
        <v>0.05</v>
      </c>
    </row>
    <row r="1049" spans="7:7" x14ac:dyDescent="0.25">
      <c r="G1049">
        <v>0.05</v>
      </c>
    </row>
    <row r="1050" spans="7:7" x14ac:dyDescent="0.25">
      <c r="G1050">
        <v>0.05</v>
      </c>
    </row>
    <row r="1051" spans="7:7" x14ac:dyDescent="0.25">
      <c r="G1051">
        <v>0.05</v>
      </c>
    </row>
    <row r="1052" spans="7:7" x14ac:dyDescent="0.25">
      <c r="G1052">
        <v>0.05</v>
      </c>
    </row>
    <row r="1053" spans="7:7" x14ac:dyDescent="0.25">
      <c r="G1053">
        <v>0.05</v>
      </c>
    </row>
    <row r="1054" spans="7:7" x14ac:dyDescent="0.25">
      <c r="G1054">
        <v>0.05</v>
      </c>
    </row>
    <row r="1055" spans="7:7" x14ac:dyDescent="0.25">
      <c r="G1055">
        <v>0.05</v>
      </c>
    </row>
    <row r="1056" spans="7:7" x14ac:dyDescent="0.25">
      <c r="G1056">
        <v>0.05</v>
      </c>
    </row>
    <row r="1057" spans="7:7" x14ac:dyDescent="0.25">
      <c r="G1057">
        <v>0.05</v>
      </c>
    </row>
    <row r="1058" spans="7:7" x14ac:dyDescent="0.25">
      <c r="G1058">
        <v>0.05</v>
      </c>
    </row>
    <row r="1059" spans="7:7" x14ac:dyDescent="0.25">
      <c r="G1059">
        <v>0.05</v>
      </c>
    </row>
    <row r="1060" spans="7:7" x14ac:dyDescent="0.25">
      <c r="G1060">
        <v>0.05</v>
      </c>
    </row>
    <row r="1061" spans="7:7" x14ac:dyDescent="0.25">
      <c r="G1061">
        <v>0.05</v>
      </c>
    </row>
    <row r="1062" spans="7:7" x14ac:dyDescent="0.25">
      <c r="G1062">
        <v>0.05</v>
      </c>
    </row>
    <row r="1063" spans="7:7" x14ac:dyDescent="0.25">
      <c r="G1063">
        <v>0.05</v>
      </c>
    </row>
    <row r="1064" spans="7:7" x14ac:dyDescent="0.25">
      <c r="G1064">
        <v>0.05</v>
      </c>
    </row>
    <row r="1065" spans="7:7" x14ac:dyDescent="0.25">
      <c r="G1065">
        <v>0.05</v>
      </c>
    </row>
    <row r="1066" spans="7:7" x14ac:dyDescent="0.25">
      <c r="G1066">
        <v>0.05</v>
      </c>
    </row>
    <row r="1067" spans="7:7" x14ac:dyDescent="0.25">
      <c r="G1067">
        <v>0.05</v>
      </c>
    </row>
    <row r="1068" spans="7:7" x14ac:dyDescent="0.25">
      <c r="G1068">
        <v>0.05</v>
      </c>
    </row>
    <row r="1069" spans="7:7" x14ac:dyDescent="0.25">
      <c r="G1069">
        <v>0.05</v>
      </c>
    </row>
    <row r="1070" spans="7:7" x14ac:dyDescent="0.25">
      <c r="G1070">
        <v>0.05</v>
      </c>
    </row>
    <row r="1071" spans="7:7" x14ac:dyDescent="0.25">
      <c r="G1071">
        <v>0.05</v>
      </c>
    </row>
    <row r="1072" spans="7:7" x14ac:dyDescent="0.25">
      <c r="G1072">
        <v>0.05</v>
      </c>
    </row>
    <row r="1073" spans="7:7" x14ac:dyDescent="0.25">
      <c r="G1073">
        <v>0.05</v>
      </c>
    </row>
    <row r="1074" spans="7:7" x14ac:dyDescent="0.25">
      <c r="G1074">
        <v>0.05</v>
      </c>
    </row>
    <row r="1075" spans="7:7" x14ac:dyDescent="0.25">
      <c r="G1075">
        <v>0.05</v>
      </c>
    </row>
    <row r="1076" spans="7:7" x14ac:dyDescent="0.25">
      <c r="G1076">
        <v>0.05</v>
      </c>
    </row>
    <row r="1077" spans="7:7" x14ac:dyDescent="0.25">
      <c r="G1077">
        <v>0.05</v>
      </c>
    </row>
    <row r="1078" spans="7:7" x14ac:dyDescent="0.25">
      <c r="G1078">
        <v>0.05</v>
      </c>
    </row>
    <row r="1079" spans="7:7" x14ac:dyDescent="0.25">
      <c r="G1079">
        <v>0.05</v>
      </c>
    </row>
    <row r="1080" spans="7:7" x14ac:dyDescent="0.25">
      <c r="G1080">
        <v>0.05</v>
      </c>
    </row>
    <row r="1081" spans="7:7" x14ac:dyDescent="0.25">
      <c r="G1081">
        <v>0.05</v>
      </c>
    </row>
    <row r="1082" spans="7:7" x14ac:dyDescent="0.25">
      <c r="G1082">
        <v>0.05</v>
      </c>
    </row>
    <row r="1083" spans="7:7" x14ac:dyDescent="0.25">
      <c r="G1083">
        <v>0.05</v>
      </c>
    </row>
    <row r="1084" spans="7:7" x14ac:dyDescent="0.25">
      <c r="G1084">
        <v>0.05</v>
      </c>
    </row>
    <row r="1085" spans="7:7" x14ac:dyDescent="0.25">
      <c r="G1085">
        <v>0.05</v>
      </c>
    </row>
    <row r="1086" spans="7:7" x14ac:dyDescent="0.25">
      <c r="G1086">
        <v>0.05</v>
      </c>
    </row>
    <row r="1087" spans="7:7" x14ac:dyDescent="0.25">
      <c r="G1087">
        <v>0.05</v>
      </c>
    </row>
    <row r="1088" spans="7:7" x14ac:dyDescent="0.25">
      <c r="G1088">
        <v>0.05</v>
      </c>
    </row>
    <row r="1089" spans="7:7" x14ac:dyDescent="0.25">
      <c r="G1089">
        <v>0.05</v>
      </c>
    </row>
    <row r="1090" spans="7:7" x14ac:dyDescent="0.25">
      <c r="G1090">
        <v>0.05</v>
      </c>
    </row>
    <row r="1091" spans="7:7" x14ac:dyDescent="0.25">
      <c r="G1091">
        <v>0.05</v>
      </c>
    </row>
    <row r="1092" spans="7:7" x14ac:dyDescent="0.25">
      <c r="G1092">
        <v>0.05</v>
      </c>
    </row>
    <row r="1093" spans="7:7" x14ac:dyDescent="0.25">
      <c r="G1093">
        <v>0.05</v>
      </c>
    </row>
    <row r="1094" spans="7:7" x14ac:dyDescent="0.25">
      <c r="G1094">
        <v>0.05</v>
      </c>
    </row>
    <row r="1095" spans="7:7" x14ac:dyDescent="0.25">
      <c r="G1095">
        <v>0.05</v>
      </c>
    </row>
    <row r="1096" spans="7:7" x14ac:dyDescent="0.25">
      <c r="G1096">
        <v>0.05</v>
      </c>
    </row>
    <row r="1097" spans="7:7" x14ac:dyDescent="0.25">
      <c r="G1097">
        <v>0.05</v>
      </c>
    </row>
    <row r="1098" spans="7:7" x14ac:dyDescent="0.25">
      <c r="G1098">
        <v>0.05</v>
      </c>
    </row>
    <row r="1099" spans="7:7" x14ac:dyDescent="0.25">
      <c r="G1099">
        <v>0.05</v>
      </c>
    </row>
    <row r="1100" spans="7:7" x14ac:dyDescent="0.25">
      <c r="G1100">
        <v>0.05</v>
      </c>
    </row>
    <row r="1101" spans="7:7" x14ac:dyDescent="0.25">
      <c r="G1101">
        <v>0.05</v>
      </c>
    </row>
    <row r="1102" spans="7:7" x14ac:dyDescent="0.25">
      <c r="G1102">
        <v>0.05</v>
      </c>
    </row>
    <row r="1103" spans="7:7" x14ac:dyDescent="0.25">
      <c r="G1103">
        <v>0.05</v>
      </c>
    </row>
    <row r="1104" spans="7:7" x14ac:dyDescent="0.25">
      <c r="G1104">
        <v>0.05</v>
      </c>
    </row>
    <row r="1105" spans="7:7" x14ac:dyDescent="0.25">
      <c r="G1105">
        <v>0.05</v>
      </c>
    </row>
    <row r="1106" spans="7:7" x14ac:dyDescent="0.25">
      <c r="G1106">
        <v>0.05</v>
      </c>
    </row>
    <row r="1107" spans="7:7" x14ac:dyDescent="0.25">
      <c r="G1107">
        <v>0.05</v>
      </c>
    </row>
    <row r="1108" spans="7:7" x14ac:dyDescent="0.25">
      <c r="G1108">
        <v>0.05</v>
      </c>
    </row>
    <row r="1109" spans="7:7" x14ac:dyDescent="0.25">
      <c r="G1109">
        <v>0.05</v>
      </c>
    </row>
    <row r="1110" spans="7:7" x14ac:dyDescent="0.25">
      <c r="G1110">
        <v>0.05</v>
      </c>
    </row>
    <row r="1111" spans="7:7" x14ac:dyDescent="0.25">
      <c r="G1111">
        <v>0.05</v>
      </c>
    </row>
    <row r="1112" spans="7:7" x14ac:dyDescent="0.25">
      <c r="G1112">
        <v>0.05</v>
      </c>
    </row>
    <row r="1113" spans="7:7" x14ac:dyDescent="0.25">
      <c r="G1113">
        <v>0.05</v>
      </c>
    </row>
    <row r="1114" spans="7:7" x14ac:dyDescent="0.25">
      <c r="G1114">
        <v>0.05</v>
      </c>
    </row>
    <row r="1115" spans="7:7" x14ac:dyDescent="0.25">
      <c r="G1115">
        <v>0.05</v>
      </c>
    </row>
    <row r="1116" spans="7:7" x14ac:dyDescent="0.25">
      <c r="G1116">
        <v>0.05</v>
      </c>
    </row>
    <row r="1117" spans="7:7" x14ac:dyDescent="0.25">
      <c r="G1117">
        <v>0.05</v>
      </c>
    </row>
    <row r="1118" spans="7:7" x14ac:dyDescent="0.25">
      <c r="G1118">
        <v>0.05</v>
      </c>
    </row>
    <row r="1119" spans="7:7" x14ac:dyDescent="0.25">
      <c r="G1119">
        <v>0.05</v>
      </c>
    </row>
    <row r="1120" spans="7:7" x14ac:dyDescent="0.25">
      <c r="G1120">
        <v>0.05</v>
      </c>
    </row>
    <row r="1121" spans="7:7" x14ac:dyDescent="0.25">
      <c r="G1121">
        <v>0.05</v>
      </c>
    </row>
    <row r="1122" spans="7:7" x14ac:dyDescent="0.25">
      <c r="G1122">
        <v>0.05</v>
      </c>
    </row>
    <row r="1123" spans="7:7" x14ac:dyDescent="0.25">
      <c r="G1123">
        <v>0.05</v>
      </c>
    </row>
    <row r="1124" spans="7:7" x14ac:dyDescent="0.25">
      <c r="G1124">
        <v>0.05</v>
      </c>
    </row>
    <row r="1125" spans="7:7" x14ac:dyDescent="0.25">
      <c r="G1125">
        <v>0.05</v>
      </c>
    </row>
    <row r="1126" spans="7:7" x14ac:dyDescent="0.25">
      <c r="G1126">
        <v>0.05</v>
      </c>
    </row>
    <row r="1127" spans="7:7" x14ac:dyDescent="0.25">
      <c r="G1127">
        <v>0.05</v>
      </c>
    </row>
    <row r="1128" spans="7:7" x14ac:dyDescent="0.25">
      <c r="G1128">
        <v>0.05</v>
      </c>
    </row>
    <row r="1129" spans="7:7" x14ac:dyDescent="0.25">
      <c r="G1129">
        <v>0.05</v>
      </c>
    </row>
    <row r="1130" spans="7:7" x14ac:dyDescent="0.25">
      <c r="G1130">
        <v>0.05</v>
      </c>
    </row>
    <row r="1131" spans="7:7" x14ac:dyDescent="0.25">
      <c r="G1131">
        <v>0.05</v>
      </c>
    </row>
    <row r="1132" spans="7:7" x14ac:dyDescent="0.25">
      <c r="G1132">
        <v>0.05</v>
      </c>
    </row>
    <row r="1133" spans="7:7" x14ac:dyDescent="0.25">
      <c r="G1133">
        <v>0.05</v>
      </c>
    </row>
    <row r="1134" spans="7:7" x14ac:dyDescent="0.25">
      <c r="G1134">
        <v>0.05</v>
      </c>
    </row>
    <row r="1135" spans="7:7" x14ac:dyDescent="0.25">
      <c r="G1135">
        <v>0.05</v>
      </c>
    </row>
    <row r="1136" spans="7:7" x14ac:dyDescent="0.25">
      <c r="G1136">
        <v>0.05</v>
      </c>
    </row>
    <row r="1137" spans="7:7" x14ac:dyDescent="0.25">
      <c r="G1137">
        <v>0.05</v>
      </c>
    </row>
    <row r="1138" spans="7:7" x14ac:dyDescent="0.25">
      <c r="G1138">
        <v>0.05</v>
      </c>
    </row>
    <row r="1139" spans="7:7" x14ac:dyDescent="0.25">
      <c r="G1139">
        <v>0.05</v>
      </c>
    </row>
    <row r="1140" spans="7:7" x14ac:dyDescent="0.25">
      <c r="G1140">
        <v>0.05</v>
      </c>
    </row>
    <row r="1141" spans="7:7" x14ac:dyDescent="0.25">
      <c r="G1141">
        <v>0.05</v>
      </c>
    </row>
    <row r="1142" spans="7:7" x14ac:dyDescent="0.25">
      <c r="G1142">
        <v>0.05</v>
      </c>
    </row>
    <row r="1143" spans="7:7" x14ac:dyDescent="0.25">
      <c r="G1143">
        <v>0.05</v>
      </c>
    </row>
    <row r="1144" spans="7:7" x14ac:dyDescent="0.25">
      <c r="G1144">
        <v>0.05</v>
      </c>
    </row>
    <row r="1145" spans="7:7" x14ac:dyDescent="0.25">
      <c r="G1145">
        <v>0.05</v>
      </c>
    </row>
    <row r="1146" spans="7:7" x14ac:dyDescent="0.25">
      <c r="G1146">
        <v>0.05</v>
      </c>
    </row>
    <row r="1147" spans="7:7" x14ac:dyDescent="0.25">
      <c r="G1147">
        <v>0.05</v>
      </c>
    </row>
    <row r="1148" spans="7:7" x14ac:dyDescent="0.25">
      <c r="G1148">
        <v>0.05</v>
      </c>
    </row>
    <row r="1149" spans="7:7" x14ac:dyDescent="0.25">
      <c r="G1149">
        <v>0.05</v>
      </c>
    </row>
    <row r="1150" spans="7:7" x14ac:dyDescent="0.25">
      <c r="G1150">
        <v>0.05</v>
      </c>
    </row>
    <row r="1151" spans="7:7" x14ac:dyDescent="0.25">
      <c r="G1151">
        <v>0.05</v>
      </c>
    </row>
    <row r="1152" spans="7:7" x14ac:dyDescent="0.25">
      <c r="G1152">
        <v>0.05</v>
      </c>
    </row>
    <row r="1153" spans="7:7" x14ac:dyDescent="0.25">
      <c r="G1153">
        <v>0.05</v>
      </c>
    </row>
    <row r="1154" spans="7:7" x14ac:dyDescent="0.25">
      <c r="G1154">
        <v>0.05</v>
      </c>
    </row>
    <row r="1155" spans="7:7" x14ac:dyDescent="0.25">
      <c r="G1155">
        <v>0.05</v>
      </c>
    </row>
    <row r="1156" spans="7:7" x14ac:dyDescent="0.25">
      <c r="G1156">
        <v>0.05</v>
      </c>
    </row>
    <row r="1157" spans="7:7" x14ac:dyDescent="0.25">
      <c r="G1157">
        <v>0.05</v>
      </c>
    </row>
    <row r="1158" spans="7:7" x14ac:dyDescent="0.25">
      <c r="G1158">
        <v>0.05</v>
      </c>
    </row>
    <row r="1159" spans="7:7" x14ac:dyDescent="0.25">
      <c r="G1159">
        <v>0.05</v>
      </c>
    </row>
    <row r="1160" spans="7:7" x14ac:dyDescent="0.25">
      <c r="G1160">
        <v>0.05</v>
      </c>
    </row>
    <row r="1161" spans="7:7" x14ac:dyDescent="0.25">
      <c r="G1161">
        <v>0.05</v>
      </c>
    </row>
    <row r="1162" spans="7:7" x14ac:dyDescent="0.25">
      <c r="G1162">
        <v>0.05</v>
      </c>
    </row>
    <row r="1163" spans="7:7" x14ac:dyDescent="0.25">
      <c r="G1163">
        <v>0.05</v>
      </c>
    </row>
    <row r="1164" spans="7:7" x14ac:dyDescent="0.25">
      <c r="G1164">
        <v>0.05</v>
      </c>
    </row>
    <row r="1165" spans="7:7" x14ac:dyDescent="0.25">
      <c r="G1165">
        <v>0.05</v>
      </c>
    </row>
    <row r="1166" spans="7:7" x14ac:dyDescent="0.25">
      <c r="G1166">
        <v>0.05</v>
      </c>
    </row>
    <row r="1167" spans="7:7" x14ac:dyDescent="0.25">
      <c r="G1167">
        <v>0.05</v>
      </c>
    </row>
    <row r="1168" spans="7:7" x14ac:dyDescent="0.25">
      <c r="G1168">
        <v>0.05</v>
      </c>
    </row>
    <row r="1169" spans="7:7" x14ac:dyDescent="0.25">
      <c r="G1169">
        <v>0.05</v>
      </c>
    </row>
    <row r="1170" spans="7:7" x14ac:dyDescent="0.25">
      <c r="G1170">
        <v>0.05</v>
      </c>
    </row>
    <row r="1171" spans="7:7" x14ac:dyDescent="0.25">
      <c r="G1171">
        <v>0.05</v>
      </c>
    </row>
    <row r="1172" spans="7:7" x14ac:dyDescent="0.25">
      <c r="G1172">
        <v>0.05</v>
      </c>
    </row>
    <row r="1173" spans="7:7" x14ac:dyDescent="0.25">
      <c r="G1173">
        <v>0.05</v>
      </c>
    </row>
    <row r="1174" spans="7:7" x14ac:dyDescent="0.25">
      <c r="G1174">
        <v>0.05</v>
      </c>
    </row>
    <row r="1175" spans="7:7" x14ac:dyDescent="0.25">
      <c r="G1175">
        <v>0.05</v>
      </c>
    </row>
    <row r="1176" spans="7:7" x14ac:dyDescent="0.25">
      <c r="G1176">
        <v>0.05</v>
      </c>
    </row>
    <row r="1177" spans="7:7" x14ac:dyDescent="0.25">
      <c r="G1177">
        <v>0.05</v>
      </c>
    </row>
  </sheetData>
  <autoFilter ref="I1:J1177" xr:uid="{00000000-0009-0000-0000-00000C000000}">
    <sortState ref="I2:J1177">
      <sortCondition ref="I1:I117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S300"/>
  <sheetViews>
    <sheetView workbookViewId="0">
      <pane ySplit="1" topLeftCell="A253" activePane="bottomLeft" state="frozen"/>
      <selection pane="bottomLeft" activeCell="G1" sqref="G1"/>
    </sheetView>
  </sheetViews>
  <sheetFormatPr defaultColWidth="9.140625" defaultRowHeight="15" x14ac:dyDescent="0.25"/>
  <cols>
    <col min="1" max="1" width="23.140625" style="16" customWidth="1"/>
    <col min="2" max="2" width="28.5703125" style="16" customWidth="1"/>
    <col min="3" max="3" width="23.7109375" style="16" customWidth="1"/>
    <col min="4" max="4" width="18.7109375" style="16" customWidth="1"/>
    <col min="5" max="6" width="21.7109375" style="16" customWidth="1"/>
    <col min="7" max="7" width="28" style="16" customWidth="1"/>
    <col min="8" max="8" width="15.7109375" style="16" customWidth="1"/>
    <col min="9" max="9" width="22.85546875" style="16" customWidth="1"/>
    <col min="10" max="10" width="20.7109375" style="16" customWidth="1"/>
    <col min="11" max="11" width="25.7109375" style="16" customWidth="1"/>
    <col min="12" max="12" width="16.7109375" style="16" customWidth="1"/>
    <col min="13" max="13" width="14.7109375" style="16" customWidth="1"/>
    <col min="14" max="14" width="26.7109375" style="16" customWidth="1"/>
    <col min="15" max="15" width="40.7109375" style="16" customWidth="1"/>
    <col min="16" max="16" width="19.7109375" style="16" customWidth="1"/>
    <col min="17" max="16384" width="9.140625" style="16"/>
  </cols>
  <sheetData>
    <row r="1" spans="1:28" ht="17.100000000000001" customHeight="1" x14ac:dyDescent="0.25">
      <c r="A1" s="17" t="s">
        <v>2923</v>
      </c>
      <c r="B1" s="18" t="s">
        <v>2920</v>
      </c>
      <c r="C1" s="18" t="s">
        <v>2934</v>
      </c>
      <c r="D1" s="18" t="s">
        <v>2930</v>
      </c>
      <c r="E1" s="18" t="s">
        <v>2926</v>
      </c>
      <c r="F1" s="18" t="s">
        <v>2932</v>
      </c>
      <c r="G1" s="18" t="s">
        <v>2935</v>
      </c>
      <c r="H1" s="18" t="s">
        <v>2933</v>
      </c>
      <c r="I1" s="18" t="s">
        <v>2931</v>
      </c>
      <c r="J1" s="19" t="s">
        <v>2924</v>
      </c>
      <c r="K1" s="18" t="s">
        <v>2925</v>
      </c>
      <c r="L1" s="18" t="s">
        <v>2927</v>
      </c>
      <c r="M1" s="18" t="s">
        <v>2928</v>
      </c>
      <c r="N1" s="18" t="s">
        <v>2929</v>
      </c>
      <c r="O1" s="20" t="s">
        <v>2936</v>
      </c>
      <c r="P1" s="18" t="s">
        <v>2937</v>
      </c>
    </row>
    <row r="2" spans="1:28" ht="17.100000000000001" customHeight="1" x14ac:dyDescent="0.25">
      <c r="A2" s="17"/>
      <c r="B2" s="18"/>
      <c r="C2" s="18"/>
      <c r="D2" s="18"/>
      <c r="E2" s="18"/>
      <c r="F2" s="18"/>
      <c r="G2" s="18"/>
      <c r="H2" s="18"/>
      <c r="I2" s="18"/>
      <c r="J2" s="19"/>
      <c r="K2" s="18"/>
      <c r="L2" s="18"/>
      <c r="M2" s="18"/>
      <c r="N2" s="18"/>
      <c r="O2" s="20"/>
      <c r="P2" s="18"/>
    </row>
    <row r="3" spans="1:28" s="34" customFormat="1" ht="36" customHeight="1" x14ac:dyDescent="0.25">
      <c r="A3" s="34" t="s">
        <v>2938</v>
      </c>
      <c r="B3" s="35" t="s">
        <v>2939</v>
      </c>
      <c r="C3" s="36">
        <v>0.38091224431991599</v>
      </c>
      <c r="D3" s="36">
        <v>0</v>
      </c>
      <c r="E3" s="36">
        <v>0</v>
      </c>
      <c r="F3" s="35">
        <v>0</v>
      </c>
      <c r="G3" s="36">
        <v>3</v>
      </c>
      <c r="H3" s="37">
        <v>36627</v>
      </c>
      <c r="I3" s="36">
        <v>1</v>
      </c>
      <c r="J3" s="38">
        <v>1376028</v>
      </c>
      <c r="K3" s="35" t="s">
        <v>2940</v>
      </c>
      <c r="L3" s="35" t="s">
        <v>2941</v>
      </c>
      <c r="M3" s="35" t="s">
        <v>2942</v>
      </c>
      <c r="N3" s="35" t="s">
        <v>2943</v>
      </c>
      <c r="O3" s="39" t="str">
        <f>HYPERLINK("http://worldwide.espacenet.com/publicationDetails/biblio?DB=EPODOC&amp;adjacent=true&amp;locale=en_EP&amp;FT=D&amp;CC=AU&amp;NR=5147401A&amp;KC=A","AU5147401.A")</f>
        <v>AU5147401.A</v>
      </c>
      <c r="P3" s="39" t="str">
        <f>HYPERLINK("http://worldwide.espacenet.com/publicationDetails/biblio?DB=EPODOC&amp;adjacent=true&amp;locale=en_EP&amp;FT=D&amp;CC=AU&amp;NR=5147401A&amp;KC=A","AU5147401.A")</f>
        <v>AU5147401.A</v>
      </c>
      <c r="Q3" s="40" t="str">
        <f>HYPERLINK("http://worldwide.espacenet.com/publicationDetails/biblio?DB=EPODOC&amp;adjacent=true&amp;locale=en_EP&amp;FT=D&amp;CC=EP&amp;NR=1272446A1&amp;KC=A1","EP1272446.A1")</f>
        <v>EP1272446.A1</v>
      </c>
      <c r="R3" s="40" t="str">
        <f>HYPERLINK("http://worldwide.espacenet.com/publicationDetails/biblio?DB=EPODOC&amp;adjacent=true&amp;locale=en_EP&amp;FT=D&amp;CC=WO&amp;NR=0177046A1&amp;KC=A1","WO0177046.A1")</f>
        <v>WO0177046.A1</v>
      </c>
    </row>
    <row r="4" spans="1:28" ht="17.100000000000001" customHeight="1" x14ac:dyDescent="0.25">
      <c r="A4" s="16" t="s">
        <v>2944</v>
      </c>
      <c r="B4" s="21" t="s">
        <v>2945</v>
      </c>
      <c r="C4" s="23">
        <v>1.8579732179641699</v>
      </c>
      <c r="D4" s="23">
        <v>0</v>
      </c>
      <c r="E4" s="23">
        <v>0</v>
      </c>
      <c r="F4" s="21">
        <v>0</v>
      </c>
      <c r="G4" s="23">
        <v>31</v>
      </c>
      <c r="H4" s="24">
        <v>36627</v>
      </c>
      <c r="I4" s="23">
        <v>1</v>
      </c>
      <c r="J4" s="22">
        <v>1376028</v>
      </c>
      <c r="K4" s="21" t="s">
        <v>2946</v>
      </c>
      <c r="L4" s="21" t="s">
        <v>2941</v>
      </c>
      <c r="M4" s="21" t="s">
        <v>2942</v>
      </c>
      <c r="N4" s="21" t="s">
        <v>2943</v>
      </c>
      <c r="O4" s="25" t="str">
        <f>HYPERLINK("http://worldwide.espacenet.com/publicationDetails/biblio?DB=EPODOC&amp;adjacent=true&amp;locale=en_EP&amp;FT=D&amp;CC=AU&amp;NR=9116801A&amp;KC=A","AU9116801.A")</f>
        <v>AU9116801.A</v>
      </c>
      <c r="P4" s="25" t="str">
        <f>HYPERLINK("http://worldwide.espacenet.com/publicationDetails/biblio?DB=EPODOC&amp;adjacent=true&amp;locale=en_EP&amp;FT=D&amp;CC=AU&amp;NR=9116801A&amp;KC=A","AU9116801.A")</f>
        <v>AU9116801.A</v>
      </c>
      <c r="Q4" s="26" t="str">
        <f>HYPERLINK("http://worldwide.espacenet.com/publicationDetails/biblio?DB=EPODOC&amp;adjacent=true&amp;locale=en_EP&amp;FT=D&amp;CC=US&amp;NR=6506954B1&amp;KC=B1","US6506954.B1")</f>
        <v>US6506954.B1</v>
      </c>
      <c r="R4" s="26" t="str">
        <f>HYPERLINK("http://worldwide.espacenet.com/publicationDetails/biblio?DB=EPODOC&amp;adjacent=true&amp;locale=en_EP&amp;FT=D&amp;CC=WO&amp;NR=0232837A1&amp;KC=A1","WO0232837.A1")</f>
        <v>WO0232837.A1</v>
      </c>
    </row>
    <row r="5" spans="1:28" ht="17.100000000000001" customHeight="1" x14ac:dyDescent="0.25">
      <c r="A5" s="16" t="s">
        <v>2947</v>
      </c>
      <c r="B5" s="21" t="s">
        <v>2948</v>
      </c>
      <c r="C5" s="23">
        <v>0.78594386577606201</v>
      </c>
      <c r="D5" s="23">
        <v>0</v>
      </c>
      <c r="E5" s="23">
        <v>0</v>
      </c>
      <c r="F5" s="21">
        <v>0</v>
      </c>
      <c r="G5" s="23">
        <v>3</v>
      </c>
      <c r="H5" s="24">
        <v>29858</v>
      </c>
      <c r="I5" s="23">
        <v>3</v>
      </c>
      <c r="J5" s="22">
        <v>2417614</v>
      </c>
      <c r="K5" s="21" t="s">
        <v>2949</v>
      </c>
      <c r="L5" s="21" t="s">
        <v>2950</v>
      </c>
      <c r="M5" s="21" t="s">
        <v>2942</v>
      </c>
      <c r="N5" s="21" t="s">
        <v>2951</v>
      </c>
      <c r="O5" s="25" t="str">
        <f>HYPERLINK("http://worldwide.espacenet.com/publicationDetails/biblio?DB=EPODOC&amp;adjacent=true&amp;locale=en_EP&amp;FT=D&amp;CC=CA&amp;NR=1175073A&amp;KC=A","CA1175073.A")</f>
        <v>CA1175073.A</v>
      </c>
      <c r="P5" s="25" t="str">
        <f>HYPERLINK("http://worldwide.espacenet.com/publicationDetails/biblio?DB=EPODOC&amp;adjacent=true&amp;locale=en_EP&amp;FT=D&amp;CC=AU&amp;NR=8867482A&amp;KC=A","AU8867482.A")</f>
        <v>AU8867482.A</v>
      </c>
      <c r="Q5" s="26" t="str">
        <f>HYPERLINK("http://worldwide.espacenet.com/publicationDetails/biblio?DB=EPODOC&amp;adjacent=true&amp;locale=en_EP&amp;FT=D&amp;CC=CA&amp;NR=1175073A&amp;KC=A","CA1175073.A")</f>
        <v>CA1175073.A</v>
      </c>
      <c r="R5" s="26" t="str">
        <f>HYPERLINK("http://worldwide.espacenet.com/publicationDetails/biblio?DB=EPODOC&amp;adjacent=true&amp;locale=en_EP&amp;FT=D&amp;CC=DE&amp;NR=3236093A1&amp;KC=A1","DE3236093.A1")</f>
        <v>DE3236093.A1</v>
      </c>
      <c r="S5" s="26" t="str">
        <f>HYPERLINK("http://worldwide.espacenet.com/publicationDetails/biblio?DB=EPODOC&amp;adjacent=true&amp;locale=en_EP&amp;FT=D&amp;CC=JP&amp;NR=S5857494A&amp;KC=A","JPS5857494.A")</f>
        <v>JPS5857494.A</v>
      </c>
    </row>
    <row r="6" spans="1:28" ht="17.100000000000001" customHeight="1" x14ac:dyDescent="0.25">
      <c r="A6" s="16" t="s">
        <v>2952</v>
      </c>
      <c r="B6" s="21" t="s">
        <v>2952</v>
      </c>
      <c r="C6" s="23">
        <v>0.14319939911365501</v>
      </c>
      <c r="D6" s="23">
        <v>0</v>
      </c>
      <c r="E6" s="23">
        <v>0</v>
      </c>
      <c r="F6" s="21">
        <v>0</v>
      </c>
      <c r="G6" s="23">
        <v>0</v>
      </c>
      <c r="H6" s="24">
        <v>31225</v>
      </c>
      <c r="I6" s="23">
        <v>1</v>
      </c>
      <c r="J6" s="22">
        <v>514124</v>
      </c>
      <c r="K6" s="21"/>
      <c r="L6" s="21" t="s">
        <v>2941</v>
      </c>
      <c r="M6" s="21" t="s">
        <v>2942</v>
      </c>
      <c r="N6" s="21" t="s">
        <v>2943</v>
      </c>
      <c r="O6" s="25" t="str">
        <f>HYPERLINK("http://worldwide.espacenet.com/publicationDetails/biblio?DB=EPODOC&amp;adjacent=true&amp;locale=en_EP&amp;FT=D&amp;CC=CA&amp;NR=1286321C&amp;KC=C","CA1286321.C")</f>
        <v>CA1286321.C</v>
      </c>
      <c r="P6" s="25" t="str">
        <f>HYPERLINK("http://worldwide.espacenet.com/publicationDetails/biblio?DB=EPODOC&amp;adjacent=true&amp;locale=en_EP&amp;FT=D&amp;CC=CA&amp;NR=1286321C&amp;KC=C","CA1286321.C")</f>
        <v>CA1286321.C</v>
      </c>
    </row>
    <row r="7" spans="1:28" ht="17.100000000000001" customHeight="1" x14ac:dyDescent="0.25">
      <c r="A7" s="16" t="s">
        <v>2953</v>
      </c>
      <c r="B7" s="21" t="s">
        <v>2954</v>
      </c>
      <c r="C7" s="23">
        <v>3.46670365333557</v>
      </c>
      <c r="D7" s="23">
        <v>0.63449597358703602</v>
      </c>
      <c r="E7" s="23">
        <v>2.1996095180511501</v>
      </c>
      <c r="F7" s="21">
        <v>2.1996095180511501</v>
      </c>
      <c r="G7" s="23">
        <v>24</v>
      </c>
      <c r="H7" s="24">
        <v>39532</v>
      </c>
      <c r="I7" s="23">
        <v>2</v>
      </c>
      <c r="J7" s="22">
        <v>55181421</v>
      </c>
      <c r="K7" s="21" t="s">
        <v>2955</v>
      </c>
      <c r="L7" s="21" t="s">
        <v>2956</v>
      </c>
      <c r="M7" s="21" t="s">
        <v>2957</v>
      </c>
      <c r="N7" s="21" t="s">
        <v>2958</v>
      </c>
      <c r="O7" s="25" t="str">
        <f>HYPERLINK("http://worldwide.espacenet.com/publicationDetails/biblio?DB=EPODOC&amp;adjacent=true&amp;locale=en_EP&amp;FT=D&amp;CC=CN&amp;NR=101244969A&amp;KC=A","CN101244969.A")</f>
        <v>CN101244969.A</v>
      </c>
      <c r="P7" s="25" t="str">
        <f>HYPERLINK("http://worldwide.espacenet.com/publicationDetails/biblio?DB=EPODOC&amp;adjacent=true&amp;locale=en_EP&amp;FT=D&amp;CC=CN&amp;NR=101244969A&amp;KC=A","CN101244969.A")</f>
        <v>CN101244969.A</v>
      </c>
      <c r="Q7" s="26" t="str">
        <f>HYPERLINK("http://worldwide.espacenet.com/publicationDetails/biblio?DB=EPODOC&amp;adjacent=true&amp;locale=en_EP&amp;FT=D&amp;CC=CN&amp;NR=101244969B&amp;KC=B","CN101244969.B")</f>
        <v>CN101244969.B</v>
      </c>
    </row>
    <row r="8" spans="1:28" ht="17.100000000000001" customHeight="1" x14ac:dyDescent="0.25">
      <c r="A8" s="16" t="s">
        <v>2959</v>
      </c>
      <c r="B8" s="21" t="s">
        <v>2960</v>
      </c>
      <c r="C8" s="23">
        <v>6.1134505271911603</v>
      </c>
      <c r="D8" s="23">
        <v>0</v>
      </c>
      <c r="E8" s="23">
        <v>0</v>
      </c>
      <c r="F8" s="21">
        <v>0</v>
      </c>
      <c r="G8" s="23">
        <v>28</v>
      </c>
      <c r="H8" s="24">
        <v>40018</v>
      </c>
      <c r="I8" s="23">
        <v>2</v>
      </c>
      <c r="J8" s="22">
        <v>274143672</v>
      </c>
      <c r="K8" s="21" t="s">
        <v>2961</v>
      </c>
      <c r="L8" s="21" t="s">
        <v>2962</v>
      </c>
      <c r="M8" s="21" t="s">
        <v>2942</v>
      </c>
      <c r="N8" s="21" t="s">
        <v>2958</v>
      </c>
      <c r="O8" s="25" t="str">
        <f>HYPERLINK("http://worldwide.espacenet.com/publicationDetails/biblio?DB=EPODOC&amp;adjacent=true&amp;locale=en_EP&amp;FT=D&amp;CC=CN&amp;NR=101607858A&amp;KC=A","CN101607858.A")</f>
        <v>CN101607858.A</v>
      </c>
      <c r="P8" s="25" t="str">
        <f>HYPERLINK("http://worldwide.espacenet.com/publicationDetails/biblio?DB=EPODOC&amp;adjacent=true&amp;locale=en_EP&amp;FT=D&amp;CC=CN&amp;NR=101607858A&amp;KC=A","CN101607858.A")</f>
        <v>CN101607858.A</v>
      </c>
      <c r="Q8" s="26" t="str">
        <f>HYPERLINK("http://worldwide.espacenet.com/publicationDetails/biblio?DB=EPODOC&amp;adjacent=true&amp;locale=en_EP&amp;FT=D&amp;CC=CN&amp;NR=101607858B&amp;KC=B","CN101607858.B")</f>
        <v>CN101607858.B</v>
      </c>
      <c r="U8" s="26" t="str">
        <f>HYPERLINK("http://worldwide.espacenet.com/publicationDetails/biblio?DB=EPODOC&amp;adjacent=true&amp;locale=en_EP&amp;FT=D&amp;CC=JP&amp;NR=H01156547A&amp;KC=A","JPH01156547.A")</f>
        <v>JPH01156547.A</v>
      </c>
    </row>
    <row r="9" spans="1:28" ht="17.100000000000001" customHeight="1" x14ac:dyDescent="0.25">
      <c r="A9" s="16" t="s">
        <v>2963</v>
      </c>
      <c r="B9" s="21" t="s">
        <v>2964</v>
      </c>
      <c r="C9" s="23">
        <v>6.8743848800659197</v>
      </c>
      <c r="D9" s="23">
        <v>0.63449597358703602</v>
      </c>
      <c r="E9" s="23">
        <v>4.3617696762084996</v>
      </c>
      <c r="F9" s="21">
        <v>4.3617696762084996</v>
      </c>
      <c r="G9" s="23">
        <v>33</v>
      </c>
      <c r="H9" s="24">
        <v>40282</v>
      </c>
      <c r="I9" s="23">
        <v>2</v>
      </c>
      <c r="J9" s="22">
        <v>323111831</v>
      </c>
      <c r="K9" s="21" t="s">
        <v>2965</v>
      </c>
      <c r="L9" s="21" t="s">
        <v>2956</v>
      </c>
      <c r="M9" s="21" t="s">
        <v>2957</v>
      </c>
      <c r="N9" s="21" t="s">
        <v>2966</v>
      </c>
      <c r="O9" s="25" t="str">
        <f>HYPERLINK("http://worldwide.espacenet.com/publicationDetails/biblio?DB=EPODOC&amp;adjacent=true&amp;locale=en_EP&amp;FT=D&amp;CC=CN&amp;NR=101823929A&amp;KC=A","CN101823929.A")</f>
        <v>CN101823929.A</v>
      </c>
      <c r="P9" s="25" t="str">
        <f>HYPERLINK("http://worldwide.espacenet.com/publicationDetails/biblio?DB=EPODOC&amp;adjacent=true&amp;locale=en_EP&amp;FT=D&amp;CC=CN&amp;NR=101823929A&amp;KC=A","CN101823929.A")</f>
        <v>CN101823929.A</v>
      </c>
      <c r="Q9" s="26" t="str">
        <f>HYPERLINK("http://worldwide.espacenet.com/publicationDetails/biblio?DB=EPODOC&amp;adjacent=true&amp;locale=en_EP&amp;FT=D&amp;CC=CN&amp;NR=101823929B&amp;KC=B","CN101823929.B")</f>
        <v>CN101823929.B</v>
      </c>
    </row>
    <row r="10" spans="1:28" ht="17.100000000000001" customHeight="1" x14ac:dyDescent="0.25">
      <c r="A10" s="16" t="s">
        <v>2967</v>
      </c>
      <c r="B10" s="21" t="s">
        <v>2968</v>
      </c>
      <c r="C10" s="23">
        <v>2.5937156677246098</v>
      </c>
      <c r="D10" s="23">
        <v>0</v>
      </c>
      <c r="E10" s="23">
        <v>0</v>
      </c>
      <c r="F10" s="21">
        <v>0</v>
      </c>
      <c r="G10" s="23">
        <v>10</v>
      </c>
      <c r="H10" s="24">
        <v>40447</v>
      </c>
      <c r="I10" s="23">
        <v>2</v>
      </c>
      <c r="J10" s="22">
        <v>331340697</v>
      </c>
      <c r="K10" s="21" t="s">
        <v>2969</v>
      </c>
      <c r="L10" s="21" t="s">
        <v>2970</v>
      </c>
      <c r="M10" s="21" t="s">
        <v>2942</v>
      </c>
      <c r="N10" s="21" t="s">
        <v>2958</v>
      </c>
      <c r="O10" s="25" t="str">
        <f>HYPERLINK("http://worldwide.espacenet.com/publicationDetails/biblio?DB=EPODOC&amp;adjacent=true&amp;locale=en_EP&amp;FT=D&amp;CC=CN&amp;NR=101954291A&amp;KC=A","CN101954291.A")</f>
        <v>CN101954291.A</v>
      </c>
      <c r="P10" s="25" t="str">
        <f>HYPERLINK("http://worldwide.espacenet.com/publicationDetails/biblio?DB=EPODOC&amp;adjacent=true&amp;locale=en_EP&amp;FT=D&amp;CC=CN&amp;NR=101954291A&amp;KC=A","CN101954291.A")</f>
        <v>CN101954291.A</v>
      </c>
      <c r="Q10" s="26" t="str">
        <f>HYPERLINK("http://worldwide.espacenet.com/publicationDetails/biblio?DB=EPODOC&amp;adjacent=true&amp;locale=en_EP&amp;FT=D&amp;CC=CN&amp;NR=101954291B&amp;KC=B","CN101954291.B")</f>
        <v>CN101954291.B</v>
      </c>
    </row>
    <row r="11" spans="1:28" ht="17.100000000000001" customHeight="1" x14ac:dyDescent="0.25">
      <c r="A11" s="16" t="s">
        <v>2971</v>
      </c>
      <c r="B11" s="21" t="s">
        <v>2972</v>
      </c>
      <c r="C11" s="23">
        <v>2.42939400672913</v>
      </c>
      <c r="D11" s="23">
        <v>0.63449597358703602</v>
      </c>
      <c r="E11" s="23">
        <v>1.5414407253265401</v>
      </c>
      <c r="F11" s="21">
        <v>1.5414407253265401</v>
      </c>
      <c r="G11" s="23">
        <v>9</v>
      </c>
      <c r="H11" s="24">
        <v>40555</v>
      </c>
      <c r="I11" s="23">
        <v>2</v>
      </c>
      <c r="J11" s="22">
        <v>335670362</v>
      </c>
      <c r="K11" s="21" t="s">
        <v>2973</v>
      </c>
      <c r="L11" s="21" t="s">
        <v>2956</v>
      </c>
      <c r="M11" s="21" t="s">
        <v>2957</v>
      </c>
      <c r="N11" s="21" t="s">
        <v>2958</v>
      </c>
      <c r="O11" s="25" t="str">
        <f>HYPERLINK("http://worldwide.espacenet.com/publicationDetails/biblio?DB=EPODOC&amp;adjacent=true&amp;locale=en_EP&amp;FT=D&amp;CC=CN&amp;NR=102126915A&amp;KC=A","CN102126915.A")</f>
        <v>CN102126915.A</v>
      </c>
      <c r="P11" s="25" t="str">
        <f>HYPERLINK("http://worldwide.espacenet.com/publicationDetails/biblio?DB=EPODOC&amp;adjacent=true&amp;locale=en_EP&amp;FT=D&amp;CC=CN&amp;NR=102126915A&amp;KC=A","CN102126915.A")</f>
        <v>CN102126915.A</v>
      </c>
      <c r="Q11" s="26" t="str">
        <f>HYPERLINK("http://worldwide.espacenet.com/publicationDetails/biblio?DB=EPODOC&amp;adjacent=true&amp;locale=en_EP&amp;FT=D&amp;CC=CN&amp;NR=102126915B&amp;KC=B","CN102126915.B")</f>
        <v>CN102126915.B</v>
      </c>
    </row>
    <row r="12" spans="1:28" ht="17.100000000000001" customHeight="1" x14ac:dyDescent="0.25">
      <c r="A12" s="16" t="s">
        <v>2974</v>
      </c>
      <c r="B12" s="21" t="s">
        <v>2974</v>
      </c>
      <c r="C12" s="23">
        <v>1.5887255668640099</v>
      </c>
      <c r="D12" s="23">
        <v>0</v>
      </c>
      <c r="E12" s="23">
        <v>0</v>
      </c>
      <c r="F12" s="21">
        <v>0</v>
      </c>
      <c r="G12" s="23">
        <v>6</v>
      </c>
      <c r="H12" s="24">
        <v>40260</v>
      </c>
      <c r="I12" s="23">
        <v>2</v>
      </c>
      <c r="J12" s="22">
        <v>337253904</v>
      </c>
      <c r="K12" s="21" t="s">
        <v>2975</v>
      </c>
      <c r="L12" s="21" t="s">
        <v>2976</v>
      </c>
      <c r="M12" s="21" t="s">
        <v>2942</v>
      </c>
      <c r="N12" s="21" t="s">
        <v>2977</v>
      </c>
      <c r="O12" s="25" t="str">
        <f>HYPERLINK("http://worldwide.espacenet.com/publicationDetails/biblio?DB=EPODOC&amp;adjacent=true&amp;locale=en_EP&amp;FT=D&amp;CC=CN&amp;NR=102199446A&amp;KC=A","CN102199446.A")</f>
        <v>CN102199446.A</v>
      </c>
      <c r="P12" s="25" t="str">
        <f>HYPERLINK("http://worldwide.espacenet.com/publicationDetails/biblio?DB=EPODOC&amp;adjacent=true&amp;locale=en_EP&amp;FT=D&amp;CC=CN&amp;NR=102199446A&amp;KC=A","CN102199446.A")</f>
        <v>CN102199446.A</v>
      </c>
    </row>
    <row r="13" spans="1:28" ht="17.100000000000001" customHeight="1" x14ac:dyDescent="0.25">
      <c r="A13" s="16" t="s">
        <v>2978</v>
      </c>
      <c r="B13" s="21" t="s">
        <v>2979</v>
      </c>
      <c r="C13" s="23">
        <v>1.6124228239059399</v>
      </c>
      <c r="D13" s="23">
        <v>0.63449597358703602</v>
      </c>
      <c r="E13" s="23">
        <v>1.0230758190155</v>
      </c>
      <c r="F13" s="21">
        <v>1.0230758190155</v>
      </c>
      <c r="G13" s="23">
        <v>6</v>
      </c>
      <c r="H13" s="24">
        <v>40281</v>
      </c>
      <c r="I13" s="23">
        <v>2</v>
      </c>
      <c r="J13" s="22">
        <v>337839803</v>
      </c>
      <c r="K13" s="21" t="s">
        <v>2980</v>
      </c>
      <c r="L13" s="21" t="s">
        <v>2981</v>
      </c>
      <c r="M13" s="21" t="s">
        <v>2957</v>
      </c>
      <c r="N13" s="21" t="s">
        <v>2982</v>
      </c>
      <c r="O13" s="25" t="str">
        <f>HYPERLINK("http://worldwide.espacenet.com/publicationDetails/biblio?DB=EPODOC&amp;adjacent=true&amp;locale=en_EP&amp;FT=D&amp;CC=CN&amp;NR=102218341A&amp;KC=A","CN102218341.A")</f>
        <v>CN102218341.A</v>
      </c>
      <c r="P13" s="25" t="str">
        <f>HYPERLINK("http://worldwide.espacenet.com/publicationDetails/biblio?DB=EPODOC&amp;adjacent=true&amp;locale=en_EP&amp;FT=D&amp;CC=CN&amp;NR=102218341A&amp;KC=A","CN102218341.A")</f>
        <v>CN102218341.A</v>
      </c>
      <c r="Q13" s="26" t="str">
        <f>HYPERLINK("http://worldwide.espacenet.com/publicationDetails/biblio?DB=EPODOC&amp;adjacent=true&amp;locale=en_EP&amp;FT=D&amp;CC=CN&amp;NR=102218341B&amp;KC=B","CN102218341.B")</f>
        <v>CN102218341.B</v>
      </c>
    </row>
    <row r="14" spans="1:28" ht="17.100000000000001" customHeight="1" x14ac:dyDescent="0.25">
      <c r="A14" s="16" t="s">
        <v>2983</v>
      </c>
      <c r="B14" s="21" t="s">
        <v>2984</v>
      </c>
      <c r="C14" s="23">
        <v>0.86622399091720603</v>
      </c>
      <c r="D14" s="23">
        <v>0.63449597358703602</v>
      </c>
      <c r="E14" s="23">
        <v>0.54961562156677202</v>
      </c>
      <c r="F14" s="21">
        <v>0.54961562156677202</v>
      </c>
      <c r="G14" s="23">
        <v>3</v>
      </c>
      <c r="H14" s="24">
        <v>40413</v>
      </c>
      <c r="I14" s="23">
        <v>2</v>
      </c>
      <c r="J14" s="22">
        <v>352053884</v>
      </c>
      <c r="K14" s="21" t="s">
        <v>2985</v>
      </c>
      <c r="L14" s="21" t="s">
        <v>2981</v>
      </c>
      <c r="M14" s="21" t="s">
        <v>2957</v>
      </c>
      <c r="N14" s="21" t="s">
        <v>2958</v>
      </c>
      <c r="O14" s="25" t="str">
        <f>HYPERLINK("http://worldwide.espacenet.com/publicationDetails/biblio?DB=EPODOC&amp;adjacent=true&amp;locale=en_EP&amp;FT=D&amp;CC=CN&amp;NR=102371176A&amp;KC=A","CN102371176.A")</f>
        <v>CN102371176.A</v>
      </c>
      <c r="P14" s="25" t="str">
        <f>HYPERLINK("http://worldwide.espacenet.com/publicationDetails/biblio?DB=EPODOC&amp;adjacent=true&amp;locale=en_EP&amp;FT=D&amp;CC=CN&amp;NR=102371176A&amp;KC=A","CN102371176.A")</f>
        <v>CN102371176.A</v>
      </c>
      <c r="Q14" s="26" t="str">
        <f>HYPERLINK("http://worldwide.espacenet.com/publicationDetails/biblio?DB=EPODOC&amp;adjacent=true&amp;locale=en_EP&amp;FT=D&amp;CC=CN&amp;NR=102371176B&amp;KC=B","CN102371176.B")</f>
        <v>CN102371176.B</v>
      </c>
      <c r="U14" s="26" t="str">
        <f>HYPERLINK("http://worldwide.espacenet.com/publicationDetails/biblio?DB=EPODOC&amp;adjacent=true&amp;locale=en_EP&amp;FT=D&amp;CC=EP&amp;NR=0039996B1&amp;KC=B1","EP0039996.B1")</f>
        <v>EP0039996.B1</v>
      </c>
      <c r="V14" s="26" t="str">
        <f>HYPERLINK("http://worldwide.espacenet.com/publicationDetails/biblio?DB=EPODOC&amp;adjacent=true&amp;locale=en_EP&amp;FT=D&amp;CC=GB&amp;NR=2075357A&amp;KC=A","GB2075357.A")</f>
        <v>GB2075357.A</v>
      </c>
      <c r="W14" s="26" t="str">
        <f>HYPERLINK("http://worldwide.espacenet.com/publicationDetails/biblio?DB=EPODOC&amp;adjacent=true&amp;locale=en_EP&amp;FT=D&amp;CC=JP&amp;NR=S574231A&amp;KC=A","JPS574231.A")</f>
        <v>JPS574231.A</v>
      </c>
    </row>
    <row r="15" spans="1:28" ht="17.100000000000001" customHeight="1" x14ac:dyDescent="0.25">
      <c r="A15" s="16" t="s">
        <v>2986</v>
      </c>
      <c r="B15" s="21" t="s">
        <v>2987</v>
      </c>
      <c r="C15" s="23">
        <v>1.6881295442581199</v>
      </c>
      <c r="D15" s="23">
        <v>0.63449597358703602</v>
      </c>
      <c r="E15" s="23">
        <v>1.07111144065857</v>
      </c>
      <c r="F15" s="21">
        <v>1.07111144065857</v>
      </c>
      <c r="G15" s="23">
        <v>6</v>
      </c>
      <c r="H15" s="24">
        <v>40413</v>
      </c>
      <c r="I15" s="23">
        <v>2</v>
      </c>
      <c r="J15" s="22">
        <v>352053885</v>
      </c>
      <c r="K15" s="21" t="s">
        <v>2988</v>
      </c>
      <c r="L15" s="21" t="s">
        <v>2981</v>
      </c>
      <c r="M15" s="21" t="s">
        <v>2957</v>
      </c>
      <c r="N15" s="21" t="s">
        <v>2958</v>
      </c>
      <c r="O15" s="25" t="str">
        <f>HYPERLINK("http://worldwide.espacenet.com/publicationDetails/biblio?DB=EPODOC&amp;adjacent=true&amp;locale=en_EP&amp;FT=D&amp;CC=CN&amp;NR=102371177A&amp;KC=A","CN102371177.A")</f>
        <v>CN102371177.A</v>
      </c>
      <c r="P15" s="25" t="str">
        <f>HYPERLINK("http://worldwide.espacenet.com/publicationDetails/biblio?DB=EPODOC&amp;adjacent=true&amp;locale=en_EP&amp;FT=D&amp;CC=CN&amp;NR=102371177A&amp;KC=A","CN102371177.A")</f>
        <v>CN102371177.A</v>
      </c>
      <c r="Q15" s="26" t="str">
        <f>HYPERLINK("http://worldwide.espacenet.com/publicationDetails/biblio?DB=EPODOC&amp;adjacent=true&amp;locale=en_EP&amp;FT=D&amp;CC=CN&amp;NR=102371177B&amp;KC=B","CN102371177.B")</f>
        <v>CN102371177.B</v>
      </c>
      <c r="U15" s="26" t="str">
        <f>HYPERLINK("http://worldwide.espacenet.com/publicationDetails/biblio?DB=EPODOC&amp;adjacent=true&amp;locale=en_EP&amp;FT=D&amp;CC=CN&amp;NR=1942297A&amp;KC=A","CN1942297.A")</f>
        <v>CN1942297.A</v>
      </c>
      <c r="V15" s="26" t="str">
        <f>HYPERLINK("http://worldwide.espacenet.com/publicationDetails/biblio?DB=EPODOC&amp;adjacent=true&amp;locale=en_EP&amp;FT=D&amp;CC=DE&amp;NR=602004009108D1&amp;KC=D1","DE602004009108.D1")</f>
        <v>DE602004009108.D1</v>
      </c>
      <c r="W15" s="26" t="str">
        <f>HYPERLINK("http://worldwide.espacenet.com/publicationDetails/biblio?DB=EPODOC&amp;adjacent=true&amp;locale=en_EP&amp;FT=D&amp;CC=DE&amp;NR=602004009108T2&amp;KC=T2","DE602004009108.T2")</f>
        <v>DE602004009108.T2</v>
      </c>
      <c r="X15" s="26" t="str">
        <f>HYPERLINK("http://worldwide.espacenet.com/publicationDetails/biblio?DB=EPODOC&amp;adjacent=true&amp;locale=en_EP&amp;FT=D&amp;CC=EP&amp;NR=1729943A1&amp;KC=A1","EP1729943.A1")</f>
        <v>EP1729943.A1</v>
      </c>
      <c r="Y15" s="26" t="str">
        <f>HYPERLINK("http://worldwide.espacenet.com/publicationDetails/biblio?DB=EPODOC&amp;adjacent=true&amp;locale=en_EP&amp;FT=D&amp;CC=EP&amp;NR=1729943B1&amp;KC=B1","EP1729943.B1")</f>
        <v>EP1729943.B1</v>
      </c>
      <c r="Z15" s="26" t="str">
        <f>HYPERLINK("http://worldwide.espacenet.com/publicationDetails/biblio?DB=EPODOC&amp;adjacent=true&amp;locale=en_EP&amp;FT=D&amp;CC=ES&amp;NR=2294490T3&amp;KC=T3","ES2294490.T3")</f>
        <v>ES2294490.T3</v>
      </c>
      <c r="AA15" s="26" t="str">
        <f>HYPERLINK("http://worldwide.espacenet.com/publicationDetails/biblio?DB=EPODOC&amp;adjacent=true&amp;locale=en_EP&amp;FT=D&amp;CC=US&amp;NR=2007202248A1&amp;KC=A1","US2007202248.A1")</f>
        <v>US2007202248.A1</v>
      </c>
      <c r="AB15" s="26" t="str">
        <f>HYPERLINK("http://worldwide.espacenet.com/publicationDetails/biblio?DB=EPODOC&amp;adjacent=true&amp;locale=en_EP&amp;FT=D&amp;CC=WO&amp;NR=2005095078A1&amp;KC=A1","WO2005095078.A1")</f>
        <v>WO2005095078.A1</v>
      </c>
    </row>
    <row r="16" spans="1:28" ht="17.100000000000001" customHeight="1" x14ac:dyDescent="0.25">
      <c r="A16" s="16" t="s">
        <v>2989</v>
      </c>
      <c r="B16" s="21" t="s">
        <v>2990</v>
      </c>
      <c r="C16" s="23">
        <v>0.55948668718338002</v>
      </c>
      <c r="D16" s="23">
        <v>0.63449597358703602</v>
      </c>
      <c r="E16" s="23">
        <v>0.35499206185340898</v>
      </c>
      <c r="F16" s="21">
        <v>0.35499206185340898</v>
      </c>
      <c r="G16" s="23">
        <v>2</v>
      </c>
      <c r="H16" s="24">
        <v>40413</v>
      </c>
      <c r="I16" s="23">
        <v>2</v>
      </c>
      <c r="J16" s="22">
        <v>352053886</v>
      </c>
      <c r="K16" s="21" t="s">
        <v>2991</v>
      </c>
      <c r="L16" s="21" t="s">
        <v>2981</v>
      </c>
      <c r="M16" s="21" t="s">
        <v>2957</v>
      </c>
      <c r="N16" s="21" t="s">
        <v>2958</v>
      </c>
      <c r="O16" s="25" t="str">
        <f>HYPERLINK("http://worldwide.espacenet.com/publicationDetails/biblio?DB=EPODOC&amp;adjacent=true&amp;locale=en_EP&amp;FT=D&amp;CC=CN&amp;NR=102371178A&amp;KC=A","CN102371178.A")</f>
        <v>CN102371178.A</v>
      </c>
      <c r="P16" s="25" t="str">
        <f>HYPERLINK("http://worldwide.espacenet.com/publicationDetails/biblio?DB=EPODOC&amp;adjacent=true&amp;locale=en_EP&amp;FT=D&amp;CC=CN&amp;NR=102371178A&amp;KC=A","CN102371178.A")</f>
        <v>CN102371178.A</v>
      </c>
      <c r="Q16" s="26" t="str">
        <f>HYPERLINK("http://worldwide.espacenet.com/publicationDetails/biblio?DB=EPODOC&amp;adjacent=true&amp;locale=en_EP&amp;FT=D&amp;CC=CN&amp;NR=102371178B&amp;KC=B","CN102371178.B")</f>
        <v>CN102371178.B</v>
      </c>
    </row>
    <row r="17" spans="1:39" ht="17.100000000000001" customHeight="1" x14ac:dyDescent="0.25">
      <c r="A17" s="16" t="s">
        <v>2992</v>
      </c>
      <c r="B17" s="21" t="s">
        <v>2993</v>
      </c>
      <c r="C17" s="23">
        <v>1.0988675355911299</v>
      </c>
      <c r="D17" s="23">
        <v>0.63449597358703602</v>
      </c>
      <c r="E17" s="23">
        <v>0.69722700119018599</v>
      </c>
      <c r="F17" s="21">
        <v>0.69722700119018599</v>
      </c>
      <c r="G17" s="23">
        <v>4</v>
      </c>
      <c r="H17" s="24">
        <v>40413</v>
      </c>
      <c r="I17" s="23">
        <v>2</v>
      </c>
      <c r="J17" s="22">
        <v>352055251</v>
      </c>
      <c r="K17" s="21" t="s">
        <v>2994</v>
      </c>
      <c r="L17" s="21" t="s">
        <v>2981</v>
      </c>
      <c r="M17" s="21" t="s">
        <v>2957</v>
      </c>
      <c r="N17" s="21" t="s">
        <v>2958</v>
      </c>
      <c r="O17" s="25" t="str">
        <f>HYPERLINK("http://worldwide.espacenet.com/publicationDetails/biblio?DB=EPODOC&amp;adjacent=true&amp;locale=en_EP&amp;FT=D&amp;CC=CN&amp;NR=102372535A&amp;KC=A","CN102372535.A")</f>
        <v>CN102372535.A</v>
      </c>
      <c r="P17" s="25" t="str">
        <f>HYPERLINK("http://worldwide.espacenet.com/publicationDetails/biblio?DB=EPODOC&amp;adjacent=true&amp;locale=en_EP&amp;FT=D&amp;CC=CN&amp;NR=102372535A&amp;KC=A","CN102372535.A")</f>
        <v>CN102372535.A</v>
      </c>
      <c r="Q17" s="26" t="str">
        <f>HYPERLINK("http://worldwide.espacenet.com/publicationDetails/biblio?DB=EPODOC&amp;adjacent=true&amp;locale=en_EP&amp;FT=D&amp;CC=CN&amp;NR=102372535B&amp;KC=B","CN102372535.B")</f>
        <v>CN102372535.B</v>
      </c>
    </row>
    <row r="18" spans="1:39" ht="17.100000000000001" customHeight="1" x14ac:dyDescent="0.25">
      <c r="A18" s="16" t="s">
        <v>2995</v>
      </c>
      <c r="B18" s="21" t="s">
        <v>2996</v>
      </c>
      <c r="C18" s="23">
        <v>0.56504923105239901</v>
      </c>
      <c r="D18" s="23">
        <v>0.63449597358703602</v>
      </c>
      <c r="E18" s="23">
        <v>0.35852146148681602</v>
      </c>
      <c r="F18" s="21">
        <v>0.35852146148681602</v>
      </c>
      <c r="G18" s="23">
        <v>2</v>
      </c>
      <c r="H18" s="24">
        <v>40413</v>
      </c>
      <c r="I18" s="23">
        <v>2</v>
      </c>
      <c r="J18" s="22">
        <v>352055252</v>
      </c>
      <c r="K18" s="21" t="s">
        <v>2997</v>
      </c>
      <c r="L18" s="21" t="s">
        <v>2981</v>
      </c>
      <c r="M18" s="21" t="s">
        <v>2957</v>
      </c>
      <c r="N18" s="21" t="s">
        <v>2958</v>
      </c>
      <c r="O18" s="25" t="str">
        <f>HYPERLINK("http://worldwide.espacenet.com/publicationDetails/biblio?DB=EPODOC&amp;adjacent=true&amp;locale=en_EP&amp;FT=D&amp;CC=CN&amp;NR=102372536A&amp;KC=A","CN102372536.A")</f>
        <v>CN102372536.A</v>
      </c>
      <c r="P18" s="25" t="str">
        <f>HYPERLINK("http://worldwide.espacenet.com/publicationDetails/biblio?DB=EPODOC&amp;adjacent=true&amp;locale=en_EP&amp;FT=D&amp;CC=CN&amp;NR=102372536A&amp;KC=A","CN102372536.A")</f>
        <v>CN102372536.A</v>
      </c>
      <c r="Q18" s="26" t="str">
        <f>HYPERLINK("http://worldwide.espacenet.com/publicationDetails/biblio?DB=EPODOC&amp;adjacent=true&amp;locale=en_EP&amp;FT=D&amp;CC=CN&amp;NR=102372536B&amp;KC=B","CN102372536.B")</f>
        <v>CN102372536.B</v>
      </c>
      <c r="U18" s="26" t="str">
        <f>HYPERLINK("http://worldwide.espacenet.com/publicationDetails/biblio?DB=EPODOC&amp;adjacent=true&amp;locale=en_EP&amp;FT=D&amp;CC=DE&amp;NR=60224179T2&amp;KC=T2","DE60224179.T2")</f>
        <v>DE60224179.T2</v>
      </c>
      <c r="V18" s="26" t="str">
        <f>HYPERLINK("http://worldwide.espacenet.com/publicationDetails/biblio?DB=EPODOC&amp;adjacent=true&amp;locale=en_EP&amp;FT=D&amp;CC=EP&amp;NR=1390261A2&amp;KC=A2","EP1390261.A2")</f>
        <v>EP1390261.A2</v>
      </c>
      <c r="W18" s="26" t="str">
        <f>HYPERLINK("http://worldwide.espacenet.com/publicationDetails/biblio?DB=EPODOC&amp;adjacent=true&amp;locale=en_EP&amp;FT=D&amp;CC=EP&amp;NR=1390261B1&amp;KC=B1","EP1390261.B1")</f>
        <v>EP1390261.B1</v>
      </c>
      <c r="X18" s="26" t="str">
        <f>HYPERLINK("http://worldwide.espacenet.com/publicationDetails/biblio?DB=EPODOC&amp;adjacent=true&amp;locale=en_EP&amp;FT=D&amp;CC=ES&amp;NR=2298364T3&amp;KC=T3","ES2298364.T3")</f>
        <v>ES2298364.T3</v>
      </c>
      <c r="Y18" s="26" t="str">
        <f>HYPERLINK("http://worldwide.espacenet.com/publicationDetails/biblio?DB=EPODOC&amp;adjacent=true&amp;locale=en_EP&amp;FT=D&amp;CC=IT&amp;NR=BO20010300A1&amp;KC=A1","ITBO20010300.A1")</f>
        <v>ITBO20010300.A1</v>
      </c>
      <c r="Z18" s="26" t="str">
        <f>HYPERLINK("http://worldwide.espacenet.com/publicationDetails/biblio?DB=EPODOC&amp;adjacent=true&amp;locale=en_EP&amp;FT=D&amp;CC=IT&amp;NR=BO20010300D0&amp;KC=D0","ITBO20010300.D0")</f>
        <v>ITBO20010300.D0</v>
      </c>
      <c r="AA18" s="26" t="str">
        <f>HYPERLINK("http://worldwide.espacenet.com/publicationDetails/biblio?DB=EPODOC&amp;adjacent=true&amp;locale=en_EP&amp;FT=D&amp;CC=JP&amp;NR=2005507829A&amp;KC=A","JP2005507829.A")</f>
        <v>JP2005507829.A</v>
      </c>
      <c r="AB18" s="26" t="str">
        <f>HYPERLINK("http://worldwide.espacenet.com/publicationDetails/biblio?DB=EPODOC&amp;adjacent=true&amp;locale=en_EP&amp;FT=D&amp;CC=JP&amp;NR=4064826B2&amp;KC=B2","JP4064826.B2")</f>
        <v>JP4064826.B2</v>
      </c>
      <c r="AC18" s="26" t="str">
        <f>HYPERLINK("http://worldwide.espacenet.com/publicationDetails/biblio?DB=EPODOC&amp;adjacent=true&amp;locale=en_EP&amp;FT=D&amp;CC=US&amp;NR=6755223B1&amp;KC=B1","US6755223.B1")</f>
        <v>US6755223.B1</v>
      </c>
      <c r="AD18" s="26" t="str">
        <f>HYPERLINK("http://worldwide.espacenet.com/publicationDetails/biblio?DB=EPODOC&amp;adjacent=true&amp;locale=en_EP&amp;FT=D&amp;CC=WO&amp;NR=02092430A2&amp;KC=A2","WO02092430.A2")</f>
        <v>WO02092430.A2</v>
      </c>
      <c r="AE18" s="26" t="str">
        <f>HYPERLINK("http://worldwide.espacenet.com/publicationDetails/biblio?DB=EPODOC&amp;adjacent=true&amp;locale=en_EP&amp;FT=D&amp;CC=WO&amp;NR=02092430A3&amp;KC=A3","WO02092430.A3")</f>
        <v>WO02092430.A3</v>
      </c>
    </row>
    <row r="19" spans="1:39" ht="17.100000000000001" customHeight="1" x14ac:dyDescent="0.25">
      <c r="A19" s="16" t="s">
        <v>2998</v>
      </c>
      <c r="B19" s="21" t="s">
        <v>2998</v>
      </c>
      <c r="C19" s="23">
        <v>1.16939520835876</v>
      </c>
      <c r="D19" s="23">
        <v>0</v>
      </c>
      <c r="E19" s="23">
        <v>0</v>
      </c>
      <c r="F19" s="21">
        <v>0</v>
      </c>
      <c r="G19" s="23">
        <v>4</v>
      </c>
      <c r="H19" s="24">
        <v>40413</v>
      </c>
      <c r="I19" s="23">
        <v>2</v>
      </c>
      <c r="J19" s="22">
        <v>352055253</v>
      </c>
      <c r="K19" s="21" t="s">
        <v>2999</v>
      </c>
      <c r="L19" s="21" t="s">
        <v>2981</v>
      </c>
      <c r="M19" s="21" t="s">
        <v>2942</v>
      </c>
      <c r="N19" s="21" t="s">
        <v>2958</v>
      </c>
      <c r="O19" s="25" t="str">
        <f>HYPERLINK("http://worldwide.espacenet.com/publicationDetails/biblio?DB=EPODOC&amp;adjacent=true&amp;locale=en_EP&amp;FT=D&amp;CC=CN&amp;NR=102372537A&amp;KC=A","CN102372537.A")</f>
        <v>CN102372537.A</v>
      </c>
      <c r="P19" s="25" t="str">
        <f>HYPERLINK("http://worldwide.espacenet.com/publicationDetails/biblio?DB=EPODOC&amp;adjacent=true&amp;locale=en_EP&amp;FT=D&amp;CC=CN&amp;NR=102372537A&amp;KC=A","CN102372537.A")</f>
        <v>CN102372537.A</v>
      </c>
    </row>
    <row r="20" spans="1:39" ht="17.100000000000001" customHeight="1" x14ac:dyDescent="0.25">
      <c r="A20" s="16" t="s">
        <v>3000</v>
      </c>
      <c r="B20" s="21" t="s">
        <v>3000</v>
      </c>
      <c r="C20" s="23">
        <v>0.165975406765938</v>
      </c>
      <c r="D20" s="23">
        <v>0</v>
      </c>
      <c r="E20" s="23">
        <v>0</v>
      </c>
      <c r="F20" s="21">
        <v>0</v>
      </c>
      <c r="G20" s="23">
        <v>0</v>
      </c>
      <c r="H20" s="24">
        <v>40413</v>
      </c>
      <c r="I20" s="23">
        <v>2</v>
      </c>
      <c r="J20" s="22">
        <v>352055266</v>
      </c>
      <c r="K20" s="21"/>
      <c r="L20" s="21" t="s">
        <v>2981</v>
      </c>
      <c r="M20" s="21" t="s">
        <v>2942</v>
      </c>
      <c r="N20" s="21" t="s">
        <v>2958</v>
      </c>
      <c r="O20" s="25" t="str">
        <f>HYPERLINK("http://worldwide.espacenet.com/publicationDetails/biblio?DB=EPODOC&amp;adjacent=true&amp;locale=en_EP&amp;FT=D&amp;CC=CN&amp;NR=102372550A&amp;KC=A","CN102372550.A")</f>
        <v>CN102372550.A</v>
      </c>
      <c r="P20" s="25" t="str">
        <f>HYPERLINK("http://worldwide.espacenet.com/publicationDetails/biblio?DB=EPODOC&amp;adjacent=true&amp;locale=en_EP&amp;FT=D&amp;CC=CN&amp;NR=102372550A&amp;KC=A","CN102372550.A")</f>
        <v>CN102372550.A</v>
      </c>
    </row>
    <row r="21" spans="1:39" ht="17.100000000000001" customHeight="1" x14ac:dyDescent="0.25">
      <c r="A21" s="16" t="s">
        <v>3001</v>
      </c>
      <c r="B21" s="21" t="s">
        <v>3002</v>
      </c>
      <c r="C21" s="23">
        <v>0.184265092015266</v>
      </c>
      <c r="D21" s="23">
        <v>0.63449597358703602</v>
      </c>
      <c r="E21" s="23">
        <v>0.11691545695066501</v>
      </c>
      <c r="F21" s="21">
        <v>0.11691545695066501</v>
      </c>
      <c r="G21" s="23">
        <v>0</v>
      </c>
      <c r="H21" s="24">
        <v>40653</v>
      </c>
      <c r="I21" s="23">
        <v>1</v>
      </c>
      <c r="J21" s="22">
        <v>376529826</v>
      </c>
      <c r="K21" s="21"/>
      <c r="L21" s="21" t="s">
        <v>2981</v>
      </c>
      <c r="M21" s="21" t="s">
        <v>2957</v>
      </c>
      <c r="N21" s="21" t="s">
        <v>3003</v>
      </c>
      <c r="O21" s="25" t="str">
        <f>HYPERLINK("http://worldwide.espacenet.com/publicationDetails/biblio?DB=EPODOC&amp;adjacent=true&amp;locale=en_EP&amp;FT=D&amp;CC=CN&amp;NR=102746875A&amp;KC=A","CN102746875.A")</f>
        <v>CN102746875.A</v>
      </c>
      <c r="P21" s="25" t="str">
        <f>HYPERLINK("http://worldwide.espacenet.com/publicationDetails/biblio?DB=EPODOC&amp;adjacent=true&amp;locale=en_EP&amp;FT=D&amp;CC=CN&amp;NR=102746875A&amp;KC=A","CN102746875.A")</f>
        <v>CN102746875.A</v>
      </c>
      <c r="Q21" s="26" t="str">
        <f>HYPERLINK("http://worldwide.espacenet.com/publicationDetails/biblio?DB=EPODOC&amp;adjacent=true&amp;locale=en_EP&amp;FT=D&amp;CC=CN&amp;NR=102746875B&amp;KC=B","CN102746875.B")</f>
        <v>CN102746875.B</v>
      </c>
    </row>
    <row r="22" spans="1:39" ht="17.100000000000001" customHeight="1" x14ac:dyDescent="0.25">
      <c r="A22" s="16" t="s">
        <v>3004</v>
      </c>
      <c r="B22" s="21" t="s">
        <v>3005</v>
      </c>
      <c r="C22" s="23">
        <v>2.5322132110595699</v>
      </c>
      <c r="D22" s="23">
        <v>0.63449597358703602</v>
      </c>
      <c r="E22" s="23">
        <v>1.60667908191681</v>
      </c>
      <c r="F22" s="21">
        <v>1.60667908191681</v>
      </c>
      <c r="G22" s="23">
        <v>7</v>
      </c>
      <c r="H22" s="24">
        <v>40653</v>
      </c>
      <c r="I22" s="23">
        <v>1</v>
      </c>
      <c r="J22" s="22">
        <v>376529828</v>
      </c>
      <c r="K22" s="21" t="s">
        <v>3006</v>
      </c>
      <c r="L22" s="21" t="s">
        <v>2981</v>
      </c>
      <c r="M22" s="21" t="s">
        <v>2957</v>
      </c>
      <c r="N22" s="21" t="s">
        <v>3003</v>
      </c>
      <c r="O22" s="25" t="str">
        <f>HYPERLINK("http://worldwide.espacenet.com/publicationDetails/biblio?DB=EPODOC&amp;adjacent=true&amp;locale=en_EP&amp;FT=D&amp;CC=CN&amp;NR=102746877A&amp;KC=A","CN102746877.A")</f>
        <v>CN102746877.A</v>
      </c>
      <c r="P22" s="25" t="str">
        <f>HYPERLINK("http://worldwide.espacenet.com/publicationDetails/biblio?DB=EPODOC&amp;adjacent=true&amp;locale=en_EP&amp;FT=D&amp;CC=CN&amp;NR=102746877A&amp;KC=A","CN102746877.A")</f>
        <v>CN102746877.A</v>
      </c>
      <c r="Q22" s="26" t="str">
        <f>HYPERLINK("http://worldwide.espacenet.com/publicationDetails/biblio?DB=EPODOC&amp;adjacent=true&amp;locale=en_EP&amp;FT=D&amp;CC=CN&amp;NR=102746877B&amp;KC=B","CN102746877.B")</f>
        <v>CN102746877.B</v>
      </c>
    </row>
    <row r="23" spans="1:39" ht="17.100000000000001" customHeight="1" x14ac:dyDescent="0.25">
      <c r="A23" s="16" t="s">
        <v>3007</v>
      </c>
      <c r="B23" s="21" t="s">
        <v>3007</v>
      </c>
      <c r="C23" s="23">
        <v>1.4636540412902801</v>
      </c>
      <c r="D23" s="23">
        <v>0</v>
      </c>
      <c r="E23" s="23">
        <v>0</v>
      </c>
      <c r="F23" s="21">
        <v>0</v>
      </c>
      <c r="G23" s="23">
        <v>4</v>
      </c>
      <c r="H23" s="24">
        <v>41113</v>
      </c>
      <c r="I23" s="23">
        <v>2</v>
      </c>
      <c r="J23" s="22">
        <v>378106814</v>
      </c>
      <c r="K23" s="21" t="s">
        <v>3008</v>
      </c>
      <c r="L23" s="21" t="s">
        <v>3009</v>
      </c>
      <c r="M23" s="21" t="s">
        <v>2942</v>
      </c>
      <c r="N23" s="21" t="s">
        <v>2977</v>
      </c>
      <c r="O23" s="25" t="str">
        <f>HYPERLINK("http://worldwide.espacenet.com/publicationDetails/biblio?DB=EPODOC&amp;adjacent=true&amp;locale=en_EP&amp;FT=D&amp;CC=CN&amp;NR=102775261A&amp;KC=A","CN102775261.A")</f>
        <v>CN102775261.A</v>
      </c>
      <c r="P23" s="25" t="str">
        <f>HYPERLINK("http://worldwide.espacenet.com/publicationDetails/biblio?DB=EPODOC&amp;adjacent=true&amp;locale=en_EP&amp;FT=D&amp;CC=CN&amp;NR=102775261A&amp;KC=A","CN102775261.A")</f>
        <v>CN102775261.A</v>
      </c>
      <c r="U23" s="26" t="str">
        <f>HYPERLINK("http://worldwide.espacenet.com/publicationDetails/biblio?DB=EPODOC&amp;adjacent=true&amp;locale=en_EP&amp;FT=D&amp;CC=EP&amp;NR=0009917B1&amp;KC=B1","EP0009917.B1")</f>
        <v>EP0009917.B1</v>
      </c>
      <c r="V23" s="26" t="str">
        <f>HYPERLINK("http://worldwide.espacenet.com/publicationDetails/biblio?DB=EPODOC&amp;adjacent=true&amp;locale=en_EP&amp;FT=D&amp;CC=JP&amp;NR=S5551440A&amp;KC=A","JPS5551440.A")</f>
        <v>JPS5551440.A</v>
      </c>
      <c r="W23" s="26" t="str">
        <f>HYPERLINK("http://worldwide.espacenet.com/publicationDetails/biblio?DB=EPODOC&amp;adjacent=true&amp;locale=en_EP&amp;FT=D&amp;CC=JP&amp;NR=S624175B2&amp;KC=B2","JPS624175.B2")</f>
        <v>JPS624175.B2</v>
      </c>
      <c r="X23" s="26" t="str">
        <f>HYPERLINK("http://worldwide.espacenet.com/publicationDetails/biblio?DB=EPODOC&amp;adjacent=true&amp;locale=en_EP&amp;FT=D&amp;CC=NZ&amp;NR=191568A&amp;KC=A","NZ191568.A")</f>
        <v>NZ191568.A</v>
      </c>
      <c r="Y23" s="26" t="str">
        <f>HYPERLINK("http://worldwide.espacenet.com/publicationDetails/biblio?DB=EPODOC&amp;adjacent=true&amp;locale=en_EP&amp;FT=D&amp;CC=US&amp;NR=4197214A&amp;KC=A","US4197214.A")</f>
        <v>US4197214.A</v>
      </c>
      <c r="Z23" s="26" t="str">
        <f>HYPERLINK("http://worldwide.espacenet.com/publicationDetails/biblio?DB=EPODOC&amp;adjacent=true&amp;locale=en_EP&amp;FT=D&amp;CC=ZA&amp;NR=7905395B&amp;KC=B","ZA7905395.B")</f>
        <v>ZA7905395.B</v>
      </c>
    </row>
    <row r="24" spans="1:39" ht="17.100000000000001" customHeight="1" x14ac:dyDescent="0.25">
      <c r="A24" s="16" t="s">
        <v>3010</v>
      </c>
      <c r="B24" s="21" t="s">
        <v>3011</v>
      </c>
      <c r="C24" s="23">
        <v>1.8567879199981701</v>
      </c>
      <c r="D24" s="23">
        <v>0.63449597358703602</v>
      </c>
      <c r="E24" s="23">
        <v>1.1781244277954099</v>
      </c>
      <c r="F24" s="21">
        <v>1.1781244277954099</v>
      </c>
      <c r="G24" s="23">
        <v>5</v>
      </c>
      <c r="H24" s="24">
        <v>40757</v>
      </c>
      <c r="I24" s="23">
        <v>3</v>
      </c>
      <c r="J24" s="22">
        <v>380735239</v>
      </c>
      <c r="K24" s="21" t="s">
        <v>3012</v>
      </c>
      <c r="L24" s="21" t="s">
        <v>2956</v>
      </c>
      <c r="M24" s="21" t="s">
        <v>2957</v>
      </c>
      <c r="N24" s="21" t="s">
        <v>3013</v>
      </c>
      <c r="O24" s="25" t="str">
        <f>HYPERLINK("http://worldwide.espacenet.com/publicationDetails/biblio?DB=EPODOC&amp;adjacent=true&amp;locale=en_EP&amp;FT=D&amp;CC=CN&amp;NR=102910647A&amp;KC=A","CN102910647.A")</f>
        <v>CN102910647.A</v>
      </c>
      <c r="P24" s="25" t="str">
        <f>HYPERLINK("http://worldwide.espacenet.com/publicationDetails/biblio?DB=EPODOC&amp;adjacent=true&amp;locale=en_EP&amp;FT=D&amp;CC=CN&amp;NR=102910647A&amp;KC=A","CN102910647.A")</f>
        <v>CN102910647.A</v>
      </c>
      <c r="Q24" s="26" t="str">
        <f>HYPERLINK("http://worldwide.espacenet.com/publicationDetails/biblio?DB=EPODOC&amp;adjacent=true&amp;locale=en_EP&amp;FT=D&amp;CC=CN&amp;NR=102910647B&amp;KC=B","CN102910647.B")</f>
        <v>CN102910647.B</v>
      </c>
    </row>
    <row r="25" spans="1:39" ht="17.100000000000001" customHeight="1" x14ac:dyDescent="0.25">
      <c r="A25" s="16" t="s">
        <v>3014</v>
      </c>
      <c r="B25" s="21" t="s">
        <v>3015</v>
      </c>
      <c r="C25" s="23">
        <v>5.1103382110595703</v>
      </c>
      <c r="D25" s="23">
        <v>0.63449597358703602</v>
      </c>
      <c r="E25" s="23">
        <v>3.2424890995025599</v>
      </c>
      <c r="F25" s="21">
        <v>3.2424890995025599</v>
      </c>
      <c r="G25" s="23">
        <v>13</v>
      </c>
      <c r="H25" s="24">
        <v>41263</v>
      </c>
      <c r="I25" s="23">
        <v>2</v>
      </c>
      <c r="J25" s="22">
        <v>405194424</v>
      </c>
      <c r="K25" s="21" t="s">
        <v>3016</v>
      </c>
      <c r="L25" s="21" t="s">
        <v>2956</v>
      </c>
      <c r="M25" s="21" t="s">
        <v>2957</v>
      </c>
      <c r="N25" s="21" t="s">
        <v>2958</v>
      </c>
      <c r="O25" s="25" t="str">
        <f>HYPERLINK("http://worldwide.espacenet.com/publicationDetails/biblio?DB=EPODOC&amp;adjacent=true&amp;locale=en_EP&amp;FT=D&amp;CC=CN&amp;NR=103007985A&amp;KC=A","CN103007985.A")</f>
        <v>CN103007985.A</v>
      </c>
      <c r="P25" s="25" t="str">
        <f>HYPERLINK("http://worldwide.espacenet.com/publicationDetails/biblio?DB=EPODOC&amp;adjacent=true&amp;locale=en_EP&amp;FT=D&amp;CC=CN&amp;NR=103007985A&amp;KC=A","CN103007985.A")</f>
        <v>CN103007985.A</v>
      </c>
      <c r="Q25" s="26" t="str">
        <f>HYPERLINK("http://worldwide.espacenet.com/publicationDetails/biblio?DB=EPODOC&amp;adjacent=true&amp;locale=en_EP&amp;FT=D&amp;CC=CN&amp;NR=103007985B&amp;KC=B","CN103007985.B")</f>
        <v>CN103007985.B</v>
      </c>
    </row>
    <row r="26" spans="1:39" ht="17.100000000000001" customHeight="1" x14ac:dyDescent="0.25">
      <c r="A26" s="16" t="s">
        <v>3017</v>
      </c>
      <c r="B26" s="21" t="s">
        <v>3017</v>
      </c>
      <c r="C26" s="23">
        <v>3.40288305282593</v>
      </c>
      <c r="D26" s="23">
        <v>0</v>
      </c>
      <c r="E26" s="23">
        <v>0</v>
      </c>
      <c r="F26" s="21">
        <v>0</v>
      </c>
      <c r="G26" s="23">
        <v>8</v>
      </c>
      <c r="H26" s="24">
        <v>40816</v>
      </c>
      <c r="I26" s="23">
        <v>1</v>
      </c>
      <c r="J26" s="22">
        <v>405334243</v>
      </c>
      <c r="K26" s="21" t="s">
        <v>3018</v>
      </c>
      <c r="L26" s="21" t="s">
        <v>2981</v>
      </c>
      <c r="M26" s="21" t="s">
        <v>2942</v>
      </c>
      <c r="N26" s="21" t="s">
        <v>2943</v>
      </c>
      <c r="O26" s="25" t="str">
        <f>HYPERLINK("http://worldwide.espacenet.com/publicationDetails/biblio?DB=EPODOC&amp;adjacent=true&amp;locale=en_EP&amp;FT=D&amp;CC=CN&amp;NR=103030497A&amp;KC=A","CN103030497.A")</f>
        <v>CN103030497.A</v>
      </c>
      <c r="P26" s="25" t="str">
        <f>HYPERLINK("http://worldwide.espacenet.com/publicationDetails/biblio?DB=EPODOC&amp;adjacent=true&amp;locale=en_EP&amp;FT=D&amp;CC=CN&amp;NR=103030497A&amp;KC=A","CN103030497.A")</f>
        <v>CN103030497.A</v>
      </c>
    </row>
    <row r="27" spans="1:39" ht="17.100000000000001" customHeight="1" x14ac:dyDescent="0.25">
      <c r="A27" s="16" t="s">
        <v>3019</v>
      </c>
      <c r="B27" s="21" t="s">
        <v>3019</v>
      </c>
      <c r="C27" s="23">
        <v>3.8668231964111301</v>
      </c>
      <c r="D27" s="23">
        <v>0</v>
      </c>
      <c r="E27" s="23">
        <v>0</v>
      </c>
      <c r="F27" s="21">
        <v>0</v>
      </c>
      <c r="G27" s="23">
        <v>10</v>
      </c>
      <c r="H27" s="24">
        <v>40840</v>
      </c>
      <c r="I27" s="23">
        <v>2</v>
      </c>
      <c r="J27" s="22">
        <v>405748231</v>
      </c>
      <c r="K27" s="21" t="s">
        <v>3020</v>
      </c>
      <c r="L27" s="21" t="s">
        <v>2981</v>
      </c>
      <c r="M27" s="21" t="s">
        <v>2942</v>
      </c>
      <c r="N27" s="21" t="s">
        <v>2958</v>
      </c>
      <c r="O27" s="25" t="str">
        <f>HYPERLINK("http://worldwide.espacenet.com/publicationDetails/biblio?DB=EPODOC&amp;adjacent=true&amp;locale=en_EP&amp;FT=D&amp;CC=CN&amp;NR=103055928A&amp;KC=A","CN103055928.A")</f>
        <v>CN103055928.A</v>
      </c>
      <c r="P27" s="25" t="str">
        <f>HYPERLINK("http://worldwide.espacenet.com/publicationDetails/biblio?DB=EPODOC&amp;adjacent=true&amp;locale=en_EP&amp;FT=D&amp;CC=CN&amp;NR=103055928A&amp;KC=A","CN103055928.A")</f>
        <v>CN103055928.A</v>
      </c>
    </row>
    <row r="28" spans="1:39" ht="17.100000000000001" customHeight="1" x14ac:dyDescent="0.25">
      <c r="A28" s="16" t="s">
        <v>3021</v>
      </c>
      <c r="B28" s="21" t="s">
        <v>3022</v>
      </c>
      <c r="C28" s="23">
        <v>1.23793065547943</v>
      </c>
      <c r="D28" s="23">
        <v>0.63449597358703602</v>
      </c>
      <c r="E28" s="23">
        <v>0.78546202182769798</v>
      </c>
      <c r="F28" s="21">
        <v>0.78546202182769798</v>
      </c>
      <c r="G28" s="23">
        <v>3</v>
      </c>
      <c r="H28" s="24">
        <v>40840</v>
      </c>
      <c r="I28" s="23">
        <v>2</v>
      </c>
      <c r="J28" s="22">
        <v>405751118</v>
      </c>
      <c r="K28" s="21" t="s">
        <v>3023</v>
      </c>
      <c r="L28" s="21" t="s">
        <v>2981</v>
      </c>
      <c r="M28" s="21" t="s">
        <v>2957</v>
      </c>
      <c r="N28" s="21" t="s">
        <v>2958</v>
      </c>
      <c r="O28" s="25" t="str">
        <f>HYPERLINK("http://worldwide.espacenet.com/publicationDetails/biblio?DB=EPODOC&amp;adjacent=true&amp;locale=en_EP&amp;FT=D&amp;CC=CN&amp;NR=103058807A&amp;KC=A","CN103058807.A")</f>
        <v>CN103058807.A</v>
      </c>
      <c r="P28" s="25" t="str">
        <f>HYPERLINK("http://worldwide.espacenet.com/publicationDetails/biblio?DB=EPODOC&amp;adjacent=true&amp;locale=en_EP&amp;FT=D&amp;CC=CN&amp;NR=103058807A&amp;KC=A","CN103058807.A")</f>
        <v>CN103058807.A</v>
      </c>
      <c r="Q28" s="26" t="str">
        <f>HYPERLINK("http://worldwide.espacenet.com/publicationDetails/biblio?DB=EPODOC&amp;adjacent=true&amp;locale=en_EP&amp;FT=D&amp;CC=CN&amp;NR=103058807B&amp;KC=B","CN103058807.B")</f>
        <v>CN103058807.B</v>
      </c>
      <c r="U28" s="26" t="str">
        <f>HYPERLINK("http://worldwide.espacenet.com/publicationDetails/biblio?DB=EPODOC&amp;adjacent=true&amp;locale=en_EP&amp;FT=D&amp;CC=FI&amp;NR=77762B&amp;KC=B","FI77762.B")</f>
        <v>FI77762.B</v>
      </c>
      <c r="V28" s="26" t="str">
        <f>HYPERLINK("http://worldwide.espacenet.com/publicationDetails/biblio?DB=EPODOC&amp;adjacent=true&amp;locale=en_EP&amp;FT=D&amp;CC=FI&amp;NR=77762C&amp;KC=C","FI77762.C")</f>
        <v>FI77762.C</v>
      </c>
      <c r="W28" s="26" t="str">
        <f>HYPERLINK("http://worldwide.espacenet.com/publicationDetails/biblio?DB=EPODOC&amp;adjacent=true&amp;locale=en_EP&amp;FT=D&amp;CC=FI&amp;NR=844803A0&amp;KC=A0","FI844803.A0")</f>
        <v>FI844803.A0</v>
      </c>
      <c r="X28" s="26" t="str">
        <f>HYPERLINK("http://worldwide.espacenet.com/publicationDetails/biblio?DB=EPODOC&amp;adjacent=true&amp;locale=en_EP&amp;FT=D&amp;CC=FI&amp;NR=844803L&amp;KC=L","FI844803.L")</f>
        <v>FI844803.L</v>
      </c>
      <c r="Y28" s="26" t="str">
        <f>HYPERLINK("http://worldwide.espacenet.com/publicationDetails/biblio?DB=EPODOC&amp;adjacent=true&amp;locale=en_EP&amp;FT=D&amp;CC=FR&amp;NR=2556542A1&amp;KC=A1","FR2556542.A1")</f>
        <v>FR2556542.A1</v>
      </c>
      <c r="Z28" s="26" t="str">
        <f>HYPERLINK("http://worldwide.espacenet.com/publicationDetails/biblio?DB=EPODOC&amp;adjacent=true&amp;locale=en_EP&amp;FT=D&amp;CC=FR&amp;NR=2556542B1&amp;KC=B1","FR2556542.B1")</f>
        <v>FR2556542.B1</v>
      </c>
      <c r="AA28" s="26" t="str">
        <f>HYPERLINK("http://worldwide.espacenet.com/publicationDetails/biblio?DB=EPODOC&amp;adjacent=true&amp;locale=en_EP&amp;FT=D&amp;CC=GB&amp;NR=2152337A&amp;KC=A","GB2152337.A")</f>
        <v>GB2152337.A</v>
      </c>
      <c r="AB28" s="26" t="str">
        <f>HYPERLINK("http://worldwide.espacenet.com/publicationDetails/biblio?DB=EPODOC&amp;adjacent=true&amp;locale=en_EP&amp;FT=D&amp;CC=GB&amp;NR=2152337B&amp;KC=B","GB2152337.B")</f>
        <v>GB2152337.B</v>
      </c>
      <c r="AC28" s="26" t="str">
        <f>HYPERLINK("http://worldwide.espacenet.com/publicationDetails/biblio?DB=EPODOC&amp;adjacent=true&amp;locale=en_EP&amp;FT=D&amp;CC=GB&amp;NR=8333067D0&amp;KC=D0","GB8333067.D0")</f>
        <v>GB8333067.D0</v>
      </c>
      <c r="AD28" s="26" t="str">
        <f>HYPERLINK("http://worldwide.espacenet.com/publicationDetails/biblio?DB=EPODOC&amp;adjacent=true&amp;locale=en_EP&amp;FT=D&amp;CC=GB&amp;NR=8430936D0&amp;KC=D0","GB8430936.D0")</f>
        <v>GB8430936.D0</v>
      </c>
      <c r="AE28" s="26" t="str">
        <f>HYPERLINK("http://worldwide.espacenet.com/publicationDetails/biblio?DB=EPODOC&amp;adjacent=true&amp;locale=en_EP&amp;FT=D&amp;CC=HK&amp;NR=25993A&amp;KC=A","HK25993.A")</f>
        <v>HK25993.A</v>
      </c>
      <c r="AF28" s="26" t="str">
        <f>HYPERLINK("http://worldwide.espacenet.com/publicationDetails/biblio?DB=EPODOC&amp;adjacent=true&amp;locale=en_EP&amp;FT=D&amp;CC=IT&amp;NR=1178751B&amp;KC=B","IT1178751.B")</f>
        <v>IT1178751.B</v>
      </c>
      <c r="AG28" s="26" t="str">
        <f>HYPERLINK("http://worldwide.espacenet.com/publicationDetails/biblio?DB=EPODOC&amp;adjacent=true&amp;locale=en_EP&amp;FT=D&amp;CC=IT&amp;NR=8423973D0&amp;KC=D0","IT8423973.D0")</f>
        <v>IT8423973.D0</v>
      </c>
      <c r="AH28" s="26" t="str">
        <f>HYPERLINK("http://worldwide.espacenet.com/publicationDetails/biblio?DB=EPODOC&amp;adjacent=true&amp;locale=en_EP&amp;FT=D&amp;CC=JP&amp;NR=2561068B2&amp;KC=B2","JP2561068.B2")</f>
        <v>JP2561068.B2</v>
      </c>
      <c r="AI28" s="26" t="str">
        <f>HYPERLINK("http://worldwide.espacenet.com/publicationDetails/biblio?DB=EPODOC&amp;adjacent=true&amp;locale=en_EP&amp;FT=D&amp;CC=JP&amp;NR=S60153267A&amp;KC=A","JPS60153267.A")</f>
        <v>JPS60153267.A</v>
      </c>
      <c r="AJ28" s="26" t="str">
        <f>HYPERLINK("http://worldwide.espacenet.com/publicationDetails/biblio?DB=EPODOC&amp;adjacent=true&amp;locale=en_EP&amp;FT=D&amp;CC=SE&amp;NR=460245B&amp;KC=B","SE460245.B")</f>
        <v>SE460245.B</v>
      </c>
      <c r="AK28" s="26" t="str">
        <f>HYPERLINK("http://worldwide.espacenet.com/publicationDetails/biblio?DB=EPODOC&amp;adjacent=true&amp;locale=en_EP&amp;FT=D&amp;CC=SE&amp;NR=8406174D0&amp;KC=D0","SE8406174.D0")</f>
        <v>SE8406174.D0</v>
      </c>
      <c r="AL28" s="26" t="str">
        <f>HYPERLINK("http://worldwide.espacenet.com/publicationDetails/biblio?DB=EPODOC&amp;adjacent=true&amp;locale=en_EP&amp;FT=D&amp;CC=SE&amp;NR=8406174L&amp;KC=L","SE8406174.L")</f>
        <v>SE8406174.L</v>
      </c>
      <c r="AM28" s="26" t="str">
        <f>HYPERLINK("http://worldwide.espacenet.com/publicationDetails/biblio?DB=EPODOC&amp;adjacent=true&amp;locale=en_EP&amp;FT=D&amp;CC=US&amp;NR=4572993A&amp;KC=A","US4572993.A")</f>
        <v>US4572993.A</v>
      </c>
    </row>
    <row r="29" spans="1:39" ht="17.100000000000001" customHeight="1" x14ac:dyDescent="0.25">
      <c r="A29" s="16" t="s">
        <v>3024</v>
      </c>
      <c r="B29" s="21" t="s">
        <v>3025</v>
      </c>
      <c r="C29" s="23">
        <v>1.4051417112350499</v>
      </c>
      <c r="D29" s="23">
        <v>0.63449597358703602</v>
      </c>
      <c r="E29" s="23">
        <v>0.89155673980712902</v>
      </c>
      <c r="F29" s="21">
        <v>0.89155673980712902</v>
      </c>
      <c r="G29" s="23">
        <v>3</v>
      </c>
      <c r="H29" s="24">
        <v>41495</v>
      </c>
      <c r="I29" s="23">
        <v>2</v>
      </c>
      <c r="J29" s="22">
        <v>412449066</v>
      </c>
      <c r="K29" s="21" t="s">
        <v>3026</v>
      </c>
      <c r="L29" s="21" t="s">
        <v>3027</v>
      </c>
      <c r="M29" s="21" t="s">
        <v>2957</v>
      </c>
      <c r="N29" s="21" t="s">
        <v>2958</v>
      </c>
      <c r="O29" s="25" t="str">
        <f>HYPERLINK("http://worldwide.espacenet.com/publicationDetails/biblio?DB=EPODOC&amp;adjacent=true&amp;locale=en_EP&amp;FT=D&amp;CC=CN&amp;NR=103394366A&amp;KC=A","CN103394366.A")</f>
        <v>CN103394366.A</v>
      </c>
      <c r="P29" s="25" t="str">
        <f>HYPERLINK("http://worldwide.espacenet.com/publicationDetails/biblio?DB=EPODOC&amp;adjacent=true&amp;locale=en_EP&amp;FT=D&amp;CC=CN&amp;NR=103394366A&amp;KC=A","CN103394366.A")</f>
        <v>CN103394366.A</v>
      </c>
      <c r="Q29" s="26" t="str">
        <f>HYPERLINK("http://worldwide.espacenet.com/publicationDetails/biblio?DB=EPODOC&amp;adjacent=true&amp;locale=en_EP&amp;FT=D&amp;CC=CN&amp;NR=103394366B&amp;KC=B","CN103394366.B")</f>
        <v>CN103394366.B</v>
      </c>
    </row>
    <row r="30" spans="1:39" ht="17.100000000000001" customHeight="1" x14ac:dyDescent="0.25">
      <c r="A30" s="16" t="s">
        <v>3028</v>
      </c>
      <c r="B30" s="21" t="s">
        <v>3028</v>
      </c>
      <c r="C30" s="23">
        <v>0.16224656999111201</v>
      </c>
      <c r="D30" s="23">
        <v>0</v>
      </c>
      <c r="E30" s="23">
        <v>0</v>
      </c>
      <c r="F30" s="21">
        <v>0</v>
      </c>
      <c r="G30" s="23">
        <v>0</v>
      </c>
      <c r="H30" s="24">
        <v>32245</v>
      </c>
      <c r="I30" s="23">
        <v>2</v>
      </c>
      <c r="J30" s="22">
        <v>7121197</v>
      </c>
      <c r="K30" s="21"/>
      <c r="L30" s="21" t="s">
        <v>3029</v>
      </c>
      <c r="M30" s="21" t="s">
        <v>2942</v>
      </c>
      <c r="N30" s="21" t="s">
        <v>3030</v>
      </c>
      <c r="O30" s="25" t="str">
        <f>HYPERLINK("http://worldwide.espacenet.com/publicationDetails/biblio?DB=EPODOC&amp;adjacent=true&amp;locale=en_EP&amp;FT=D&amp;CC=CN&amp;NR=1034325A&amp;KC=A","CN1034325.A")</f>
        <v>CN1034325.A</v>
      </c>
      <c r="P30" s="25" t="str">
        <f>HYPERLINK("http://worldwide.espacenet.com/publicationDetails/biblio?DB=EPODOC&amp;adjacent=true&amp;locale=en_EP&amp;FT=D&amp;CC=CN&amp;NR=1034325A&amp;KC=A","CN1034325.A")</f>
        <v>CN1034325.A</v>
      </c>
      <c r="U30" s="26" t="str">
        <f>HYPERLINK("http://worldwide.espacenet.com/publicationDetails/biblio?DB=EPODOC&amp;adjacent=true&amp;locale=en_EP&amp;FT=D&amp;CC=WO&amp;NR=2008029631A1&amp;KC=A1","WO2008029631.A1")</f>
        <v>WO2008029631.A1</v>
      </c>
    </row>
    <row r="31" spans="1:39" ht="17.100000000000001" customHeight="1" x14ac:dyDescent="0.25">
      <c r="A31" s="16" t="s">
        <v>3031</v>
      </c>
      <c r="B31" s="21" t="s">
        <v>3032</v>
      </c>
      <c r="C31" s="23">
        <v>1.8576188087463399</v>
      </c>
      <c r="D31" s="23">
        <v>0.63449597358703602</v>
      </c>
      <c r="E31" s="23">
        <v>1.1786516904830899</v>
      </c>
      <c r="F31" s="21">
        <v>1.1786516904830899</v>
      </c>
      <c r="G31" s="23">
        <v>4</v>
      </c>
      <c r="H31" s="24">
        <v>41495</v>
      </c>
      <c r="I31" s="23">
        <v>2</v>
      </c>
      <c r="J31" s="22">
        <v>413635480</v>
      </c>
      <c r="K31" s="21" t="s">
        <v>3033</v>
      </c>
      <c r="L31" s="21" t="s">
        <v>3027</v>
      </c>
      <c r="M31" s="21" t="s">
        <v>2957</v>
      </c>
      <c r="N31" s="21" t="s">
        <v>2958</v>
      </c>
      <c r="O31" s="25" t="str">
        <f>HYPERLINK("http://worldwide.espacenet.com/publicationDetails/biblio?DB=EPODOC&amp;adjacent=true&amp;locale=en_EP&amp;FT=D&amp;CC=CN&amp;NR=103464193A&amp;KC=A","CN103464193.A")</f>
        <v>CN103464193.A</v>
      </c>
      <c r="P31" s="25" t="str">
        <f>HYPERLINK("http://worldwide.espacenet.com/publicationDetails/biblio?DB=EPODOC&amp;adjacent=true&amp;locale=en_EP&amp;FT=D&amp;CC=CN&amp;NR=103464193A&amp;KC=A","CN103464193.A")</f>
        <v>CN103464193.A</v>
      </c>
      <c r="Q31" s="26" t="str">
        <f>HYPERLINK("http://worldwide.espacenet.com/publicationDetails/biblio?DB=EPODOC&amp;adjacent=true&amp;locale=en_EP&amp;FT=D&amp;CC=CN&amp;NR=103464193B&amp;KC=B","CN103464193.B")</f>
        <v>CN103464193.B</v>
      </c>
    </row>
    <row r="32" spans="1:39" ht="17.100000000000001" customHeight="1" x14ac:dyDescent="0.25">
      <c r="A32" s="16" t="s">
        <v>3034</v>
      </c>
      <c r="B32" s="21" t="s">
        <v>3035</v>
      </c>
      <c r="C32" s="23">
        <v>1.8793411254882799</v>
      </c>
      <c r="D32" s="23">
        <v>0.63449597358703602</v>
      </c>
      <c r="E32" s="23">
        <v>1.1924344301223799</v>
      </c>
      <c r="F32" s="21">
        <v>1.1924344301223799</v>
      </c>
      <c r="G32" s="23">
        <v>4</v>
      </c>
      <c r="H32" s="24">
        <v>41157</v>
      </c>
      <c r="I32" s="23">
        <v>2</v>
      </c>
      <c r="J32" s="22">
        <v>416327577</v>
      </c>
      <c r="K32" s="21" t="s">
        <v>3036</v>
      </c>
      <c r="L32" s="21" t="s">
        <v>2981</v>
      </c>
      <c r="M32" s="21" t="s">
        <v>2957</v>
      </c>
      <c r="N32" s="21" t="s">
        <v>2958</v>
      </c>
      <c r="O32" s="25" t="str">
        <f>HYPERLINK("http://worldwide.espacenet.com/publicationDetails/biblio?DB=EPODOC&amp;adjacent=true&amp;locale=en_EP&amp;FT=D&amp;CC=CN&amp;NR=103664440A&amp;KC=A","CN103664440.A")</f>
        <v>CN103664440.A</v>
      </c>
      <c r="P32" s="25" t="str">
        <f>HYPERLINK("http://worldwide.espacenet.com/publicationDetails/biblio?DB=EPODOC&amp;adjacent=true&amp;locale=en_EP&amp;FT=D&amp;CC=CN&amp;NR=103664440A&amp;KC=A","CN103664440.A")</f>
        <v>CN103664440.A</v>
      </c>
      <c r="Q32" s="26" t="str">
        <f>HYPERLINK("http://worldwide.espacenet.com/publicationDetails/biblio?DB=EPODOC&amp;adjacent=true&amp;locale=en_EP&amp;FT=D&amp;CC=CN&amp;NR=103664440B&amp;KC=B","CN103664440.B")</f>
        <v>CN103664440.B</v>
      </c>
    </row>
    <row r="33" spans="1:17" ht="17.100000000000001" customHeight="1" x14ac:dyDescent="0.25">
      <c r="A33" s="16" t="s">
        <v>3037</v>
      </c>
      <c r="B33" s="21" t="s">
        <v>3038</v>
      </c>
      <c r="C33" s="23">
        <v>0.47354578971862799</v>
      </c>
      <c r="D33" s="23">
        <v>0.63449597358703602</v>
      </c>
      <c r="E33" s="23">
        <v>0.30046290159225503</v>
      </c>
      <c r="F33" s="21">
        <v>0.30046290159225503</v>
      </c>
      <c r="G33" s="23">
        <v>1</v>
      </c>
      <c r="H33" s="24">
        <v>41627</v>
      </c>
      <c r="I33" s="23">
        <v>2</v>
      </c>
      <c r="J33" s="22">
        <v>416566633</v>
      </c>
      <c r="K33" s="21" t="s">
        <v>3039</v>
      </c>
      <c r="L33" s="21" t="s">
        <v>3040</v>
      </c>
      <c r="M33" s="21" t="s">
        <v>2957</v>
      </c>
      <c r="N33" s="21" t="s">
        <v>2958</v>
      </c>
      <c r="O33" s="25" t="str">
        <f>HYPERLINK("http://worldwide.espacenet.com/publicationDetails/biblio?DB=EPODOC&amp;adjacent=true&amp;locale=en_EP&amp;FT=D&amp;CC=CN&amp;NR=103694078A&amp;KC=A","CN103694078.A")</f>
        <v>CN103694078.A</v>
      </c>
      <c r="P33" s="25" t="str">
        <f>HYPERLINK("http://worldwide.espacenet.com/publicationDetails/biblio?DB=EPODOC&amp;adjacent=true&amp;locale=en_EP&amp;FT=D&amp;CC=CN&amp;NR=103694078A&amp;KC=A","CN103694078.A")</f>
        <v>CN103694078.A</v>
      </c>
      <c r="Q33" s="26" t="str">
        <f>HYPERLINK("http://worldwide.espacenet.com/publicationDetails/biblio?DB=EPODOC&amp;adjacent=true&amp;locale=en_EP&amp;FT=D&amp;CC=CN&amp;NR=103694078B&amp;KC=B","CN103694078.B")</f>
        <v>CN103694078.B</v>
      </c>
    </row>
    <row r="34" spans="1:17" ht="17.100000000000001" customHeight="1" x14ac:dyDescent="0.25">
      <c r="A34" s="16" t="s">
        <v>3041</v>
      </c>
      <c r="B34" s="21" t="s">
        <v>3042</v>
      </c>
      <c r="C34" s="23">
        <v>1.2671024799346899</v>
      </c>
      <c r="D34" s="23">
        <v>0.63449597358703602</v>
      </c>
      <c r="E34" s="23">
        <v>0.80397140979766801</v>
      </c>
      <c r="F34" s="21">
        <v>0.80397140979766801</v>
      </c>
      <c r="G34" s="23">
        <v>3</v>
      </c>
      <c r="H34" s="24">
        <v>41565</v>
      </c>
      <c r="I34" s="23">
        <v>1</v>
      </c>
      <c r="J34" s="22">
        <v>417294812</v>
      </c>
      <c r="K34" s="21" t="s">
        <v>3043</v>
      </c>
      <c r="L34" s="21" t="s">
        <v>3027</v>
      </c>
      <c r="M34" s="21" t="s">
        <v>2957</v>
      </c>
      <c r="N34" s="21" t="s">
        <v>2943</v>
      </c>
      <c r="O34" s="25" t="str">
        <f>HYPERLINK("http://worldwide.espacenet.com/publicationDetails/biblio?DB=EPODOC&amp;adjacent=true&amp;locale=en_EP&amp;FT=D&amp;CC=CN&amp;NR=103755514A&amp;KC=A","CN103755514.A")</f>
        <v>CN103755514.A</v>
      </c>
      <c r="P34" s="25" t="str">
        <f>HYPERLINK("http://worldwide.espacenet.com/publicationDetails/biblio?DB=EPODOC&amp;adjacent=true&amp;locale=en_EP&amp;FT=D&amp;CC=CN&amp;NR=103755514A&amp;KC=A","CN103755514.A")</f>
        <v>CN103755514.A</v>
      </c>
      <c r="Q34" s="26" t="str">
        <f>HYPERLINK("http://worldwide.espacenet.com/publicationDetails/biblio?DB=EPODOC&amp;adjacent=true&amp;locale=en_EP&amp;FT=D&amp;CC=CN&amp;NR=103755514B&amp;KC=B","CN103755514.B")</f>
        <v>CN103755514.B</v>
      </c>
    </row>
    <row r="35" spans="1:17" ht="17.100000000000001" customHeight="1" x14ac:dyDescent="0.25">
      <c r="A35" s="16" t="s">
        <v>3044</v>
      </c>
      <c r="B35" s="21" t="s">
        <v>3045</v>
      </c>
      <c r="C35" s="23">
        <v>5.2674884796142596</v>
      </c>
      <c r="D35" s="23">
        <v>0.63449597358703602</v>
      </c>
      <c r="E35" s="23">
        <v>3.3422002792358398</v>
      </c>
      <c r="F35" s="21">
        <v>3.3422002792358398</v>
      </c>
      <c r="G35" s="23">
        <v>9</v>
      </c>
      <c r="H35" s="24">
        <v>41718</v>
      </c>
      <c r="I35" s="23">
        <v>1</v>
      </c>
      <c r="J35" s="22">
        <v>419043046</v>
      </c>
      <c r="K35" s="21" t="s">
        <v>3046</v>
      </c>
      <c r="L35" s="21" t="s">
        <v>3027</v>
      </c>
      <c r="M35" s="21" t="s">
        <v>2957</v>
      </c>
      <c r="N35" s="21" t="s">
        <v>2943</v>
      </c>
      <c r="O35" s="25" t="str">
        <f>HYPERLINK("http://worldwide.espacenet.com/publicationDetails/biblio?DB=EPODOC&amp;adjacent=true&amp;locale=en_EP&amp;FT=D&amp;CC=CN&amp;NR=103864565A&amp;KC=A","CN103864565.A")</f>
        <v>CN103864565.A</v>
      </c>
      <c r="P35" s="25" t="str">
        <f>HYPERLINK("http://worldwide.espacenet.com/publicationDetails/biblio?DB=EPODOC&amp;adjacent=true&amp;locale=en_EP&amp;FT=D&amp;CC=CN&amp;NR=103864565A&amp;KC=A","CN103864565.A")</f>
        <v>CN103864565.A</v>
      </c>
      <c r="Q35" s="26" t="str">
        <f>HYPERLINK("http://worldwide.espacenet.com/publicationDetails/biblio?DB=EPODOC&amp;adjacent=true&amp;locale=en_EP&amp;FT=D&amp;CC=CN&amp;NR=103864565B&amp;KC=B","CN103864565.B")</f>
        <v>CN103864565.B</v>
      </c>
    </row>
    <row r="36" spans="1:17" ht="17.100000000000001" customHeight="1" x14ac:dyDescent="0.25">
      <c r="A36" s="16" t="s">
        <v>3047</v>
      </c>
      <c r="B36" s="21" t="s">
        <v>3048</v>
      </c>
      <c r="C36" s="23">
        <v>0.18082608282566101</v>
      </c>
      <c r="D36" s="23">
        <v>0.63449597358703602</v>
      </c>
      <c r="E36" s="23">
        <v>0.11473342031240499</v>
      </c>
      <c r="F36" s="21">
        <v>0.11473342031240499</v>
      </c>
      <c r="G36" s="23">
        <v>0</v>
      </c>
      <c r="H36" s="24">
        <v>41380</v>
      </c>
      <c r="I36" s="23">
        <v>2</v>
      </c>
      <c r="J36" s="22">
        <v>422873314</v>
      </c>
      <c r="K36" s="21"/>
      <c r="L36" s="21" t="s">
        <v>2981</v>
      </c>
      <c r="M36" s="21" t="s">
        <v>2957</v>
      </c>
      <c r="N36" s="21" t="s">
        <v>2958</v>
      </c>
      <c r="O36" s="25" t="str">
        <f>HYPERLINK("http://worldwide.espacenet.com/publicationDetails/biblio?DB=EPODOC&amp;adjacent=true&amp;locale=en_EP&amp;FT=D&amp;CC=CN&amp;NR=104107708A&amp;KC=A","CN104107708.A")</f>
        <v>CN104107708.A</v>
      </c>
      <c r="P36" s="25" t="str">
        <f>HYPERLINK("http://worldwide.espacenet.com/publicationDetails/biblio?DB=EPODOC&amp;adjacent=true&amp;locale=en_EP&amp;FT=D&amp;CC=CN&amp;NR=104107708A&amp;KC=A","CN104107708.A")</f>
        <v>CN104107708.A</v>
      </c>
      <c r="Q36" s="26" t="str">
        <f>HYPERLINK("http://worldwide.espacenet.com/publicationDetails/biblio?DB=EPODOC&amp;adjacent=true&amp;locale=en_EP&amp;FT=D&amp;CC=CN&amp;NR=104107708B&amp;KC=B","CN104107708.B")</f>
        <v>CN104107708.B</v>
      </c>
    </row>
    <row r="37" spans="1:17" ht="17.100000000000001" customHeight="1" x14ac:dyDescent="0.25">
      <c r="A37" s="16" t="s">
        <v>3049</v>
      </c>
      <c r="B37" s="21" t="s">
        <v>3049</v>
      </c>
      <c r="C37" s="23">
        <v>0.68487799167633101</v>
      </c>
      <c r="D37" s="23">
        <v>0</v>
      </c>
      <c r="E37" s="23">
        <v>0</v>
      </c>
      <c r="F37" s="21">
        <v>0</v>
      </c>
      <c r="G37" s="23">
        <v>1</v>
      </c>
      <c r="H37" s="24">
        <v>41878</v>
      </c>
      <c r="I37" s="23">
        <v>1</v>
      </c>
      <c r="J37" s="22">
        <v>423324234</v>
      </c>
      <c r="K37" s="21" t="s">
        <v>3050</v>
      </c>
      <c r="L37" s="21" t="s">
        <v>3051</v>
      </c>
      <c r="M37" s="21" t="s">
        <v>2942</v>
      </c>
      <c r="N37" s="21" t="s">
        <v>3003</v>
      </c>
      <c r="O37" s="25" t="str">
        <f>HYPERLINK("http://worldwide.espacenet.com/publicationDetails/biblio?DB=EPODOC&amp;adjacent=true&amp;locale=en_EP&amp;FT=D&amp;CC=CN&amp;NR=104130796A&amp;KC=A","CN104130796.A")</f>
        <v>CN104130796.A</v>
      </c>
      <c r="P37" s="25" t="str">
        <f>HYPERLINK("http://worldwide.espacenet.com/publicationDetails/biblio?DB=EPODOC&amp;adjacent=true&amp;locale=en_EP&amp;FT=D&amp;CC=CN&amp;NR=104130796A&amp;KC=A","CN104130796.A")</f>
        <v>CN104130796.A</v>
      </c>
    </row>
    <row r="38" spans="1:17" ht="17.100000000000001" customHeight="1" x14ac:dyDescent="0.25">
      <c r="A38" s="16" t="s">
        <v>3052</v>
      </c>
      <c r="B38" s="21" t="s">
        <v>3053</v>
      </c>
      <c r="C38" s="23">
        <v>0.185023173689842</v>
      </c>
      <c r="D38" s="23">
        <v>0.63449597358703602</v>
      </c>
      <c r="E38" s="23">
        <v>0.11739645898342101</v>
      </c>
      <c r="F38" s="21">
        <v>0.11739645898342101</v>
      </c>
      <c r="G38" s="23">
        <v>0</v>
      </c>
      <c r="H38" s="24">
        <v>41418</v>
      </c>
      <c r="I38" s="23">
        <v>2</v>
      </c>
      <c r="J38" s="22">
        <v>424150806</v>
      </c>
      <c r="K38" s="21"/>
      <c r="L38" s="21" t="s">
        <v>2981</v>
      </c>
      <c r="M38" s="21" t="s">
        <v>2957</v>
      </c>
      <c r="N38" s="21" t="s">
        <v>2982</v>
      </c>
      <c r="O38" s="25" t="str">
        <f>HYPERLINK("http://worldwide.espacenet.com/publicationDetails/biblio?DB=EPODOC&amp;adjacent=true&amp;locale=en_EP&amp;FT=D&amp;CC=CN&amp;NR=104174427A&amp;KC=A","CN104174427.A")</f>
        <v>CN104174427.A</v>
      </c>
      <c r="P38" s="25" t="str">
        <f>HYPERLINK("http://worldwide.espacenet.com/publicationDetails/biblio?DB=EPODOC&amp;adjacent=true&amp;locale=en_EP&amp;FT=D&amp;CC=CN&amp;NR=104174427A&amp;KC=A","CN104174427.A")</f>
        <v>CN104174427.A</v>
      </c>
      <c r="Q38" s="26" t="str">
        <f>HYPERLINK("http://worldwide.espacenet.com/publicationDetails/biblio?DB=EPODOC&amp;adjacent=true&amp;locale=en_EP&amp;FT=D&amp;CC=CN&amp;NR=104174427B&amp;KC=B","CN104174427.B")</f>
        <v>CN104174427.B</v>
      </c>
    </row>
    <row r="39" spans="1:17" ht="17.100000000000001" customHeight="1" x14ac:dyDescent="0.25">
      <c r="A39" s="16" t="s">
        <v>3054</v>
      </c>
      <c r="B39" s="21" t="s">
        <v>3055</v>
      </c>
      <c r="C39" s="23">
        <v>2.5514988899231001</v>
      </c>
      <c r="D39" s="23">
        <v>0.63449597358703602</v>
      </c>
      <c r="E39" s="23">
        <v>1.6189157962799099</v>
      </c>
      <c r="F39" s="21">
        <v>1.6189157962799099</v>
      </c>
      <c r="G39" s="23">
        <v>4</v>
      </c>
      <c r="H39" s="24">
        <v>41451</v>
      </c>
      <c r="I39" s="23">
        <v>1</v>
      </c>
      <c r="J39" s="22">
        <v>425234651</v>
      </c>
      <c r="K39" s="21" t="s">
        <v>3056</v>
      </c>
      <c r="L39" s="21" t="s">
        <v>2981</v>
      </c>
      <c r="M39" s="21" t="s">
        <v>2957</v>
      </c>
      <c r="N39" s="21" t="s">
        <v>2943</v>
      </c>
      <c r="O39" s="25" t="str">
        <f>HYPERLINK("http://worldwide.espacenet.com/publicationDetails/biblio?DB=EPODOC&amp;adjacent=true&amp;locale=en_EP&amp;FT=D&amp;CC=CN&amp;NR=104250183A&amp;KC=A","CN104250183.A")</f>
        <v>CN104250183.A</v>
      </c>
      <c r="P39" s="25" t="str">
        <f>HYPERLINK("http://worldwide.espacenet.com/publicationDetails/biblio?DB=EPODOC&amp;adjacent=true&amp;locale=en_EP&amp;FT=D&amp;CC=CN&amp;NR=104250183A&amp;KC=A","CN104250183.A")</f>
        <v>CN104250183.A</v>
      </c>
      <c r="Q39" s="26" t="str">
        <f>HYPERLINK("http://worldwide.espacenet.com/publicationDetails/biblio?DB=EPODOC&amp;adjacent=true&amp;locale=en_EP&amp;FT=D&amp;CC=CN&amp;NR=104250183B&amp;KC=B","CN104250183.B")</f>
        <v>CN104250183.B</v>
      </c>
    </row>
    <row r="40" spans="1:17" ht="17.100000000000001" customHeight="1" x14ac:dyDescent="0.25">
      <c r="A40" s="16" t="s">
        <v>3057</v>
      </c>
      <c r="B40" s="21" t="s">
        <v>3058</v>
      </c>
      <c r="C40" s="23">
        <v>0.189454555511475</v>
      </c>
      <c r="D40" s="23">
        <v>0.63449597358703602</v>
      </c>
      <c r="E40" s="23">
        <v>0.120208151638508</v>
      </c>
      <c r="F40" s="21">
        <v>0.120208151638508</v>
      </c>
      <c r="G40" s="23">
        <v>0</v>
      </c>
      <c r="H40" s="24">
        <v>41494</v>
      </c>
      <c r="I40" s="23">
        <v>3</v>
      </c>
      <c r="J40" s="22">
        <v>437301782</v>
      </c>
      <c r="K40" s="21"/>
      <c r="L40" s="21" t="s">
        <v>2981</v>
      </c>
      <c r="M40" s="21" t="s">
        <v>2957</v>
      </c>
      <c r="N40" s="21" t="s">
        <v>2951</v>
      </c>
      <c r="O40" s="25" t="str">
        <f>HYPERLINK("http://worldwide.espacenet.com/publicationDetails/biblio?DB=EPODOC&amp;adjacent=true&amp;locale=en_EP&amp;FT=D&amp;CC=CN&amp;NR=104342198A&amp;KC=A","CN104342198.A")</f>
        <v>CN104342198.A</v>
      </c>
      <c r="P40" s="25" t="str">
        <f>HYPERLINK("http://worldwide.espacenet.com/publicationDetails/biblio?DB=EPODOC&amp;adjacent=true&amp;locale=en_EP&amp;FT=D&amp;CC=CN&amp;NR=104342198A&amp;KC=A","CN104342198.A")</f>
        <v>CN104342198.A</v>
      </c>
      <c r="Q40" s="26" t="str">
        <f>HYPERLINK("http://worldwide.espacenet.com/publicationDetails/biblio?DB=EPODOC&amp;adjacent=true&amp;locale=en_EP&amp;FT=D&amp;CC=CN&amp;NR=104342198B&amp;KC=B","CN104342198.B")</f>
        <v>CN104342198.B</v>
      </c>
    </row>
    <row r="41" spans="1:17" ht="17.100000000000001" customHeight="1" x14ac:dyDescent="0.25">
      <c r="A41" s="16" t="s">
        <v>3059</v>
      </c>
      <c r="B41" s="21" t="s">
        <v>3060</v>
      </c>
      <c r="C41" s="23">
        <v>2.1894514560699498</v>
      </c>
      <c r="D41" s="23">
        <v>0.63449597358703602</v>
      </c>
      <c r="E41" s="23">
        <v>1.38919818401337</v>
      </c>
      <c r="F41" s="21">
        <v>1.38919818401337</v>
      </c>
      <c r="G41" s="23">
        <v>3</v>
      </c>
      <c r="H41" s="24">
        <v>41541</v>
      </c>
      <c r="I41" s="23">
        <v>2</v>
      </c>
      <c r="J41" s="22">
        <v>439348189</v>
      </c>
      <c r="K41" s="21" t="s">
        <v>3061</v>
      </c>
      <c r="L41" s="21" t="s">
        <v>2981</v>
      </c>
      <c r="M41" s="21" t="s">
        <v>2957</v>
      </c>
      <c r="N41" s="21" t="s">
        <v>2958</v>
      </c>
      <c r="O41" s="25" t="str">
        <f>HYPERLINK("http://worldwide.espacenet.com/publicationDetails/biblio?DB=EPODOC&amp;adjacent=true&amp;locale=en_EP&amp;FT=D&amp;CC=CN&amp;NR=104437595A&amp;KC=A","CN104437595.A")</f>
        <v>CN104437595.A</v>
      </c>
      <c r="P41" s="25" t="str">
        <f>HYPERLINK("http://worldwide.espacenet.com/publicationDetails/biblio?DB=EPODOC&amp;adjacent=true&amp;locale=en_EP&amp;FT=D&amp;CC=CN&amp;NR=104437595A&amp;KC=A","CN104437595.A")</f>
        <v>CN104437595.A</v>
      </c>
      <c r="Q41" s="26" t="str">
        <f>HYPERLINK("http://worldwide.espacenet.com/publicationDetails/biblio?DB=EPODOC&amp;adjacent=true&amp;locale=en_EP&amp;FT=D&amp;CC=CN&amp;NR=104437595B&amp;KC=B","CN104437595.B")</f>
        <v>CN104437595.B</v>
      </c>
    </row>
    <row r="42" spans="1:17" ht="17.100000000000001" customHeight="1" x14ac:dyDescent="0.25">
      <c r="A42" s="16" t="s">
        <v>3062</v>
      </c>
      <c r="B42" s="21" t="s">
        <v>3063</v>
      </c>
      <c r="C42" s="23">
        <v>1.4367600679397601</v>
      </c>
      <c r="D42" s="23">
        <v>0.63449597358703602</v>
      </c>
      <c r="E42" s="23">
        <v>0.91161847114562999</v>
      </c>
      <c r="F42" s="21">
        <v>0.91161847114562999</v>
      </c>
      <c r="G42" s="23">
        <v>2</v>
      </c>
      <c r="H42" s="24">
        <v>41541</v>
      </c>
      <c r="I42" s="23">
        <v>2</v>
      </c>
      <c r="J42" s="22">
        <v>439348191</v>
      </c>
      <c r="K42" s="21" t="s">
        <v>3064</v>
      </c>
      <c r="L42" s="21" t="s">
        <v>2981</v>
      </c>
      <c r="M42" s="21" t="s">
        <v>2957</v>
      </c>
      <c r="N42" s="21" t="s">
        <v>2958</v>
      </c>
      <c r="O42" s="25" t="str">
        <f>HYPERLINK("http://worldwide.espacenet.com/publicationDetails/biblio?DB=EPODOC&amp;adjacent=true&amp;locale=en_EP&amp;FT=D&amp;CC=CN&amp;NR=104437596A&amp;KC=A","CN104437596.A")</f>
        <v>CN104437596.A</v>
      </c>
      <c r="P42" s="25" t="str">
        <f>HYPERLINK("http://worldwide.espacenet.com/publicationDetails/biblio?DB=EPODOC&amp;adjacent=true&amp;locale=en_EP&amp;FT=D&amp;CC=CN&amp;NR=104437596A&amp;KC=A","CN104437596.A")</f>
        <v>CN104437596.A</v>
      </c>
      <c r="Q42" s="26" t="str">
        <f>HYPERLINK("http://worldwide.espacenet.com/publicationDetails/biblio?DB=EPODOC&amp;adjacent=true&amp;locale=en_EP&amp;FT=D&amp;CC=CN&amp;NR=104437596B&amp;KC=B","CN104437596.B")</f>
        <v>CN104437596.B</v>
      </c>
    </row>
    <row r="43" spans="1:17" ht="17.100000000000001" customHeight="1" x14ac:dyDescent="0.25">
      <c r="A43" s="16" t="s">
        <v>3065</v>
      </c>
      <c r="B43" s="21" t="s">
        <v>3066</v>
      </c>
      <c r="C43" s="23">
        <v>0.77794009447097801</v>
      </c>
      <c r="D43" s="23">
        <v>0.63449597358703602</v>
      </c>
      <c r="E43" s="23">
        <v>0.49359986186027499</v>
      </c>
      <c r="F43" s="21">
        <v>0.49359986186027499</v>
      </c>
      <c r="G43" s="23">
        <v>1</v>
      </c>
      <c r="H43" s="24">
        <v>41970</v>
      </c>
      <c r="I43" s="23">
        <v>1</v>
      </c>
      <c r="J43" s="22">
        <v>439367390</v>
      </c>
      <c r="K43" s="21" t="s">
        <v>3067</v>
      </c>
      <c r="L43" s="21" t="s">
        <v>3068</v>
      </c>
      <c r="M43" s="21" t="s">
        <v>2957</v>
      </c>
      <c r="N43" s="21" t="s">
        <v>2943</v>
      </c>
      <c r="O43" s="25" t="str">
        <f>HYPERLINK("http://worldwide.espacenet.com/publicationDetails/biblio?DB=EPODOC&amp;adjacent=true&amp;locale=en_EP&amp;FT=D&amp;CC=CN&amp;NR=104447157A&amp;KC=A","CN104447157.A")</f>
        <v>CN104447157.A</v>
      </c>
      <c r="P43" s="25" t="str">
        <f>HYPERLINK("http://worldwide.espacenet.com/publicationDetails/biblio?DB=EPODOC&amp;adjacent=true&amp;locale=en_EP&amp;FT=D&amp;CC=CN&amp;NR=104447157A&amp;KC=A","CN104447157.A")</f>
        <v>CN104447157.A</v>
      </c>
      <c r="Q43" s="26" t="str">
        <f>HYPERLINK("http://worldwide.espacenet.com/publicationDetails/biblio?DB=EPODOC&amp;adjacent=true&amp;locale=en_EP&amp;FT=D&amp;CC=CN&amp;NR=104447157B&amp;KC=B","CN104447157.B")</f>
        <v>CN104447157.B</v>
      </c>
    </row>
    <row r="44" spans="1:17" ht="17.100000000000001" customHeight="1" x14ac:dyDescent="0.25">
      <c r="A44" s="16" t="s">
        <v>3069</v>
      </c>
      <c r="B44" s="21" t="s">
        <v>3070</v>
      </c>
      <c r="C44" s="23">
        <v>6.2844195365905797</v>
      </c>
      <c r="D44" s="23">
        <v>0.63449597358703602</v>
      </c>
      <c r="E44" s="23">
        <v>3.9874389171600302</v>
      </c>
      <c r="F44" s="21">
        <v>3.9874389171600302</v>
      </c>
      <c r="G44" s="23">
        <v>8</v>
      </c>
      <c r="H44" s="24">
        <v>41970</v>
      </c>
      <c r="I44" s="23">
        <v>1</v>
      </c>
      <c r="J44" s="22">
        <v>439469829</v>
      </c>
      <c r="K44" s="21" t="s">
        <v>3071</v>
      </c>
      <c r="L44" s="21" t="s">
        <v>3068</v>
      </c>
      <c r="M44" s="21" t="s">
        <v>2957</v>
      </c>
      <c r="N44" s="21" t="s">
        <v>2943</v>
      </c>
      <c r="O44" s="25" t="str">
        <f>HYPERLINK("http://worldwide.espacenet.com/publicationDetails/biblio?DB=EPODOC&amp;adjacent=true&amp;locale=en_EP&amp;FT=D&amp;CC=CN&amp;NR=104496743A&amp;KC=A","CN104496743.A")</f>
        <v>CN104496743.A</v>
      </c>
      <c r="P44" s="25" t="str">
        <f>HYPERLINK("http://worldwide.espacenet.com/publicationDetails/biblio?DB=EPODOC&amp;adjacent=true&amp;locale=en_EP&amp;FT=D&amp;CC=CN&amp;NR=104496743A&amp;KC=A","CN104496743.A")</f>
        <v>CN104496743.A</v>
      </c>
      <c r="Q44" s="26" t="str">
        <f>HYPERLINK("http://worldwide.espacenet.com/publicationDetails/biblio?DB=EPODOC&amp;adjacent=true&amp;locale=en_EP&amp;FT=D&amp;CC=CN&amp;NR=104496743B&amp;KC=B","CN104496743.B")</f>
        <v>CN104496743.B</v>
      </c>
    </row>
    <row r="45" spans="1:17" ht="17.100000000000001" customHeight="1" x14ac:dyDescent="0.25">
      <c r="A45" s="16" t="s">
        <v>3072</v>
      </c>
      <c r="B45" s="21" t="s">
        <v>3073</v>
      </c>
      <c r="C45" s="23">
        <v>1.4184501171112101</v>
      </c>
      <c r="D45" s="23">
        <v>0.63449597358703602</v>
      </c>
      <c r="E45" s="23">
        <v>0.90000087022781405</v>
      </c>
      <c r="F45" s="21">
        <v>0.90000087022781405</v>
      </c>
      <c r="G45" s="23">
        <v>2</v>
      </c>
      <c r="H45" s="24">
        <v>41575</v>
      </c>
      <c r="I45" s="23">
        <v>2</v>
      </c>
      <c r="J45" s="22">
        <v>440228200</v>
      </c>
      <c r="K45" s="21" t="s">
        <v>3074</v>
      </c>
      <c r="L45" s="21" t="s">
        <v>2981</v>
      </c>
      <c r="M45" s="21" t="s">
        <v>2957</v>
      </c>
      <c r="N45" s="21" t="s">
        <v>2958</v>
      </c>
      <c r="O45" s="25" t="str">
        <f>HYPERLINK("http://worldwide.espacenet.com/publicationDetails/biblio?DB=EPODOC&amp;adjacent=true&amp;locale=en_EP&amp;FT=D&amp;CC=CN&amp;NR=104549408A&amp;KC=A","CN104549408.A")</f>
        <v>CN104549408.A</v>
      </c>
      <c r="P45" s="25" t="str">
        <f>HYPERLINK("http://worldwide.espacenet.com/publicationDetails/biblio?DB=EPODOC&amp;adjacent=true&amp;locale=en_EP&amp;FT=D&amp;CC=CN&amp;NR=104549408A&amp;KC=A","CN104549408.A")</f>
        <v>CN104549408.A</v>
      </c>
      <c r="Q45" s="26" t="str">
        <f>HYPERLINK("http://worldwide.espacenet.com/publicationDetails/biblio?DB=EPODOC&amp;adjacent=true&amp;locale=en_EP&amp;FT=D&amp;CC=CN&amp;NR=104549408B&amp;KC=B","CN104549408.B")</f>
        <v>CN104549408.B</v>
      </c>
    </row>
    <row r="46" spans="1:17" ht="17.100000000000001" customHeight="1" x14ac:dyDescent="0.25">
      <c r="A46" s="16" t="s">
        <v>3075</v>
      </c>
      <c r="B46" s="21" t="s">
        <v>3075</v>
      </c>
      <c r="C46" s="23">
        <v>2.9192686080932599</v>
      </c>
      <c r="D46" s="23">
        <v>0.44414699077606201</v>
      </c>
      <c r="E46" s="23">
        <v>1.2965843677520801</v>
      </c>
      <c r="F46" s="21">
        <v>1.2965843677520801</v>
      </c>
      <c r="G46" s="23">
        <v>4</v>
      </c>
      <c r="H46" s="24">
        <v>41575</v>
      </c>
      <c r="I46" s="23">
        <v>2</v>
      </c>
      <c r="J46" s="22">
        <v>440228264</v>
      </c>
      <c r="K46" s="21" t="s">
        <v>3076</v>
      </c>
      <c r="L46" s="21" t="s">
        <v>2981</v>
      </c>
      <c r="M46" s="21" t="s">
        <v>3077</v>
      </c>
      <c r="N46" s="21" t="s">
        <v>2958</v>
      </c>
      <c r="O46" s="25" t="str">
        <f>HYPERLINK("http://worldwide.espacenet.com/publicationDetails/biblio?DB=EPODOC&amp;adjacent=true&amp;locale=en_EP&amp;FT=D&amp;CC=CN&amp;NR=104549440A&amp;KC=A","CN104549440.A")</f>
        <v>CN104549440.A</v>
      </c>
      <c r="P46" s="25" t="str">
        <f>HYPERLINK("http://worldwide.espacenet.com/publicationDetails/biblio?DB=EPODOC&amp;adjacent=true&amp;locale=en_EP&amp;FT=D&amp;CC=CN&amp;NR=104549440A&amp;KC=A","CN104549440.A")</f>
        <v>CN104549440.A</v>
      </c>
    </row>
    <row r="47" spans="1:17" ht="17.100000000000001" customHeight="1" x14ac:dyDescent="0.25">
      <c r="A47" s="16" t="s">
        <v>3078</v>
      </c>
      <c r="B47" s="21" t="s">
        <v>3078</v>
      </c>
      <c r="C47" s="23">
        <v>1.3854402303695701</v>
      </c>
      <c r="D47" s="23">
        <v>0.44414699077606201</v>
      </c>
      <c r="E47" s="23">
        <v>0.61533910036087003</v>
      </c>
      <c r="F47" s="21">
        <v>0.61533910036087003</v>
      </c>
      <c r="G47" s="23">
        <v>2</v>
      </c>
      <c r="H47" s="24">
        <v>41575</v>
      </c>
      <c r="I47" s="23">
        <v>2</v>
      </c>
      <c r="J47" s="22">
        <v>440228266</v>
      </c>
      <c r="K47" s="21" t="s">
        <v>3079</v>
      </c>
      <c r="L47" s="21" t="s">
        <v>2981</v>
      </c>
      <c r="M47" s="21" t="s">
        <v>3077</v>
      </c>
      <c r="N47" s="21" t="s">
        <v>2958</v>
      </c>
      <c r="O47" s="25" t="str">
        <f>HYPERLINK("http://worldwide.espacenet.com/publicationDetails/biblio?DB=EPODOC&amp;adjacent=true&amp;locale=en_EP&amp;FT=D&amp;CC=CN&amp;NR=104549441A&amp;KC=A","CN104549441.A")</f>
        <v>CN104549441.A</v>
      </c>
      <c r="P47" s="25" t="str">
        <f>HYPERLINK("http://worldwide.espacenet.com/publicationDetails/biblio?DB=EPODOC&amp;adjacent=true&amp;locale=en_EP&amp;FT=D&amp;CC=CN&amp;NR=104549441A&amp;KC=A","CN104549441.A")</f>
        <v>CN104549441.A</v>
      </c>
    </row>
    <row r="48" spans="1:17" ht="17.100000000000001" customHeight="1" x14ac:dyDescent="0.25">
      <c r="A48" s="16" t="s">
        <v>3080</v>
      </c>
      <c r="B48" s="21" t="s">
        <v>3081</v>
      </c>
      <c r="C48" s="23">
        <v>0.18082608282566101</v>
      </c>
      <c r="D48" s="23">
        <v>0.63449597358703602</v>
      </c>
      <c r="E48" s="23">
        <v>0.11473342031240499</v>
      </c>
      <c r="F48" s="21">
        <v>0.11473342031240499</v>
      </c>
      <c r="G48" s="23">
        <v>0</v>
      </c>
      <c r="H48" s="24">
        <v>41575</v>
      </c>
      <c r="I48" s="23">
        <v>2</v>
      </c>
      <c r="J48" s="22">
        <v>440228292</v>
      </c>
      <c r="K48" s="21"/>
      <c r="L48" s="21" t="s">
        <v>2981</v>
      </c>
      <c r="M48" s="21" t="s">
        <v>2957</v>
      </c>
      <c r="N48" s="21" t="s">
        <v>2958</v>
      </c>
      <c r="O48" s="25" t="str">
        <f>HYPERLINK("http://worldwide.espacenet.com/publicationDetails/biblio?DB=EPODOC&amp;adjacent=true&amp;locale=en_EP&amp;FT=D&amp;CC=CN&amp;NR=104549454A&amp;KC=A","CN104549454.A")</f>
        <v>CN104549454.A</v>
      </c>
      <c r="P48" s="25" t="str">
        <f>HYPERLINK("http://worldwide.espacenet.com/publicationDetails/biblio?DB=EPODOC&amp;adjacent=true&amp;locale=en_EP&amp;FT=D&amp;CC=CN&amp;NR=104549454A&amp;KC=A","CN104549454.A")</f>
        <v>CN104549454.A</v>
      </c>
      <c r="Q48" s="26" t="str">
        <f>HYPERLINK("http://worldwide.espacenet.com/publicationDetails/biblio?DB=EPODOC&amp;adjacent=true&amp;locale=en_EP&amp;FT=D&amp;CC=CN&amp;NR=104549454B&amp;KC=B","CN104549454.B")</f>
        <v>CN104549454.B</v>
      </c>
    </row>
    <row r="49" spans="1:58" ht="17.100000000000001" customHeight="1" x14ac:dyDescent="0.25">
      <c r="A49" s="16" t="s">
        <v>3082</v>
      </c>
      <c r="B49" s="21" t="s">
        <v>3083</v>
      </c>
      <c r="C49" s="23">
        <v>2.1875238418579102</v>
      </c>
      <c r="D49" s="23">
        <v>0.63449597358703602</v>
      </c>
      <c r="E49" s="23">
        <v>1.3879750967025799</v>
      </c>
      <c r="F49" s="21">
        <v>1.3879750967025799</v>
      </c>
      <c r="G49" s="23">
        <v>3</v>
      </c>
      <c r="H49" s="24">
        <v>41575</v>
      </c>
      <c r="I49" s="23">
        <v>2</v>
      </c>
      <c r="J49" s="22">
        <v>440228324</v>
      </c>
      <c r="K49" s="21" t="s">
        <v>3084</v>
      </c>
      <c r="L49" s="21" t="s">
        <v>2981</v>
      </c>
      <c r="M49" s="21" t="s">
        <v>2957</v>
      </c>
      <c r="N49" s="21" t="s">
        <v>2958</v>
      </c>
      <c r="O49" s="25" t="str">
        <f>HYPERLINK("http://worldwide.espacenet.com/publicationDetails/biblio?DB=EPODOC&amp;adjacent=true&amp;locale=en_EP&amp;FT=D&amp;CC=CN&amp;NR=104549470A&amp;KC=A","CN104549470.A")</f>
        <v>CN104549470.A</v>
      </c>
      <c r="P49" s="25" t="str">
        <f>HYPERLINK("http://worldwide.espacenet.com/publicationDetails/biblio?DB=EPODOC&amp;adjacent=true&amp;locale=en_EP&amp;FT=D&amp;CC=CN&amp;NR=104549470A&amp;KC=A","CN104549470.A")</f>
        <v>CN104549470.A</v>
      </c>
      <c r="Q49" s="26" t="str">
        <f>HYPERLINK("http://worldwide.espacenet.com/publicationDetails/biblio?DB=EPODOC&amp;adjacent=true&amp;locale=en_EP&amp;FT=D&amp;CC=CN&amp;NR=104549470B&amp;KC=B","CN104549470.B")</f>
        <v>CN104549470.B</v>
      </c>
    </row>
    <row r="50" spans="1:58" ht="17.100000000000001" customHeight="1" x14ac:dyDescent="0.25">
      <c r="A50" s="16" t="s">
        <v>3085</v>
      </c>
      <c r="B50" s="21" t="s">
        <v>3086</v>
      </c>
      <c r="C50" s="23">
        <v>5.76434326171875</v>
      </c>
      <c r="D50" s="23">
        <v>0.63449597358703602</v>
      </c>
      <c r="E50" s="23">
        <v>3.6574525833129901</v>
      </c>
      <c r="F50" s="21">
        <v>3.6574525833129901</v>
      </c>
      <c r="G50" s="23">
        <v>8</v>
      </c>
      <c r="H50" s="24">
        <v>41575</v>
      </c>
      <c r="I50" s="23">
        <v>2</v>
      </c>
      <c r="J50" s="22">
        <v>440228342</v>
      </c>
      <c r="K50" s="21" t="s">
        <v>3087</v>
      </c>
      <c r="L50" s="21" t="s">
        <v>2981</v>
      </c>
      <c r="M50" s="21" t="s">
        <v>2957</v>
      </c>
      <c r="N50" s="21" t="s">
        <v>2958</v>
      </c>
      <c r="O50" s="25" t="str">
        <f>HYPERLINK("http://worldwide.espacenet.com/publicationDetails/biblio?DB=EPODOC&amp;adjacent=true&amp;locale=en_EP&amp;FT=D&amp;CC=CN&amp;NR=104549479A&amp;KC=A","CN104549479.A")</f>
        <v>CN104549479.A</v>
      </c>
      <c r="P50" s="25" t="str">
        <f>HYPERLINK("http://worldwide.espacenet.com/publicationDetails/biblio?DB=EPODOC&amp;adjacent=true&amp;locale=en_EP&amp;FT=D&amp;CC=CN&amp;NR=104549479A&amp;KC=A","CN104549479.A")</f>
        <v>CN104549479.A</v>
      </c>
      <c r="Q50" s="26" t="str">
        <f>HYPERLINK("http://worldwide.espacenet.com/publicationDetails/biblio?DB=EPODOC&amp;adjacent=true&amp;locale=en_EP&amp;FT=D&amp;CC=CN&amp;NR=104549479B&amp;KC=B","CN104549479.B")</f>
        <v>CN104549479.B</v>
      </c>
    </row>
    <row r="51" spans="1:58" ht="17.100000000000001" customHeight="1" x14ac:dyDescent="0.25">
      <c r="A51" s="16" t="s">
        <v>3088</v>
      </c>
      <c r="B51" s="21" t="s">
        <v>3089</v>
      </c>
      <c r="C51" s="23">
        <v>3.6490857601165798</v>
      </c>
      <c r="D51" s="23">
        <v>0.63449597358703602</v>
      </c>
      <c r="E51" s="23">
        <v>2.3153302669525102</v>
      </c>
      <c r="F51" s="21">
        <v>2.3153302669525102</v>
      </c>
      <c r="G51" s="23">
        <v>5</v>
      </c>
      <c r="H51" s="24">
        <v>41575</v>
      </c>
      <c r="I51" s="23">
        <v>2</v>
      </c>
      <c r="J51" s="22">
        <v>440228344</v>
      </c>
      <c r="K51" s="21" t="s">
        <v>3090</v>
      </c>
      <c r="L51" s="21" t="s">
        <v>2981</v>
      </c>
      <c r="M51" s="21" t="s">
        <v>2957</v>
      </c>
      <c r="N51" s="21" t="s">
        <v>2958</v>
      </c>
      <c r="O51" s="25" t="str">
        <f>HYPERLINK("http://worldwide.espacenet.com/publicationDetails/biblio?DB=EPODOC&amp;adjacent=true&amp;locale=en_EP&amp;FT=D&amp;CC=CN&amp;NR=104549480A&amp;KC=A","CN104549480.A")</f>
        <v>CN104549480.A</v>
      </c>
      <c r="P51" s="25" t="str">
        <f>HYPERLINK("http://worldwide.espacenet.com/publicationDetails/biblio?DB=EPODOC&amp;adjacent=true&amp;locale=en_EP&amp;FT=D&amp;CC=CN&amp;NR=104549480A&amp;KC=A","CN104549480.A")</f>
        <v>CN104549480.A</v>
      </c>
      <c r="Q51" s="26" t="str">
        <f>HYPERLINK("http://worldwide.espacenet.com/publicationDetails/biblio?DB=EPODOC&amp;adjacent=true&amp;locale=en_EP&amp;FT=D&amp;CC=CN&amp;NR=104549480B&amp;KC=B","CN104549480.B")</f>
        <v>CN104549480.B</v>
      </c>
      <c r="U51" s="26" t="str">
        <f>HYPERLINK("http://worldwide.espacenet.com/publicationDetails/biblio?DB=EPODOC&amp;adjacent=true&amp;locale=en_EP&amp;FT=D&amp;CC=EP&amp;NR=0134058A3&amp;KC=A3","EP0134058.A3")</f>
        <v>EP0134058.A3</v>
      </c>
      <c r="V51" s="26" t="str">
        <f>HYPERLINK("http://worldwide.espacenet.com/publicationDetails/biblio?DB=EPODOC&amp;adjacent=true&amp;locale=en_EP&amp;FT=D&amp;CC=EP&amp;NR=0134058B1&amp;KC=B1","EP0134058.B1")</f>
        <v>EP0134058.B1</v>
      </c>
      <c r="W51" s="26" t="str">
        <f>HYPERLINK("http://worldwide.espacenet.com/publicationDetails/biblio?DB=EPODOC&amp;adjacent=true&amp;locale=en_EP&amp;FT=D&amp;CC=JP&amp;NR=H0645788B2&amp;KC=B2","JPH0645788.B2")</f>
        <v>JPH0645788.B2</v>
      </c>
      <c r="X51" s="26" t="str">
        <f>HYPERLINK("http://worldwide.espacenet.com/publicationDetails/biblio?DB=EPODOC&amp;adjacent=true&amp;locale=en_EP&amp;FT=D&amp;CC=JP&amp;NR=S6053592A&amp;KC=A","JPS6053592.A")</f>
        <v>JPS6053592.A</v>
      </c>
      <c r="Y51" s="26" t="str">
        <f>HYPERLINK("http://worldwide.espacenet.com/publicationDetails/biblio?DB=EPODOC&amp;adjacent=true&amp;locale=en_EP&amp;FT=D&amp;CC=US&amp;NR=4579988A&amp;KC=A","US4579988.A")</f>
        <v>US4579988.A</v>
      </c>
      <c r="Z51" s="26" t="str">
        <f>HYPERLINK("http://worldwide.espacenet.com/publicationDetails/biblio?DB=EPODOC&amp;adjacent=true&amp;locale=en_EP&amp;FT=D&amp;CC=ZA&amp;NR=8406063B&amp;KC=B","ZA8406063.B")</f>
        <v>ZA8406063.B</v>
      </c>
    </row>
    <row r="52" spans="1:58" ht="17.100000000000001" customHeight="1" x14ac:dyDescent="0.25">
      <c r="A52" s="16" t="s">
        <v>3091</v>
      </c>
      <c r="B52" s="21" t="s">
        <v>3092</v>
      </c>
      <c r="C52" s="23">
        <v>0.18082608282566101</v>
      </c>
      <c r="D52" s="23">
        <v>0.63449597358703602</v>
      </c>
      <c r="E52" s="23">
        <v>0.11473342031240499</v>
      </c>
      <c r="F52" s="21">
        <v>0.11473342031240499</v>
      </c>
      <c r="G52" s="23">
        <v>0</v>
      </c>
      <c r="H52" s="24">
        <v>41575</v>
      </c>
      <c r="I52" s="23">
        <v>2</v>
      </c>
      <c r="J52" s="22">
        <v>440228346</v>
      </c>
      <c r="K52" s="21"/>
      <c r="L52" s="21" t="s">
        <v>2981</v>
      </c>
      <c r="M52" s="21" t="s">
        <v>2957</v>
      </c>
      <c r="N52" s="21" t="s">
        <v>2958</v>
      </c>
      <c r="O52" s="25" t="str">
        <f>HYPERLINK("http://worldwide.espacenet.com/publicationDetails/biblio?DB=EPODOC&amp;adjacent=true&amp;locale=en_EP&amp;FT=D&amp;CC=CN&amp;NR=104549481A&amp;KC=A","CN104549481.A")</f>
        <v>CN104549481.A</v>
      </c>
      <c r="P52" s="25" t="str">
        <f>HYPERLINK("http://worldwide.espacenet.com/publicationDetails/biblio?DB=EPODOC&amp;adjacent=true&amp;locale=en_EP&amp;FT=D&amp;CC=CN&amp;NR=104549481A&amp;KC=A","CN104549481.A")</f>
        <v>CN104549481.A</v>
      </c>
      <c r="Q52" s="26" t="str">
        <f>HYPERLINK("http://worldwide.espacenet.com/publicationDetails/biblio?DB=EPODOC&amp;adjacent=true&amp;locale=en_EP&amp;FT=D&amp;CC=CN&amp;NR=104549481B&amp;KC=B","CN104549481.B")</f>
        <v>CN104549481.B</v>
      </c>
    </row>
    <row r="53" spans="1:58" ht="17.100000000000001" customHeight="1" x14ac:dyDescent="0.25">
      <c r="A53" s="16" t="s">
        <v>3093</v>
      </c>
      <c r="B53" s="21" t="s">
        <v>3094</v>
      </c>
      <c r="C53" s="23">
        <v>5.0839180946350098</v>
      </c>
      <c r="D53" s="23">
        <v>0.63449597358703602</v>
      </c>
      <c r="E53" s="23">
        <v>3.22572565078735</v>
      </c>
      <c r="F53" s="21">
        <v>3.22572565078735</v>
      </c>
      <c r="G53" s="23">
        <v>7</v>
      </c>
      <c r="H53" s="24">
        <v>41575</v>
      </c>
      <c r="I53" s="23">
        <v>2</v>
      </c>
      <c r="J53" s="22">
        <v>440228350</v>
      </c>
      <c r="K53" s="21" t="s">
        <v>3095</v>
      </c>
      <c r="L53" s="21" t="s">
        <v>2981</v>
      </c>
      <c r="M53" s="21" t="s">
        <v>2957</v>
      </c>
      <c r="N53" s="21" t="s">
        <v>2958</v>
      </c>
      <c r="O53" s="25" t="str">
        <f>HYPERLINK("http://worldwide.espacenet.com/publicationDetails/biblio?DB=EPODOC&amp;adjacent=true&amp;locale=en_EP&amp;FT=D&amp;CC=CN&amp;NR=104549483A&amp;KC=A","CN104549483.A")</f>
        <v>CN104549483.A</v>
      </c>
      <c r="P53" s="25" t="str">
        <f>HYPERLINK("http://worldwide.espacenet.com/publicationDetails/biblio?DB=EPODOC&amp;adjacent=true&amp;locale=en_EP&amp;FT=D&amp;CC=CN&amp;NR=104549483A&amp;KC=A","CN104549483.A")</f>
        <v>CN104549483.A</v>
      </c>
      <c r="Q53" s="26" t="str">
        <f>HYPERLINK("http://worldwide.espacenet.com/publicationDetails/biblio?DB=EPODOC&amp;adjacent=true&amp;locale=en_EP&amp;FT=D&amp;CC=CN&amp;NR=104549483B&amp;KC=B","CN104549483.B")</f>
        <v>CN104549483.B</v>
      </c>
    </row>
    <row r="54" spans="1:58" ht="17.100000000000001" customHeight="1" x14ac:dyDescent="0.25">
      <c r="A54" s="16" t="s">
        <v>3096</v>
      </c>
      <c r="B54" s="21" t="s">
        <v>3096</v>
      </c>
      <c r="C54" s="23">
        <v>0.18082608282566101</v>
      </c>
      <c r="D54" s="23">
        <v>0.44414699077606201</v>
      </c>
      <c r="E54" s="23">
        <v>8.0313362181186704E-2</v>
      </c>
      <c r="F54" s="21">
        <v>8.0313362181186704E-2</v>
      </c>
      <c r="G54" s="23">
        <v>0</v>
      </c>
      <c r="H54" s="24">
        <v>41575</v>
      </c>
      <c r="I54" s="23">
        <v>2</v>
      </c>
      <c r="J54" s="22">
        <v>440228352</v>
      </c>
      <c r="K54" s="21"/>
      <c r="L54" s="21" t="s">
        <v>2981</v>
      </c>
      <c r="M54" s="21" t="s">
        <v>3077</v>
      </c>
      <c r="N54" s="21" t="s">
        <v>2958</v>
      </c>
      <c r="O54" s="25" t="str">
        <f>HYPERLINK("http://worldwide.espacenet.com/publicationDetails/biblio?DB=EPODOC&amp;adjacent=true&amp;locale=en_EP&amp;FT=D&amp;CC=CN&amp;NR=104549484A&amp;KC=A","CN104549484.A")</f>
        <v>CN104549484.A</v>
      </c>
      <c r="P54" s="25" t="str">
        <f>HYPERLINK("http://worldwide.espacenet.com/publicationDetails/biblio?DB=EPODOC&amp;adjacent=true&amp;locale=en_EP&amp;FT=D&amp;CC=CN&amp;NR=104549484A&amp;KC=A","CN104549484.A")</f>
        <v>CN104549484.A</v>
      </c>
    </row>
    <row r="55" spans="1:58" ht="17.100000000000001" customHeight="1" x14ac:dyDescent="0.25">
      <c r="A55" s="16" t="s">
        <v>3097</v>
      </c>
      <c r="B55" s="21" t="s">
        <v>3098</v>
      </c>
      <c r="C55" s="23">
        <v>0.72981715202331499</v>
      </c>
      <c r="D55" s="23">
        <v>0.63449597358703602</v>
      </c>
      <c r="E55" s="23">
        <v>0.46306604146957397</v>
      </c>
      <c r="F55" s="21">
        <v>0.46306604146957397</v>
      </c>
      <c r="G55" s="23">
        <v>1</v>
      </c>
      <c r="H55" s="24">
        <v>41575</v>
      </c>
      <c r="I55" s="23">
        <v>2</v>
      </c>
      <c r="J55" s="22">
        <v>440244108</v>
      </c>
      <c r="K55" s="21" t="s">
        <v>3099</v>
      </c>
      <c r="L55" s="21" t="s">
        <v>2981</v>
      </c>
      <c r="M55" s="21" t="s">
        <v>2957</v>
      </c>
      <c r="N55" s="21" t="s">
        <v>2958</v>
      </c>
      <c r="O55" s="25" t="str">
        <f>HYPERLINK("http://worldwide.espacenet.com/publicationDetails/biblio?DB=EPODOC&amp;adjacent=true&amp;locale=en_EP&amp;FT=D&amp;CC=CN&amp;NR=104557364A&amp;KC=A","CN104557364.A")</f>
        <v>CN104557364.A</v>
      </c>
      <c r="P55" s="25" t="str">
        <f>HYPERLINK("http://worldwide.espacenet.com/publicationDetails/biblio?DB=EPODOC&amp;adjacent=true&amp;locale=en_EP&amp;FT=D&amp;CC=CN&amp;NR=104557364A&amp;KC=A","CN104557364.A")</f>
        <v>CN104557364.A</v>
      </c>
      <c r="Q55" s="26" t="str">
        <f>HYPERLINK("http://worldwide.espacenet.com/publicationDetails/biblio?DB=EPODOC&amp;adjacent=true&amp;locale=en_EP&amp;FT=D&amp;CC=CN&amp;NR=104557364B&amp;KC=B","CN104557364.B")</f>
        <v>CN104557364.B</v>
      </c>
    </row>
    <row r="56" spans="1:58" ht="17.100000000000001" customHeight="1" x14ac:dyDescent="0.25">
      <c r="A56" s="16" t="s">
        <v>3100</v>
      </c>
      <c r="B56" s="21" t="s">
        <v>3101</v>
      </c>
      <c r="C56" s="23">
        <v>1.4509582519531301</v>
      </c>
      <c r="D56" s="23">
        <v>0.63449597358703602</v>
      </c>
      <c r="E56" s="23">
        <v>0.92062717676162698</v>
      </c>
      <c r="F56" s="21">
        <v>0.92062717676162698</v>
      </c>
      <c r="G56" s="23">
        <v>2</v>
      </c>
      <c r="H56" s="24">
        <v>41575</v>
      </c>
      <c r="I56" s="23">
        <v>2</v>
      </c>
      <c r="J56" s="22">
        <v>440244118</v>
      </c>
      <c r="K56" s="21" t="s">
        <v>3102</v>
      </c>
      <c r="L56" s="21" t="s">
        <v>2981</v>
      </c>
      <c r="M56" s="21" t="s">
        <v>2957</v>
      </c>
      <c r="N56" s="21" t="s">
        <v>2958</v>
      </c>
      <c r="O56" s="25" t="str">
        <f>HYPERLINK("http://worldwide.espacenet.com/publicationDetails/biblio?DB=EPODOC&amp;adjacent=true&amp;locale=en_EP&amp;FT=D&amp;CC=CN&amp;NR=104557369A&amp;KC=A","CN104557369.A")</f>
        <v>CN104557369.A</v>
      </c>
      <c r="P56" s="25" t="str">
        <f>HYPERLINK("http://worldwide.espacenet.com/publicationDetails/biblio?DB=EPODOC&amp;adjacent=true&amp;locale=en_EP&amp;FT=D&amp;CC=CN&amp;NR=104557369A&amp;KC=A","CN104557369.A")</f>
        <v>CN104557369.A</v>
      </c>
      <c r="Q56" s="26" t="str">
        <f>HYPERLINK("http://worldwide.espacenet.com/publicationDetails/biblio?DB=EPODOC&amp;adjacent=true&amp;locale=en_EP&amp;FT=D&amp;CC=CN&amp;NR=104557369B&amp;KC=B","CN104557369.B")</f>
        <v>CN104557369.B</v>
      </c>
    </row>
    <row r="57" spans="1:58" ht="17.100000000000001" customHeight="1" x14ac:dyDescent="0.25">
      <c r="A57" s="16" t="s">
        <v>3103</v>
      </c>
      <c r="B57" s="21" t="s">
        <v>3104</v>
      </c>
      <c r="C57" s="23">
        <v>0.81768900156021096</v>
      </c>
      <c r="D57" s="23">
        <v>0.63449597358703602</v>
      </c>
      <c r="E57" s="23">
        <v>0.51882040500640902</v>
      </c>
      <c r="F57" s="21">
        <v>0.51882040500640902</v>
      </c>
      <c r="G57" s="23">
        <v>2</v>
      </c>
      <c r="H57" s="24">
        <v>41575</v>
      </c>
      <c r="I57" s="23">
        <v>2</v>
      </c>
      <c r="J57" s="22">
        <v>440244212</v>
      </c>
      <c r="K57" s="21" t="s">
        <v>3105</v>
      </c>
      <c r="L57" s="21" t="s">
        <v>2981</v>
      </c>
      <c r="M57" s="21" t="s">
        <v>2957</v>
      </c>
      <c r="N57" s="21" t="s">
        <v>2958</v>
      </c>
      <c r="O57" s="25" t="str">
        <f>HYPERLINK("http://worldwide.espacenet.com/publicationDetails/biblio?DB=EPODOC&amp;adjacent=true&amp;locale=en_EP&amp;FT=D&amp;CC=CN&amp;NR=104557416A&amp;KC=A","CN104557416.A")</f>
        <v>CN104557416.A</v>
      </c>
      <c r="P57" s="25" t="str">
        <f>HYPERLINK("http://worldwide.espacenet.com/publicationDetails/biblio?DB=EPODOC&amp;adjacent=true&amp;locale=en_EP&amp;FT=D&amp;CC=CN&amp;NR=104557416A&amp;KC=A","CN104557416.A")</f>
        <v>CN104557416.A</v>
      </c>
      <c r="Q57" s="26" t="str">
        <f>HYPERLINK("http://worldwide.espacenet.com/publicationDetails/biblio?DB=EPODOC&amp;adjacent=true&amp;locale=en_EP&amp;FT=D&amp;CC=CN&amp;NR=104557416B&amp;KC=B","CN104557416.B")</f>
        <v>CN104557416.B</v>
      </c>
      <c r="U57" s="26" t="str">
        <f>HYPERLINK("http://worldwide.espacenet.com/publicationDetails/biblio?DB=EPODOC&amp;adjacent=true&amp;locale=en_EP&amp;FT=D&amp;CC=CH&amp;NR=645076A5&amp;KC=A5","CH645076.A5")</f>
        <v>CH645076.A5</v>
      </c>
      <c r="V57" s="26" t="str">
        <f>HYPERLINK("http://worldwide.espacenet.com/publicationDetails/biblio?DB=EPODOC&amp;adjacent=true&amp;locale=en_EP&amp;FT=D&amp;CC=DD&amp;NR=144397A5&amp;KC=A5","DD144397.A5")</f>
        <v>DD144397.A5</v>
      </c>
      <c r="W57" s="26" t="str">
        <f>HYPERLINK("http://worldwide.espacenet.com/publicationDetails/biblio?DB=EPODOC&amp;adjacent=true&amp;locale=en_EP&amp;FT=D&amp;CC=DD&amp;NR=151877A5&amp;KC=A5","DD151877.A5")</f>
        <v>DD151877.A5</v>
      </c>
      <c r="X57" s="26" t="str">
        <f>HYPERLINK("http://worldwide.espacenet.com/publicationDetails/biblio?DB=EPODOC&amp;adjacent=true&amp;locale=en_EP&amp;FT=D&amp;CC=DE&amp;NR=2924870A1&amp;KC=A1","DE2924870.A1")</f>
        <v>DE2924870.A1</v>
      </c>
      <c r="Y57" s="26" t="str">
        <f>HYPERLINK("http://worldwide.espacenet.com/publicationDetails/biblio?DB=EPODOC&amp;adjacent=true&amp;locale=en_EP&amp;FT=D&amp;CC=DE&amp;NR=2924870C2&amp;KC=C2","DE2924870.C2")</f>
        <v>DE2924870.C2</v>
      </c>
      <c r="Z57" s="26" t="str">
        <f>HYPERLINK("http://worldwide.espacenet.com/publicationDetails/biblio?DB=EPODOC&amp;adjacent=true&amp;locale=en_EP&amp;FT=D&amp;CC=DK&amp;NR=155176B&amp;KC=B","DK155176.B")</f>
        <v>DK155176.B</v>
      </c>
      <c r="AA57" s="26" t="str">
        <f>HYPERLINK("http://worldwide.espacenet.com/publicationDetails/biblio?DB=EPODOC&amp;adjacent=true&amp;locale=en_EP&amp;FT=D&amp;CC=DK&amp;NR=155176C&amp;KC=C","DK155176.C")</f>
        <v>DK155176.C</v>
      </c>
      <c r="AB57" s="26" t="str">
        <f>HYPERLINK("http://worldwide.espacenet.com/publicationDetails/biblio?DB=EPODOC&amp;adjacent=true&amp;locale=en_EP&amp;FT=D&amp;CC=DK&amp;NR=243279A&amp;KC=A","DK243279.A")</f>
        <v>DK243279.A</v>
      </c>
      <c r="AC57" s="26" t="str">
        <f>HYPERLINK("http://worldwide.espacenet.com/publicationDetails/biblio?DB=EPODOC&amp;adjacent=true&amp;locale=en_EP&amp;FT=D&amp;CC=EG&amp;NR=13897A&amp;KC=A","EG13897.A")</f>
        <v>EG13897.A</v>
      </c>
      <c r="AD57" s="26" t="str">
        <f>HYPERLINK("http://worldwide.espacenet.com/publicationDetails/biblio?DB=EPODOC&amp;adjacent=true&amp;locale=en_EP&amp;FT=D&amp;CC=ES&amp;NR=482160A1&amp;KC=A1","ES482160.A1")</f>
        <v>ES482160.A1</v>
      </c>
      <c r="AE57" s="26" t="str">
        <f>HYPERLINK("http://worldwide.espacenet.com/publicationDetails/biblio?DB=EPODOC&amp;adjacent=true&amp;locale=en_EP&amp;FT=D&amp;CC=FR&amp;NR=2429041A1&amp;KC=A1","FR2429041.A1")</f>
        <v>FR2429041.A1</v>
      </c>
      <c r="AF57" s="26" t="str">
        <f>HYPERLINK("http://worldwide.espacenet.com/publicationDetails/biblio?DB=EPODOC&amp;adjacent=true&amp;locale=en_EP&amp;FT=D&amp;CC=FR&amp;NR=2429041B1&amp;KC=B1","FR2429041.B1")</f>
        <v>FR2429041.B1</v>
      </c>
      <c r="AG57" s="26" t="str">
        <f>HYPERLINK("http://worldwide.espacenet.com/publicationDetails/biblio?DB=EPODOC&amp;adjacent=true&amp;locale=en_EP&amp;FT=D&amp;CC=GB&amp;NR=2023562A&amp;KC=A","GB2023562.A")</f>
        <v>GB2023562.A</v>
      </c>
      <c r="AH57" s="26" t="str">
        <f>HYPERLINK("http://worldwide.espacenet.com/publicationDetails/biblio?DB=EPODOC&amp;adjacent=true&amp;locale=en_EP&amp;FT=D&amp;CC=GB&amp;NR=2023562B&amp;KC=B","GB2023562.B")</f>
        <v>GB2023562.B</v>
      </c>
      <c r="AI57" s="26" t="str">
        <f>HYPERLINK("http://worldwide.espacenet.com/publicationDetails/biblio?DB=EPODOC&amp;adjacent=true&amp;locale=en_EP&amp;FT=D&amp;CC=GR&amp;NR=72245B&amp;KC=B","GR72245.B")</f>
        <v>GR72245.B</v>
      </c>
      <c r="AJ57" s="26" t="str">
        <f>HYPERLINK("http://worldwide.espacenet.com/publicationDetails/biblio?DB=EPODOC&amp;adjacent=true&amp;locale=en_EP&amp;FT=D&amp;CC=IE&amp;NR=48184B1&amp;KC=B1","IE48184.B1")</f>
        <v>IE48184.B1</v>
      </c>
      <c r="AK57" s="26" t="str">
        <f>HYPERLINK("http://worldwide.espacenet.com/publicationDetails/biblio?DB=EPODOC&amp;adjacent=true&amp;locale=en_EP&amp;FT=D&amp;CC=IE&amp;NR=791168L&amp;KC=L","IE791168.L")</f>
        <v>IE791168.L</v>
      </c>
      <c r="AL57" s="26" t="str">
        <f>HYPERLINK("http://worldwide.espacenet.com/publicationDetails/biblio?DB=EPODOC&amp;adjacent=true&amp;locale=en_EP&amp;FT=D&amp;CC=IL&amp;NR=57583A&amp;KC=A","IL57583.A")</f>
        <v>IL57583.A</v>
      </c>
      <c r="AM57" s="26" t="str">
        <f>HYPERLINK("http://worldwide.espacenet.com/publicationDetails/biblio?DB=EPODOC&amp;adjacent=true&amp;locale=en_EP&amp;FT=D&amp;CC=IL&amp;NR=57583D0&amp;KC=D0","IL57583.D0")</f>
        <v>IL57583.D0</v>
      </c>
      <c r="AN57" s="26" t="str">
        <f>HYPERLINK("http://worldwide.espacenet.com/publicationDetails/biblio?DB=EPODOC&amp;adjacent=true&amp;locale=en_EP&amp;FT=D&amp;CC=IN&amp;NR=151533B&amp;KC=B","IN151533.B")</f>
        <v>IN151533.B</v>
      </c>
      <c r="AO57" s="26" t="str">
        <f>HYPERLINK("http://worldwide.espacenet.com/publicationDetails/biblio?DB=EPODOC&amp;adjacent=true&amp;locale=en_EP&amp;FT=D&amp;CC=LU&amp;NR=81416A1&amp;KC=A1","LU81416.A1")</f>
        <v>LU81416.A1</v>
      </c>
      <c r="AP57" s="26" t="str">
        <f>HYPERLINK("http://worldwide.espacenet.com/publicationDetails/biblio?DB=EPODOC&amp;adjacent=true&amp;locale=en_EP&amp;FT=D&amp;CC=NL&amp;NR=188787B&amp;KC=B","NL188787.B")</f>
        <v>NL188787.B</v>
      </c>
      <c r="AQ57" s="26" t="str">
        <f>HYPERLINK("http://worldwide.espacenet.com/publicationDetails/biblio?DB=EPODOC&amp;adjacent=true&amp;locale=en_EP&amp;FT=D&amp;CC=NL&amp;NR=188787C&amp;KC=C","NL188787.C")</f>
        <v>NL188787.C</v>
      </c>
      <c r="AR57" s="26" t="str">
        <f>HYPERLINK("http://worldwide.espacenet.com/publicationDetails/biblio?DB=EPODOC&amp;adjacent=true&amp;locale=en_EP&amp;FT=D&amp;CC=NL&amp;NR=7904908A&amp;KC=A","NL7904908.A")</f>
        <v>NL7904908.A</v>
      </c>
      <c r="AS57" s="26" t="str">
        <f>HYPERLINK("http://worldwide.espacenet.com/publicationDetails/biblio?DB=EPODOC&amp;adjacent=true&amp;locale=en_EP&amp;FT=D&amp;CC=NO&amp;NR=792058L&amp;KC=L","NO792058.L")</f>
        <v>NO792058.L</v>
      </c>
      <c r="AT57" s="26" t="str">
        <f>HYPERLINK("http://worldwide.espacenet.com/publicationDetails/biblio?DB=EPODOC&amp;adjacent=true&amp;locale=en_EP&amp;FT=D&amp;CC=NO&amp;NR=854781L&amp;KC=L","NO854781.L")</f>
        <v>NO854781.L</v>
      </c>
      <c r="AU57" s="26" t="str">
        <f>HYPERLINK("http://worldwide.espacenet.com/publicationDetails/biblio?DB=EPODOC&amp;adjacent=true&amp;locale=en_EP&amp;FT=D&amp;CC=PH&amp;NR=14502A&amp;KC=A","PH14502.A")</f>
        <v>PH14502.A</v>
      </c>
      <c r="AV57" s="26" t="str">
        <f>HYPERLINK("http://worldwide.espacenet.com/publicationDetails/biblio?DB=EPODOC&amp;adjacent=true&amp;locale=en_EP&amp;FT=D&amp;CC=PL&amp;NR=118729B1&amp;KC=B1","PL118729.B1")</f>
        <v>PL118729.B1</v>
      </c>
      <c r="AW57" s="26" t="str">
        <f>HYPERLINK("http://worldwide.espacenet.com/publicationDetails/biblio?DB=EPODOC&amp;adjacent=true&amp;locale=en_EP&amp;FT=D&amp;CC=PL&amp;NR=216528A1&amp;KC=A1","PL216528.A1")</f>
        <v>PL216528.A1</v>
      </c>
      <c r="AX57" s="26" t="str">
        <f>HYPERLINK("http://worldwide.espacenet.com/publicationDetails/biblio?DB=EPODOC&amp;adjacent=true&amp;locale=en_EP&amp;FT=D&amp;CC=PT&amp;NR=69798A&amp;KC=A","PT69798.A")</f>
        <v>PT69798.A</v>
      </c>
      <c r="AY57" s="26" t="str">
        <f>HYPERLINK("http://worldwide.espacenet.com/publicationDetails/biblio?DB=EPODOC&amp;adjacent=true&amp;locale=en_EP&amp;FT=D&amp;CC=RO&amp;NR=78794A&amp;KC=A","RO78794.A")</f>
        <v>RO78794.A</v>
      </c>
      <c r="AZ57" s="26" t="str">
        <f>HYPERLINK("http://worldwide.espacenet.com/publicationDetails/biblio?DB=EPODOC&amp;adjacent=true&amp;locale=en_EP&amp;FT=D&amp;CC=SE&amp;NR=439437B&amp;KC=B","SE439437.B")</f>
        <v>SE439437.B</v>
      </c>
      <c r="BA57" s="26" t="str">
        <f>HYPERLINK("http://worldwide.espacenet.com/publicationDetails/biblio?DB=EPODOC&amp;adjacent=true&amp;locale=en_EP&amp;FT=D&amp;CC=SE&amp;NR=7905453L&amp;KC=L","SE7905453.L")</f>
        <v>SE7905453.L</v>
      </c>
      <c r="BB57" s="26" t="str">
        <f>HYPERLINK("http://worldwide.espacenet.com/publicationDetails/biblio?DB=EPODOC&amp;adjacent=true&amp;locale=en_EP&amp;FT=D&amp;CC=SE&amp;NR=8403138D0&amp;KC=D0","SE8403138.D0")</f>
        <v>SE8403138.D0</v>
      </c>
      <c r="BC57" s="26" t="str">
        <f>HYPERLINK("http://worldwide.espacenet.com/publicationDetails/biblio?DB=EPODOC&amp;adjacent=true&amp;locale=en_EP&amp;FT=D&amp;CC=SE&amp;NR=8403138L&amp;KC=L","SE8403138.L")</f>
        <v>SE8403138.L</v>
      </c>
      <c r="BD57" s="26" t="str">
        <f>HYPERLINK("http://worldwide.espacenet.com/publicationDetails/biblio?DB=EPODOC&amp;adjacent=true&amp;locale=en_EP&amp;FT=D&amp;CC=TR&amp;NR=21702A&amp;KC=A","TR21702.A")</f>
        <v>TR21702.A</v>
      </c>
      <c r="BE57" s="26" t="str">
        <f>HYPERLINK("http://worldwide.espacenet.com/publicationDetails/biblio?DB=EPODOC&amp;adjacent=true&amp;locale=en_EP&amp;FT=D&amp;CC=YU&amp;NR=148579A&amp;KC=A","YU148579.A")</f>
        <v>YU148579.A</v>
      </c>
      <c r="BF57" s="26" t="str">
        <f>HYPERLINK("http://worldwide.espacenet.com/publicationDetails/biblio?DB=EPODOC&amp;adjacent=true&amp;locale=en_EP&amp;FT=D&amp;CC=YU&amp;NR=40370B&amp;KC=B","YU40370.B")</f>
        <v>YU40370.B</v>
      </c>
    </row>
    <row r="58" spans="1:58" ht="17.100000000000001" customHeight="1" x14ac:dyDescent="0.25">
      <c r="A58" s="16" t="s">
        <v>3106</v>
      </c>
      <c r="B58" s="21" t="s">
        <v>3106</v>
      </c>
      <c r="C58" s="23">
        <v>1.45963430404663</v>
      </c>
      <c r="D58" s="23">
        <v>0.44414699077606201</v>
      </c>
      <c r="E58" s="23">
        <v>0.64829218387603804</v>
      </c>
      <c r="F58" s="21">
        <v>0.64829218387603804</v>
      </c>
      <c r="G58" s="23">
        <v>2</v>
      </c>
      <c r="H58" s="24">
        <v>41575</v>
      </c>
      <c r="I58" s="23">
        <v>2</v>
      </c>
      <c r="J58" s="22">
        <v>440244218</v>
      </c>
      <c r="K58" s="21" t="s">
        <v>3107</v>
      </c>
      <c r="L58" s="21" t="s">
        <v>2981</v>
      </c>
      <c r="M58" s="21" t="s">
        <v>3077</v>
      </c>
      <c r="N58" s="21" t="s">
        <v>2958</v>
      </c>
      <c r="O58" s="25" t="str">
        <f>HYPERLINK("http://worldwide.espacenet.com/publicationDetails/biblio?DB=EPODOC&amp;adjacent=true&amp;locale=en_EP&amp;FT=D&amp;CC=CN&amp;NR=104557419A&amp;KC=A","CN104557419.A")</f>
        <v>CN104557419.A</v>
      </c>
      <c r="P58" s="25" t="str">
        <f>HYPERLINK("http://worldwide.espacenet.com/publicationDetails/biblio?DB=EPODOC&amp;adjacent=true&amp;locale=en_EP&amp;FT=D&amp;CC=CN&amp;NR=104557419A&amp;KC=A","CN104557419.A")</f>
        <v>CN104557419.A</v>
      </c>
    </row>
    <row r="59" spans="1:58" ht="17.100000000000001" customHeight="1" x14ac:dyDescent="0.25">
      <c r="A59" s="16" t="s">
        <v>3108</v>
      </c>
      <c r="B59" s="21" t="s">
        <v>3109</v>
      </c>
      <c r="C59" s="23">
        <v>0.70694291591644298</v>
      </c>
      <c r="D59" s="23">
        <v>0.63449597358703602</v>
      </c>
      <c r="E59" s="23">
        <v>0.44855242967605602</v>
      </c>
      <c r="F59" s="21">
        <v>0.44855242967605602</v>
      </c>
      <c r="G59" s="23">
        <v>1</v>
      </c>
      <c r="H59" s="24">
        <v>41575</v>
      </c>
      <c r="I59" s="23">
        <v>2</v>
      </c>
      <c r="J59" s="22">
        <v>440244234</v>
      </c>
      <c r="K59" s="21" t="s">
        <v>3110</v>
      </c>
      <c r="L59" s="21" t="s">
        <v>2981</v>
      </c>
      <c r="M59" s="21" t="s">
        <v>2957</v>
      </c>
      <c r="N59" s="21" t="s">
        <v>2958</v>
      </c>
      <c r="O59" s="25" t="str">
        <f>HYPERLINK("http://worldwide.espacenet.com/publicationDetails/biblio?DB=EPODOC&amp;adjacent=true&amp;locale=en_EP&amp;FT=D&amp;CC=CN&amp;NR=104557427A&amp;KC=A","CN104557427.A")</f>
        <v>CN104557427.A</v>
      </c>
      <c r="P59" s="25" t="str">
        <f>HYPERLINK("http://worldwide.espacenet.com/publicationDetails/biblio?DB=EPODOC&amp;adjacent=true&amp;locale=en_EP&amp;FT=D&amp;CC=CN&amp;NR=104557427A&amp;KC=A","CN104557427.A")</f>
        <v>CN104557427.A</v>
      </c>
      <c r="Q59" s="26" t="str">
        <f>HYPERLINK("http://worldwide.espacenet.com/publicationDetails/biblio?DB=EPODOC&amp;adjacent=true&amp;locale=en_EP&amp;FT=D&amp;CC=CN&amp;NR=104557427B&amp;KC=B","CN104557427.B")</f>
        <v>CN104557427.B</v>
      </c>
      <c r="U59" s="26" t="str">
        <f>HYPERLINK("http://worldwide.espacenet.com/publicationDetails/biblio?DB=EPODOC&amp;adjacent=true&amp;locale=en_EP&amp;FT=D&amp;CC=DK&amp;NR=2660228T3&amp;KC=T3","DK2660228.T3")</f>
        <v>DK2660228.T3</v>
      </c>
      <c r="V59" s="26" t="str">
        <f>HYPERLINK("http://worldwide.espacenet.com/publicationDetails/biblio?DB=EPODOC&amp;adjacent=true&amp;locale=en_EP&amp;FT=D&amp;CC=EP&amp;NR=2660228A1&amp;KC=A1","EP2660228.A1")</f>
        <v>EP2660228.A1</v>
      </c>
      <c r="W59" s="26" t="str">
        <f>HYPERLINK("http://worldwide.espacenet.com/publicationDetails/biblio?DB=EPODOC&amp;adjacent=true&amp;locale=en_EP&amp;FT=D&amp;CC=EP&amp;NR=2660228A4&amp;KC=A4","EP2660228.A4")</f>
        <v>EP2660228.A4</v>
      </c>
      <c r="X59" s="26" t="str">
        <f>HYPERLINK("http://worldwide.espacenet.com/publicationDetails/biblio?DB=EPODOC&amp;adjacent=true&amp;locale=en_EP&amp;FT=D&amp;CC=EP&amp;NR=2660228B1&amp;KC=B1","EP2660228.B1")</f>
        <v>EP2660228.B1</v>
      </c>
      <c r="Y59" s="26" t="str">
        <f>HYPERLINK("http://worldwide.espacenet.com/publicationDetails/biblio?DB=EPODOC&amp;adjacent=true&amp;locale=en_EP&amp;FT=D&amp;CC=JP&amp;NR=2014510706A&amp;KC=A","JP2014510706.A")</f>
        <v>JP2014510706.A</v>
      </c>
      <c r="Z59" s="26" t="str">
        <f>HYPERLINK("http://worldwide.espacenet.com/publicationDetails/biblio?DB=EPODOC&amp;adjacent=true&amp;locale=en_EP&amp;FT=D&amp;CC=JP&amp;NR=5756867B2&amp;KC=B2","JP5756867.B2")</f>
        <v>JP5756867.B2</v>
      </c>
      <c r="AA59" s="26" t="str">
        <f>HYPERLINK("http://worldwide.espacenet.com/publicationDetails/biblio?DB=EPODOC&amp;adjacent=true&amp;locale=en_EP&amp;FT=D&amp;CC=KR&amp;NR=101550202B1&amp;KC=B1","KR101550202.B1")</f>
        <v>KR101550202.B1</v>
      </c>
      <c r="AB59" s="26" t="str">
        <f>HYPERLINK("http://worldwide.espacenet.com/publicationDetails/biblio?DB=EPODOC&amp;adjacent=true&amp;locale=en_EP&amp;FT=D&amp;CC=KR&amp;NR=20130106872A&amp;KC=A","KR20130106872.A")</f>
        <v>KR20130106872.A</v>
      </c>
      <c r="AC59" s="26" t="str">
        <f>HYPERLINK("http://worldwide.espacenet.com/publicationDetails/biblio?DB=EPODOC&amp;adjacent=true&amp;locale=en_EP&amp;FT=D&amp;CC=MY&amp;NR=163178A&amp;KC=A","MY163178.A")</f>
        <v>MY163178.A</v>
      </c>
      <c r="AD59" s="26" t="str">
        <f>HYPERLINK("http://worldwide.espacenet.com/publicationDetails/biblio?DB=EPODOC&amp;adjacent=true&amp;locale=en_EP&amp;FT=D&amp;CC=SG&amp;NR=191805A1&amp;KC=A1","SG191805.A1")</f>
        <v>SG191805.A1</v>
      </c>
      <c r="AE59" s="26" t="str">
        <f>HYPERLINK("http://worldwide.espacenet.com/publicationDetails/biblio?DB=EPODOC&amp;adjacent=true&amp;locale=en_EP&amp;FT=D&amp;CC=US&amp;NR=2014051900A1&amp;KC=A1","US2014051900.A1")</f>
        <v>US2014051900.A1</v>
      </c>
      <c r="AF59" s="26" t="str">
        <f>HYPERLINK("http://worldwide.espacenet.com/publicationDetails/biblio?DB=EPODOC&amp;adjacent=true&amp;locale=en_EP&amp;FT=D&amp;CC=US&amp;NR=9284235B2&amp;KC=B2","US9284235.B2")</f>
        <v>US9284235.B2</v>
      </c>
      <c r="AG59" s="26" t="str">
        <f>HYPERLINK("http://worldwide.espacenet.com/publicationDetails/biblio?DB=EPODOC&amp;adjacent=true&amp;locale=en_EP&amp;FT=D&amp;CC=WO&amp;NR=2012088852A1&amp;KC=A1","WO2012088852.A1")</f>
        <v>WO2012088852.A1</v>
      </c>
      <c r="AH59" s="26" t="str">
        <f>HYPERLINK("http://worldwide.espacenet.com/publicationDetails/biblio?DB=EPODOC&amp;adjacent=true&amp;locale=en_EP&amp;FT=D&amp;CC=ZA&amp;NR=201305273B&amp;KC=B","ZA201305273.B")</f>
        <v>ZA201305273.B</v>
      </c>
    </row>
    <row r="60" spans="1:58" ht="17.100000000000001" customHeight="1" x14ac:dyDescent="0.25">
      <c r="A60" s="16" t="s">
        <v>3111</v>
      </c>
      <c r="B60" s="21" t="s">
        <v>3111</v>
      </c>
      <c r="C60" s="23">
        <v>0.18082608282566101</v>
      </c>
      <c r="D60" s="23">
        <v>0.44414699077606201</v>
      </c>
      <c r="E60" s="23">
        <v>8.0313362181186704E-2</v>
      </c>
      <c r="F60" s="21">
        <v>8.0313362181186704E-2</v>
      </c>
      <c r="G60" s="23">
        <v>1</v>
      </c>
      <c r="H60" s="24">
        <v>41575</v>
      </c>
      <c r="I60" s="23">
        <v>2</v>
      </c>
      <c r="J60" s="22">
        <v>440244244</v>
      </c>
      <c r="K60" s="21" t="s">
        <v>3112</v>
      </c>
      <c r="L60" s="21" t="s">
        <v>2981</v>
      </c>
      <c r="M60" s="21" t="s">
        <v>3077</v>
      </c>
      <c r="N60" s="21" t="s">
        <v>2958</v>
      </c>
      <c r="O60" s="25" t="str">
        <f>HYPERLINK("http://worldwide.espacenet.com/publicationDetails/biblio?DB=EPODOC&amp;adjacent=true&amp;locale=en_EP&amp;FT=D&amp;CC=CN&amp;NR=104557432A&amp;KC=A","CN104557432.A")</f>
        <v>CN104557432.A</v>
      </c>
      <c r="P60" s="25" t="str">
        <f>HYPERLINK("http://worldwide.espacenet.com/publicationDetails/biblio?DB=EPODOC&amp;adjacent=true&amp;locale=en_EP&amp;FT=D&amp;CC=CN&amp;NR=104557432A&amp;KC=A","CN104557432.A")</f>
        <v>CN104557432.A</v>
      </c>
      <c r="U60" s="26" t="str">
        <f>HYPERLINK("http://worldwide.espacenet.com/publicationDetails/biblio?DB=EPODOC&amp;adjacent=true&amp;locale=en_EP&amp;FT=D&amp;CC=EP&amp;NR=0205300A3&amp;KC=A3","EP0205300.A3")</f>
        <v>EP0205300.A3</v>
      </c>
      <c r="V60" s="26" t="str">
        <f>HYPERLINK("http://worldwide.espacenet.com/publicationDetails/biblio?DB=EPODOC&amp;adjacent=true&amp;locale=en_EP&amp;FT=D&amp;CC=EP&amp;NR=0205300B1&amp;KC=B1","EP0205300.B1")</f>
        <v>EP0205300.B1</v>
      </c>
      <c r="W60" s="26" t="str">
        <f>HYPERLINK("http://worldwide.espacenet.com/publicationDetails/biblio?DB=EPODOC&amp;adjacent=true&amp;locale=en_EP&amp;FT=D&amp;CC=US&amp;NR=4665251A&amp;KC=A","US4665251.A")</f>
        <v>US4665251.A</v>
      </c>
    </row>
    <row r="61" spans="1:58" ht="17.100000000000001" customHeight="1" x14ac:dyDescent="0.25">
      <c r="A61" s="16" t="s">
        <v>3113</v>
      </c>
      <c r="B61" s="21" t="s">
        <v>3114</v>
      </c>
      <c r="C61" s="23">
        <v>0.84854423999786399</v>
      </c>
      <c r="D61" s="23">
        <v>0.63449597358703602</v>
      </c>
      <c r="E61" s="23">
        <v>0.53839790821075395</v>
      </c>
      <c r="F61" s="21">
        <v>0.53839790821075395</v>
      </c>
      <c r="G61" s="23">
        <v>1</v>
      </c>
      <c r="H61" s="24">
        <v>41663</v>
      </c>
      <c r="I61" s="23">
        <v>2</v>
      </c>
      <c r="J61" s="22">
        <v>443012743</v>
      </c>
      <c r="K61" s="21" t="s">
        <v>3115</v>
      </c>
      <c r="L61" s="21" t="s">
        <v>3116</v>
      </c>
      <c r="M61" s="21" t="s">
        <v>2957</v>
      </c>
      <c r="N61" s="21" t="s">
        <v>2958</v>
      </c>
      <c r="O61" s="25" t="str">
        <f>HYPERLINK("http://worldwide.espacenet.com/publicationDetails/biblio?DB=EPODOC&amp;adjacent=true&amp;locale=en_EP&amp;FT=D&amp;CC=CN&amp;NR=104801332A&amp;KC=A","CN104801332.A")</f>
        <v>CN104801332.A</v>
      </c>
      <c r="P61" s="25" t="str">
        <f>HYPERLINK("http://worldwide.espacenet.com/publicationDetails/biblio?DB=EPODOC&amp;adjacent=true&amp;locale=en_EP&amp;FT=D&amp;CC=CN&amp;NR=104801332A&amp;KC=A","CN104801332.A")</f>
        <v>CN104801332.A</v>
      </c>
      <c r="Q61" s="26" t="str">
        <f>HYPERLINK("http://worldwide.espacenet.com/publicationDetails/biblio?DB=EPODOC&amp;adjacent=true&amp;locale=en_EP&amp;FT=D&amp;CC=CN&amp;NR=104801332B&amp;KC=B","CN104801332.B")</f>
        <v>CN104801332.B</v>
      </c>
      <c r="U61" s="26" t="str">
        <f>HYPERLINK("http://worldwide.espacenet.com/publicationDetails/biblio?DB=EPODOC&amp;adjacent=true&amp;locale=en_EP&amp;FT=D&amp;CC=CN&amp;NR=1027048C&amp;KC=C","CN1027048.C")</f>
        <v>CN1027048.C</v>
      </c>
      <c r="V61" s="26" t="str">
        <f>HYPERLINK("http://worldwide.espacenet.com/publicationDetails/biblio?DB=EPODOC&amp;adjacent=true&amp;locale=en_EP&amp;FT=D&amp;CC=CN&amp;NR=1044052A&amp;KC=A","CN1044052.A")</f>
        <v>CN1044052.A</v>
      </c>
      <c r="W61" s="26" t="str">
        <f>HYPERLINK("http://worldwide.espacenet.com/publicationDetails/biblio?DB=EPODOC&amp;adjacent=true&amp;locale=en_EP&amp;FT=D&amp;CC=DE&amp;NR=68903560D1&amp;KC=D1","DE68903560.D1")</f>
        <v>DE68903560.D1</v>
      </c>
      <c r="X61" s="26" t="str">
        <f>HYPERLINK("http://worldwide.espacenet.com/publicationDetails/biblio?DB=EPODOC&amp;adjacent=true&amp;locale=en_EP&amp;FT=D&amp;CC=DE&amp;NR=68903560T2&amp;KC=T2","DE68903560.T2")</f>
        <v>DE68903560.T2</v>
      </c>
      <c r="Y61" s="26" t="str">
        <f>HYPERLINK("http://worldwide.espacenet.com/publicationDetails/biblio?DB=EPODOC&amp;adjacent=true&amp;locale=en_EP&amp;FT=D&amp;CC=DK&amp;NR=173894B1&amp;KC=B1","DK173894.B1")</f>
        <v>DK173894.B1</v>
      </c>
      <c r="Z61" s="26" t="str">
        <f>HYPERLINK("http://worldwide.espacenet.com/publicationDetails/biblio?DB=EPODOC&amp;adjacent=true&amp;locale=en_EP&amp;FT=D&amp;CC=DK&amp;NR=654789A&amp;KC=A","DK654789.A")</f>
        <v>DK654789.A</v>
      </c>
      <c r="AA61" s="26" t="str">
        <f>HYPERLINK("http://worldwide.espacenet.com/publicationDetails/biblio?DB=EPODOC&amp;adjacent=true&amp;locale=en_EP&amp;FT=D&amp;CC=DK&amp;NR=654789D0&amp;KC=D0","DK654789.D0")</f>
        <v>DK654789.D0</v>
      </c>
      <c r="AB61" s="26" t="str">
        <f>HYPERLINK("http://worldwide.espacenet.com/publicationDetails/biblio?DB=EPODOC&amp;adjacent=true&amp;locale=en_EP&amp;FT=D&amp;CC=EP&amp;NR=0378916A1&amp;KC=A1","EP0378916.A1")</f>
        <v>EP0378916.A1</v>
      </c>
      <c r="AC61" s="26" t="str">
        <f>HYPERLINK("http://worldwide.espacenet.com/publicationDetails/biblio?DB=EPODOC&amp;adjacent=true&amp;locale=en_EP&amp;FT=D&amp;CC=EP&amp;NR=0378916B1&amp;KC=B1","EP0378916.B1")</f>
        <v>EP0378916.B1</v>
      </c>
      <c r="AD61" s="26" t="str">
        <f>HYPERLINK("http://worldwide.espacenet.com/publicationDetails/biblio?DB=EPODOC&amp;adjacent=true&amp;locale=en_EP&amp;FT=D&amp;CC=ES&amp;NR=2044151T3&amp;KC=T3","ES2044151.T3")</f>
        <v>ES2044151.T3</v>
      </c>
      <c r="AE61" s="26" t="str">
        <f>HYPERLINK("http://worldwide.espacenet.com/publicationDetails/biblio?DB=EPODOC&amp;adjacent=true&amp;locale=en_EP&amp;FT=D&amp;CC=GB&amp;NR=8829923D0&amp;KC=D0","GB8829923.D0")</f>
        <v>GB8829923.D0</v>
      </c>
      <c r="AF61" s="26" t="str">
        <f>HYPERLINK("http://worldwide.espacenet.com/publicationDetails/biblio?DB=EPODOC&amp;adjacent=true&amp;locale=en_EP&amp;FT=D&amp;CC=GR&amp;NR=3006777T3&amp;KC=T3","GR3006777.T3")</f>
        <v>GR3006777.T3</v>
      </c>
      <c r="AG61" s="26" t="str">
        <f>HYPERLINK("http://worldwide.espacenet.com/publicationDetails/biblio?DB=EPODOC&amp;adjacent=true&amp;locale=en_EP&amp;FT=D&amp;CC=IN&amp;NR=178832B&amp;KC=B","IN178832.B")</f>
        <v>IN178832.B</v>
      </c>
      <c r="AH61" s="26" t="str">
        <f>HYPERLINK("http://worldwide.espacenet.com/publicationDetails/biblio?DB=EPODOC&amp;adjacent=true&amp;locale=en_EP&amp;FT=D&amp;CC=IN&amp;NR=189323B&amp;KC=B","IN189323.B")</f>
        <v>IN189323.B</v>
      </c>
      <c r="AI61" s="26" t="str">
        <f>HYPERLINK("http://worldwide.espacenet.com/publicationDetails/biblio?DB=EPODOC&amp;adjacent=true&amp;locale=en_EP&amp;FT=D&amp;CC=JP&amp;NR=2924911B2&amp;KC=B2","JP2924911.B2")</f>
        <v>JP2924911.B2</v>
      </c>
      <c r="AJ61" s="26" t="str">
        <f>HYPERLINK("http://worldwide.espacenet.com/publicationDetails/biblio?DB=EPODOC&amp;adjacent=true&amp;locale=en_EP&amp;FT=D&amp;CC=JP&amp;NR=H02222727A&amp;KC=A","JPH02222727.A")</f>
        <v>JPH02222727.A</v>
      </c>
      <c r="AK61" s="26" t="str">
        <f>HYPERLINK("http://worldwide.espacenet.com/publicationDetails/biblio?DB=EPODOC&amp;adjacent=true&amp;locale=en_EP&amp;FT=D&amp;CC=KR&amp;NR=0144466B1&amp;KC=B1","KR0144466.B1")</f>
        <v>KR0144466.B1</v>
      </c>
      <c r="AL61" s="26" t="str">
        <f>HYPERLINK("http://worldwide.espacenet.com/publicationDetails/biblio?DB=EPODOC&amp;adjacent=true&amp;locale=en_EP&amp;FT=D&amp;CC=NO&amp;NR=303677B1&amp;KC=B1","NO303677.B1")</f>
        <v>NO303677.B1</v>
      </c>
      <c r="AM61" s="26" t="str">
        <f>HYPERLINK("http://worldwide.espacenet.com/publicationDetails/biblio?DB=EPODOC&amp;adjacent=true&amp;locale=en_EP&amp;FT=D&amp;CC=NO&amp;NR=895175D0&amp;KC=D0","NO895175.D0")</f>
        <v>NO895175.D0</v>
      </c>
      <c r="AN61" s="26" t="str">
        <f>HYPERLINK("http://worldwide.espacenet.com/publicationDetails/biblio?DB=EPODOC&amp;adjacent=true&amp;locale=en_EP&amp;FT=D&amp;CC=NO&amp;NR=895175L&amp;KC=L","NO895175.L")</f>
        <v>NO895175.L</v>
      </c>
      <c r="AO61" s="26" t="str">
        <f>HYPERLINK("http://worldwide.espacenet.com/publicationDetails/biblio?DB=EPODOC&amp;adjacent=true&amp;locale=en_EP&amp;FT=D&amp;CC=RU&amp;NR=2067024C1&amp;KC=C1","RU2067024.C1")</f>
        <v>RU2067024.C1</v>
      </c>
      <c r="AP61" s="26" t="str">
        <f>HYPERLINK("http://worldwide.espacenet.com/publicationDetails/biblio?DB=EPODOC&amp;adjacent=true&amp;locale=en_EP&amp;FT=D&amp;CC=US&amp;NR=5041402A&amp;KC=A","US5041402.A")</f>
        <v>US5041402.A</v>
      </c>
      <c r="AQ61" s="26" t="str">
        <f>HYPERLINK("http://worldwide.espacenet.com/publicationDetails/biblio?DB=EPODOC&amp;adjacent=true&amp;locale=en_EP&amp;FT=D&amp;CC=US&amp;NR=5345021A&amp;KC=A","US5345021.A")</f>
        <v>US5345021.A</v>
      </c>
      <c r="AR61" s="26" t="str">
        <f>HYPERLINK("http://worldwide.espacenet.com/publicationDetails/biblio?DB=EPODOC&amp;adjacent=true&amp;locale=en_EP&amp;FT=D&amp;CC=ZA&amp;NR=8909697B&amp;KC=B","ZA8909697.B")</f>
        <v>ZA8909697.B</v>
      </c>
    </row>
    <row r="62" spans="1:58" ht="17.100000000000001" customHeight="1" x14ac:dyDescent="0.25">
      <c r="A62" s="16" t="s">
        <v>3117</v>
      </c>
      <c r="B62" s="21" t="s">
        <v>3118</v>
      </c>
      <c r="C62" s="23">
        <v>2.5190372467040998</v>
      </c>
      <c r="D62" s="23">
        <v>0.63449597358703602</v>
      </c>
      <c r="E62" s="23">
        <v>1.5983189344406099</v>
      </c>
      <c r="F62" s="21">
        <v>1.5983189344406099</v>
      </c>
      <c r="G62" s="23">
        <v>3</v>
      </c>
      <c r="H62" s="24">
        <v>41711</v>
      </c>
      <c r="I62" s="23">
        <v>2</v>
      </c>
      <c r="J62" s="22">
        <v>444565648</v>
      </c>
      <c r="K62" s="21" t="s">
        <v>3119</v>
      </c>
      <c r="L62" s="21" t="s">
        <v>3116</v>
      </c>
      <c r="M62" s="21" t="s">
        <v>2957</v>
      </c>
      <c r="N62" s="21" t="s">
        <v>2958</v>
      </c>
      <c r="O62" s="25" t="str">
        <f>HYPERLINK("http://worldwide.espacenet.com/publicationDetails/biblio?DB=EPODOC&amp;adjacent=true&amp;locale=en_EP&amp;FT=D&amp;CC=CN&amp;NR=104907091A&amp;KC=A","CN104907091.A")</f>
        <v>CN104907091.A</v>
      </c>
      <c r="P62" s="25" t="str">
        <f>HYPERLINK("http://worldwide.espacenet.com/publicationDetails/biblio?DB=EPODOC&amp;adjacent=true&amp;locale=en_EP&amp;FT=D&amp;CC=CN&amp;NR=104907091A&amp;KC=A","CN104907091.A")</f>
        <v>CN104907091.A</v>
      </c>
      <c r="Q62" s="26" t="str">
        <f>HYPERLINK("http://worldwide.espacenet.com/publicationDetails/biblio?DB=EPODOC&amp;adjacent=true&amp;locale=en_EP&amp;FT=D&amp;CC=CN&amp;NR=104907091B&amp;KC=B","CN104907091.B")</f>
        <v>CN104907091.B</v>
      </c>
      <c r="U62" s="26" t="str">
        <f>HYPERLINK("http://worldwide.espacenet.com/publicationDetails/biblio?DB=EPODOC&amp;adjacent=true&amp;locale=en_EP&amp;FT=D&amp;CC=CN&amp;NR=1033850C&amp;KC=C","CN1033850.C")</f>
        <v>CN1033850.C</v>
      </c>
      <c r="V62" s="26" t="str">
        <f>HYPERLINK("http://worldwide.espacenet.com/publicationDetails/biblio?DB=EPODOC&amp;adjacent=true&amp;locale=en_EP&amp;FT=D&amp;CC=CN&amp;NR=1058196A&amp;KC=A","CN1058196.A")</f>
        <v>CN1058196.A</v>
      </c>
      <c r="W62" s="26" t="str">
        <f>HYPERLINK("http://worldwide.espacenet.com/publicationDetails/biblio?DB=EPODOC&amp;adjacent=true&amp;locale=en_EP&amp;FT=D&amp;CC=DE&amp;NR=69122911D1&amp;KC=D1","DE69122911.D1")</f>
        <v>DE69122911.D1</v>
      </c>
      <c r="X62" s="26" t="str">
        <f>HYPERLINK("http://worldwide.espacenet.com/publicationDetails/biblio?DB=EPODOC&amp;adjacent=true&amp;locale=en_EP&amp;FT=D&amp;CC=DE&amp;NR=69122911T2&amp;KC=T2","DE69122911.T2")</f>
        <v>DE69122911.T2</v>
      </c>
      <c r="Y62" s="26" t="str">
        <f>HYPERLINK("http://worldwide.espacenet.com/publicationDetails/biblio?DB=EPODOC&amp;adjacent=true&amp;locale=en_EP&amp;FT=D&amp;CC=DK&amp;NR=0463768T3&amp;KC=T3","DK0463768.T3")</f>
        <v>DK0463768.T3</v>
      </c>
      <c r="Z62" s="26" t="str">
        <f>HYPERLINK("http://worldwide.espacenet.com/publicationDetails/biblio?DB=EPODOC&amp;adjacent=true&amp;locale=en_EP&amp;FT=D&amp;CC=EP&amp;NR=0463768A2&amp;KC=A2","EP0463768.A2")</f>
        <v>EP0463768.A2</v>
      </c>
      <c r="AA62" s="26" t="str">
        <f>HYPERLINK("http://worldwide.espacenet.com/publicationDetails/biblio?DB=EPODOC&amp;adjacent=true&amp;locale=en_EP&amp;FT=D&amp;CC=EP&amp;NR=0463768A3&amp;KC=A3","EP0463768.A3")</f>
        <v>EP0463768.A3</v>
      </c>
      <c r="AB62" s="26" t="str">
        <f>HYPERLINK("http://worldwide.espacenet.com/publicationDetails/biblio?DB=EPODOC&amp;adjacent=true&amp;locale=en_EP&amp;FT=D&amp;CC=EP&amp;NR=0463768B1&amp;KC=B1","EP0463768.B1")</f>
        <v>EP0463768.B1</v>
      </c>
      <c r="AC62" s="26" t="str">
        <f>HYPERLINK("http://worldwide.espacenet.com/publicationDetails/biblio?DB=EPODOC&amp;adjacent=true&amp;locale=en_EP&amp;FT=D&amp;CC=ES&amp;NR=2095911T3&amp;KC=T3","ES2095911.T3")</f>
        <v>ES2095911.T3</v>
      </c>
      <c r="AD62" s="26" t="str">
        <f>HYPERLINK("http://worldwide.espacenet.com/publicationDetails/biblio?DB=EPODOC&amp;adjacent=true&amp;locale=en_EP&amp;FT=D&amp;CC=GB&amp;NR=9013916D0&amp;KC=D0","GB9013916.D0")</f>
        <v>GB9013916.D0</v>
      </c>
      <c r="AE62" s="26" t="str">
        <f>HYPERLINK("http://worldwide.espacenet.com/publicationDetails/biblio?DB=EPODOC&amp;adjacent=true&amp;locale=en_EP&amp;FT=D&amp;CC=GR&amp;NR=3021837T3&amp;KC=T3","GR3021837.T3")</f>
        <v>GR3021837.T3</v>
      </c>
      <c r="AF62" s="26" t="str">
        <f>HYPERLINK("http://worldwide.espacenet.com/publicationDetails/biblio?DB=EPODOC&amp;adjacent=true&amp;locale=en_EP&amp;FT=D&amp;CC=IN&amp;NR=184830B&amp;KC=B","IN184830.B")</f>
        <v>IN184830.B</v>
      </c>
      <c r="AG62" s="26" t="str">
        <f>HYPERLINK("http://worldwide.espacenet.com/publicationDetails/biblio?DB=EPODOC&amp;adjacent=true&amp;locale=en_EP&amp;FT=D&amp;CC=JP&amp;NR=3347752B2&amp;KC=B2","JP3347752.B2")</f>
        <v>JP3347752.B2</v>
      </c>
      <c r="AH62" s="26" t="str">
        <f>HYPERLINK("http://worldwide.espacenet.com/publicationDetails/biblio?DB=EPODOC&amp;adjacent=true&amp;locale=en_EP&amp;FT=D&amp;CC=JP&amp;NR=H0597429A&amp;KC=A","JPH0597429.A")</f>
        <v>JPH0597429.A</v>
      </c>
      <c r="AI62" s="26" t="str">
        <f>HYPERLINK("http://worldwide.espacenet.com/publicationDetails/biblio?DB=EPODOC&amp;adjacent=true&amp;locale=en_EP&amp;FT=D&amp;CC=KR&amp;NR=100195902B1&amp;KC=B1","KR100195902.B1")</f>
        <v>KR100195902.B1</v>
      </c>
      <c r="AJ62" s="26" t="str">
        <f>HYPERLINK("http://worldwide.espacenet.com/publicationDetails/biblio?DB=EPODOC&amp;adjacent=true&amp;locale=en_EP&amp;FT=D&amp;CC=NO&amp;NR=307749B1&amp;KC=B1","NO307749.B1")</f>
        <v>NO307749.B1</v>
      </c>
      <c r="AK62" s="26" t="str">
        <f>HYPERLINK("http://worldwide.espacenet.com/publicationDetails/biblio?DB=EPODOC&amp;adjacent=true&amp;locale=en_EP&amp;FT=D&amp;CC=NO&amp;NR=912444D0&amp;KC=D0","NO912444.D0")</f>
        <v>NO912444.D0</v>
      </c>
      <c r="AL62" s="26" t="str">
        <f>HYPERLINK("http://worldwide.espacenet.com/publicationDetails/biblio?DB=EPODOC&amp;adjacent=true&amp;locale=en_EP&amp;FT=D&amp;CC=NO&amp;NR=912444L&amp;KC=L","NO912444.L")</f>
        <v>NO912444.L</v>
      </c>
      <c r="AM62" s="26" t="str">
        <f>HYPERLINK("http://worldwide.espacenet.com/publicationDetails/biblio?DB=EPODOC&amp;adjacent=true&amp;locale=en_EP&amp;FT=D&amp;CC=RU&amp;NR=2092241C1&amp;KC=C1","RU2092241.C1")</f>
        <v>RU2092241.C1</v>
      </c>
      <c r="AN62" s="26" t="str">
        <f>HYPERLINK("http://worldwide.espacenet.com/publicationDetails/biblio?DB=EPODOC&amp;adjacent=true&amp;locale=en_EP&amp;FT=D&amp;CC=US&amp;NR=5108579A&amp;KC=A","US5108579.A")</f>
        <v>US5108579.A</v>
      </c>
      <c r="AO62" s="26" t="str">
        <f>HYPERLINK("http://worldwide.espacenet.com/publicationDetails/biblio?DB=EPODOC&amp;adjacent=true&amp;locale=en_EP&amp;FT=D&amp;CC=ZA&amp;NR=9104540B&amp;KC=B","ZA9104540.B")</f>
        <v>ZA9104540.B</v>
      </c>
    </row>
    <row r="63" spans="1:58" ht="17.100000000000001" customHeight="1" x14ac:dyDescent="0.25">
      <c r="A63" s="16" t="s">
        <v>3120</v>
      </c>
      <c r="B63" s="21" t="s">
        <v>3121</v>
      </c>
      <c r="C63" s="23">
        <v>2.6448194980621298</v>
      </c>
      <c r="D63" s="23">
        <v>0.63449597358703602</v>
      </c>
      <c r="E63" s="23">
        <v>1.67812728881836</v>
      </c>
      <c r="F63" s="21">
        <v>1.67812728881836</v>
      </c>
      <c r="G63" s="23">
        <v>3</v>
      </c>
      <c r="H63" s="24">
        <v>42164</v>
      </c>
      <c r="I63" s="23">
        <v>1</v>
      </c>
      <c r="J63" s="22">
        <v>444573500</v>
      </c>
      <c r="K63" s="21" t="s">
        <v>3122</v>
      </c>
      <c r="L63" s="21" t="s">
        <v>3123</v>
      </c>
      <c r="M63" s="21" t="s">
        <v>2957</v>
      </c>
      <c r="N63" s="21" t="s">
        <v>3003</v>
      </c>
      <c r="O63" s="25" t="str">
        <f>HYPERLINK("http://worldwide.espacenet.com/publicationDetails/biblio?DB=EPODOC&amp;adjacent=true&amp;locale=en_EP&amp;FT=D&amp;CC=CN&amp;NR=104910957A&amp;KC=A","CN104910957.A")</f>
        <v>CN104910957.A</v>
      </c>
      <c r="P63" s="25" t="str">
        <f>HYPERLINK("http://worldwide.espacenet.com/publicationDetails/biblio?DB=EPODOC&amp;adjacent=true&amp;locale=en_EP&amp;FT=D&amp;CC=CN&amp;NR=104910957A&amp;KC=A","CN104910957.A")</f>
        <v>CN104910957.A</v>
      </c>
      <c r="Q63" s="26" t="str">
        <f>HYPERLINK("http://worldwide.espacenet.com/publicationDetails/biblio?DB=EPODOC&amp;adjacent=true&amp;locale=en_EP&amp;FT=D&amp;CC=CN&amp;NR=104910957B&amp;KC=B","CN104910957.B")</f>
        <v>CN104910957.B</v>
      </c>
      <c r="U63" s="26" t="str">
        <f>HYPERLINK("http://worldwide.espacenet.com/publicationDetails/biblio?DB=EPODOC&amp;adjacent=true&amp;locale=en_EP&amp;FT=D&amp;CC=CN&amp;NR=1034325C&amp;KC=C","CN1034325.C")</f>
        <v>CN1034325.C</v>
      </c>
      <c r="V63" s="26" t="str">
        <f>HYPERLINK("http://worldwide.espacenet.com/publicationDetails/biblio?DB=EPODOC&amp;adjacent=true&amp;locale=en_EP&amp;FT=D&amp;CC=CN&amp;NR=1058195A&amp;KC=A","CN1058195.A")</f>
        <v>CN1058195.A</v>
      </c>
      <c r="W63" s="26" t="str">
        <f>HYPERLINK("http://worldwide.espacenet.com/publicationDetails/biblio?DB=EPODOC&amp;adjacent=true&amp;locale=en_EP&amp;FT=D&amp;CC=CN&amp;NR=1073888C&amp;KC=C","CN1073888.C")</f>
        <v>CN1073888.C</v>
      </c>
      <c r="X63" s="26" t="str">
        <f>HYPERLINK("http://worldwide.espacenet.com/publicationDetails/biblio?DB=EPODOC&amp;adjacent=true&amp;locale=en_EP&amp;FT=D&amp;CC=CN&amp;NR=1147422A&amp;KC=A","CN1147422.A")</f>
        <v>CN1147422.A</v>
      </c>
      <c r="Y63" s="26" t="str">
        <f>HYPERLINK("http://worldwide.espacenet.com/publicationDetails/biblio?DB=EPODOC&amp;adjacent=true&amp;locale=en_EP&amp;FT=D&amp;CC=DE&amp;NR=69116937D1&amp;KC=D1","DE69116937.D1")</f>
        <v>DE69116937.D1</v>
      </c>
      <c r="Z63" s="26" t="str">
        <f>HYPERLINK("http://worldwide.espacenet.com/publicationDetails/biblio?DB=EPODOC&amp;adjacent=true&amp;locale=en_EP&amp;FT=D&amp;CC=DE&amp;NR=69116937T2&amp;KC=T2","DE69116937.T2")</f>
        <v>DE69116937.T2</v>
      </c>
      <c r="AA63" s="26" t="str">
        <f>HYPERLINK("http://worldwide.espacenet.com/publicationDetails/biblio?DB=EPODOC&amp;adjacent=true&amp;locale=en_EP&amp;FT=D&amp;CC=DK&amp;NR=0462745T3&amp;KC=T3","DK0462745.T3")</f>
        <v>DK0462745.T3</v>
      </c>
      <c r="AB63" s="26" t="str">
        <f>HYPERLINK("http://worldwide.espacenet.com/publicationDetails/biblio?DB=EPODOC&amp;adjacent=true&amp;locale=en_EP&amp;FT=D&amp;CC=EP&amp;NR=0462745A2&amp;KC=A2","EP0462745.A2")</f>
        <v>EP0462745.A2</v>
      </c>
      <c r="AC63" s="26" t="str">
        <f>HYPERLINK("http://worldwide.espacenet.com/publicationDetails/biblio?DB=EPODOC&amp;adjacent=true&amp;locale=en_EP&amp;FT=D&amp;CC=EP&amp;NR=0462745A3&amp;KC=A3","EP0462745.A3")</f>
        <v>EP0462745.A3</v>
      </c>
      <c r="AD63" s="26" t="str">
        <f>HYPERLINK("http://worldwide.espacenet.com/publicationDetails/biblio?DB=EPODOC&amp;adjacent=true&amp;locale=en_EP&amp;FT=D&amp;CC=EP&amp;NR=0462745B1&amp;KC=B1","EP0462745.B1")</f>
        <v>EP0462745.B1</v>
      </c>
      <c r="AE63" s="26" t="str">
        <f>HYPERLINK("http://worldwide.espacenet.com/publicationDetails/biblio?DB=EPODOC&amp;adjacent=true&amp;locale=en_EP&amp;FT=D&amp;CC=ES&amp;NR=2085965T3&amp;KC=T3","ES2085965.T3")</f>
        <v>ES2085965.T3</v>
      </c>
      <c r="AF63" s="26" t="str">
        <f>HYPERLINK("http://worldwide.espacenet.com/publicationDetails/biblio?DB=EPODOC&amp;adjacent=true&amp;locale=en_EP&amp;FT=D&amp;CC=GB&amp;NR=9013859D0&amp;KC=D0","GB9013859.D0")</f>
        <v>GB9013859.D0</v>
      </c>
      <c r="AG63" s="26" t="str">
        <f>HYPERLINK("http://worldwide.espacenet.com/publicationDetails/biblio?DB=EPODOC&amp;adjacent=true&amp;locale=en_EP&amp;FT=D&amp;CC=GR&amp;NR=3019845T3&amp;KC=T3","GR3019845.T3")</f>
        <v>GR3019845.T3</v>
      </c>
      <c r="AH63" s="26" t="str">
        <f>HYPERLINK("http://worldwide.espacenet.com/publicationDetails/biblio?DB=EPODOC&amp;adjacent=true&amp;locale=en_EP&amp;FT=D&amp;CC=IN&amp;NR=180874B&amp;KC=B","IN180874.B")</f>
        <v>IN180874.B</v>
      </c>
      <c r="AI63" s="26" t="str">
        <f>HYPERLINK("http://worldwide.espacenet.com/publicationDetails/biblio?DB=EPODOC&amp;adjacent=true&amp;locale=en_EP&amp;FT=D&amp;CC=JP&amp;NR=3391805B2&amp;KC=B2","JP3391805.B2")</f>
        <v>JP3391805.B2</v>
      </c>
      <c r="AJ63" s="26" t="str">
        <f>HYPERLINK("http://worldwide.espacenet.com/publicationDetails/biblio?DB=EPODOC&amp;adjacent=true&amp;locale=en_EP&amp;FT=D&amp;CC=JP&amp;NR=H0748122A&amp;KC=A","JPH0748122.A")</f>
        <v>JPH0748122.A</v>
      </c>
      <c r="AK63" s="26" t="str">
        <f>HYPERLINK("http://worldwide.espacenet.com/publicationDetails/biblio?DB=EPODOC&amp;adjacent=true&amp;locale=en_EP&amp;FT=D&amp;CC=US&amp;NR=5385718A&amp;KC=A","US5385718.A")</f>
        <v>US5385718.A</v>
      </c>
      <c r="AL63" s="26" t="str">
        <f>HYPERLINK("http://worldwide.espacenet.com/publicationDetails/biblio?DB=EPODOC&amp;adjacent=true&amp;locale=en_EP&amp;FT=D&amp;CC=US&amp;NR=5446234A&amp;KC=A","US5446234.A")</f>
        <v>US5446234.A</v>
      </c>
      <c r="AM63" s="26" t="str">
        <f>HYPERLINK("http://worldwide.espacenet.com/publicationDetails/biblio?DB=EPODOC&amp;adjacent=true&amp;locale=en_EP&amp;FT=D&amp;CC=US&amp;NR=5464799A&amp;KC=A","US5464799.A")</f>
        <v>US5464799.A</v>
      </c>
      <c r="AN63" s="26" t="str">
        <f>HYPERLINK("http://worldwide.espacenet.com/publicationDetails/biblio?DB=EPODOC&amp;adjacent=true&amp;locale=en_EP&amp;FT=D&amp;CC=ZA&amp;NR=9104542B&amp;KC=B","ZA9104542.B")</f>
        <v>ZA9104542.B</v>
      </c>
    </row>
    <row r="64" spans="1:58" ht="17.100000000000001" customHeight="1" x14ac:dyDescent="0.25">
      <c r="A64" s="16" t="s">
        <v>3124</v>
      </c>
      <c r="B64" s="21" t="s">
        <v>3125</v>
      </c>
      <c r="C64" s="23">
        <v>0.185976177453995</v>
      </c>
      <c r="D64" s="23">
        <v>0.63449597358703602</v>
      </c>
      <c r="E64" s="23">
        <v>0.118001133203506</v>
      </c>
      <c r="F64" s="21">
        <v>0.118001133203506</v>
      </c>
      <c r="G64" s="23">
        <v>0</v>
      </c>
      <c r="H64" s="24">
        <v>41754</v>
      </c>
      <c r="I64" s="23">
        <v>2</v>
      </c>
      <c r="J64" s="22">
        <v>446072396</v>
      </c>
      <c r="K64" s="21"/>
      <c r="L64" s="21" t="s">
        <v>3116</v>
      </c>
      <c r="M64" s="21" t="s">
        <v>2957</v>
      </c>
      <c r="N64" s="21" t="s">
        <v>2958</v>
      </c>
      <c r="O64" s="25" t="str">
        <f>HYPERLINK("http://worldwide.espacenet.com/publicationDetails/biblio?DB=EPODOC&amp;adjacent=true&amp;locale=en_EP&amp;FT=D&amp;CC=CN&amp;NR=105013524A&amp;KC=A","CN105013524.A")</f>
        <v>CN105013524.A</v>
      </c>
      <c r="P64" s="25" t="str">
        <f>HYPERLINK("http://worldwide.espacenet.com/publicationDetails/biblio?DB=EPODOC&amp;adjacent=true&amp;locale=en_EP&amp;FT=D&amp;CC=CN&amp;NR=105013524A&amp;KC=A","CN105013524.A")</f>
        <v>CN105013524.A</v>
      </c>
      <c r="Q64" s="26" t="str">
        <f>HYPERLINK("http://worldwide.espacenet.com/publicationDetails/biblio?DB=EPODOC&amp;adjacent=true&amp;locale=en_EP&amp;FT=D&amp;CC=CN&amp;NR=105013524B&amp;KC=B","CN105013524.B")</f>
        <v>CN105013524.B</v>
      </c>
    </row>
    <row r="65" spans="1:61" ht="17.100000000000001" customHeight="1" x14ac:dyDescent="0.25">
      <c r="A65" s="16" t="s">
        <v>3126</v>
      </c>
      <c r="B65" s="21" t="s">
        <v>3127</v>
      </c>
      <c r="C65" s="23">
        <v>1.00288617610931</v>
      </c>
      <c r="D65" s="23">
        <v>0.63449597358703602</v>
      </c>
      <c r="E65" s="23">
        <v>0.63632726669311501</v>
      </c>
      <c r="F65" s="21">
        <v>0.63632726669311501</v>
      </c>
      <c r="G65" s="23">
        <v>1</v>
      </c>
      <c r="H65" s="24">
        <v>41806</v>
      </c>
      <c r="I65" s="23">
        <v>2</v>
      </c>
      <c r="J65" s="22">
        <v>447941682</v>
      </c>
      <c r="K65" s="21" t="s">
        <v>3128</v>
      </c>
      <c r="L65" s="21" t="s">
        <v>2981</v>
      </c>
      <c r="M65" s="21" t="s">
        <v>2957</v>
      </c>
      <c r="N65" s="21" t="s">
        <v>2958</v>
      </c>
      <c r="O65" s="25" t="str">
        <f>HYPERLINK("http://worldwide.espacenet.com/publicationDetails/biblio?DB=EPODOC&amp;adjacent=true&amp;locale=en_EP&amp;FT=D&amp;CC=CN&amp;NR=105195211A&amp;KC=A","CN105195211.A")</f>
        <v>CN105195211.A</v>
      </c>
      <c r="P65" s="25" t="str">
        <f>HYPERLINK("http://worldwide.espacenet.com/publicationDetails/biblio?DB=EPODOC&amp;adjacent=true&amp;locale=en_EP&amp;FT=D&amp;CC=CN&amp;NR=105195211A&amp;KC=A","CN105195211.A")</f>
        <v>CN105195211.A</v>
      </c>
      <c r="Q65" s="26" t="str">
        <f>HYPERLINK("http://worldwide.espacenet.com/publicationDetails/biblio?DB=EPODOC&amp;adjacent=true&amp;locale=en_EP&amp;FT=D&amp;CC=CN&amp;NR=105195211B&amp;KC=B","CN105195211.B")</f>
        <v>CN105195211.B</v>
      </c>
    </row>
    <row r="66" spans="1:61" ht="17.100000000000001" customHeight="1" x14ac:dyDescent="0.25">
      <c r="A66" s="16" t="s">
        <v>3129</v>
      </c>
      <c r="B66" s="21" t="s">
        <v>3130</v>
      </c>
      <c r="C66" s="23">
        <v>0.97691130638122603</v>
      </c>
      <c r="D66" s="23">
        <v>0.63449597358703602</v>
      </c>
      <c r="E66" s="23">
        <v>0.61984628438949596</v>
      </c>
      <c r="F66" s="21">
        <v>0.61984628438949596</v>
      </c>
      <c r="G66" s="23">
        <v>1</v>
      </c>
      <c r="H66" s="24">
        <v>42289</v>
      </c>
      <c r="I66" s="23">
        <v>2</v>
      </c>
      <c r="J66" s="22">
        <v>447941686</v>
      </c>
      <c r="K66" s="21" t="s">
        <v>3131</v>
      </c>
      <c r="L66" s="21" t="s">
        <v>3027</v>
      </c>
      <c r="M66" s="21" t="s">
        <v>2957</v>
      </c>
      <c r="N66" s="21" t="s">
        <v>2958</v>
      </c>
      <c r="O66" s="25" t="str">
        <f>HYPERLINK("http://worldwide.espacenet.com/publicationDetails/biblio?DB=EPODOC&amp;adjacent=true&amp;locale=en_EP&amp;FT=D&amp;CC=CN&amp;NR=105195213A&amp;KC=A","CN105195213.A")</f>
        <v>CN105195213.A</v>
      </c>
      <c r="P66" s="25" t="str">
        <f>HYPERLINK("http://worldwide.espacenet.com/publicationDetails/biblio?DB=EPODOC&amp;adjacent=true&amp;locale=en_EP&amp;FT=D&amp;CC=CN&amp;NR=105195213A&amp;KC=A","CN105195213.A")</f>
        <v>CN105195213.A</v>
      </c>
      <c r="Q66" s="26" t="str">
        <f>HYPERLINK("http://worldwide.espacenet.com/publicationDetails/biblio?DB=EPODOC&amp;adjacent=true&amp;locale=en_EP&amp;FT=D&amp;CC=CN&amp;NR=105195213B&amp;KC=B","CN105195213.B")</f>
        <v>CN105195213.B</v>
      </c>
      <c r="U66" s="26" t="str">
        <f>HYPERLINK("http://worldwide.espacenet.com/publicationDetails/biblio?DB=EPODOC&amp;adjacent=true&amp;locale=en_EP&amp;FT=D&amp;CC=EP&amp;NR=0964903B1&amp;KC=B1","EP0964903.B1")</f>
        <v>EP0964903.B1</v>
      </c>
      <c r="V66" s="26" t="str">
        <f>HYPERLINK("http://worldwide.espacenet.com/publicationDetails/biblio?DB=EPODOC&amp;adjacent=true&amp;locale=en_EP&amp;FT=D&amp;CC=KR&amp;NR=20000071153A&amp;KC=A","KR20000071153.A")</f>
        <v>KR20000071153.A</v>
      </c>
      <c r="W66" s="26" t="str">
        <f>HYPERLINK("http://worldwide.espacenet.com/publicationDetails/biblio?DB=EPODOC&amp;adjacent=true&amp;locale=en_EP&amp;FT=D&amp;CC=US&amp;NR=6245219B1&amp;KC=B1","US6245219.B1")</f>
        <v>US6245219.B1</v>
      </c>
      <c r="X66" s="26" t="str">
        <f>HYPERLINK("http://worldwide.espacenet.com/publicationDetails/biblio?DB=EPODOC&amp;adjacent=true&amp;locale=en_EP&amp;FT=D&amp;CC=WO&amp;NR=9836037A1&amp;KC=A1","WO9836037.A1")</f>
        <v>WO9836037.A1</v>
      </c>
    </row>
    <row r="67" spans="1:61" ht="17.100000000000001" customHeight="1" x14ac:dyDescent="0.25">
      <c r="A67" s="16" t="s">
        <v>3132</v>
      </c>
      <c r="B67" s="21" t="s">
        <v>3133</v>
      </c>
      <c r="C67" s="23">
        <v>1.0484426021575901</v>
      </c>
      <c r="D67" s="23">
        <v>0.63449597358703602</v>
      </c>
      <c r="E67" s="23">
        <v>0.66523259878158603</v>
      </c>
      <c r="F67" s="21">
        <v>0.66523259878158603</v>
      </c>
      <c r="G67" s="23">
        <v>1</v>
      </c>
      <c r="H67" s="24">
        <v>42287</v>
      </c>
      <c r="I67" s="23">
        <v>3</v>
      </c>
      <c r="J67" s="22">
        <v>447941710</v>
      </c>
      <c r="K67" s="21" t="s">
        <v>3134</v>
      </c>
      <c r="L67" s="21" t="s">
        <v>511</v>
      </c>
      <c r="M67" s="21" t="s">
        <v>2957</v>
      </c>
      <c r="N67" s="21" t="s">
        <v>2951</v>
      </c>
      <c r="O67" s="25" t="str">
        <f>HYPERLINK("http://worldwide.espacenet.com/publicationDetails/biblio?DB=EPODOC&amp;adjacent=true&amp;locale=en_EP&amp;FT=D&amp;CC=CN&amp;NR=105195226A&amp;KC=A","CN105195226.A")</f>
        <v>CN105195226.A</v>
      </c>
      <c r="P67" s="25" t="str">
        <f>HYPERLINK("http://worldwide.espacenet.com/publicationDetails/biblio?DB=EPODOC&amp;adjacent=true&amp;locale=en_EP&amp;FT=D&amp;CC=CN&amp;NR=105195226A&amp;KC=A","CN105195226.A")</f>
        <v>CN105195226.A</v>
      </c>
      <c r="Q67" s="26" t="str">
        <f>HYPERLINK("http://worldwide.espacenet.com/publicationDetails/biblio?DB=EPODOC&amp;adjacent=true&amp;locale=en_EP&amp;FT=D&amp;CC=CN&amp;NR=105195226B&amp;KC=B","CN105195226.B")</f>
        <v>CN105195226.B</v>
      </c>
      <c r="U67" s="26" t="str">
        <f>HYPERLINK("http://worldwide.espacenet.com/publicationDetails/biblio?DB=EPODOC&amp;adjacent=true&amp;locale=en_EP&amp;FT=D&amp;CC=US&amp;NR=4981491A&amp;KC=A","US4981491.A")</f>
        <v>US4981491.A</v>
      </c>
    </row>
    <row r="68" spans="1:61" ht="17.100000000000001" customHeight="1" x14ac:dyDescent="0.25">
      <c r="A68" s="16" t="s">
        <v>3135</v>
      </c>
      <c r="B68" s="21" t="s">
        <v>3135</v>
      </c>
      <c r="C68" s="23">
        <v>0.19459156692028001</v>
      </c>
      <c r="D68" s="23">
        <v>0.44414699077606201</v>
      </c>
      <c r="E68" s="23">
        <v>8.6427256464958205E-2</v>
      </c>
      <c r="F68" s="21">
        <v>8.6427256464958205E-2</v>
      </c>
      <c r="G68" s="23">
        <v>0</v>
      </c>
      <c r="H68" s="24">
        <v>41809</v>
      </c>
      <c r="I68" s="23">
        <v>3</v>
      </c>
      <c r="J68" s="22">
        <v>448722426</v>
      </c>
      <c r="K68" s="21"/>
      <c r="L68" s="21" t="s">
        <v>2981</v>
      </c>
      <c r="M68" s="21" t="s">
        <v>3077</v>
      </c>
      <c r="N68" s="21" t="s">
        <v>3136</v>
      </c>
      <c r="O68" s="25" t="str">
        <f>HYPERLINK("http://worldwide.espacenet.com/publicationDetails/biblio?DB=EPODOC&amp;adjacent=true&amp;locale=en_EP&amp;FT=D&amp;CC=CN&amp;NR=105254461A&amp;KC=A","CN105254461.A")</f>
        <v>CN105254461.A</v>
      </c>
      <c r="P68" s="25" t="str">
        <f>HYPERLINK("http://worldwide.espacenet.com/publicationDetails/biblio?DB=EPODOC&amp;adjacent=true&amp;locale=en_EP&amp;FT=D&amp;CC=CN&amp;NR=105254461A&amp;KC=A","CN105254461.A")</f>
        <v>CN105254461.A</v>
      </c>
      <c r="U68" s="26" t="str">
        <f>HYPERLINK("http://worldwide.espacenet.com/publicationDetails/biblio?DB=EPODOC&amp;adjacent=true&amp;locale=en_EP&amp;FT=D&amp;CC=GB&amp;NR=2122591A&amp;KC=A","GB2122591.A")</f>
        <v>GB2122591.A</v>
      </c>
      <c r="V68" s="26" t="str">
        <f>HYPERLINK("http://worldwide.espacenet.com/publicationDetails/biblio?DB=EPODOC&amp;adjacent=true&amp;locale=en_EP&amp;FT=D&amp;CC=GB&amp;NR=2122591B&amp;KC=B","GB2122591.B")</f>
        <v>GB2122591.B</v>
      </c>
      <c r="W68" s="26" t="str">
        <f>HYPERLINK("http://worldwide.espacenet.com/publicationDetails/biblio?DB=EPODOC&amp;adjacent=true&amp;locale=en_EP&amp;FT=D&amp;CC=GB&amp;NR=8312144D0&amp;KC=D0","GB8312144.D0")</f>
        <v>GB8312144.D0</v>
      </c>
      <c r="X68" s="26" t="str">
        <f>HYPERLINK("http://worldwide.espacenet.com/publicationDetails/biblio?DB=EPODOC&amp;adjacent=true&amp;locale=en_EP&amp;FT=D&amp;CC=JP&amp;NR=S58191786A&amp;KC=A","JPS58191786.A")</f>
        <v>JPS58191786.A</v>
      </c>
      <c r="Y68" s="26" t="str">
        <f>HYPERLINK("http://worldwide.espacenet.com/publicationDetails/biblio?DB=EPODOC&amp;adjacent=true&amp;locale=en_EP&amp;FT=D&amp;CC=JP&amp;NR=S58192836A&amp;KC=A","JPS58192836.A")</f>
        <v>JPS58192836.A</v>
      </c>
      <c r="Z68" s="26" t="str">
        <f>HYPERLINK("http://worldwide.espacenet.com/publicationDetails/biblio?DB=EPODOC&amp;adjacent=true&amp;locale=en_EP&amp;FT=D&amp;CC=JP&amp;NR=S58194737A&amp;KC=A","JPS58194737.A")</f>
        <v>JPS58194737.A</v>
      </c>
      <c r="AA68" s="26" t="str">
        <f>HYPERLINK("http://worldwide.espacenet.com/publicationDetails/biblio?DB=EPODOC&amp;adjacent=true&amp;locale=en_EP&amp;FT=D&amp;CC=JP&amp;NR=S624327B2&amp;KC=B2","JPS624327.B2")</f>
        <v>JPS624327.B2</v>
      </c>
      <c r="AB68" s="26" t="str">
        <f>HYPERLINK("http://worldwide.espacenet.com/publicationDetails/biblio?DB=EPODOC&amp;adjacent=true&amp;locale=en_EP&amp;FT=D&amp;CC=JP&amp;NR=S624438B2&amp;KC=B2","JPS624438.B2")</f>
        <v>JPS624438.B2</v>
      </c>
      <c r="AC68" s="26" t="str">
        <f>HYPERLINK("http://worldwide.espacenet.com/publicationDetails/biblio?DB=EPODOC&amp;adjacent=true&amp;locale=en_EP&amp;FT=D&amp;CC=US&amp;NR=4698449A&amp;KC=A","US4698449.A")</f>
        <v>US4698449.A</v>
      </c>
    </row>
    <row r="69" spans="1:61" ht="17.100000000000001" customHeight="1" x14ac:dyDescent="0.25">
      <c r="A69" s="16" t="s">
        <v>3137</v>
      </c>
      <c r="B69" s="21" t="s">
        <v>3138</v>
      </c>
      <c r="C69" s="23">
        <v>0.204487174749374</v>
      </c>
      <c r="D69" s="23">
        <v>0.63449597358703602</v>
      </c>
      <c r="E69" s="23">
        <v>0.129746288061142</v>
      </c>
      <c r="F69" s="21">
        <v>0.129746288061142</v>
      </c>
      <c r="G69" s="23">
        <v>0</v>
      </c>
      <c r="H69" s="24">
        <v>42311</v>
      </c>
      <c r="I69" s="23">
        <v>2</v>
      </c>
      <c r="J69" s="22">
        <v>448722428</v>
      </c>
      <c r="K69" s="21"/>
      <c r="L69" s="21" t="s">
        <v>3139</v>
      </c>
      <c r="M69" s="21" t="s">
        <v>2957</v>
      </c>
      <c r="N69" s="21" t="s">
        <v>2977</v>
      </c>
      <c r="O69" s="25" t="str">
        <f>HYPERLINK("http://worldwide.espacenet.com/publicationDetails/biblio?DB=EPODOC&amp;adjacent=true&amp;locale=en_EP&amp;FT=D&amp;CC=CN&amp;NR=105254462A&amp;KC=A","CN105254462.A")</f>
        <v>CN105254462.A</v>
      </c>
      <c r="P69" s="25" t="str">
        <f>HYPERLINK("http://worldwide.espacenet.com/publicationDetails/biblio?DB=EPODOC&amp;adjacent=true&amp;locale=en_EP&amp;FT=D&amp;CC=CN&amp;NR=105254462A&amp;KC=A","CN105254462.A")</f>
        <v>CN105254462.A</v>
      </c>
      <c r="Q69" s="26" t="str">
        <f>HYPERLINK("http://worldwide.espacenet.com/publicationDetails/biblio?DB=EPODOC&amp;adjacent=true&amp;locale=en_EP&amp;FT=D&amp;CC=CN&amp;NR=105254462B&amp;KC=B","CN105254462.B")</f>
        <v>CN105254462.B</v>
      </c>
      <c r="U69" s="26" t="str">
        <f>HYPERLINK("http://worldwide.espacenet.com/publicationDetails/biblio?DB=EPODOC&amp;adjacent=true&amp;locale=en_EP&amp;FT=D&amp;CC=EP&amp;NR=0039964A1&amp;KC=A1","EP0039964.A1")</f>
        <v>EP0039964.A1</v>
      </c>
      <c r="V69" s="26" t="str">
        <f>HYPERLINK("http://worldwide.espacenet.com/publicationDetails/biblio?DB=EPODOC&amp;adjacent=true&amp;locale=en_EP&amp;FT=D&amp;CC=EP&amp;NR=0039964B1&amp;KC=B1","EP0039964.B1")</f>
        <v>EP0039964.B1</v>
      </c>
      <c r="W69" s="26" t="str">
        <f>HYPERLINK("http://worldwide.espacenet.com/publicationDetails/biblio?DB=EPODOC&amp;adjacent=true&amp;locale=en_EP&amp;FT=D&amp;CC=JP&amp;NR=H0113453B2&amp;KC=B2","JPH0113453.B2")</f>
        <v>JPH0113453.B2</v>
      </c>
      <c r="X69" s="26" t="str">
        <f>HYPERLINK("http://worldwide.espacenet.com/publicationDetails/biblio?DB=EPODOC&amp;adjacent=true&amp;locale=en_EP&amp;FT=D&amp;CC=JP&amp;NR=S572222A&amp;KC=A","JPS572222.A")</f>
        <v>JPS572222.A</v>
      </c>
      <c r="Y69" s="26" t="str">
        <f>HYPERLINK("http://worldwide.espacenet.com/publicationDetails/biblio?DB=EPODOC&amp;adjacent=true&amp;locale=en_EP&amp;FT=D&amp;CC=NL&amp;NR=8002582A&amp;KC=A","NL8002582.A")</f>
        <v>NL8002582.A</v>
      </c>
      <c r="Z69" s="26" t="str">
        <f>HYPERLINK("http://worldwide.espacenet.com/publicationDetails/biblio?DB=EPODOC&amp;adjacent=true&amp;locale=en_EP&amp;FT=D&amp;CC=NZ&amp;NR=196997A&amp;KC=A","NZ196997.A")</f>
        <v>NZ196997.A</v>
      </c>
      <c r="AA69" s="26" t="str">
        <f>HYPERLINK("http://worldwide.espacenet.com/publicationDetails/biblio?DB=EPODOC&amp;adjacent=true&amp;locale=en_EP&amp;FT=D&amp;CC=ZA&amp;NR=8102936B&amp;KC=B","ZA8102936.B")</f>
        <v>ZA8102936.B</v>
      </c>
    </row>
    <row r="70" spans="1:61" ht="17.100000000000001" customHeight="1" x14ac:dyDescent="0.25">
      <c r="A70" s="16" t="s">
        <v>3140</v>
      </c>
      <c r="B70" s="21" t="s">
        <v>3141</v>
      </c>
      <c r="C70" s="23">
        <v>0.185976177453995</v>
      </c>
      <c r="D70" s="23">
        <v>0</v>
      </c>
      <c r="E70" s="23">
        <v>0</v>
      </c>
      <c r="F70" s="21">
        <v>0</v>
      </c>
      <c r="G70" s="23">
        <v>0</v>
      </c>
      <c r="H70" s="24">
        <v>42338</v>
      </c>
      <c r="I70" s="23">
        <v>2</v>
      </c>
      <c r="J70" s="22">
        <v>449118758</v>
      </c>
      <c r="K70" s="21"/>
      <c r="L70" s="21" t="s">
        <v>3142</v>
      </c>
      <c r="M70" s="21" t="s">
        <v>2942</v>
      </c>
      <c r="N70" s="21" t="s">
        <v>2958</v>
      </c>
      <c r="O70" s="25" t="str">
        <f>HYPERLINK("http://worldwide.espacenet.com/publicationDetails/biblio?DB=EPODOC&amp;adjacent=true&amp;locale=en_EP&amp;FT=D&amp;CC=CN&amp;NR=105289703A&amp;KC=A","CN105289703.A")</f>
        <v>CN105289703.A</v>
      </c>
      <c r="P70" s="25" t="str">
        <f>HYPERLINK("http://worldwide.espacenet.com/publicationDetails/biblio?DB=EPODOC&amp;adjacent=true&amp;locale=en_EP&amp;FT=D&amp;CC=CN&amp;NR=105289703A&amp;KC=A","CN105289703.A")</f>
        <v>CN105289703.A</v>
      </c>
      <c r="Q70" s="26" t="str">
        <f>HYPERLINK("http://worldwide.espacenet.com/publicationDetails/biblio?DB=EPODOC&amp;adjacent=true&amp;locale=en_EP&amp;FT=D&amp;CC=CN&amp;NR=105289703B&amp;KC=B","CN105289703.B")</f>
        <v>CN105289703.B</v>
      </c>
    </row>
    <row r="71" spans="1:61" ht="17.100000000000001" customHeight="1" x14ac:dyDescent="0.25">
      <c r="A71" s="16" t="s">
        <v>3143</v>
      </c>
      <c r="B71" s="21" t="s">
        <v>3144</v>
      </c>
      <c r="C71" s="23">
        <v>0.185976177453995</v>
      </c>
      <c r="D71" s="23">
        <v>0.63449597358703602</v>
      </c>
      <c r="E71" s="23">
        <v>0.118001133203506</v>
      </c>
      <c r="F71" s="21">
        <v>0.118001133203506</v>
      </c>
      <c r="G71" s="23">
        <v>0</v>
      </c>
      <c r="H71" s="24">
        <v>42345</v>
      </c>
      <c r="I71" s="23">
        <v>2</v>
      </c>
      <c r="J71" s="22">
        <v>450763429</v>
      </c>
      <c r="K71" s="21"/>
      <c r="L71" s="21" t="s">
        <v>2976</v>
      </c>
      <c r="M71" s="21" t="s">
        <v>2957</v>
      </c>
      <c r="N71" s="21" t="s">
        <v>2958</v>
      </c>
      <c r="O71" s="25" t="str">
        <f>HYPERLINK("http://worldwide.espacenet.com/publicationDetails/biblio?DB=EPODOC&amp;adjacent=true&amp;locale=en_EP&amp;FT=D&amp;CC=CN&amp;NR=105435839A&amp;KC=A","CN105435839.A")</f>
        <v>CN105435839.A</v>
      </c>
      <c r="P71" s="25" t="str">
        <f>HYPERLINK("http://worldwide.espacenet.com/publicationDetails/biblio?DB=EPODOC&amp;adjacent=true&amp;locale=en_EP&amp;FT=D&amp;CC=CN&amp;NR=105435839A&amp;KC=A","CN105435839.A")</f>
        <v>CN105435839.A</v>
      </c>
      <c r="Q71" s="26" t="str">
        <f>HYPERLINK("http://worldwide.espacenet.com/publicationDetails/biblio?DB=EPODOC&amp;adjacent=true&amp;locale=en_EP&amp;FT=D&amp;CC=CN&amp;NR=105435839B&amp;KC=B","CN105435839.B")</f>
        <v>CN105435839.B</v>
      </c>
    </row>
    <row r="72" spans="1:61" ht="17.100000000000001" customHeight="1" x14ac:dyDescent="0.25">
      <c r="A72" s="16" t="s">
        <v>3145</v>
      </c>
      <c r="B72" s="21" t="s">
        <v>3146</v>
      </c>
      <c r="C72" s="23">
        <v>0.185976177453995</v>
      </c>
      <c r="D72" s="23">
        <v>0.63449597358703602</v>
      </c>
      <c r="E72" s="23">
        <v>0.118001133203506</v>
      </c>
      <c r="F72" s="21">
        <v>0.118001133203506</v>
      </c>
      <c r="G72" s="23">
        <v>0</v>
      </c>
      <c r="H72" s="24">
        <v>41891</v>
      </c>
      <c r="I72" s="23">
        <v>2</v>
      </c>
      <c r="J72" s="22">
        <v>450960274</v>
      </c>
      <c r="K72" s="21"/>
      <c r="L72" s="21" t="s">
        <v>2981</v>
      </c>
      <c r="M72" s="21" t="s">
        <v>2957</v>
      </c>
      <c r="N72" s="21" t="s">
        <v>2958</v>
      </c>
      <c r="O72" s="25" t="str">
        <f>HYPERLINK("http://worldwide.espacenet.com/publicationDetails/biblio?DB=EPODOC&amp;adjacent=true&amp;locale=en_EP&amp;FT=D&amp;CC=CN&amp;NR=105457568A&amp;KC=A","CN105457568.A")</f>
        <v>CN105457568.A</v>
      </c>
      <c r="P72" s="25" t="str">
        <f>HYPERLINK("http://worldwide.espacenet.com/publicationDetails/biblio?DB=EPODOC&amp;adjacent=true&amp;locale=en_EP&amp;FT=D&amp;CC=CN&amp;NR=105457568A&amp;KC=A","CN105457568.A")</f>
        <v>CN105457568.A</v>
      </c>
      <c r="Q72" s="26" t="str">
        <f>HYPERLINK("http://worldwide.espacenet.com/publicationDetails/biblio?DB=EPODOC&amp;adjacent=true&amp;locale=en_EP&amp;FT=D&amp;CC=CN&amp;NR=105457568B&amp;KC=B","CN105457568.B")</f>
        <v>CN105457568.B</v>
      </c>
    </row>
    <row r="73" spans="1:61" ht="17.100000000000001" customHeight="1" x14ac:dyDescent="0.25">
      <c r="A73" s="16" t="s">
        <v>3147</v>
      </c>
      <c r="B73" s="21" t="s">
        <v>3148</v>
      </c>
      <c r="C73" s="23">
        <v>0.185976177453995</v>
      </c>
      <c r="D73" s="23">
        <v>0.63449597358703602</v>
      </c>
      <c r="E73" s="23">
        <v>0.118001133203506</v>
      </c>
      <c r="F73" s="21">
        <v>0.118001133203506</v>
      </c>
      <c r="G73" s="23">
        <v>0</v>
      </c>
      <c r="H73" s="24">
        <v>41891</v>
      </c>
      <c r="I73" s="23">
        <v>2</v>
      </c>
      <c r="J73" s="22">
        <v>450960276</v>
      </c>
      <c r="K73" s="21"/>
      <c r="L73" s="21" t="s">
        <v>2981</v>
      </c>
      <c r="M73" s="21" t="s">
        <v>2957</v>
      </c>
      <c r="N73" s="21" t="s">
        <v>2958</v>
      </c>
      <c r="O73" s="25" t="str">
        <f>HYPERLINK("http://worldwide.espacenet.com/publicationDetails/biblio?DB=EPODOC&amp;adjacent=true&amp;locale=en_EP&amp;FT=D&amp;CC=CN&amp;NR=105457569A&amp;KC=A","CN105457569.A")</f>
        <v>CN105457569.A</v>
      </c>
      <c r="P73" s="25" t="str">
        <f>HYPERLINK("http://worldwide.espacenet.com/publicationDetails/biblio?DB=EPODOC&amp;adjacent=true&amp;locale=en_EP&amp;FT=D&amp;CC=CN&amp;NR=105457569A&amp;KC=A","CN105457569.A")</f>
        <v>CN105457569.A</v>
      </c>
      <c r="Q73" s="26" t="str">
        <f>HYPERLINK("http://worldwide.espacenet.com/publicationDetails/biblio?DB=EPODOC&amp;adjacent=true&amp;locale=en_EP&amp;FT=D&amp;CC=CN&amp;NR=105457569B&amp;KC=B","CN105457569.B")</f>
        <v>CN105457569.B</v>
      </c>
    </row>
    <row r="74" spans="1:61" ht="17.100000000000001" customHeight="1" x14ac:dyDescent="0.25">
      <c r="A74" s="16" t="s">
        <v>3149</v>
      </c>
      <c r="B74" s="21" t="s">
        <v>3150</v>
      </c>
      <c r="C74" s="23">
        <v>0.185976177453995</v>
      </c>
      <c r="D74" s="23">
        <v>0.63449597358703602</v>
      </c>
      <c r="E74" s="23">
        <v>0.118001133203506</v>
      </c>
      <c r="F74" s="21">
        <v>0.118001133203506</v>
      </c>
      <c r="G74" s="23">
        <v>0</v>
      </c>
      <c r="H74" s="24">
        <v>41891</v>
      </c>
      <c r="I74" s="23">
        <v>2</v>
      </c>
      <c r="J74" s="22">
        <v>450960278</v>
      </c>
      <c r="K74" s="21"/>
      <c r="L74" s="21" t="s">
        <v>2981</v>
      </c>
      <c r="M74" s="21" t="s">
        <v>2957</v>
      </c>
      <c r="N74" s="21" t="s">
        <v>2958</v>
      </c>
      <c r="O74" s="25" t="str">
        <f>HYPERLINK("http://worldwide.espacenet.com/publicationDetails/biblio?DB=EPODOC&amp;adjacent=true&amp;locale=en_EP&amp;FT=D&amp;CC=CN&amp;NR=105457570A&amp;KC=A","CN105457570.A")</f>
        <v>CN105457570.A</v>
      </c>
      <c r="P74" s="25" t="str">
        <f>HYPERLINK("http://worldwide.espacenet.com/publicationDetails/biblio?DB=EPODOC&amp;adjacent=true&amp;locale=en_EP&amp;FT=D&amp;CC=CN&amp;NR=105457570A&amp;KC=A","CN105457570.A")</f>
        <v>CN105457570.A</v>
      </c>
      <c r="Q74" s="26" t="str">
        <f>HYPERLINK("http://worldwide.espacenet.com/publicationDetails/biblio?DB=EPODOC&amp;adjacent=true&amp;locale=en_EP&amp;FT=D&amp;CC=CN&amp;NR=105457570B&amp;KC=B","CN105457570.B")</f>
        <v>CN105457570.B</v>
      </c>
    </row>
    <row r="75" spans="1:61" ht="17.100000000000001" customHeight="1" x14ac:dyDescent="0.25">
      <c r="A75" s="16" t="s">
        <v>3151</v>
      </c>
      <c r="B75" s="21" t="s">
        <v>3152</v>
      </c>
      <c r="C75" s="23">
        <v>0.17204806208610501</v>
      </c>
      <c r="D75" s="23">
        <v>0.63449597358703602</v>
      </c>
      <c r="E75" s="23">
        <v>0.1091638058424</v>
      </c>
      <c r="F75" s="21">
        <v>0.1091638058424</v>
      </c>
      <c r="G75" s="23">
        <v>0</v>
      </c>
      <c r="H75" s="24">
        <v>41870</v>
      </c>
      <c r="I75" s="23">
        <v>3</v>
      </c>
      <c r="J75" s="22">
        <v>450967064</v>
      </c>
      <c r="K75" s="21"/>
      <c r="L75" s="21" t="s">
        <v>3153</v>
      </c>
      <c r="M75" s="21" t="s">
        <v>2957</v>
      </c>
      <c r="N75" s="21" t="s">
        <v>3013</v>
      </c>
      <c r="O75" s="25" t="str">
        <f>HYPERLINK("http://worldwide.espacenet.com/publicationDetails/biblio?DB=EPODOC&amp;adjacent=true&amp;locale=en_EP&amp;FT=D&amp;CC=CN&amp;NR=105460952A&amp;KC=A","CN105460952.A")</f>
        <v>CN105460952.A</v>
      </c>
      <c r="P75" s="25" t="str">
        <f>HYPERLINK("http://worldwide.espacenet.com/publicationDetails/biblio?DB=EPODOC&amp;adjacent=true&amp;locale=en_EP&amp;FT=D&amp;CC=CN&amp;NR=105460952A&amp;KC=A","CN105460952.A")</f>
        <v>CN105460952.A</v>
      </c>
      <c r="Q75" s="26" t="str">
        <f>HYPERLINK("http://worldwide.espacenet.com/publicationDetails/biblio?DB=EPODOC&amp;adjacent=true&amp;locale=en_EP&amp;FT=D&amp;CC=CN&amp;NR=105460952B&amp;KC=B","CN105460952.B")</f>
        <v>CN105460952.B</v>
      </c>
    </row>
    <row r="76" spans="1:61" ht="17.100000000000001" customHeight="1" x14ac:dyDescent="0.25">
      <c r="A76" s="16" t="s">
        <v>3154</v>
      </c>
      <c r="B76" s="21" t="s">
        <v>3155</v>
      </c>
      <c r="C76" s="23">
        <v>1.1709746122360201</v>
      </c>
      <c r="D76" s="23">
        <v>0.63449597358703602</v>
      </c>
      <c r="E76" s="23">
        <v>0.74297869205474898</v>
      </c>
      <c r="F76" s="21">
        <v>0.74297869205474898</v>
      </c>
      <c r="G76" s="23">
        <v>1</v>
      </c>
      <c r="H76" s="24">
        <v>41891</v>
      </c>
      <c r="I76" s="23">
        <v>1</v>
      </c>
      <c r="J76" s="22">
        <v>450968167</v>
      </c>
      <c r="K76" s="21" t="s">
        <v>3156</v>
      </c>
      <c r="L76" s="21" t="s">
        <v>2981</v>
      </c>
      <c r="M76" s="21" t="s">
        <v>2957</v>
      </c>
      <c r="N76" s="21" t="s">
        <v>2943</v>
      </c>
      <c r="O76" s="25" t="str">
        <f>HYPERLINK("http://worldwide.espacenet.com/publicationDetails/biblio?DB=EPODOC&amp;adjacent=true&amp;locale=en_EP&amp;FT=D&amp;CC=CN&amp;NR=105461497A&amp;KC=A","CN105461497.A")</f>
        <v>CN105461497.A</v>
      </c>
      <c r="P76" s="25" t="str">
        <f>HYPERLINK("http://worldwide.espacenet.com/publicationDetails/biblio?DB=EPODOC&amp;adjacent=true&amp;locale=en_EP&amp;FT=D&amp;CC=CN&amp;NR=105461497A&amp;KC=A","CN105461497.A")</f>
        <v>CN105461497.A</v>
      </c>
      <c r="Q76" s="26" t="str">
        <f>HYPERLINK("http://worldwide.espacenet.com/publicationDetails/biblio?DB=EPODOC&amp;adjacent=true&amp;locale=en_EP&amp;FT=D&amp;CC=CN&amp;NR=105461497B&amp;KC=B","CN105461497.B")</f>
        <v>CN105461497.B</v>
      </c>
      <c r="U76" s="26" t="str">
        <f>HYPERLINK("http://worldwide.espacenet.com/publicationDetails/biblio?DB=EPODOC&amp;adjacent=true&amp;locale=en_EP&amp;FT=D&amp;CC=AU&amp;NR=2011265320A1&amp;KC=A1","AU2011265320.A1")</f>
        <v>AU2011265320.A1</v>
      </c>
      <c r="V76" s="26" t="str">
        <f>HYPERLINK("http://worldwide.espacenet.com/publicationDetails/biblio?DB=EPODOC&amp;adjacent=true&amp;locale=en_EP&amp;FT=D&amp;CC=AU&amp;NR=2011265320B2&amp;KC=B2","AU2011265320.B2")</f>
        <v>AU2011265320.B2</v>
      </c>
      <c r="W76" s="26" t="str">
        <f>HYPERLINK("http://worldwide.espacenet.com/publicationDetails/biblio?DB=EPODOC&amp;adjacent=true&amp;locale=en_EP&amp;FT=D&amp;CC=BR&amp;NR=PI0714928A2&amp;KC=A2","BRPI0714928.A2")</f>
        <v>BRPI0714928.A2</v>
      </c>
      <c r="X76" s="26" t="str">
        <f>HYPERLINK("http://worldwide.espacenet.com/publicationDetails/biblio?DB=EPODOC&amp;adjacent=true&amp;locale=en_EP&amp;FT=D&amp;CC=CA&amp;NR=2657528A1&amp;KC=A1","CA2657528.A1")</f>
        <v>CA2657528.A1</v>
      </c>
      <c r="Y76" s="26" t="str">
        <f>HYPERLINK("http://worldwide.espacenet.com/publicationDetails/biblio?DB=EPODOC&amp;adjacent=true&amp;locale=en_EP&amp;FT=D&amp;CC=CA&amp;NR=2657528C&amp;KC=C","CA2657528.C")</f>
        <v>CA2657528.C</v>
      </c>
      <c r="Z76" s="26" t="str">
        <f>HYPERLINK("http://worldwide.espacenet.com/publicationDetails/biblio?DB=EPODOC&amp;adjacent=true&amp;locale=en_EP&amp;FT=D&amp;CC=CN&amp;NR=101506333A&amp;KC=A","CN101506333.A")</f>
        <v>CN101506333.A</v>
      </c>
      <c r="AA76" s="26" t="str">
        <f>HYPERLINK("http://worldwide.espacenet.com/publicationDetails/biblio?DB=EPODOC&amp;adjacent=true&amp;locale=en_EP&amp;FT=D&amp;CC=CN&amp;NR=101506333B&amp;KC=B","CN101506333.B")</f>
        <v>CN101506333.B</v>
      </c>
      <c r="AB76" s="26" t="str">
        <f>HYPERLINK("http://worldwide.espacenet.com/publicationDetails/biblio?DB=EPODOC&amp;adjacent=true&amp;locale=en_EP&amp;FT=D&amp;CC=CN&amp;NR=102732293A&amp;KC=A","CN102732293.A")</f>
        <v>CN102732293.A</v>
      </c>
      <c r="AC76" s="26" t="str">
        <f>HYPERLINK("http://worldwide.espacenet.com/publicationDetails/biblio?DB=EPODOC&amp;adjacent=true&amp;locale=en_EP&amp;FT=D&amp;CC=CN&amp;NR=102732293B&amp;KC=B","CN102732293.B")</f>
        <v>CN102732293.B</v>
      </c>
      <c r="AD76" s="26" t="str">
        <f>HYPERLINK("http://worldwide.espacenet.com/publicationDetails/biblio?DB=EPODOC&amp;adjacent=true&amp;locale=en_EP&amp;FT=D&amp;CC=CN&amp;NR=103725315A&amp;KC=A","CN103725315.A")</f>
        <v>CN103725315.A</v>
      </c>
      <c r="AE76" s="26" t="str">
        <f>HYPERLINK("http://worldwide.espacenet.com/publicationDetails/biblio?DB=EPODOC&amp;adjacent=true&amp;locale=en_EP&amp;FT=D&amp;CC=CN&amp;NR=103725315B&amp;KC=B","CN103725315.B")</f>
        <v>CN103725315.B</v>
      </c>
      <c r="AF76" s="26" t="str">
        <f>HYPERLINK("http://worldwide.espacenet.com/publicationDetails/biblio?DB=EPODOC&amp;adjacent=true&amp;locale=en_EP&amp;FT=D&amp;CC=EP&amp;NR=2061861A2&amp;KC=A2","EP2061861.A2")</f>
        <v>EP2061861.A2</v>
      </c>
      <c r="AG76" s="26" t="str">
        <f>HYPERLINK("http://worldwide.espacenet.com/publicationDetails/biblio?DB=EPODOC&amp;adjacent=true&amp;locale=en_EP&amp;FT=D&amp;CC=EP&amp;NR=2061861B1&amp;KC=B1","EP2061861.B1")</f>
        <v>EP2061861.B1</v>
      </c>
      <c r="AH76" s="26" t="str">
        <f>HYPERLINK("http://worldwide.espacenet.com/publicationDetails/biblio?DB=EPODOC&amp;adjacent=true&amp;locale=en_EP&amp;FT=D&amp;CC=EP&amp;NR=2383326A2&amp;KC=A2","EP2383326.A2")</f>
        <v>EP2383326.A2</v>
      </c>
      <c r="AI76" s="26" t="str">
        <f>HYPERLINK("http://worldwide.espacenet.com/publicationDetails/biblio?DB=EPODOC&amp;adjacent=true&amp;locale=en_EP&amp;FT=D&amp;CC=EP&amp;NR=2383326A3&amp;KC=A3","EP2383326.A3")</f>
        <v>EP2383326.A3</v>
      </c>
      <c r="AJ76" s="26" t="str">
        <f>HYPERLINK("http://worldwide.espacenet.com/publicationDetails/biblio?DB=EPODOC&amp;adjacent=true&amp;locale=en_EP&amp;FT=D&amp;CC=EP&amp;NR=2383326B1&amp;KC=B1","EP2383326.B1")</f>
        <v>EP2383326.B1</v>
      </c>
      <c r="AK76" s="26" t="str">
        <f>HYPERLINK("http://worldwide.espacenet.com/publicationDetails/biblio?DB=EPODOC&amp;adjacent=true&amp;locale=en_EP&amp;FT=D&amp;CC=ES&amp;NR=2664980T3&amp;KC=T3","ES2664980.T3")</f>
        <v>ES2664980.T3</v>
      </c>
      <c r="AL76" s="26" t="str">
        <f>HYPERLINK("http://worldwide.espacenet.com/publicationDetails/biblio?DB=EPODOC&amp;adjacent=true&amp;locale=en_EP&amp;FT=D&amp;CC=ES&amp;NR=2665037T3&amp;KC=T3","ES2665037.T3")</f>
        <v>ES2665037.T3</v>
      </c>
      <c r="AM76" s="26" t="str">
        <f>HYPERLINK("http://worldwide.espacenet.com/publicationDetails/biblio?DB=EPODOC&amp;adjacent=true&amp;locale=en_EP&amp;FT=D&amp;CC=JP&amp;NR=2009544739A&amp;KC=A","JP2009544739.A")</f>
        <v>JP2009544739.A</v>
      </c>
      <c r="AN76" s="26" t="str">
        <f>HYPERLINK("http://worldwide.espacenet.com/publicationDetails/biblio?DB=EPODOC&amp;adjacent=true&amp;locale=en_EP&amp;FT=D&amp;CC=JP&amp;NR=2013216910A&amp;KC=A","JP2013216910.A")</f>
        <v>JP2013216910.A</v>
      </c>
      <c r="AO76" s="26" t="str">
        <f>HYPERLINK("http://worldwide.espacenet.com/publicationDetails/biblio?DB=EPODOC&amp;adjacent=true&amp;locale=en_EP&amp;FT=D&amp;CC=JP&amp;NR=5702535B2&amp;KC=B2","JP5702535.B2")</f>
        <v>JP5702535.B2</v>
      </c>
      <c r="AP76" s="26" t="str">
        <f>HYPERLINK("http://worldwide.espacenet.com/publicationDetails/biblio?DB=EPODOC&amp;adjacent=true&amp;locale=en_EP&amp;FT=D&amp;CC=JP&amp;NR=5762477B2&amp;KC=B2","JP5762477.B2")</f>
        <v>JP5762477.B2</v>
      </c>
      <c r="AQ76" s="26" t="str">
        <f>HYPERLINK("http://worldwide.espacenet.com/publicationDetails/biblio?DB=EPODOC&amp;adjacent=true&amp;locale=en_EP&amp;FT=D&amp;CC=KR&amp;NR=101454494B1&amp;KC=B1","KR101454494.B1")</f>
        <v>KR101454494.B1</v>
      </c>
      <c r="AR76" s="26" t="str">
        <f>HYPERLINK("http://worldwide.espacenet.com/publicationDetails/biblio?DB=EPODOC&amp;adjacent=true&amp;locale=en_EP&amp;FT=D&amp;CC=KR&amp;NR=20090040455A&amp;KC=A","KR20090040455.A")</f>
        <v>KR20090040455.A</v>
      </c>
      <c r="AS76" s="26" t="str">
        <f>HYPERLINK("http://worldwide.espacenet.com/publicationDetails/biblio?DB=EPODOC&amp;adjacent=true&amp;locale=en_EP&amp;FT=D&amp;CC=MX&amp;NR=2009000972A&amp;KC=A","MX2009000972.A")</f>
        <v>MX2009000972.A</v>
      </c>
      <c r="AT76" s="26" t="str">
        <f>HYPERLINK("http://worldwide.espacenet.com/publicationDetails/biblio?DB=EPODOC&amp;adjacent=true&amp;locale=en_EP&amp;FT=D&amp;CC=MY&amp;NR=158681A&amp;KC=A","MY158681.A")</f>
        <v>MY158681.A</v>
      </c>
      <c r="AU76" s="26" t="str">
        <f>HYPERLINK("http://worldwide.espacenet.com/publicationDetails/biblio?DB=EPODOC&amp;adjacent=true&amp;locale=en_EP&amp;FT=D&amp;CC=MY&amp;NR=159545A&amp;KC=A","MY159545.A")</f>
        <v>MY159545.A</v>
      </c>
      <c r="AV76" s="26" t="str">
        <f>HYPERLINK("http://worldwide.espacenet.com/publicationDetails/biblio?DB=EPODOC&amp;adjacent=true&amp;locale=en_EP&amp;FT=D&amp;CC=PL&amp;NR=2061861T3&amp;KC=T3","PL2061861.T3")</f>
        <v>PL2061861.T3</v>
      </c>
      <c r="AW76" s="26" t="str">
        <f>HYPERLINK("http://worldwide.espacenet.com/publicationDetails/biblio?DB=EPODOC&amp;adjacent=true&amp;locale=en_EP&amp;FT=D&amp;CC=RU&amp;NR=2009107177A&amp;KC=A","RU2009107177.A")</f>
        <v>RU2009107177.A</v>
      </c>
      <c r="AX76" s="26" t="str">
        <f>HYPERLINK("http://worldwide.espacenet.com/publicationDetails/biblio?DB=EPODOC&amp;adjacent=true&amp;locale=en_EP&amp;FT=D&amp;CC=RU&amp;NR=2476412C2&amp;KC=C2","RU2476412.C2")</f>
        <v>RU2476412.C2</v>
      </c>
      <c r="AY76" s="26" t="str">
        <f>HYPERLINK("http://worldwide.espacenet.com/publicationDetails/biblio?DB=EPODOC&amp;adjacent=true&amp;locale=en_EP&amp;FT=D&amp;CC=TW&amp;NR=200815580A&amp;KC=A","TW200815580.A")</f>
        <v>TW200815580.A</v>
      </c>
      <c r="AZ76" s="26" t="str">
        <f>HYPERLINK("http://worldwide.espacenet.com/publicationDetails/biblio?DB=EPODOC&amp;adjacent=true&amp;locale=en_EP&amp;FT=D&amp;CC=TW&amp;NR=I443184B&amp;KC=B","TWI443184.B")</f>
        <v>TWI443184.B</v>
      </c>
      <c r="BA76" s="26" t="str">
        <f>HYPERLINK("http://worldwide.espacenet.com/publicationDetails/biblio?DB=EPODOC&amp;adjacent=true&amp;locale=en_EP&amp;FT=D&amp;CC=US&amp;NR=2008027255A1&amp;KC=A1","US2008027255.A1")</f>
        <v>US2008027255.A1</v>
      </c>
      <c r="BB76" s="26" t="str">
        <f>HYPERLINK("http://worldwide.espacenet.com/publicationDetails/biblio?DB=EPODOC&amp;adjacent=true&amp;locale=en_EP&amp;FT=D&amp;CC=US&amp;NR=2011184217A1&amp;KC=A1","US2011184217.A1")</f>
        <v>US2011184217.A1</v>
      </c>
      <c r="BC76" s="26" t="str">
        <f>HYPERLINK("http://worldwide.espacenet.com/publicationDetails/biblio?DB=EPODOC&amp;adjacent=true&amp;locale=en_EP&amp;FT=D&amp;CC=US&amp;NR=2011190559A1&amp;KC=A1","US2011190559.A1")</f>
        <v>US2011190559.A1</v>
      </c>
      <c r="BD76" s="26" t="str">
        <f>HYPERLINK("http://worldwide.espacenet.com/publicationDetails/biblio?DB=EPODOC&amp;adjacent=true&amp;locale=en_EP&amp;FT=D&amp;CC=US&amp;NR=7932425B2&amp;KC=B2","US7932425.B2")</f>
        <v>US7932425.B2</v>
      </c>
      <c r="BE76" s="26" t="str">
        <f>HYPERLINK("http://worldwide.espacenet.com/publicationDetails/biblio?DB=EPODOC&amp;adjacent=true&amp;locale=en_EP&amp;FT=D&amp;CC=US&amp;NR=8362310B2&amp;KC=B2","US8362310.B2")</f>
        <v>US8362310.B2</v>
      </c>
      <c r="BF76" s="26" t="str">
        <f>HYPERLINK("http://worldwide.espacenet.com/publicationDetails/biblio?DB=EPODOC&amp;adjacent=true&amp;locale=en_EP&amp;FT=D&amp;CC=US&amp;NR=8569555B2&amp;KC=B2","US8569555.B2")</f>
        <v>US8569555.B2</v>
      </c>
      <c r="BG76" s="26" t="str">
        <f>HYPERLINK("http://worldwide.espacenet.com/publicationDetails/biblio?DB=EPODOC&amp;adjacent=true&amp;locale=en_EP&amp;FT=D&amp;CC=WO&amp;NR=2008014428A2&amp;KC=A2","WO2008014428.A2")</f>
        <v>WO2008014428.A2</v>
      </c>
      <c r="BH76" s="26" t="str">
        <f>HYPERLINK("http://worldwide.espacenet.com/publicationDetails/biblio?DB=EPODOC&amp;adjacent=true&amp;locale=en_EP&amp;FT=D&amp;CC=WO&amp;NR=2008014428A3&amp;KC=A3","WO2008014428.A3")</f>
        <v>WO2008014428.A3</v>
      </c>
      <c r="BI76" s="26" t="str">
        <f>HYPERLINK("http://worldwide.espacenet.com/publicationDetails/biblio?DB=EPODOC&amp;adjacent=true&amp;locale=en_EP&amp;FT=D&amp;CC=ZA&amp;NR=200900285B&amp;KC=B","ZA200900285.B")</f>
        <v>ZA200900285.B</v>
      </c>
    </row>
    <row r="77" spans="1:61" ht="17.100000000000001" customHeight="1" x14ac:dyDescent="0.25">
      <c r="A77" s="16" t="s">
        <v>3157</v>
      </c>
      <c r="B77" s="21" t="s">
        <v>3158</v>
      </c>
      <c r="C77" s="23">
        <v>4.0281553268432599</v>
      </c>
      <c r="D77" s="23">
        <v>0.63449597358703602</v>
      </c>
      <c r="E77" s="23">
        <v>2.5558483600616499</v>
      </c>
      <c r="F77" s="21">
        <v>2.5558483600616499</v>
      </c>
      <c r="G77" s="23">
        <v>3</v>
      </c>
      <c r="H77" s="24">
        <v>41984</v>
      </c>
      <c r="I77" s="23">
        <v>2</v>
      </c>
      <c r="J77" s="22">
        <v>457866946</v>
      </c>
      <c r="K77" s="21" t="s">
        <v>3159</v>
      </c>
      <c r="L77" s="21" t="s">
        <v>3160</v>
      </c>
      <c r="M77" s="21" t="s">
        <v>2957</v>
      </c>
      <c r="N77" s="21" t="s">
        <v>2958</v>
      </c>
      <c r="O77" s="25" t="str">
        <f>HYPERLINK("http://worldwide.espacenet.com/publicationDetails/biblio?DB=EPODOC&amp;adjacent=true&amp;locale=en_EP&amp;FT=D&amp;CC=CN&amp;NR=105728018A&amp;KC=A","CN105728018.A")</f>
        <v>CN105728018.A</v>
      </c>
      <c r="P77" s="25" t="str">
        <f>HYPERLINK("http://worldwide.espacenet.com/publicationDetails/biblio?DB=EPODOC&amp;adjacent=true&amp;locale=en_EP&amp;FT=D&amp;CC=CN&amp;NR=105728018A&amp;KC=A","CN105728018.A")</f>
        <v>CN105728018.A</v>
      </c>
      <c r="Q77" s="26" t="str">
        <f>HYPERLINK("http://worldwide.espacenet.com/publicationDetails/biblio?DB=EPODOC&amp;adjacent=true&amp;locale=en_EP&amp;FT=D&amp;CC=CN&amp;NR=105728018B&amp;KC=B","CN105728018.B")</f>
        <v>CN105728018.B</v>
      </c>
      <c r="U77" s="26" t="str">
        <f>HYPERLINK("http://worldwide.espacenet.com/publicationDetails/biblio?DB=EPODOC&amp;adjacent=true&amp;locale=en_EP&amp;FT=D&amp;CC=DE&amp;NR=69718001D1&amp;KC=D1","DE69718001.D1")</f>
        <v>DE69718001.D1</v>
      </c>
      <c r="V77" s="26" t="str">
        <f>HYPERLINK("http://worldwide.espacenet.com/publicationDetails/biblio?DB=EPODOC&amp;adjacent=true&amp;locale=en_EP&amp;FT=D&amp;CC=DE&amp;NR=69718001T2&amp;KC=T2","DE69718001.T2")</f>
        <v>DE69718001.T2</v>
      </c>
      <c r="W77" s="26" t="str">
        <f>HYPERLINK("http://worldwide.espacenet.com/publicationDetails/biblio?DB=EPODOC&amp;adjacent=true&amp;locale=en_EP&amp;FT=D&amp;CC=EP&amp;NR=0913452A1&amp;KC=A1","EP0913452.A1")</f>
        <v>EP0913452.A1</v>
      </c>
      <c r="X77" s="26" t="str">
        <f>HYPERLINK("http://worldwide.espacenet.com/publicationDetails/biblio?DB=EPODOC&amp;adjacent=true&amp;locale=en_EP&amp;FT=D&amp;CC=EP&amp;NR=0913452B1&amp;KC=B1","EP0913452.B1")</f>
        <v>EP0913452.B1</v>
      </c>
      <c r="Y77" s="26" t="str">
        <f>HYPERLINK("http://worldwide.espacenet.com/publicationDetails/biblio?DB=EPODOC&amp;adjacent=true&amp;locale=en_EP&amp;FT=D&amp;CC=ES&amp;NR=2188874T3&amp;KC=T3","ES2188874.T3")</f>
        <v>ES2188874.T3</v>
      </c>
      <c r="Z77" s="26" t="str">
        <f>HYPERLINK("http://worldwide.espacenet.com/publicationDetails/biblio?DB=EPODOC&amp;adjacent=true&amp;locale=en_EP&amp;FT=D&amp;CC=JP&amp;NR=H11172261A&amp;KC=A","JPH11172261.A")</f>
        <v>JPH11172261.A</v>
      </c>
      <c r="AA77" s="26" t="str">
        <f>HYPERLINK("http://worldwide.espacenet.com/publicationDetails/biblio?DB=EPODOC&amp;adjacent=true&amp;locale=en_EP&amp;FT=D&amp;CC=RU&amp;NR=2180346C2&amp;KC=C2","RU2180346.C2")</f>
        <v>RU2180346.C2</v>
      </c>
      <c r="AB77" s="26" t="str">
        <f>HYPERLINK("http://worldwide.espacenet.com/publicationDetails/biblio?DB=EPODOC&amp;adjacent=true&amp;locale=en_EP&amp;FT=D&amp;CC=US&amp;NR=5683573A&amp;KC=A","US5683573.A")</f>
        <v>US5683573.A</v>
      </c>
    </row>
    <row r="78" spans="1:61" ht="17.100000000000001" customHeight="1" x14ac:dyDescent="0.25">
      <c r="A78" s="16" t="s">
        <v>3161</v>
      </c>
      <c r="B78" s="21" t="s">
        <v>3162</v>
      </c>
      <c r="C78" s="23">
        <v>2.69017362594604</v>
      </c>
      <c r="D78" s="23">
        <v>0.63449597358703602</v>
      </c>
      <c r="E78" s="23">
        <v>1.70690429210663</v>
      </c>
      <c r="F78" s="21">
        <v>1.70690429210663</v>
      </c>
      <c r="G78" s="23">
        <v>2</v>
      </c>
      <c r="H78" s="24">
        <v>41984</v>
      </c>
      <c r="I78" s="23">
        <v>2</v>
      </c>
      <c r="J78" s="22">
        <v>457865132</v>
      </c>
      <c r="K78" s="21" t="s">
        <v>3163</v>
      </c>
      <c r="L78" s="21" t="s">
        <v>3160</v>
      </c>
      <c r="M78" s="21" t="s">
        <v>2957</v>
      </c>
      <c r="N78" s="21" t="s">
        <v>2958</v>
      </c>
      <c r="O78" s="25" t="str">
        <f>HYPERLINK("http://worldwide.espacenet.com/publicationDetails/biblio?DB=EPODOC&amp;adjacent=true&amp;locale=en_EP&amp;FT=D&amp;CC=CN&amp;NR=105732251A&amp;KC=A","CN105732251.A")</f>
        <v>CN105732251.A</v>
      </c>
      <c r="P78" s="25" t="str">
        <f>HYPERLINK("http://worldwide.espacenet.com/publicationDetails/biblio?DB=EPODOC&amp;adjacent=true&amp;locale=en_EP&amp;FT=D&amp;CC=CN&amp;NR=105732251A&amp;KC=A","CN105732251.A")</f>
        <v>CN105732251.A</v>
      </c>
      <c r="Q78" s="26" t="str">
        <f>HYPERLINK("http://worldwide.espacenet.com/publicationDetails/biblio?DB=EPODOC&amp;adjacent=true&amp;locale=en_EP&amp;FT=D&amp;CC=CN&amp;NR=105732251B&amp;KC=B","CN105732251.B")</f>
        <v>CN105732251.B</v>
      </c>
    </row>
    <row r="79" spans="1:61" ht="17.100000000000001" customHeight="1" x14ac:dyDescent="0.25">
      <c r="A79" s="16" t="s">
        <v>3164</v>
      </c>
      <c r="B79" s="21" t="s">
        <v>3164</v>
      </c>
      <c r="C79" s="23">
        <v>1.34508681297302</v>
      </c>
      <c r="D79" s="23">
        <v>0.44414699077606201</v>
      </c>
      <c r="E79" s="23">
        <v>0.59741628170013406</v>
      </c>
      <c r="F79" s="21">
        <v>0.59741628170013406</v>
      </c>
      <c r="G79" s="23">
        <v>1</v>
      </c>
      <c r="H79" s="24">
        <v>42404</v>
      </c>
      <c r="I79" s="23">
        <v>2</v>
      </c>
      <c r="J79" s="22">
        <v>458186055</v>
      </c>
      <c r="K79" s="21" t="s">
        <v>3165</v>
      </c>
      <c r="L79" s="21" t="s">
        <v>2976</v>
      </c>
      <c r="M79" s="21" t="s">
        <v>3077</v>
      </c>
      <c r="N79" s="21" t="s">
        <v>2958</v>
      </c>
      <c r="O79" s="25" t="str">
        <f>HYPERLINK("http://worldwide.espacenet.com/publicationDetails/biblio?DB=EPODOC&amp;adjacent=true&amp;locale=en_EP&amp;FT=D&amp;CC=CN&amp;NR=105749958A&amp;KC=A","CN105749958.A")</f>
        <v>CN105749958.A</v>
      </c>
      <c r="P79" s="25" t="str">
        <f>HYPERLINK("http://worldwide.espacenet.com/publicationDetails/biblio?DB=EPODOC&amp;adjacent=true&amp;locale=en_EP&amp;FT=D&amp;CC=CN&amp;NR=105749958A&amp;KC=A","CN105749958.A")</f>
        <v>CN105749958.A</v>
      </c>
    </row>
    <row r="80" spans="1:61" ht="17.100000000000001" customHeight="1" x14ac:dyDescent="0.25">
      <c r="A80" s="16" t="s">
        <v>3166</v>
      </c>
      <c r="B80" s="21" t="s">
        <v>3166</v>
      </c>
      <c r="C80" s="23">
        <v>1.34508681297302</v>
      </c>
      <c r="D80" s="23">
        <v>0.44414699077606201</v>
      </c>
      <c r="E80" s="23">
        <v>0.59741628170013406</v>
      </c>
      <c r="F80" s="21">
        <v>0.59741628170013406</v>
      </c>
      <c r="G80" s="23">
        <v>1</v>
      </c>
      <c r="H80" s="24">
        <v>42489</v>
      </c>
      <c r="I80" s="23">
        <v>2</v>
      </c>
      <c r="J80" s="22">
        <v>469572657</v>
      </c>
      <c r="K80" s="21" t="s">
        <v>3167</v>
      </c>
      <c r="L80" s="21" t="s">
        <v>3168</v>
      </c>
      <c r="M80" s="21" t="s">
        <v>3077</v>
      </c>
      <c r="N80" s="21" t="s">
        <v>2958</v>
      </c>
      <c r="O80" s="25" t="str">
        <f>HYPERLINK("http://worldwide.espacenet.com/publicationDetails/biblio?DB=EPODOC&amp;adjacent=true&amp;locale=en_EP&amp;FT=D&amp;CC=CN&amp;NR=105949019A&amp;KC=A","CN105949019.A")</f>
        <v>CN105949019.A</v>
      </c>
      <c r="P80" s="25" t="str">
        <f>HYPERLINK("http://worldwide.espacenet.com/publicationDetails/biblio?DB=EPODOC&amp;adjacent=true&amp;locale=en_EP&amp;FT=D&amp;CC=CN&amp;NR=105949019A&amp;KC=A","CN105949019.A")</f>
        <v>CN105949019.A</v>
      </c>
      <c r="U80" s="26" t="str">
        <f>HYPERLINK("http://worldwide.espacenet.com/publicationDetails/biblio?DB=EPODOC&amp;adjacent=true&amp;locale=en_EP&amp;FT=D&amp;CC=DE&amp;NR=2408695B2&amp;KC=B2","DE2408695.B2")</f>
        <v>DE2408695.B2</v>
      </c>
      <c r="V80" s="26" t="str">
        <f>HYPERLINK("http://worldwide.espacenet.com/publicationDetails/biblio?DB=EPODOC&amp;adjacent=true&amp;locale=en_EP&amp;FT=D&amp;CC=ES&amp;NR=424003A1&amp;KC=A1","ES424003.A1")</f>
        <v>ES424003.A1</v>
      </c>
      <c r="W80" s="26" t="str">
        <f>HYPERLINK("http://worldwide.espacenet.com/publicationDetails/biblio?DB=EPODOC&amp;adjacent=true&amp;locale=en_EP&amp;FT=D&amp;CC=FI&amp;NR=50715B&amp;KC=B","FI50715.B")</f>
        <v>FI50715.B</v>
      </c>
      <c r="X80" s="26" t="str">
        <f>HYPERLINK("http://worldwide.espacenet.com/publicationDetails/biblio?DB=EPODOC&amp;adjacent=true&amp;locale=en_EP&amp;FT=D&amp;CC=FI&amp;NR=50715C&amp;KC=C","FI50715.C")</f>
        <v>FI50715.C</v>
      </c>
      <c r="Y80" s="26" t="str">
        <f>HYPERLINK("http://worldwide.espacenet.com/publicationDetails/biblio?DB=EPODOC&amp;adjacent=true&amp;locale=en_EP&amp;FT=D&amp;CC=GB&amp;NR=1466182A&amp;KC=A","GB1466182.A")</f>
        <v>GB1466182.A</v>
      </c>
      <c r="Z80" s="26" t="str">
        <f>HYPERLINK("http://worldwide.espacenet.com/publicationDetails/biblio?DB=EPODOC&amp;adjacent=true&amp;locale=en_EP&amp;FT=D&amp;CC=IT&amp;NR=1008939B&amp;KC=B","IT1008939.B")</f>
        <v>IT1008939.B</v>
      </c>
      <c r="AA80" s="26" t="str">
        <f>HYPERLINK("http://worldwide.espacenet.com/publicationDetails/biblio?DB=EPODOC&amp;adjacent=true&amp;locale=en_EP&amp;FT=D&amp;CC=JP&amp;NR=S5025426A&amp;KC=A","JPS5025426.A")</f>
        <v>JPS5025426.A</v>
      </c>
      <c r="AB80" s="26" t="str">
        <f>HYPERLINK("http://worldwide.espacenet.com/publicationDetails/biblio?DB=EPODOC&amp;adjacent=true&amp;locale=en_EP&amp;FT=D&amp;CC=JP&amp;NR=S5857494B2&amp;KC=B2","JPS5857494.B2")</f>
        <v>JPS5857494.B2</v>
      </c>
      <c r="AC80" s="26" t="str">
        <f>HYPERLINK("http://worldwide.espacenet.com/publicationDetails/biblio?DB=EPODOC&amp;adjacent=true&amp;locale=en_EP&amp;FT=D&amp;CC=NL&amp;NR=183531B&amp;KC=B","NL183531.B")</f>
        <v>NL183531.B</v>
      </c>
      <c r="AD80" s="26" t="str">
        <f>HYPERLINK("http://worldwide.espacenet.com/publicationDetails/biblio?DB=EPODOC&amp;adjacent=true&amp;locale=en_EP&amp;FT=D&amp;CC=NL&amp;NR=183531C&amp;KC=C","NL183531.C")</f>
        <v>NL183531.C</v>
      </c>
      <c r="AE80" s="26" t="str">
        <f>HYPERLINK("http://worldwide.espacenet.com/publicationDetails/biblio?DB=EPODOC&amp;adjacent=true&amp;locale=en_EP&amp;FT=D&amp;CC=NL&amp;NR=7402594A&amp;KC=A","NL7402594.A")</f>
        <v>NL7402594.A</v>
      </c>
      <c r="AF80" s="26" t="str">
        <f>HYPERLINK("http://worldwide.espacenet.com/publicationDetails/biblio?DB=EPODOC&amp;adjacent=true&amp;locale=en_EP&amp;FT=D&amp;CC=NO&amp;NR=136847B&amp;KC=B","NO136847.B")</f>
        <v>NO136847.B</v>
      </c>
      <c r="AG80" s="26" t="str">
        <f>HYPERLINK("http://worldwide.espacenet.com/publicationDetails/biblio?DB=EPODOC&amp;adjacent=true&amp;locale=en_EP&amp;FT=D&amp;CC=NO&amp;NR=136847C&amp;KC=C","NO136847.C")</f>
        <v>NO136847.C</v>
      </c>
      <c r="AH80" s="26" t="str">
        <f>HYPERLINK("http://worldwide.espacenet.com/publicationDetails/biblio?DB=EPODOC&amp;adjacent=true&amp;locale=en_EP&amp;FT=D&amp;CC=US&amp;NR=3954452A&amp;KC=A","US3954452.A")</f>
        <v>US3954452.A</v>
      </c>
    </row>
    <row r="81" spans="1:123" ht="17.100000000000001" customHeight="1" x14ac:dyDescent="0.25">
      <c r="A81" s="16" t="s">
        <v>3169</v>
      </c>
      <c r="B81" s="21" t="s">
        <v>3170</v>
      </c>
      <c r="C81" s="23">
        <v>0.18591472506523099</v>
      </c>
      <c r="D81" s="23">
        <v>0.63449597358703602</v>
      </c>
      <c r="E81" s="23">
        <v>0.117962144315243</v>
      </c>
      <c r="F81" s="21">
        <v>0.117962144315243</v>
      </c>
      <c r="G81" s="23">
        <v>0</v>
      </c>
      <c r="H81" s="24">
        <v>42549</v>
      </c>
      <c r="I81" s="23">
        <v>2</v>
      </c>
      <c r="J81" s="22">
        <v>470469684</v>
      </c>
      <c r="K81" s="21"/>
      <c r="L81" s="21" t="s">
        <v>3171</v>
      </c>
      <c r="M81" s="21" t="s">
        <v>2957</v>
      </c>
      <c r="N81" s="21" t="s">
        <v>2958</v>
      </c>
      <c r="O81" s="25" t="str">
        <f>HYPERLINK("http://worldwide.espacenet.com/publicationDetails/biblio?DB=EPODOC&amp;adjacent=true&amp;locale=en_EP&amp;FT=D&amp;CC=CN&amp;NR=106000452A&amp;KC=A","CN106000452.A")</f>
        <v>CN106000452.A</v>
      </c>
      <c r="P81" s="25" t="str">
        <f>HYPERLINK("http://worldwide.espacenet.com/publicationDetails/biblio?DB=EPODOC&amp;adjacent=true&amp;locale=en_EP&amp;FT=D&amp;CC=CN&amp;NR=106000452A&amp;KC=A","CN106000452.A")</f>
        <v>CN106000452.A</v>
      </c>
      <c r="Q81" s="26" t="str">
        <f>HYPERLINK("http://worldwide.espacenet.com/publicationDetails/biblio?DB=EPODOC&amp;adjacent=true&amp;locale=en_EP&amp;FT=D&amp;CC=CN&amp;NR=106000452B&amp;KC=B","CN106000452.B")</f>
        <v>CN106000452.B</v>
      </c>
    </row>
    <row r="82" spans="1:123" ht="17.100000000000001" customHeight="1" x14ac:dyDescent="0.25">
      <c r="A82" s="16" t="s">
        <v>3172</v>
      </c>
      <c r="B82" s="21" t="s">
        <v>3172</v>
      </c>
      <c r="C82" s="23">
        <v>0.17790102958679199</v>
      </c>
      <c r="D82" s="23">
        <v>0.44414699077606201</v>
      </c>
      <c r="E82" s="23">
        <v>7.9014204442501096E-2</v>
      </c>
      <c r="F82" s="21">
        <v>7.9014204442501096E-2</v>
      </c>
      <c r="G82" s="23">
        <v>0</v>
      </c>
      <c r="H82" s="24">
        <v>42529</v>
      </c>
      <c r="I82" s="23">
        <v>3</v>
      </c>
      <c r="J82" s="22">
        <v>471344222</v>
      </c>
      <c r="K82" s="21"/>
      <c r="L82" s="21" t="s">
        <v>2956</v>
      </c>
      <c r="M82" s="21" t="s">
        <v>3077</v>
      </c>
      <c r="N82" s="21" t="s">
        <v>3013</v>
      </c>
      <c r="O82" s="25" t="str">
        <f>HYPERLINK("http://worldwide.espacenet.com/publicationDetails/biblio?DB=EPODOC&amp;adjacent=true&amp;locale=en_EP&amp;FT=D&amp;CC=CN&amp;NR=106082264A&amp;KC=A","CN106082264.A")</f>
        <v>CN106082264.A</v>
      </c>
      <c r="P82" s="25" t="str">
        <f>HYPERLINK("http://worldwide.espacenet.com/publicationDetails/biblio?DB=EPODOC&amp;adjacent=true&amp;locale=en_EP&amp;FT=D&amp;CC=CN&amp;NR=106082264A&amp;KC=A","CN106082264.A")</f>
        <v>CN106082264.A</v>
      </c>
      <c r="U82" s="26" t="str">
        <f>HYPERLINK("http://worldwide.espacenet.com/publicationDetails/biblio?DB=EPODOC&amp;adjacent=true&amp;locale=en_EP&amp;FT=D&amp;CC=EP&amp;NR=0509162A1&amp;KC=A1","EP0509162.A1")</f>
        <v>EP0509162.A1</v>
      </c>
      <c r="V82" s="26" t="str">
        <f>HYPERLINK("http://worldwide.espacenet.com/publicationDetails/biblio?DB=EPODOC&amp;adjacent=true&amp;locale=en_EP&amp;FT=D&amp;CC=EP&amp;NR=0509162B1&amp;KC=B1","EP0509162.B1")</f>
        <v>EP0509162.B1</v>
      </c>
      <c r="W82" s="26" t="str">
        <f>HYPERLINK("http://worldwide.espacenet.com/publicationDetails/biblio?DB=EPODOC&amp;adjacent=true&amp;locale=en_EP&amp;FT=D&amp;CC=JP&amp;NR=H05132677A&amp;KC=A","JPH05132677.A")</f>
        <v>JPH05132677.A</v>
      </c>
      <c r="X82" s="26" t="str">
        <f>HYPERLINK("http://worldwide.espacenet.com/publicationDetails/biblio?DB=EPODOC&amp;adjacent=true&amp;locale=en_EP&amp;FT=D&amp;CC=US&amp;NR=5013329A&amp;KC=A","US5013329.A")</f>
        <v>US5013329.A</v>
      </c>
    </row>
    <row r="83" spans="1:123" ht="17.100000000000001" customHeight="1" x14ac:dyDescent="0.25">
      <c r="A83" s="16" t="s">
        <v>3173</v>
      </c>
      <c r="B83" s="21" t="s">
        <v>3174</v>
      </c>
      <c r="C83" s="23">
        <v>0.20336686074733701</v>
      </c>
      <c r="D83" s="23">
        <v>0.63449597358703602</v>
      </c>
      <c r="E83" s="23">
        <v>0.12903545796871199</v>
      </c>
      <c r="F83" s="21">
        <v>0.12903545796871199</v>
      </c>
      <c r="G83" s="23">
        <v>0</v>
      </c>
      <c r="H83" s="24">
        <v>42202</v>
      </c>
      <c r="I83" s="23">
        <v>1</v>
      </c>
      <c r="J83" s="22">
        <v>474357752</v>
      </c>
      <c r="K83" s="21"/>
      <c r="L83" s="21" t="s">
        <v>2981</v>
      </c>
      <c r="M83" s="21" t="s">
        <v>2957</v>
      </c>
      <c r="N83" s="21" t="s">
        <v>2943</v>
      </c>
      <c r="O83" s="25" t="str">
        <f>HYPERLINK("http://worldwide.espacenet.com/publicationDetails/biblio?DB=EPODOC&amp;adjacent=true&amp;locale=en_EP&amp;FT=D&amp;CC=CN&amp;NR=106336339A&amp;KC=A","CN106336339.A")</f>
        <v>CN106336339.A</v>
      </c>
      <c r="P83" s="25" t="str">
        <f>HYPERLINK("http://worldwide.espacenet.com/publicationDetails/biblio?DB=EPODOC&amp;adjacent=true&amp;locale=en_EP&amp;FT=D&amp;CC=CN&amp;NR=106336339A&amp;KC=A","CN106336339.A")</f>
        <v>CN106336339.A</v>
      </c>
      <c r="Q83" s="26" t="str">
        <f>HYPERLINK("http://worldwide.espacenet.com/publicationDetails/biblio?DB=EPODOC&amp;adjacent=true&amp;locale=en_EP&amp;FT=D&amp;CC=CN&amp;NR=106336339B&amp;KC=B","CN106336339.B")</f>
        <v>CN106336339.B</v>
      </c>
    </row>
    <row r="84" spans="1:123" ht="17.100000000000001" customHeight="1" x14ac:dyDescent="0.25">
      <c r="A84" s="16" t="s">
        <v>3175</v>
      </c>
      <c r="B84" s="21" t="s">
        <v>3175</v>
      </c>
      <c r="C84" s="23">
        <v>0.73159933090210005</v>
      </c>
      <c r="D84" s="23">
        <v>0.44414699077606201</v>
      </c>
      <c r="E84" s="23">
        <v>0.32493764162063599</v>
      </c>
      <c r="F84" s="21">
        <v>0.32493764162063599</v>
      </c>
      <c r="G84" s="23">
        <v>0</v>
      </c>
      <c r="H84" s="24">
        <v>42221</v>
      </c>
      <c r="I84" s="23">
        <v>1</v>
      </c>
      <c r="J84" s="22">
        <v>475613404</v>
      </c>
      <c r="K84" s="21"/>
      <c r="L84" s="21" t="s">
        <v>3160</v>
      </c>
      <c r="M84" s="21" t="s">
        <v>3077</v>
      </c>
      <c r="N84" s="21" t="s">
        <v>2943</v>
      </c>
      <c r="O84" s="25" t="str">
        <f>HYPERLINK("http://worldwide.espacenet.com/publicationDetails/biblio?DB=EPODOC&amp;adjacent=true&amp;locale=en_EP&amp;FT=D&amp;CC=CN&amp;NR=106431808A&amp;KC=A","CN106431808.A")</f>
        <v>CN106431808.A</v>
      </c>
      <c r="P84" s="25" t="str">
        <f>HYPERLINK("http://worldwide.espacenet.com/publicationDetails/biblio?DB=EPODOC&amp;adjacent=true&amp;locale=en_EP&amp;FT=D&amp;CC=CN&amp;NR=106431808A&amp;KC=A","CN106431808.A")</f>
        <v>CN106431808.A</v>
      </c>
      <c r="U84" s="26" t="str">
        <f>HYPERLINK("http://worldwide.espacenet.com/publicationDetails/biblio?DB=EPODOC&amp;adjacent=true&amp;locale=en_EP&amp;FT=D&amp;CC=AU&amp;NR=2001274938C1&amp;KC=C1","AU2001274938.C1")</f>
        <v>AU2001274938.C1</v>
      </c>
      <c r="V84" s="26" t="str">
        <f>HYPERLINK("http://worldwide.espacenet.com/publicationDetails/biblio?DB=EPODOC&amp;adjacent=true&amp;locale=en_EP&amp;FT=D&amp;CC=AU&amp;NR=7493801A&amp;KC=A","AU7493801.A")</f>
        <v>AU7493801.A</v>
      </c>
      <c r="W84" s="26" t="str">
        <f>HYPERLINK("http://worldwide.espacenet.com/publicationDetails/biblio?DB=EPODOC&amp;adjacent=true&amp;locale=en_EP&amp;FT=D&amp;CC=BR&amp;NR=0111116A&amp;KC=A","BR0111116.A")</f>
        <v>BR0111116.A</v>
      </c>
      <c r="X84" s="26" t="str">
        <f>HYPERLINK("http://worldwide.espacenet.com/publicationDetails/biblio?DB=EPODOC&amp;adjacent=true&amp;locale=en_EP&amp;FT=D&amp;CC=BR&amp;NR=0111116B1&amp;KC=B1","BR0111116.B1")</f>
        <v>BR0111116.B1</v>
      </c>
      <c r="Y84" s="26" t="str">
        <f>HYPERLINK("http://worldwide.espacenet.com/publicationDetails/biblio?DB=EPODOC&amp;adjacent=true&amp;locale=en_EP&amp;FT=D&amp;CC=CA&amp;NR=2411468A1&amp;KC=A1","CA2411468.A1")</f>
        <v>CA2411468.A1</v>
      </c>
      <c r="Z84" s="26" t="str">
        <f>HYPERLINK("http://worldwide.espacenet.com/publicationDetails/biblio?DB=EPODOC&amp;adjacent=true&amp;locale=en_EP&amp;FT=D&amp;CC=CA&amp;NR=2411468C&amp;KC=C","CA2411468.C")</f>
        <v>CA2411468.C</v>
      </c>
      <c r="AA84" s="26" t="str">
        <f>HYPERLINK("http://worldwide.espacenet.com/publicationDetails/biblio?DB=EPODOC&amp;adjacent=true&amp;locale=en_EP&amp;FT=D&amp;CC=CN&amp;NR=100423721C&amp;KC=C","CN100423721.C")</f>
        <v>CN100423721.C</v>
      </c>
      <c r="AB84" s="26" t="str">
        <f>HYPERLINK("http://worldwide.espacenet.com/publicationDetails/biblio?DB=EPODOC&amp;adjacent=true&amp;locale=en_EP&amp;FT=D&amp;CC=CN&amp;NR=101342169A&amp;KC=A","CN101342169.A")</f>
        <v>CN101342169.A</v>
      </c>
      <c r="AC84" s="26" t="str">
        <f>HYPERLINK("http://worldwide.espacenet.com/publicationDetails/biblio?DB=EPODOC&amp;adjacent=true&amp;locale=en_EP&amp;FT=D&amp;CC=CN&amp;NR=101343250A&amp;KC=A","CN101343250.A")</f>
        <v>CN101343250.A</v>
      </c>
      <c r="AD84" s="26" t="str">
        <f>HYPERLINK("http://worldwide.espacenet.com/publicationDetails/biblio?DB=EPODOC&amp;adjacent=true&amp;locale=en_EP&amp;FT=D&amp;CC=CN&amp;NR=101343250B&amp;KC=B","CN101343250.B")</f>
        <v>CN101343250.B</v>
      </c>
      <c r="AE84" s="26" t="str">
        <f>HYPERLINK("http://worldwide.espacenet.com/publicationDetails/biblio?DB=EPODOC&amp;adjacent=true&amp;locale=en_EP&amp;FT=D&amp;CC=CN&amp;NR=101343251A&amp;KC=A","CN101343251.A")</f>
        <v>CN101343251.A</v>
      </c>
      <c r="AF84" s="26" t="str">
        <f>HYPERLINK("http://worldwide.espacenet.com/publicationDetails/biblio?DB=EPODOC&amp;adjacent=true&amp;locale=en_EP&amp;FT=D&amp;CC=CN&amp;NR=101343251B&amp;KC=B","CN101343251.B")</f>
        <v>CN101343251.B</v>
      </c>
      <c r="AG84" s="26" t="str">
        <f>HYPERLINK("http://worldwide.espacenet.com/publicationDetails/biblio?DB=EPODOC&amp;adjacent=true&amp;locale=en_EP&amp;FT=D&amp;CC=CN&amp;NR=1444477A&amp;KC=A","CN1444477.A")</f>
        <v>CN1444477.A</v>
      </c>
      <c r="AH84" s="26" t="str">
        <f>HYPERLINK("http://worldwide.espacenet.com/publicationDetails/biblio?DB=EPODOC&amp;adjacent=true&amp;locale=en_EP&amp;FT=D&amp;CC=CY&amp;NR=1109435T1&amp;KC=T1","CY1109435.T1")</f>
        <v>CY1109435.T1</v>
      </c>
      <c r="AI84" s="26" t="str">
        <f>HYPERLINK("http://worldwide.espacenet.com/publicationDetails/biblio?DB=EPODOC&amp;adjacent=true&amp;locale=en_EP&amp;FT=D&amp;CC=CY&amp;NR=1109730T1&amp;KC=T1","CY1109730.T1")</f>
        <v>CY1109730.T1</v>
      </c>
      <c r="AJ84" s="26" t="str">
        <f>HYPERLINK("http://worldwide.espacenet.com/publicationDetails/biblio?DB=EPODOC&amp;adjacent=true&amp;locale=en_EP&amp;FT=D&amp;CC=CZ&amp;NR=20023852A3&amp;KC=A3","CZ20023852.A3")</f>
        <v>CZ20023852.A3</v>
      </c>
      <c r="AK84" s="26" t="str">
        <f>HYPERLINK("http://worldwide.espacenet.com/publicationDetails/biblio?DB=EPODOC&amp;adjacent=true&amp;locale=en_EP&amp;FT=D&amp;CC=CZ&amp;NR=303176B6&amp;KC=B6","CZ303176.B6")</f>
        <v>CZ303176.B6</v>
      </c>
      <c r="AL84" s="26" t="str">
        <f>HYPERLINK("http://worldwide.espacenet.com/publicationDetails/biblio?DB=EPODOC&amp;adjacent=true&amp;locale=en_EP&amp;FT=D&amp;CC=DE&amp;NR=122010000037I1&amp;KC=I1","DE122010000037.I1")</f>
        <v>DE122010000037.I1</v>
      </c>
      <c r="AM84" s="26" t="str">
        <f>HYPERLINK("http://worldwide.espacenet.com/publicationDetails/biblio?DB=EPODOC&amp;adjacent=true&amp;locale=en_EP&amp;FT=D&amp;CC=DE&amp;NR=60130760D1&amp;KC=D1","DE60130760.D1")</f>
        <v>DE60130760.D1</v>
      </c>
      <c r="AN84" s="26" t="str">
        <f>HYPERLINK("http://worldwide.espacenet.com/publicationDetails/biblio?DB=EPODOC&amp;adjacent=true&amp;locale=en_EP&amp;FT=D&amp;CC=DE&amp;NR=60130760T2&amp;KC=T2","DE60130760.T2")</f>
        <v>DE60130760.T2</v>
      </c>
      <c r="AO84" s="26" t="str">
        <f>HYPERLINK("http://worldwide.espacenet.com/publicationDetails/biblio?DB=EPODOC&amp;adjacent=true&amp;locale=en_EP&amp;FT=D&amp;CC=DE&amp;NR=60139354D1&amp;KC=D1","DE60139354.D1")</f>
        <v>DE60139354.D1</v>
      </c>
      <c r="AP84" s="26" t="str">
        <f>HYPERLINK("http://worldwide.espacenet.com/publicationDetails/biblio?DB=EPODOC&amp;adjacent=true&amp;locale=en_EP&amp;FT=D&amp;CC=DE&amp;NR=60140224D1&amp;KC=D1","DE60140224.D1")</f>
        <v>DE60140224.D1</v>
      </c>
      <c r="AQ84" s="26" t="str">
        <f>HYPERLINK("http://worldwide.espacenet.com/publicationDetails/biblio?DB=EPODOC&amp;adjacent=true&amp;locale=en_EP&amp;FT=D&amp;CC=DK&amp;NR=1294378T3&amp;KC=T3","DK1294378.T3")</f>
        <v>DK1294378.T3</v>
      </c>
      <c r="AR84" s="26" t="str">
        <f>HYPERLINK("http://worldwide.espacenet.com/publicationDetails/biblio?DB=EPODOC&amp;adjacent=true&amp;locale=en_EP&amp;FT=D&amp;CC=DK&amp;NR=1864981T3&amp;KC=T3","DK1864981.T3")</f>
        <v>DK1864981.T3</v>
      </c>
      <c r="AS84" s="26" t="str">
        <f>HYPERLINK("http://worldwide.espacenet.com/publicationDetails/biblio?DB=EPODOC&amp;adjacent=true&amp;locale=en_EP&amp;FT=D&amp;CC=DK&amp;NR=1889838T3&amp;KC=T3","DK1889838.T3")</f>
        <v>DK1889838.T3</v>
      </c>
      <c r="AT84" s="26" t="str">
        <f>HYPERLINK("http://worldwide.espacenet.com/publicationDetails/biblio?DB=EPODOC&amp;adjacent=true&amp;locale=en_EP&amp;FT=D&amp;CC=EP&amp;NR=1294378A2&amp;KC=A2","EP1294378.A2")</f>
        <v>EP1294378.A2</v>
      </c>
      <c r="AU84" s="26" t="str">
        <f>HYPERLINK("http://worldwide.espacenet.com/publicationDetails/biblio?DB=EPODOC&amp;adjacent=true&amp;locale=en_EP&amp;FT=D&amp;CC=EP&amp;NR=1294378A4&amp;KC=A4","EP1294378.A4")</f>
        <v>EP1294378.A4</v>
      </c>
      <c r="AV84" s="26" t="str">
        <f>HYPERLINK("http://worldwide.espacenet.com/publicationDetails/biblio?DB=EPODOC&amp;adjacent=true&amp;locale=en_EP&amp;FT=D&amp;CC=EP&amp;NR=1294378B1&amp;KC=B1","EP1294378.B1")</f>
        <v>EP1294378.B1</v>
      </c>
      <c r="AW84" s="26" t="str">
        <f>HYPERLINK("http://worldwide.espacenet.com/publicationDetails/biblio?DB=EPODOC&amp;adjacent=true&amp;locale=en_EP&amp;FT=D&amp;CC=EP&amp;NR=1864981A1&amp;KC=A1","EP1864981.A1")</f>
        <v>EP1864981.A1</v>
      </c>
      <c r="AX84" s="26" t="str">
        <f>HYPERLINK("http://worldwide.espacenet.com/publicationDetails/biblio?DB=EPODOC&amp;adjacent=true&amp;locale=en_EP&amp;FT=D&amp;CC=EP&amp;NR=1864981B1&amp;KC=B1","EP1864981.B1")</f>
        <v>EP1864981.B1</v>
      </c>
      <c r="AY84" s="26" t="str">
        <f>HYPERLINK("http://worldwide.espacenet.com/publicationDetails/biblio?DB=EPODOC&amp;adjacent=true&amp;locale=en_EP&amp;FT=D&amp;CC=EP&amp;NR=1864981B8&amp;KC=B8","EP1864981.B8")</f>
        <v>EP1864981.B8</v>
      </c>
      <c r="AZ84" s="26" t="str">
        <f>HYPERLINK("http://worldwide.espacenet.com/publicationDetails/biblio?DB=EPODOC&amp;adjacent=true&amp;locale=en_EP&amp;FT=D&amp;CC=EP&amp;NR=1889838A1&amp;KC=A1","EP1889838.A1")</f>
        <v>EP1889838.A1</v>
      </c>
      <c r="BA84" s="26" t="str">
        <f>HYPERLINK("http://worldwide.espacenet.com/publicationDetails/biblio?DB=EPODOC&amp;adjacent=true&amp;locale=en_EP&amp;FT=D&amp;CC=EP&amp;NR=1889838B1&amp;KC=B1","EP1889838.B1")</f>
        <v>EP1889838.B1</v>
      </c>
      <c r="BB84" s="26" t="str">
        <f>HYPERLINK("http://worldwide.espacenet.com/publicationDetails/biblio?DB=EPODOC&amp;adjacent=true&amp;locale=en_EP&amp;FT=D&amp;CC=ES&amp;NR=2294000T3&amp;KC=T3","ES2294000.T3")</f>
        <v>ES2294000.T3</v>
      </c>
      <c r="BC84" s="26" t="str">
        <f>HYPERLINK("http://worldwide.espacenet.com/publicationDetails/biblio?DB=EPODOC&amp;adjacent=true&amp;locale=en_EP&amp;FT=D&amp;CC=ES&amp;NR=2328179T3&amp;KC=T3","ES2328179.T3")</f>
        <v>ES2328179.T3</v>
      </c>
      <c r="BD84" s="26" t="str">
        <f>HYPERLINK("http://worldwide.espacenet.com/publicationDetails/biblio?DB=EPODOC&amp;adjacent=true&amp;locale=en_EP&amp;FT=D&amp;CC=ES&amp;NR=2334843T3&amp;KC=T3","ES2334843.T3")</f>
        <v>ES2334843.T3</v>
      </c>
      <c r="BE84" s="26" t="str">
        <f>HYPERLINK("http://worldwide.espacenet.com/publicationDetails/biblio?DB=EPODOC&amp;adjacent=true&amp;locale=en_EP&amp;FT=D&amp;CC=HK&amp;NR=1055561A1&amp;KC=A1","HK1055561.A1")</f>
        <v>HK1055561.A1</v>
      </c>
      <c r="BF84" s="26" t="str">
        <f>HYPERLINK("http://worldwide.espacenet.com/publicationDetails/biblio?DB=EPODOC&amp;adjacent=true&amp;locale=en_EP&amp;FT=D&amp;CC=HK&amp;NR=1113057A1&amp;KC=A1","HK1113057.A1")</f>
        <v>HK1113057.A1</v>
      </c>
      <c r="BG84" s="26" t="str">
        <f>HYPERLINK("http://worldwide.espacenet.com/publicationDetails/biblio?DB=EPODOC&amp;adjacent=true&amp;locale=en_EP&amp;FT=D&amp;CC=HK&amp;NR=1117825A1&amp;KC=A1","HK1117825.A1")</f>
        <v>HK1117825.A1</v>
      </c>
      <c r="BH84" s="26" t="str">
        <f>HYPERLINK("http://worldwide.espacenet.com/publicationDetails/biblio?DB=EPODOC&amp;adjacent=true&amp;locale=en_EP&amp;FT=D&amp;CC=HU&amp;NR=0302257A2&amp;KC=A2","HU0302257.A2")</f>
        <v>HU0302257.A2</v>
      </c>
      <c r="BI84" s="26" t="str">
        <f>HYPERLINK("http://worldwide.espacenet.com/publicationDetails/biblio?DB=EPODOC&amp;adjacent=true&amp;locale=en_EP&amp;FT=D&amp;CC=HU&amp;NR=0302257A3&amp;KC=A3","HU0302257.A3")</f>
        <v>HU0302257.A3</v>
      </c>
      <c r="BJ84" s="26" t="str">
        <f>HYPERLINK("http://worldwide.espacenet.com/publicationDetails/biblio?DB=EPODOC&amp;adjacent=true&amp;locale=en_EP&amp;FT=D&amp;CC=HU&amp;NR=0800310D0&amp;KC=D0","HU0800310.D0")</f>
        <v>HU0800310.D0</v>
      </c>
      <c r="BK84" s="26" t="str">
        <f>HYPERLINK("http://worldwide.espacenet.com/publicationDetails/biblio?DB=EPODOC&amp;adjacent=true&amp;locale=en_EP&amp;FT=D&amp;CC=HU&amp;NR=0800710A2&amp;KC=A2","HU0800710.A2")</f>
        <v>HU0800710.A2</v>
      </c>
      <c r="BL84" s="26" t="str">
        <f>HYPERLINK("http://worldwide.espacenet.com/publicationDetails/biblio?DB=EPODOC&amp;adjacent=true&amp;locale=en_EP&amp;FT=D&amp;CC=HU&amp;NR=0800710D0&amp;KC=D0","HU0800710.D0")</f>
        <v>HU0800710.D0</v>
      </c>
      <c r="BM84" s="26" t="str">
        <f>HYPERLINK("http://worldwide.espacenet.com/publicationDetails/biblio?DB=EPODOC&amp;adjacent=true&amp;locale=en_EP&amp;FT=D&amp;CC=HU&amp;NR=227476B1&amp;KC=B1","HU227476.B1")</f>
        <v>HU227476.B1</v>
      </c>
      <c r="BN84" s="26" t="str">
        <f>HYPERLINK("http://worldwide.espacenet.com/publicationDetails/biblio?DB=EPODOC&amp;adjacent=true&amp;locale=en_EP&amp;FT=D&amp;CC=HU&amp;NR=230387B1&amp;KC=B1","HU230387.B1")</f>
        <v>HU230387.B1</v>
      </c>
      <c r="BO84" s="26" t="str">
        <f>HYPERLINK("http://worldwide.espacenet.com/publicationDetails/biblio?DB=EPODOC&amp;adjacent=true&amp;locale=en_EP&amp;FT=D&amp;CC=HU&amp;NR=230487B1&amp;KC=B1","HU230487.B1")</f>
        <v>HU230487.B1</v>
      </c>
      <c r="BP84" s="26" t="str">
        <f>HYPERLINK("http://worldwide.espacenet.com/publicationDetails/biblio?DB=EPODOC&amp;adjacent=true&amp;locale=en_EP&amp;FT=D&amp;CC=IL&amp;NR=152988A&amp;KC=A","IL152988.A")</f>
        <v>IL152988.A</v>
      </c>
      <c r="BQ84" s="26" t="str">
        <f>HYPERLINK("http://worldwide.espacenet.com/publicationDetails/biblio?DB=EPODOC&amp;adjacent=true&amp;locale=en_EP&amp;FT=D&amp;CC=IL&amp;NR=152988D0&amp;KC=D0","IL152988.D0")</f>
        <v>IL152988.D0</v>
      </c>
      <c r="BR84" s="26" t="str">
        <f>HYPERLINK("http://worldwide.espacenet.com/publicationDetails/biblio?DB=EPODOC&amp;adjacent=true&amp;locale=en_EP&amp;FT=D&amp;CC=IL&amp;NR=193617A&amp;KC=A","IL193617.A")</f>
        <v>IL193617.A</v>
      </c>
      <c r="BS84" s="26" t="str">
        <f>HYPERLINK("http://worldwide.espacenet.com/publicationDetails/biblio?DB=EPODOC&amp;adjacent=true&amp;locale=en_EP&amp;FT=D&amp;CC=IL&amp;NR=193617D0&amp;KC=D0","IL193617.D0")</f>
        <v>IL193617.D0</v>
      </c>
      <c r="BT84" s="26" t="str">
        <f>HYPERLINK("http://worldwide.espacenet.com/publicationDetails/biblio?DB=EPODOC&amp;adjacent=true&amp;locale=en_EP&amp;FT=D&amp;CC=IL&amp;NR=193618D0&amp;KC=D0","IL193618.D0")</f>
        <v>IL193618.D0</v>
      </c>
      <c r="BU84" s="26" t="str">
        <f>HYPERLINK("http://worldwide.espacenet.com/publicationDetails/biblio?DB=EPODOC&amp;adjacent=true&amp;locale=en_EP&amp;FT=D&amp;CC=IL&amp;NR=193619D0&amp;KC=D0","IL193619.D0")</f>
        <v>IL193619.D0</v>
      </c>
      <c r="BV84" s="26" t="str">
        <f>HYPERLINK("http://worldwide.espacenet.com/publicationDetails/biblio?DB=EPODOC&amp;adjacent=true&amp;locale=en_EP&amp;FT=D&amp;CC=JP&amp;NR=2003534257A&amp;KC=A","JP2003534257.A")</f>
        <v>JP2003534257.A</v>
      </c>
      <c r="BW84" s="26" t="str">
        <f>HYPERLINK("http://worldwide.espacenet.com/publicationDetails/biblio?DB=EPODOC&amp;adjacent=true&amp;locale=en_EP&amp;FT=D&amp;CC=JP&amp;NR=2006137764A&amp;KC=A","JP2006137764.A")</f>
        <v>JP2006137764.A</v>
      </c>
      <c r="BX84" s="26" t="str">
        <f>HYPERLINK("http://worldwide.espacenet.com/publicationDetails/biblio?DB=EPODOC&amp;adjacent=true&amp;locale=en_EP&amp;FT=D&amp;CC=JP&amp;NR=3813875B2&amp;KC=B2","JP3813875.B2")</f>
        <v>JP3813875.B2</v>
      </c>
      <c r="BY84" s="26" t="str">
        <f>HYPERLINK("http://worldwide.espacenet.com/publicationDetails/biblio?DB=EPODOC&amp;adjacent=true&amp;locale=en_EP&amp;FT=D&amp;CC=JP&amp;NR=4546919B2&amp;KC=B2","JP4546919.B2")</f>
        <v>JP4546919.B2</v>
      </c>
      <c r="BZ84" s="26" t="str">
        <f>HYPERLINK("http://worldwide.espacenet.com/publicationDetails/biblio?DB=EPODOC&amp;adjacent=true&amp;locale=en_EP&amp;FT=D&amp;CC=KR&amp;NR=100798568B1&amp;KC=B1","KR100798568.B1")</f>
        <v>KR100798568.B1</v>
      </c>
      <c r="CA84" s="26" t="str">
        <f>HYPERLINK("http://worldwide.espacenet.com/publicationDetails/biblio?DB=EPODOC&amp;adjacent=true&amp;locale=en_EP&amp;FT=D&amp;CC=KR&amp;NR=100847172B1&amp;KC=B1","KR100847172.B1")</f>
        <v>KR100847172.B1</v>
      </c>
      <c r="CB84" s="26" t="str">
        <f>HYPERLINK("http://worldwide.espacenet.com/publicationDetails/biblio?DB=EPODOC&amp;adjacent=true&amp;locale=en_EP&amp;FT=D&amp;CC=KR&amp;NR=20030060773A&amp;KC=A","KR20030060773.A")</f>
        <v>KR20030060773.A</v>
      </c>
      <c r="CC84" s="26" t="str">
        <f>HYPERLINK("http://worldwide.espacenet.com/publicationDetails/biblio?DB=EPODOC&amp;adjacent=true&amp;locale=en_EP&amp;FT=D&amp;CC=KR&amp;NR=20070087255A&amp;KC=A","KR20070087255.A")</f>
        <v>KR20070087255.A</v>
      </c>
      <c r="CD84" s="26" t="str">
        <f>HYPERLINK("http://worldwide.espacenet.com/publicationDetails/biblio?DB=EPODOC&amp;adjacent=true&amp;locale=en_EP&amp;FT=D&amp;CC=LU&amp;NR=91681I2&amp;KC=I2","LU91681.I2")</f>
        <v>LU91681.I2</v>
      </c>
      <c r="CE84" s="26" t="str">
        <f>HYPERLINK("http://worldwide.espacenet.com/publicationDetails/biblio?DB=EPODOC&amp;adjacent=true&amp;locale=en_EP&amp;FT=D&amp;CC=LU&amp;NR=91681I9&amp;KC=I9","LU91681.I9")</f>
        <v>LU91681.I9</v>
      </c>
      <c r="CF84" s="26" t="str">
        <f>HYPERLINK("http://worldwide.espacenet.com/publicationDetails/biblio?DB=EPODOC&amp;adjacent=true&amp;locale=en_EP&amp;FT=D&amp;CC=MX&amp;NR=PA02011621A&amp;KC=A","MXPA02011621.A")</f>
        <v>MXPA02011621.A</v>
      </c>
      <c r="CG84" s="26" t="str">
        <f>HYPERLINK("http://worldwide.espacenet.com/publicationDetails/biblio?DB=EPODOC&amp;adjacent=true&amp;locale=en_EP&amp;FT=D&amp;CC=MY&amp;NR=136707A&amp;KC=A","MY136707.A")</f>
        <v>MY136707.A</v>
      </c>
      <c r="CH84" s="26" t="str">
        <f>HYPERLINK("http://worldwide.espacenet.com/publicationDetails/biblio?DB=EPODOC&amp;adjacent=true&amp;locale=en_EP&amp;FT=D&amp;CC=NO&amp;NR=20025566D0&amp;KC=D0","NO20025566.D0")</f>
        <v>NO20025566.D0</v>
      </c>
      <c r="CI84" s="26" t="str">
        <f>HYPERLINK("http://worldwide.espacenet.com/publicationDetails/biblio?DB=EPODOC&amp;adjacent=true&amp;locale=en_EP&amp;FT=D&amp;CC=NO&amp;NR=20025566L&amp;KC=L","NO20025566.L")</f>
        <v>NO20025566.L</v>
      </c>
      <c r="CJ84" s="26" t="str">
        <f>HYPERLINK("http://worldwide.espacenet.com/publicationDetails/biblio?DB=EPODOC&amp;adjacent=true&amp;locale=en_EP&amp;FT=D&amp;CC=NO&amp;NR=2010017I1&amp;KC=I1","NO2010017.I1")</f>
        <v>NO2010017.I1</v>
      </c>
      <c r="CK84" s="26" t="str">
        <f>HYPERLINK("http://worldwide.espacenet.com/publicationDetails/biblio?DB=EPODOC&amp;adjacent=true&amp;locale=en_EP&amp;FT=D&amp;CC=NO&amp;NR=2010017I2&amp;KC=I2","NO2010017.I2")</f>
        <v>NO2010017.I2</v>
      </c>
      <c r="CL84" s="26" t="str">
        <f>HYPERLINK("http://worldwide.espacenet.com/publicationDetails/biblio?DB=EPODOC&amp;adjacent=true&amp;locale=en_EP&amp;FT=D&amp;CC=NO&amp;NR=324246B1&amp;KC=B1","NO324246.B1")</f>
        <v>NO324246.B1</v>
      </c>
      <c r="CM84" s="26" t="str">
        <f>HYPERLINK("http://worldwide.espacenet.com/publicationDetails/biblio?DB=EPODOC&amp;adjacent=true&amp;locale=en_EP&amp;FT=D&amp;CC=NZ&amp;NR=522474A&amp;KC=A","NZ522474.A")</f>
        <v>NZ522474.A</v>
      </c>
      <c r="CN84" s="26" t="str">
        <f>HYPERLINK("http://worldwide.espacenet.com/publicationDetails/biblio?DB=EPODOC&amp;adjacent=true&amp;locale=en_EP&amp;FT=D&amp;CC=NZ&amp;NR=533308A&amp;KC=A","NZ533308.A")</f>
        <v>NZ533308.A</v>
      </c>
      <c r="CO84" s="26" t="str">
        <f>HYPERLINK("http://worldwide.espacenet.com/publicationDetails/biblio?DB=EPODOC&amp;adjacent=true&amp;locale=en_EP&amp;FT=D&amp;CC=PL&amp;NR=216528B1&amp;KC=B1","PL216528.B1")</f>
        <v>PL216528.B1</v>
      </c>
      <c r="CP84" s="26" t="str">
        <f>HYPERLINK("http://worldwide.espacenet.com/publicationDetails/biblio?DB=EPODOC&amp;adjacent=true&amp;locale=en_EP&amp;FT=D&amp;CC=PL&amp;NR=218617B1&amp;KC=B1","PL218617.B1")</f>
        <v>PL218617.B1</v>
      </c>
      <c r="CQ84" s="26" t="str">
        <f>HYPERLINK("http://worldwide.espacenet.com/publicationDetails/biblio?DB=EPODOC&amp;adjacent=true&amp;locale=en_EP&amp;FT=D&amp;CC=PL&amp;NR=359270A1&amp;KC=A1","PL359270.A1")</f>
        <v>PL359270.A1</v>
      </c>
      <c r="CR84" s="26" t="str">
        <f>HYPERLINK("http://worldwide.espacenet.com/publicationDetails/biblio?DB=EPODOC&amp;adjacent=true&amp;locale=en_EP&amp;FT=D&amp;CC=PL&amp;NR=393259A1&amp;KC=A1","PL393259.A1")</f>
        <v>PL393259.A1</v>
      </c>
      <c r="CS84" s="26" t="str">
        <f>HYPERLINK("http://worldwide.espacenet.com/publicationDetails/biblio?DB=EPODOC&amp;adjacent=true&amp;locale=en_EP&amp;FT=D&amp;CC=PT&amp;NR=1294378E&amp;KC=E","PT1294378.E")</f>
        <v>PT1294378.E</v>
      </c>
      <c r="CT84" s="26" t="str">
        <f>HYPERLINK("http://worldwide.espacenet.com/publicationDetails/biblio?DB=EPODOC&amp;adjacent=true&amp;locale=en_EP&amp;FT=D&amp;CC=PT&amp;NR=1864981E&amp;KC=E","PT1864981.E")</f>
        <v>PT1864981.E</v>
      </c>
      <c r="CU84" s="26" t="str">
        <f>HYPERLINK("http://worldwide.espacenet.com/publicationDetails/biblio?DB=EPODOC&amp;adjacent=true&amp;locale=en_EP&amp;FT=D&amp;CC=PT&amp;NR=1889838E&amp;KC=E","PT1889838.E")</f>
        <v>PT1889838.E</v>
      </c>
      <c r="CV84" s="26" t="str">
        <f>HYPERLINK("http://worldwide.espacenet.com/publicationDetails/biblio?DB=EPODOC&amp;adjacent=true&amp;locale=en_EP&amp;FT=D&amp;CC=SI&amp;NR=1294378T1&amp;KC=T1","SI1294378.T1")</f>
        <v>SI1294378.T1</v>
      </c>
      <c r="CW84" s="26" t="str">
        <f>HYPERLINK("http://worldwide.espacenet.com/publicationDetails/biblio?DB=EPODOC&amp;adjacent=true&amp;locale=en_EP&amp;FT=D&amp;CC=SI&amp;NR=1864981T1&amp;KC=T1","SI1864981.T1")</f>
        <v>SI1864981.T1</v>
      </c>
      <c r="CX84" s="26" t="str">
        <f>HYPERLINK("http://worldwide.espacenet.com/publicationDetails/biblio?DB=EPODOC&amp;adjacent=true&amp;locale=en_EP&amp;FT=D&amp;CC=SI&amp;NR=1889838T1&amp;KC=T1","SI1889838.T1")</f>
        <v>SI1889838.T1</v>
      </c>
      <c r="CY84" s="26" t="str">
        <f>HYPERLINK("http://worldwide.espacenet.com/publicationDetails/biblio?DB=EPODOC&amp;adjacent=true&amp;locale=en_EP&amp;FT=D&amp;CC=TW&amp;NR=I305207B&amp;KC=B","TWI305207.B")</f>
        <v>TWI305207.B</v>
      </c>
      <c r="CZ84" s="26" t="str">
        <f>HYPERLINK("http://worldwide.espacenet.com/publicationDetails/biblio?DB=EPODOC&amp;adjacent=true&amp;locale=en_EP&amp;FT=D&amp;CC=US&amp;NR=2004019190A1&amp;KC=A1","US2004019190.A1")</f>
        <v>US2004019190.A1</v>
      </c>
      <c r="DA84" s="26" t="str">
        <f>HYPERLINK("http://worldwide.espacenet.com/publicationDetails/biblio?DB=EPODOC&amp;adjacent=true&amp;locale=en_EP&amp;FT=D&amp;CC=US&amp;NR=2007129338A1&amp;KC=A1","US2007129338.A1")</f>
        <v>US2007129338.A1</v>
      </c>
      <c r="DB84" s="26" t="str">
        <f>HYPERLINK("http://worldwide.espacenet.com/publicationDetails/biblio?DB=EPODOC&amp;adjacent=true&amp;locale=en_EP&amp;FT=D&amp;CC=US&amp;NR=2007179192A1&amp;KC=A1","US2007179192.A1")</f>
        <v>US2007179192.A1</v>
      </c>
      <c r="DC84" s="26" t="str">
        <f>HYPERLINK("http://worldwide.espacenet.com/publicationDetails/biblio?DB=EPODOC&amp;adjacent=true&amp;locale=en_EP&amp;FT=D&amp;CC=US&amp;NR=2008090787A1&amp;KC=A1","US2008090787.A1")</f>
        <v>US2008090787.A1</v>
      </c>
      <c r="DD84" s="26" t="str">
        <f>HYPERLINK("http://worldwide.espacenet.com/publicationDetails/biblio?DB=EPODOC&amp;adjacent=true&amp;locale=en_EP&amp;FT=D&amp;CC=US&amp;NR=2008090996A1&amp;KC=A1","US2008090996.A1")</f>
        <v>US2008090996.A1</v>
      </c>
      <c r="DE84" s="26" t="str">
        <f>HYPERLINK("http://worldwide.espacenet.com/publicationDetails/biblio?DB=EPODOC&amp;adjacent=true&amp;locale=en_EP&amp;FT=D&amp;CC=US&amp;NR=2008214640A1&amp;KC=A1","US2008214640.A1")</f>
        <v>US2008214640.A1</v>
      </c>
      <c r="DF84" s="26" t="str">
        <f>HYPERLINK("http://worldwide.espacenet.com/publicationDetails/biblio?DB=EPODOC&amp;adjacent=true&amp;locale=en_EP&amp;FT=D&amp;CC=US&amp;NR=2009155203A1&amp;KC=A1","US2009155203.A1")</f>
        <v>US2009155203.A1</v>
      </c>
      <c r="DG84" s="26" t="str">
        <f>HYPERLINK("http://worldwide.espacenet.com/publicationDetails/biblio?DB=EPODOC&amp;adjacent=true&amp;locale=en_EP&amp;FT=D&amp;CC=US&amp;NR=2009176746A1&amp;KC=A1","US2009176746.A1")</f>
        <v>US2009176746.A1</v>
      </c>
      <c r="DH84" s="26" t="str">
        <f>HYPERLINK("http://worldwide.espacenet.com/publicationDetails/biblio?DB=EPODOC&amp;adjacent=true&amp;locale=en_EP&amp;FT=D&amp;CC=US&amp;NR=2009176973A1&amp;KC=A1","US2009176973.A1")</f>
        <v>US2009176973.A1</v>
      </c>
      <c r="DI84" s="26" t="str">
        <f>HYPERLINK("http://worldwide.espacenet.com/publicationDetails/biblio?DB=EPODOC&amp;adjacent=true&amp;locale=en_EP&amp;FT=D&amp;CC=US&amp;NR=7160870B2&amp;KC=B2","US7160870.B2")</f>
        <v>US7160870.B2</v>
      </c>
      <c r="DJ84" s="26" t="str">
        <f>HYPERLINK("http://worldwide.espacenet.com/publicationDetails/biblio?DB=EPODOC&amp;adjacent=true&amp;locale=en_EP&amp;FT=D&amp;CC=US&amp;NR=7332481B2&amp;KC=B2","US7332481.B2")</f>
        <v>US7332481.B2</v>
      </c>
      <c r="DK84" s="26" t="str">
        <f>HYPERLINK("http://worldwide.espacenet.com/publicationDetails/biblio?DB=EPODOC&amp;adjacent=true&amp;locale=en_EP&amp;FT=D&amp;CC=US&amp;NR=7335649B2&amp;KC=B2","US7335649.B2")</f>
        <v>US7335649.B2</v>
      </c>
      <c r="DL84" s="26" t="str">
        <f>HYPERLINK("http://worldwide.espacenet.com/publicationDetails/biblio?DB=EPODOC&amp;adjacent=true&amp;locale=en_EP&amp;FT=D&amp;CC=US&amp;NR=7439342B2&amp;KC=B2","US7439342.B2")</f>
        <v>US7439342.B2</v>
      </c>
      <c r="DM84" s="26" t="str">
        <f>HYPERLINK("http://worldwide.espacenet.com/publicationDetails/biblio?DB=EPODOC&amp;adjacent=true&amp;locale=en_EP&amp;FT=D&amp;CC=US&amp;NR=7452874B2&amp;KC=B2","US7452874.B2")</f>
        <v>US7452874.B2</v>
      </c>
      <c r="DN84" s="26" t="str">
        <f>HYPERLINK("http://worldwide.espacenet.com/publicationDetails/biblio?DB=EPODOC&amp;adjacent=true&amp;locale=en_EP&amp;FT=D&amp;CC=US&amp;NR=7473686B2&amp;KC=B2","US7473686.B2")</f>
        <v>US7473686.B2</v>
      </c>
      <c r="DO84" s="26" t="str">
        <f>HYPERLINK("http://worldwide.espacenet.com/publicationDetails/biblio?DB=EPODOC&amp;adjacent=true&amp;locale=en_EP&amp;FT=D&amp;CC=US&amp;NR=7648971B2&amp;KC=B2","US7648971.B2")</f>
        <v>US7648971.B2</v>
      </c>
      <c r="DP84" s="26" t="str">
        <f>HYPERLINK("http://worldwide.espacenet.com/publicationDetails/biblio?DB=EPODOC&amp;adjacent=true&amp;locale=en_EP&amp;FT=D&amp;CC=US&amp;NR=7674887B2&amp;KC=B2","US7674887.B2")</f>
        <v>US7674887.B2</v>
      </c>
      <c r="DQ84" s="26" t="str">
        <f>HYPERLINK("http://worldwide.espacenet.com/publicationDetails/biblio?DB=EPODOC&amp;adjacent=true&amp;locale=en_EP&amp;FT=D&amp;CC=US&amp;NR=7790704B2&amp;KC=B2","US7790704.B2")</f>
        <v>US7790704.B2</v>
      </c>
      <c r="DR84" s="26" t="str">
        <f>HYPERLINK("http://worldwide.espacenet.com/publicationDetails/biblio?DB=EPODOC&amp;adjacent=true&amp;locale=en_EP&amp;FT=D&amp;CC=WO&amp;NR=0189457A2&amp;KC=A2","WO0189457.A2")</f>
        <v>WO0189457.A2</v>
      </c>
      <c r="DS84" s="26" t="str">
        <f>HYPERLINK("http://worldwide.espacenet.com/publicationDetails/biblio?DB=EPODOC&amp;adjacent=true&amp;locale=en_EP&amp;FT=D&amp;CC=WO&amp;NR=0189457A3&amp;KC=A3","WO0189457.A3")</f>
        <v>WO0189457.A3</v>
      </c>
    </row>
    <row r="85" spans="1:123" ht="17.100000000000001" customHeight="1" x14ac:dyDescent="0.25">
      <c r="A85" s="16" t="s">
        <v>3176</v>
      </c>
      <c r="B85" s="21" t="s">
        <v>3176</v>
      </c>
      <c r="C85" s="23">
        <v>0.70998501777648904</v>
      </c>
      <c r="D85" s="23">
        <v>0.44414699077606201</v>
      </c>
      <c r="E85" s="23">
        <v>0.31533771753311202</v>
      </c>
      <c r="F85" s="21">
        <v>0.31533771753311202</v>
      </c>
      <c r="G85" s="23">
        <v>0</v>
      </c>
      <c r="H85" s="24">
        <v>42236</v>
      </c>
      <c r="I85" s="23">
        <v>2</v>
      </c>
      <c r="J85" s="22">
        <v>476294396</v>
      </c>
      <c r="K85" s="21"/>
      <c r="L85" s="21" t="s">
        <v>2981</v>
      </c>
      <c r="M85" s="21" t="s">
        <v>3077</v>
      </c>
      <c r="N85" s="21" t="s">
        <v>2958</v>
      </c>
      <c r="O85" s="25" t="str">
        <f>HYPERLINK("http://worldwide.espacenet.com/publicationDetails/biblio?DB=EPODOC&amp;adjacent=true&amp;locale=en_EP&amp;FT=D&amp;CC=CN&amp;NR=106466627A&amp;KC=A","CN106466627.A")</f>
        <v>CN106466627.A</v>
      </c>
      <c r="P85" s="25" t="str">
        <f>HYPERLINK("http://worldwide.espacenet.com/publicationDetails/biblio?DB=EPODOC&amp;adjacent=true&amp;locale=en_EP&amp;FT=D&amp;CC=CN&amp;NR=106466627A&amp;KC=A","CN106466627.A")</f>
        <v>CN106466627.A</v>
      </c>
    </row>
    <row r="86" spans="1:123" ht="17.100000000000001" customHeight="1" x14ac:dyDescent="0.25">
      <c r="A86" s="16" t="s">
        <v>3177</v>
      </c>
      <c r="B86" s="21" t="s">
        <v>3177</v>
      </c>
      <c r="C86" s="23">
        <v>0.70998501777648904</v>
      </c>
      <c r="D86" s="23">
        <v>0.44414699077606201</v>
      </c>
      <c r="E86" s="23">
        <v>0.31533771753311202</v>
      </c>
      <c r="F86" s="21">
        <v>0.31533771753311202</v>
      </c>
      <c r="G86" s="23">
        <v>0</v>
      </c>
      <c r="H86" s="24">
        <v>42236</v>
      </c>
      <c r="I86" s="23">
        <v>2</v>
      </c>
      <c r="J86" s="22">
        <v>476293806</v>
      </c>
      <c r="K86" s="21"/>
      <c r="L86" s="21" t="s">
        <v>2981</v>
      </c>
      <c r="M86" s="21" t="s">
        <v>3077</v>
      </c>
      <c r="N86" s="21" t="s">
        <v>2958</v>
      </c>
      <c r="O86" s="25" t="str">
        <f>HYPERLINK("http://worldwide.espacenet.com/publicationDetails/biblio?DB=EPODOC&amp;adjacent=true&amp;locale=en_EP&amp;FT=D&amp;CC=CN&amp;NR=106466628A&amp;KC=A","CN106466628.A")</f>
        <v>CN106466628.A</v>
      </c>
      <c r="P86" s="25" t="str">
        <f>HYPERLINK("http://worldwide.espacenet.com/publicationDetails/biblio?DB=EPODOC&amp;adjacent=true&amp;locale=en_EP&amp;FT=D&amp;CC=CN&amp;NR=106466628A&amp;KC=A","CN106466628.A")</f>
        <v>CN106466628.A</v>
      </c>
    </row>
    <row r="87" spans="1:123" ht="17.100000000000001" customHeight="1" x14ac:dyDescent="0.25">
      <c r="A87" s="16" t="s">
        <v>3178</v>
      </c>
      <c r="B87" s="21" t="s">
        <v>3178</v>
      </c>
      <c r="C87" s="23">
        <v>0.70998501777648904</v>
      </c>
      <c r="D87" s="23">
        <v>0.44414699077606201</v>
      </c>
      <c r="E87" s="23">
        <v>0.31533771753311202</v>
      </c>
      <c r="F87" s="21">
        <v>0.31533771753311202</v>
      </c>
      <c r="G87" s="23">
        <v>0</v>
      </c>
      <c r="H87" s="24">
        <v>42236</v>
      </c>
      <c r="I87" s="23">
        <v>2</v>
      </c>
      <c r="J87" s="22">
        <v>476293994</v>
      </c>
      <c r="K87" s="21"/>
      <c r="L87" s="21" t="s">
        <v>2981</v>
      </c>
      <c r="M87" s="21" t="s">
        <v>3077</v>
      </c>
      <c r="N87" s="21" t="s">
        <v>2958</v>
      </c>
      <c r="O87" s="25" t="str">
        <f>HYPERLINK("http://worldwide.espacenet.com/publicationDetails/biblio?DB=EPODOC&amp;adjacent=true&amp;locale=en_EP&amp;FT=D&amp;CC=CN&amp;NR=106466630A&amp;KC=A","CN106466630.A")</f>
        <v>CN106466630.A</v>
      </c>
      <c r="P87" s="25" t="str">
        <f>HYPERLINK("http://worldwide.espacenet.com/publicationDetails/biblio?DB=EPODOC&amp;adjacent=true&amp;locale=en_EP&amp;FT=D&amp;CC=CN&amp;NR=106466630A&amp;KC=A","CN106466630.A")</f>
        <v>CN106466630.A</v>
      </c>
    </row>
    <row r="88" spans="1:123" ht="17.100000000000001" customHeight="1" x14ac:dyDescent="0.25">
      <c r="A88" s="16" t="s">
        <v>3179</v>
      </c>
      <c r="B88" s="21" t="s">
        <v>3179</v>
      </c>
      <c r="C88" s="23">
        <v>0.70998501777648904</v>
      </c>
      <c r="D88" s="23">
        <v>0.44414699077606201</v>
      </c>
      <c r="E88" s="23">
        <v>0.31533771753311202</v>
      </c>
      <c r="F88" s="21">
        <v>0.31533771753311202</v>
      </c>
      <c r="G88" s="23">
        <v>0</v>
      </c>
      <c r="H88" s="24">
        <v>42236</v>
      </c>
      <c r="I88" s="23">
        <v>2</v>
      </c>
      <c r="J88" s="22">
        <v>476295634</v>
      </c>
      <c r="K88" s="21"/>
      <c r="L88" s="21" t="s">
        <v>2981</v>
      </c>
      <c r="M88" s="21" t="s">
        <v>3077</v>
      </c>
      <c r="N88" s="21" t="s">
        <v>2958</v>
      </c>
      <c r="O88" s="25" t="str">
        <f>HYPERLINK("http://worldwide.espacenet.com/publicationDetails/biblio?DB=EPODOC&amp;adjacent=true&amp;locale=en_EP&amp;FT=D&amp;CC=CN&amp;NR=106466632A&amp;KC=A","CN106466632.A")</f>
        <v>CN106466632.A</v>
      </c>
      <c r="P88" s="25" t="str">
        <f>HYPERLINK("http://worldwide.espacenet.com/publicationDetails/biblio?DB=EPODOC&amp;adjacent=true&amp;locale=en_EP&amp;FT=D&amp;CC=CN&amp;NR=106466632A&amp;KC=A","CN106466632.A")</f>
        <v>CN106466632.A</v>
      </c>
    </row>
    <row r="89" spans="1:123" ht="17.100000000000001" customHeight="1" x14ac:dyDescent="0.25">
      <c r="A89" s="16" t="s">
        <v>3180</v>
      </c>
      <c r="B89" s="21" t="s">
        <v>3180</v>
      </c>
      <c r="C89" s="23">
        <v>0.70998501777648904</v>
      </c>
      <c r="D89" s="23">
        <v>0.44414699077606201</v>
      </c>
      <c r="E89" s="23">
        <v>0.31533771753311202</v>
      </c>
      <c r="F89" s="21">
        <v>0.31533771753311202</v>
      </c>
      <c r="G89" s="23">
        <v>0</v>
      </c>
      <c r="H89" s="24">
        <v>42236</v>
      </c>
      <c r="I89" s="23">
        <v>2</v>
      </c>
      <c r="J89" s="22">
        <v>476293908</v>
      </c>
      <c r="K89" s="21"/>
      <c r="L89" s="21" t="s">
        <v>2981</v>
      </c>
      <c r="M89" s="21" t="s">
        <v>3077</v>
      </c>
      <c r="N89" s="21" t="s">
        <v>2958</v>
      </c>
      <c r="O89" s="25" t="str">
        <f>HYPERLINK("http://worldwide.espacenet.com/publicationDetails/biblio?DB=EPODOC&amp;adjacent=true&amp;locale=en_EP&amp;FT=D&amp;CC=CN&amp;NR=106466634A&amp;KC=A","CN106466634.A")</f>
        <v>CN106466634.A</v>
      </c>
      <c r="P89" s="25" t="str">
        <f>HYPERLINK("http://worldwide.espacenet.com/publicationDetails/biblio?DB=EPODOC&amp;adjacent=true&amp;locale=en_EP&amp;FT=D&amp;CC=CN&amp;NR=106466634A&amp;KC=A","CN106466634.A")</f>
        <v>CN106466634.A</v>
      </c>
    </row>
    <row r="90" spans="1:123" ht="17.100000000000001" customHeight="1" x14ac:dyDescent="0.25">
      <c r="A90" s="16" t="s">
        <v>3181</v>
      </c>
      <c r="B90" s="21" t="s">
        <v>3181</v>
      </c>
      <c r="C90" s="23">
        <v>0.70998501777648904</v>
      </c>
      <c r="D90" s="23">
        <v>0.44414699077606201</v>
      </c>
      <c r="E90" s="23">
        <v>0.31533771753311202</v>
      </c>
      <c r="F90" s="21">
        <v>0.31533771753311202</v>
      </c>
      <c r="G90" s="23">
        <v>0</v>
      </c>
      <c r="H90" s="24">
        <v>42236</v>
      </c>
      <c r="I90" s="23">
        <v>2</v>
      </c>
      <c r="J90" s="22">
        <v>476295548</v>
      </c>
      <c r="K90" s="21"/>
      <c r="L90" s="21" t="s">
        <v>2981</v>
      </c>
      <c r="M90" s="21" t="s">
        <v>3077</v>
      </c>
      <c r="N90" s="21" t="s">
        <v>2958</v>
      </c>
      <c r="O90" s="25" t="str">
        <f>HYPERLINK("http://worldwide.espacenet.com/publicationDetails/biblio?DB=EPODOC&amp;adjacent=true&amp;locale=en_EP&amp;FT=D&amp;CC=CN&amp;NR=106466635A&amp;KC=A","CN106466635.A")</f>
        <v>CN106466635.A</v>
      </c>
      <c r="P90" s="25" t="str">
        <f>HYPERLINK("http://worldwide.espacenet.com/publicationDetails/biblio?DB=EPODOC&amp;adjacent=true&amp;locale=en_EP&amp;FT=D&amp;CC=CN&amp;NR=106466635A&amp;KC=A","CN106466635.A")</f>
        <v>CN106466635.A</v>
      </c>
    </row>
    <row r="91" spans="1:123" ht="17.100000000000001" customHeight="1" x14ac:dyDescent="0.25">
      <c r="A91" s="16" t="s">
        <v>3182</v>
      </c>
      <c r="B91" s="21" t="s">
        <v>3182</v>
      </c>
      <c r="C91" s="23">
        <v>0.70998501777648904</v>
      </c>
      <c r="D91" s="23">
        <v>0.44414699077606201</v>
      </c>
      <c r="E91" s="23">
        <v>0.31533771753311202</v>
      </c>
      <c r="F91" s="21">
        <v>0.31533771753311202</v>
      </c>
      <c r="G91" s="23">
        <v>0</v>
      </c>
      <c r="H91" s="24">
        <v>42236</v>
      </c>
      <c r="I91" s="23">
        <v>2</v>
      </c>
      <c r="J91" s="22">
        <v>476291832</v>
      </c>
      <c r="K91" s="21"/>
      <c r="L91" s="21" t="s">
        <v>2981</v>
      </c>
      <c r="M91" s="21" t="s">
        <v>3077</v>
      </c>
      <c r="N91" s="21" t="s">
        <v>2958</v>
      </c>
      <c r="O91" s="25" t="str">
        <f>HYPERLINK("http://worldwide.espacenet.com/publicationDetails/biblio?DB=EPODOC&amp;adjacent=true&amp;locale=en_EP&amp;FT=D&amp;CC=CN&amp;NR=106466637A&amp;KC=A","CN106466637.A")</f>
        <v>CN106466637.A</v>
      </c>
      <c r="P91" s="25" t="str">
        <f>HYPERLINK("http://worldwide.espacenet.com/publicationDetails/biblio?DB=EPODOC&amp;adjacent=true&amp;locale=en_EP&amp;FT=D&amp;CC=CN&amp;NR=106466637A&amp;KC=A","CN106466637.A")</f>
        <v>CN106466637.A</v>
      </c>
    </row>
    <row r="92" spans="1:123" ht="17.100000000000001" customHeight="1" x14ac:dyDescent="0.25">
      <c r="A92" s="16" t="s">
        <v>3183</v>
      </c>
      <c r="B92" s="21" t="s">
        <v>3183</v>
      </c>
      <c r="C92" s="23">
        <v>1.7236138582229601</v>
      </c>
      <c r="D92" s="23">
        <v>0.44414699077606201</v>
      </c>
      <c r="E92" s="23">
        <v>0.76553791761398304</v>
      </c>
      <c r="F92" s="21">
        <v>0.76553791761398304</v>
      </c>
      <c r="G92" s="23">
        <v>1</v>
      </c>
      <c r="H92" s="24">
        <v>42671</v>
      </c>
      <c r="I92" s="23">
        <v>3</v>
      </c>
      <c r="J92" s="22">
        <v>476974978</v>
      </c>
      <c r="K92" s="21" t="s">
        <v>3184</v>
      </c>
      <c r="L92" s="21" t="s">
        <v>3116</v>
      </c>
      <c r="M92" s="21" t="s">
        <v>3077</v>
      </c>
      <c r="N92" s="21" t="s">
        <v>3013</v>
      </c>
      <c r="O92" s="25" t="str">
        <f>HYPERLINK("http://worldwide.espacenet.com/publicationDetails/biblio?DB=EPODOC&amp;adjacent=true&amp;locale=en_EP&amp;FT=D&amp;CC=CN&amp;NR=106540737A&amp;KC=A","CN106540737.A")</f>
        <v>CN106540737.A</v>
      </c>
      <c r="P92" s="25" t="str">
        <f>HYPERLINK("http://worldwide.espacenet.com/publicationDetails/biblio?DB=EPODOC&amp;adjacent=true&amp;locale=en_EP&amp;FT=D&amp;CC=CN&amp;NR=106540737A&amp;KC=A","CN106540737.A")</f>
        <v>CN106540737.A</v>
      </c>
      <c r="U92" s="26" t="str">
        <f>HYPERLINK("http://worldwide.espacenet.com/publicationDetails/biblio?DB=EPODOC&amp;adjacent=true&amp;locale=en_EP&amp;FT=D&amp;CC=WO&amp;NR=9012854A1&amp;KC=A1","WO9012854.A1")</f>
        <v>WO9012854.A1</v>
      </c>
    </row>
    <row r="93" spans="1:123" ht="17.100000000000001" customHeight="1" x14ac:dyDescent="0.25">
      <c r="A93" s="16" t="s">
        <v>3185</v>
      </c>
      <c r="B93" s="21" t="s">
        <v>3186</v>
      </c>
      <c r="C93" s="23">
        <v>0.72090864181518599</v>
      </c>
      <c r="D93" s="23">
        <v>0.63449597358703602</v>
      </c>
      <c r="E93" s="23">
        <v>0.45741364359855702</v>
      </c>
      <c r="F93" s="21">
        <v>0.45741364359855702</v>
      </c>
      <c r="G93" s="23">
        <v>0</v>
      </c>
      <c r="H93" s="24">
        <v>42731</v>
      </c>
      <c r="I93" s="23">
        <v>2</v>
      </c>
      <c r="J93" s="22">
        <v>478009531</v>
      </c>
      <c r="K93" s="21"/>
      <c r="L93" s="21" t="s">
        <v>3187</v>
      </c>
      <c r="M93" s="21" t="s">
        <v>2957</v>
      </c>
      <c r="N93" s="21" t="s">
        <v>2982</v>
      </c>
      <c r="O93" s="25" t="str">
        <f>HYPERLINK("http://worldwide.espacenet.com/publicationDetails/biblio?DB=EPODOC&amp;adjacent=true&amp;locale=en_EP&amp;FT=D&amp;CC=CN&amp;NR=106582789A&amp;KC=A","CN106582789.A")</f>
        <v>CN106582789.A</v>
      </c>
      <c r="P93" s="25" t="str">
        <f>HYPERLINK("http://worldwide.espacenet.com/publicationDetails/biblio?DB=EPODOC&amp;adjacent=true&amp;locale=en_EP&amp;FT=D&amp;CC=CN&amp;NR=106582789A&amp;KC=A","CN106582789.A")</f>
        <v>CN106582789.A</v>
      </c>
      <c r="Q93" s="26" t="str">
        <f>HYPERLINK("http://worldwide.espacenet.com/publicationDetails/biblio?DB=EPODOC&amp;adjacent=true&amp;locale=en_EP&amp;FT=D&amp;CC=CN&amp;NR=106582789B&amp;KC=B","CN106582789.B")</f>
        <v>CN106582789.B</v>
      </c>
      <c r="U93" s="26" t="str">
        <f>HYPERLINK("http://worldwide.espacenet.com/publicationDetails/biblio?DB=EPODOC&amp;adjacent=true&amp;locale=en_EP&amp;FT=D&amp;CC=JP&amp;NR=H05500352A&amp;KC=A","JPH05500352.A")</f>
        <v>JPH05500352.A</v>
      </c>
      <c r="V93" s="26" t="str">
        <f>HYPERLINK("http://worldwide.espacenet.com/publicationDetails/biblio?DB=EPODOC&amp;adjacent=true&amp;locale=en_EP&amp;FT=D&amp;CC=NZ&amp;NR=234403A&amp;KC=A","NZ234403.A")</f>
        <v>NZ234403.A</v>
      </c>
      <c r="W93" s="26" t="str">
        <f>HYPERLINK("http://worldwide.espacenet.com/publicationDetails/biblio?DB=EPODOC&amp;adjacent=true&amp;locale=en_EP&amp;FT=D&amp;CC=WO&amp;NR=9100844A1&amp;KC=A1","WO9100844.A1")</f>
        <v>WO9100844.A1</v>
      </c>
      <c r="X93" s="26" t="str">
        <f>HYPERLINK("http://worldwide.espacenet.com/publicationDetails/biblio?DB=EPODOC&amp;adjacent=true&amp;locale=en_EP&amp;FT=D&amp;CC=ZA&amp;NR=9005368B&amp;KC=B","ZA9005368.B")</f>
        <v>ZA9005368.B</v>
      </c>
    </row>
    <row r="94" spans="1:123" ht="17.100000000000001" customHeight="1" x14ac:dyDescent="0.25">
      <c r="A94" s="16" t="s">
        <v>3188</v>
      </c>
      <c r="B94" s="21" t="s">
        <v>3188</v>
      </c>
      <c r="C94" s="23">
        <v>0.70998501777648904</v>
      </c>
      <c r="D94" s="23">
        <v>0.44414699077606201</v>
      </c>
      <c r="E94" s="23">
        <v>0.31533771753311202</v>
      </c>
      <c r="F94" s="21">
        <v>0.31533771753311202</v>
      </c>
      <c r="G94" s="23">
        <v>0</v>
      </c>
      <c r="H94" s="24">
        <v>42699</v>
      </c>
      <c r="I94" s="23">
        <v>2</v>
      </c>
      <c r="J94" s="22">
        <v>477987387</v>
      </c>
      <c r="K94" s="21"/>
      <c r="L94" s="21" t="s">
        <v>3189</v>
      </c>
      <c r="M94" s="21" t="s">
        <v>3077</v>
      </c>
      <c r="N94" s="21" t="s">
        <v>2958</v>
      </c>
      <c r="O94" s="25" t="str">
        <f>HYPERLINK("http://worldwide.espacenet.com/publicationDetails/biblio?DB=EPODOC&amp;adjacent=true&amp;locale=en_EP&amp;FT=D&amp;CC=CN&amp;NR=106582797A&amp;KC=A","CN106582797.A")</f>
        <v>CN106582797.A</v>
      </c>
      <c r="P94" s="25" t="str">
        <f>HYPERLINK("http://worldwide.espacenet.com/publicationDetails/biblio?DB=EPODOC&amp;adjacent=true&amp;locale=en_EP&amp;FT=D&amp;CC=CN&amp;NR=106582797A&amp;KC=A","CN106582797.A")</f>
        <v>CN106582797.A</v>
      </c>
    </row>
    <row r="95" spans="1:123" ht="17.100000000000001" customHeight="1" x14ac:dyDescent="0.25">
      <c r="A95" s="16" t="s">
        <v>3190</v>
      </c>
      <c r="B95" s="21" t="s">
        <v>3191</v>
      </c>
      <c r="C95" s="23">
        <v>0.70998501777648904</v>
      </c>
      <c r="D95" s="23">
        <v>0.63449597358703602</v>
      </c>
      <c r="E95" s="23">
        <v>0.45048263669013999</v>
      </c>
      <c r="F95" s="21">
        <v>0.45048263669013999</v>
      </c>
      <c r="G95" s="23">
        <v>0</v>
      </c>
      <c r="H95" s="24">
        <v>42298</v>
      </c>
      <c r="I95" s="23">
        <v>2</v>
      </c>
      <c r="J95" s="22">
        <v>478075696</v>
      </c>
      <c r="K95" s="21"/>
      <c r="L95" s="21" t="s">
        <v>2981</v>
      </c>
      <c r="M95" s="21" t="s">
        <v>2957</v>
      </c>
      <c r="N95" s="21" t="s">
        <v>2958</v>
      </c>
      <c r="O95" s="25" t="str">
        <f>HYPERLINK("http://worldwide.espacenet.com/publicationDetails/biblio?DB=EPODOC&amp;adjacent=true&amp;locale=en_EP&amp;FT=D&amp;CC=CN&amp;NR=106607078A&amp;KC=A","CN106607078.A")</f>
        <v>CN106607078.A</v>
      </c>
      <c r="P95" s="25" t="str">
        <f>HYPERLINK("http://worldwide.espacenet.com/publicationDetails/biblio?DB=EPODOC&amp;adjacent=true&amp;locale=en_EP&amp;FT=D&amp;CC=CN&amp;NR=106607078A&amp;KC=A","CN106607078.A")</f>
        <v>CN106607078.A</v>
      </c>
      <c r="Q95" s="26" t="str">
        <f>HYPERLINK("http://worldwide.espacenet.com/publicationDetails/biblio?DB=EPODOC&amp;adjacent=true&amp;locale=en_EP&amp;FT=D&amp;CC=CN&amp;NR=106607078B&amp;KC=B","CN106607078.B")</f>
        <v>CN106607078.B</v>
      </c>
    </row>
    <row r="96" spans="1:123" ht="17.100000000000001" customHeight="1" x14ac:dyDescent="0.25">
      <c r="A96" s="16" t="s">
        <v>3192</v>
      </c>
      <c r="B96" s="21" t="s">
        <v>3192</v>
      </c>
      <c r="C96" s="23">
        <v>0.70998501777648904</v>
      </c>
      <c r="D96" s="23">
        <v>0.44414699077606201</v>
      </c>
      <c r="E96" s="23">
        <v>0.31533771753311202</v>
      </c>
      <c r="F96" s="21">
        <v>0.31533771753311202</v>
      </c>
      <c r="G96" s="23">
        <v>0</v>
      </c>
      <c r="H96" s="24">
        <v>42298</v>
      </c>
      <c r="I96" s="23">
        <v>2</v>
      </c>
      <c r="J96" s="22">
        <v>478072952</v>
      </c>
      <c r="K96" s="21"/>
      <c r="L96" s="21" t="s">
        <v>2981</v>
      </c>
      <c r="M96" s="21" t="s">
        <v>3077</v>
      </c>
      <c r="N96" s="21" t="s">
        <v>2958</v>
      </c>
      <c r="O96" s="25" t="str">
        <f>HYPERLINK("http://worldwide.espacenet.com/publicationDetails/biblio?DB=EPODOC&amp;adjacent=true&amp;locale=en_EP&amp;FT=D&amp;CC=CN&amp;NR=106607079A&amp;KC=A","CN106607079.A")</f>
        <v>CN106607079.A</v>
      </c>
      <c r="P96" s="25" t="str">
        <f>HYPERLINK("http://worldwide.espacenet.com/publicationDetails/biblio?DB=EPODOC&amp;adjacent=true&amp;locale=en_EP&amp;FT=D&amp;CC=CN&amp;NR=106607079A&amp;KC=A","CN106607079.A")</f>
        <v>CN106607079.A</v>
      </c>
    </row>
    <row r="97" spans="1:42" ht="17.100000000000001" customHeight="1" x14ac:dyDescent="0.25">
      <c r="A97" s="16" t="s">
        <v>3193</v>
      </c>
      <c r="B97" s="21" t="s">
        <v>3194</v>
      </c>
      <c r="C97" s="23">
        <v>2.1184768676757799</v>
      </c>
      <c r="D97" s="23">
        <v>0.63449597358703602</v>
      </c>
      <c r="E97" s="23">
        <v>1.34416508674622</v>
      </c>
      <c r="F97" s="21">
        <v>1.34416508674622</v>
      </c>
      <c r="G97" s="23">
        <v>1</v>
      </c>
      <c r="H97" s="24">
        <v>42298</v>
      </c>
      <c r="I97" s="23">
        <v>3</v>
      </c>
      <c r="J97" s="22">
        <v>478074694</v>
      </c>
      <c r="K97" s="21" t="s">
        <v>3195</v>
      </c>
      <c r="L97" s="21" t="s">
        <v>2981</v>
      </c>
      <c r="M97" s="21" t="s">
        <v>2957</v>
      </c>
      <c r="N97" s="21" t="s">
        <v>2951</v>
      </c>
      <c r="O97" s="25" t="str">
        <f>HYPERLINK("http://worldwide.espacenet.com/publicationDetails/biblio?DB=EPODOC&amp;adjacent=true&amp;locale=en_EP&amp;FT=D&amp;CC=CN&amp;NR=106607083A&amp;KC=A","CN106607083.A")</f>
        <v>CN106607083.A</v>
      </c>
      <c r="P97" s="25" t="str">
        <f>HYPERLINK("http://worldwide.espacenet.com/publicationDetails/biblio?DB=EPODOC&amp;adjacent=true&amp;locale=en_EP&amp;FT=D&amp;CC=CN&amp;NR=106607083A&amp;KC=A","CN106607083.A")</f>
        <v>CN106607083.A</v>
      </c>
      <c r="Q97" s="26" t="str">
        <f>HYPERLINK("http://worldwide.espacenet.com/publicationDetails/biblio?DB=EPODOC&amp;adjacent=true&amp;locale=en_EP&amp;FT=D&amp;CC=CN&amp;NR=106607083B&amp;KC=B","CN106607083.B")</f>
        <v>CN106607083.B</v>
      </c>
    </row>
    <row r="98" spans="1:42" ht="17.100000000000001" customHeight="1" x14ac:dyDescent="0.25">
      <c r="A98" s="16" t="s">
        <v>3196</v>
      </c>
      <c r="B98" s="21" t="s">
        <v>3196</v>
      </c>
      <c r="C98" s="23">
        <v>0.70998501777648904</v>
      </c>
      <c r="D98" s="23">
        <v>0.44414699077606201</v>
      </c>
      <c r="E98" s="23">
        <v>0.31533771753311202</v>
      </c>
      <c r="F98" s="21">
        <v>0.31533771753311202</v>
      </c>
      <c r="G98" s="23">
        <v>0</v>
      </c>
      <c r="H98" s="24">
        <v>42298</v>
      </c>
      <c r="I98" s="23">
        <v>2</v>
      </c>
      <c r="J98" s="22">
        <v>478074260</v>
      </c>
      <c r="K98" s="21"/>
      <c r="L98" s="21" t="s">
        <v>2981</v>
      </c>
      <c r="M98" s="21" t="s">
        <v>3077</v>
      </c>
      <c r="N98" s="21" t="s">
        <v>2958</v>
      </c>
      <c r="O98" s="25" t="str">
        <f>HYPERLINK("http://worldwide.espacenet.com/publicationDetails/biblio?DB=EPODOC&amp;adjacent=true&amp;locale=en_EP&amp;FT=D&amp;CC=CN&amp;NR=106607086A&amp;KC=A","CN106607086.A")</f>
        <v>CN106607086.A</v>
      </c>
      <c r="P98" s="25" t="str">
        <f>HYPERLINK("http://worldwide.espacenet.com/publicationDetails/biblio?DB=EPODOC&amp;adjacent=true&amp;locale=en_EP&amp;FT=D&amp;CC=CN&amp;NR=106607086A&amp;KC=A","CN106607086.A")</f>
        <v>CN106607086.A</v>
      </c>
    </row>
    <row r="99" spans="1:42" ht="17.100000000000001" customHeight="1" x14ac:dyDescent="0.25">
      <c r="A99" s="16" t="s">
        <v>3197</v>
      </c>
      <c r="B99" s="21" t="s">
        <v>3198</v>
      </c>
      <c r="C99" s="23">
        <v>0.70998501777648904</v>
      </c>
      <c r="D99" s="23">
        <v>0.63449597358703602</v>
      </c>
      <c r="E99" s="23">
        <v>0.45048263669013999</v>
      </c>
      <c r="F99" s="21">
        <v>0.45048263669013999</v>
      </c>
      <c r="G99" s="23">
        <v>0</v>
      </c>
      <c r="H99" s="24">
        <v>42298</v>
      </c>
      <c r="I99" s="23">
        <v>2</v>
      </c>
      <c r="J99" s="22">
        <v>478075012</v>
      </c>
      <c r="K99" s="21"/>
      <c r="L99" s="21" t="s">
        <v>2981</v>
      </c>
      <c r="M99" s="21" t="s">
        <v>2957</v>
      </c>
      <c r="N99" s="21" t="s">
        <v>2958</v>
      </c>
      <c r="O99" s="25" t="str">
        <f>HYPERLINK("http://worldwide.espacenet.com/publicationDetails/biblio?DB=EPODOC&amp;adjacent=true&amp;locale=en_EP&amp;FT=D&amp;CC=CN&amp;NR=106607088A&amp;KC=A","CN106607088.A")</f>
        <v>CN106607088.A</v>
      </c>
      <c r="P99" s="25" t="str">
        <f>HYPERLINK("http://worldwide.espacenet.com/publicationDetails/biblio?DB=EPODOC&amp;adjacent=true&amp;locale=en_EP&amp;FT=D&amp;CC=CN&amp;NR=106607088A&amp;KC=A","CN106607088.A")</f>
        <v>CN106607088.A</v>
      </c>
      <c r="Q99" s="26" t="str">
        <f>HYPERLINK("http://worldwide.espacenet.com/publicationDetails/biblio?DB=EPODOC&amp;adjacent=true&amp;locale=en_EP&amp;FT=D&amp;CC=CN&amp;NR=106607088B&amp;KC=B","CN106607088.B")</f>
        <v>CN106607088.B</v>
      </c>
      <c r="U99" s="26" t="str">
        <f>HYPERLINK("http://worldwide.espacenet.com/publicationDetails/biblio?DB=EPODOC&amp;adjacent=true&amp;locale=en_EP&amp;FT=D&amp;CC=JP&amp;NR=6436495B2&amp;KC=B2","JP6436495.B2")</f>
        <v>JP6436495.B2</v>
      </c>
      <c r="V99" s="26" t="str">
        <f>HYPERLINK("http://worldwide.espacenet.com/publicationDetails/biblio?DB=EPODOC&amp;adjacent=true&amp;locale=en_EP&amp;FT=D&amp;CC=KR&amp;NR=20160027199A&amp;KC=A","KR20160027199.A")</f>
        <v>KR20160027199.A</v>
      </c>
      <c r="W99" s="26" t="str">
        <f>HYPERLINK("http://worldwide.espacenet.com/publicationDetails/biblio?DB=EPODOC&amp;adjacent=true&amp;locale=en_EP&amp;FT=D&amp;CC=US&amp;NR=10239051B2&amp;KC=B2","US10239051.B2")</f>
        <v>US10239051.B2</v>
      </c>
      <c r="X99" s="26" t="str">
        <f>HYPERLINK("http://worldwide.espacenet.com/publicationDetails/biblio?DB=EPODOC&amp;adjacent=true&amp;locale=en_EP&amp;FT=D&amp;CC=US&amp;NR=2016136625A1&amp;KC=A1","US2016136625.A1")</f>
        <v>US2016136625.A1</v>
      </c>
      <c r="Y99" s="26" t="str">
        <f>HYPERLINK("http://worldwide.espacenet.com/publicationDetails/biblio?DB=EPODOC&amp;adjacent=true&amp;locale=en_EP&amp;FT=D&amp;CC=US&amp;NR=2019168194A1&amp;KC=A1","US2019168194.A1")</f>
        <v>US2019168194.A1</v>
      </c>
      <c r="Z99" s="26" t="str">
        <f>HYPERLINK("http://worldwide.espacenet.com/publicationDetails/biblio?DB=EPODOC&amp;adjacent=true&amp;locale=en_EP&amp;FT=D&amp;CC=WO&amp;NR=2015001004A1&amp;KC=A1","WO2015001004.A1")</f>
        <v>WO2015001004.A1</v>
      </c>
    </row>
    <row r="100" spans="1:42" ht="17.100000000000001" customHeight="1" x14ac:dyDescent="0.25">
      <c r="A100" s="16" t="s">
        <v>3199</v>
      </c>
      <c r="B100" s="21" t="s">
        <v>3200</v>
      </c>
      <c r="C100" s="23">
        <v>0.73159933090210005</v>
      </c>
      <c r="D100" s="23">
        <v>0.63449597358703602</v>
      </c>
      <c r="E100" s="23">
        <v>0.46419683098793002</v>
      </c>
      <c r="F100" s="21">
        <v>0.46419683098793002</v>
      </c>
      <c r="G100" s="23">
        <v>0</v>
      </c>
      <c r="H100" s="24">
        <v>42298</v>
      </c>
      <c r="I100" s="23">
        <v>1</v>
      </c>
      <c r="J100" s="22">
        <v>478074122</v>
      </c>
      <c r="K100" s="21"/>
      <c r="L100" s="21" t="s">
        <v>2981</v>
      </c>
      <c r="M100" s="21" t="s">
        <v>2957</v>
      </c>
      <c r="N100" s="21" t="s">
        <v>2943</v>
      </c>
      <c r="O100" s="25" t="str">
        <f>HYPERLINK("http://worldwide.espacenet.com/publicationDetails/biblio?DB=EPODOC&amp;adjacent=true&amp;locale=en_EP&amp;FT=D&amp;CC=CN&amp;NR=106608780A&amp;KC=A","CN106608780.A")</f>
        <v>CN106608780.A</v>
      </c>
      <c r="P100" s="25" t="str">
        <f>HYPERLINK("http://worldwide.espacenet.com/publicationDetails/biblio?DB=EPODOC&amp;adjacent=true&amp;locale=en_EP&amp;FT=D&amp;CC=CN&amp;NR=106608780A&amp;KC=A","CN106608780.A")</f>
        <v>CN106608780.A</v>
      </c>
      <c r="Q100" s="26" t="str">
        <f>HYPERLINK("http://worldwide.espacenet.com/publicationDetails/biblio?DB=EPODOC&amp;adjacent=true&amp;locale=en_EP&amp;FT=D&amp;CC=CN&amp;NR=106608780B&amp;KC=B","CN106608780.B")</f>
        <v>CN106608780.B</v>
      </c>
      <c r="U100" s="26" t="str">
        <f>HYPERLINK("http://worldwide.espacenet.com/publicationDetails/biblio?DB=EPODOC&amp;adjacent=true&amp;locale=en_EP&amp;FT=D&amp;CC=TW&amp;NR=I555705B&amp;KC=B","TWI555705.B")</f>
        <v>TWI555705.B</v>
      </c>
      <c r="V100" s="26" t="str">
        <f>HYPERLINK("http://worldwide.espacenet.com/publicationDetails/biblio?DB=EPODOC&amp;adjacent=true&amp;locale=en_EP&amp;FT=D&amp;CC=US&amp;NR=10010853B2&amp;KC=B2","US10010853.B2")</f>
        <v>US10010853.B2</v>
      </c>
      <c r="W100" s="26" t="str">
        <f>HYPERLINK("http://worldwide.espacenet.com/publicationDetails/biblio?DB=EPODOC&amp;adjacent=true&amp;locale=en_EP&amp;FT=D&amp;CC=US&amp;NR=2015265996A1&amp;KC=A1","US2015265996.A1")</f>
        <v>US2015265996.A1</v>
      </c>
      <c r="X100" s="26" t="str">
        <f>HYPERLINK("http://worldwide.espacenet.com/publicationDetails/biblio?DB=EPODOC&amp;adjacent=true&amp;locale=en_EP&amp;FT=D&amp;CC=US&amp;NR=2015266744A1&amp;KC=A1","US2015266744.A1")</f>
        <v>US2015266744.A1</v>
      </c>
      <c r="Y100" s="26" t="str">
        <f>HYPERLINK("http://worldwide.espacenet.com/publicationDetails/biblio?DB=EPODOC&amp;adjacent=true&amp;locale=en_EP&amp;FT=D&amp;CC=US&amp;NR=9669378B2&amp;KC=B2","US9669378.B2")</f>
        <v>US9669378.B2</v>
      </c>
      <c r="Z100" s="26" t="str">
        <f>HYPERLINK("http://worldwide.espacenet.com/publicationDetails/biblio?DB=EPODOC&amp;adjacent=true&amp;locale=en_EP&amp;FT=D&amp;CC=WO&amp;NR=2015142942A2&amp;KC=A2","WO2015142942.A2")</f>
        <v>WO2015142942.A2</v>
      </c>
      <c r="AA100" s="26" t="str">
        <f>HYPERLINK("http://worldwide.espacenet.com/publicationDetails/biblio?DB=EPODOC&amp;adjacent=true&amp;locale=en_EP&amp;FT=D&amp;CC=WO&amp;NR=2015142942A3&amp;KC=A3","WO2015142942.A3")</f>
        <v>WO2015142942.A3</v>
      </c>
    </row>
    <row r="101" spans="1:42" ht="17.100000000000001" customHeight="1" x14ac:dyDescent="0.25">
      <c r="A101" s="16" t="s">
        <v>3201</v>
      </c>
      <c r="B101" s="21" t="s">
        <v>3201</v>
      </c>
      <c r="C101" s="23">
        <v>0.73159933090210005</v>
      </c>
      <c r="D101" s="23">
        <v>0.44414699077606201</v>
      </c>
      <c r="E101" s="23">
        <v>0.32493764162063599</v>
      </c>
      <c r="F101" s="21">
        <v>0.32493764162063599</v>
      </c>
      <c r="G101" s="23">
        <v>0</v>
      </c>
      <c r="H101" s="24">
        <v>42299</v>
      </c>
      <c r="I101" s="23">
        <v>1</v>
      </c>
      <c r="J101" s="22">
        <v>478072336</v>
      </c>
      <c r="K101" s="21"/>
      <c r="L101" s="21" t="s">
        <v>2981</v>
      </c>
      <c r="M101" s="21" t="s">
        <v>3077</v>
      </c>
      <c r="N101" s="21" t="s">
        <v>2943</v>
      </c>
      <c r="O101" s="25" t="str">
        <f>HYPERLINK("http://worldwide.espacenet.com/publicationDetails/biblio?DB=EPODOC&amp;adjacent=true&amp;locale=en_EP&amp;FT=D&amp;CC=CN&amp;NR=106608781A&amp;KC=A","CN106608781.A")</f>
        <v>CN106608781.A</v>
      </c>
      <c r="P101" s="25" t="str">
        <f>HYPERLINK("http://worldwide.espacenet.com/publicationDetails/biblio?DB=EPODOC&amp;adjacent=true&amp;locale=en_EP&amp;FT=D&amp;CC=CN&amp;NR=106608781A&amp;KC=A","CN106608781.A")</f>
        <v>CN106608781.A</v>
      </c>
      <c r="U101" s="26" t="str">
        <f>HYPERLINK("http://worldwide.espacenet.com/publicationDetails/biblio?DB=EPODOC&amp;adjacent=true&amp;locale=en_EP&amp;FT=D&amp;CC=GB&amp;NR=2023167A&amp;KC=A","GB2023167.A")</f>
        <v>GB2023167.A</v>
      </c>
      <c r="V101" s="26" t="str">
        <f>HYPERLINK("http://worldwide.espacenet.com/publicationDetails/biblio?DB=EPODOC&amp;adjacent=true&amp;locale=en_EP&amp;FT=D&amp;CC=GB&amp;NR=2023167B&amp;KC=B","GB2023167.B")</f>
        <v>GB2023167.B</v>
      </c>
      <c r="W101" s="26" t="str">
        <f>HYPERLINK("http://worldwide.espacenet.com/publicationDetails/biblio?DB=EPODOC&amp;adjacent=true&amp;locale=en_EP&amp;FT=D&amp;CC=IT&amp;NR=1121519B&amp;KC=B","IT1121519.B")</f>
        <v>IT1121519.B</v>
      </c>
      <c r="X101" s="26" t="str">
        <f>HYPERLINK("http://worldwide.espacenet.com/publicationDetails/biblio?DB=EPODOC&amp;adjacent=true&amp;locale=en_EP&amp;FT=D&amp;CC=IT&amp;NR=7923055D0&amp;KC=D0","IT7923055.D0")</f>
        <v>IT7923055.D0</v>
      </c>
      <c r="Y101" s="26" t="str">
        <f>HYPERLINK("http://worldwide.espacenet.com/publicationDetails/biblio?DB=EPODOC&amp;adjacent=true&amp;locale=en_EP&amp;FT=D&amp;CC=JP&amp;NR=S54156013A&amp;KC=A","JPS54156013.A")</f>
        <v>JPS54156013.A</v>
      </c>
      <c r="Z101" s="26" t="str">
        <f>HYPERLINK("http://worldwide.espacenet.com/publicationDetails/biblio?DB=EPODOC&amp;adjacent=true&amp;locale=en_EP&amp;FT=D&amp;CC=JP&amp;NR=S6320877B2&amp;KC=B2","JPS6320877.B2")</f>
        <v>JPS6320877.B2</v>
      </c>
      <c r="AA101" s="26" t="str">
        <f>HYPERLINK("http://worldwide.espacenet.com/publicationDetails/biblio?DB=EPODOC&amp;adjacent=true&amp;locale=en_EP&amp;FT=D&amp;CC=NL&amp;NR=7805841A&amp;KC=A","NL7805841.A")</f>
        <v>NL7805841.A</v>
      </c>
    </row>
    <row r="102" spans="1:42" ht="17.100000000000001" customHeight="1" x14ac:dyDescent="0.25">
      <c r="A102" s="16" t="s">
        <v>3202</v>
      </c>
      <c r="B102" s="21" t="s">
        <v>3203</v>
      </c>
      <c r="C102" s="23">
        <v>0.73159933090210005</v>
      </c>
      <c r="D102" s="23">
        <v>0.63449597358703602</v>
      </c>
      <c r="E102" s="23">
        <v>0.46419683098793002</v>
      </c>
      <c r="F102" s="21">
        <v>0.46419683098793002</v>
      </c>
      <c r="G102" s="23">
        <v>0</v>
      </c>
      <c r="H102" s="24">
        <v>42299</v>
      </c>
      <c r="I102" s="23">
        <v>1</v>
      </c>
      <c r="J102" s="22">
        <v>478075452</v>
      </c>
      <c r="K102" s="21"/>
      <c r="L102" s="21" t="s">
        <v>2981</v>
      </c>
      <c r="M102" s="21" t="s">
        <v>2957</v>
      </c>
      <c r="N102" s="21" t="s">
        <v>2943</v>
      </c>
      <c r="O102" s="25" t="str">
        <f>HYPERLINK("http://worldwide.espacenet.com/publicationDetails/biblio?DB=EPODOC&amp;adjacent=true&amp;locale=en_EP&amp;FT=D&amp;CC=CN&amp;NR=106608786A&amp;KC=A","CN106608786.A")</f>
        <v>CN106608786.A</v>
      </c>
      <c r="P102" s="25" t="str">
        <f>HYPERLINK("http://worldwide.espacenet.com/publicationDetails/biblio?DB=EPODOC&amp;adjacent=true&amp;locale=en_EP&amp;FT=D&amp;CC=CN&amp;NR=106608786A&amp;KC=A","CN106608786.A")</f>
        <v>CN106608786.A</v>
      </c>
      <c r="Q102" s="26" t="str">
        <f>HYPERLINK("http://worldwide.espacenet.com/publicationDetails/biblio?DB=EPODOC&amp;adjacent=true&amp;locale=en_EP&amp;FT=D&amp;CC=CN&amp;NR=106608786B&amp;KC=B","CN106608786.B")</f>
        <v>CN106608786.B</v>
      </c>
    </row>
    <row r="103" spans="1:42" ht="17.100000000000001" customHeight="1" x14ac:dyDescent="0.25">
      <c r="A103" s="16" t="s">
        <v>3204</v>
      </c>
      <c r="B103" s="21" t="s">
        <v>3204</v>
      </c>
      <c r="C103" s="23">
        <v>0.70998501777648904</v>
      </c>
      <c r="D103" s="23">
        <v>0.44414699077606201</v>
      </c>
      <c r="E103" s="23">
        <v>0.31533771753311202</v>
      </c>
      <c r="F103" s="21">
        <v>0.31533771753311202</v>
      </c>
      <c r="G103" s="23">
        <v>0</v>
      </c>
      <c r="H103" s="24">
        <v>42710</v>
      </c>
      <c r="I103" s="23">
        <v>2</v>
      </c>
      <c r="J103" s="22">
        <v>479404459</v>
      </c>
      <c r="K103" s="21"/>
      <c r="L103" s="21" t="s">
        <v>3116</v>
      </c>
      <c r="M103" s="21" t="s">
        <v>3077</v>
      </c>
      <c r="N103" s="21" t="s">
        <v>2958</v>
      </c>
      <c r="O103" s="25" t="str">
        <f>HYPERLINK("http://worldwide.espacenet.com/publicationDetails/biblio?DB=EPODOC&amp;adjacent=true&amp;locale=en_EP&amp;FT=D&amp;CC=CN&amp;NR=106622344A&amp;KC=A","CN106622344.A")</f>
        <v>CN106622344.A</v>
      </c>
      <c r="P103" s="25" t="str">
        <f>HYPERLINK("http://worldwide.espacenet.com/publicationDetails/biblio?DB=EPODOC&amp;adjacent=true&amp;locale=en_EP&amp;FT=D&amp;CC=CN&amp;NR=106622344A&amp;KC=A","CN106622344.A")</f>
        <v>CN106622344.A</v>
      </c>
      <c r="U103" s="26" t="str">
        <f>HYPERLINK("http://worldwide.espacenet.com/publicationDetails/biblio?DB=EPODOC&amp;adjacent=true&amp;locale=en_EP&amp;FT=D&amp;CC=EP&amp;NR=0414449A1&amp;KC=A1","EP0414449.A1")</f>
        <v>EP0414449.A1</v>
      </c>
      <c r="V103" s="26" t="str">
        <f>HYPERLINK("http://worldwide.espacenet.com/publicationDetails/biblio?DB=EPODOC&amp;adjacent=true&amp;locale=en_EP&amp;FT=D&amp;CC=EP&amp;NR=0414449B1&amp;KC=B1","EP0414449.B1")</f>
        <v>EP0414449.B1</v>
      </c>
      <c r="W103" s="26" t="str">
        <f>HYPERLINK("http://worldwide.espacenet.com/publicationDetails/biblio?DB=EPODOC&amp;adjacent=true&amp;locale=en_EP&amp;FT=D&amp;CC=JP&amp;NR=H03109490A&amp;KC=A","JPH03109490.A")</f>
        <v>JPH03109490.A</v>
      </c>
      <c r="X103" s="26" t="str">
        <f>HYPERLINK("http://worldwide.espacenet.com/publicationDetails/biblio?DB=EPODOC&amp;adjacent=true&amp;locale=en_EP&amp;FT=D&amp;CC=NZ&amp;NR=234880A&amp;KC=A","NZ234880.A")</f>
        <v>NZ234880.A</v>
      </c>
      <c r="Y103" s="26" t="str">
        <f>HYPERLINK("http://worldwide.espacenet.com/publicationDetails/biblio?DB=EPODOC&amp;adjacent=true&amp;locale=en_EP&amp;FT=D&amp;CC=US&amp;NR=4975179A&amp;KC=A","US4975179.A")</f>
        <v>US4975179.A</v>
      </c>
    </row>
    <row r="104" spans="1:42" ht="17.100000000000001" customHeight="1" x14ac:dyDescent="0.25">
      <c r="A104" s="16" t="s">
        <v>3205</v>
      </c>
      <c r="B104" s="21" t="s">
        <v>3205</v>
      </c>
      <c r="C104" s="23">
        <v>0.724437296390533</v>
      </c>
      <c r="D104" s="23">
        <v>0.44414699077606201</v>
      </c>
      <c r="E104" s="23">
        <v>0.321756631135941</v>
      </c>
      <c r="F104" s="21">
        <v>0.321756631135941</v>
      </c>
      <c r="G104" s="23">
        <v>0</v>
      </c>
      <c r="H104" s="24">
        <v>42710</v>
      </c>
      <c r="I104" s="23">
        <v>3</v>
      </c>
      <c r="J104" s="22">
        <v>479671337</v>
      </c>
      <c r="K104" s="21"/>
      <c r="L104" s="21" t="s">
        <v>3116</v>
      </c>
      <c r="M104" s="21" t="s">
        <v>3077</v>
      </c>
      <c r="N104" s="21" t="s">
        <v>2951</v>
      </c>
      <c r="O104" s="25" t="str">
        <f>HYPERLINK("http://worldwide.espacenet.com/publicationDetails/biblio?DB=EPODOC&amp;adjacent=true&amp;locale=en_EP&amp;FT=D&amp;CC=CN&amp;NR=106694029A&amp;KC=A","CN106694029.A")</f>
        <v>CN106694029.A</v>
      </c>
      <c r="P104" s="25" t="str">
        <f>HYPERLINK("http://worldwide.espacenet.com/publicationDetails/biblio?DB=EPODOC&amp;adjacent=true&amp;locale=en_EP&amp;FT=D&amp;CC=CN&amp;NR=106694029A&amp;KC=A","CN106694029.A")</f>
        <v>CN106694029.A</v>
      </c>
      <c r="U104" s="26" t="str">
        <f>HYPERLINK("http://worldwide.espacenet.com/publicationDetails/biblio?DB=EPODOC&amp;adjacent=true&amp;locale=en_EP&amp;FT=D&amp;CC=EP&amp;NR=2802533A4&amp;KC=A4","EP2802533.A4")</f>
        <v>EP2802533.A4</v>
      </c>
      <c r="V104" s="26" t="str">
        <f>HYPERLINK("http://worldwide.espacenet.com/publicationDetails/biblio?DB=EPODOC&amp;adjacent=true&amp;locale=en_EP&amp;FT=D&amp;CC=EP&amp;NR=2802533B1&amp;KC=B1","EP2802533.B1")</f>
        <v>EP2802533.B1</v>
      </c>
      <c r="W104" s="26" t="str">
        <f>HYPERLINK("http://worldwide.espacenet.com/publicationDetails/biblio?DB=EPODOC&amp;adjacent=true&amp;locale=en_EP&amp;FT=D&amp;CC=JP&amp;NR=2015523943A&amp;KC=A","JP2015523943.A")</f>
        <v>JP2015523943.A</v>
      </c>
      <c r="X104" s="26" t="str">
        <f>HYPERLINK("http://worldwide.espacenet.com/publicationDetails/biblio?DB=EPODOC&amp;adjacent=true&amp;locale=en_EP&amp;FT=D&amp;CC=JP&amp;NR=6134335B2&amp;KC=B2","JP6134335.B2")</f>
        <v>JP6134335.B2</v>
      </c>
      <c r="Y104" s="26" t="str">
        <f>HYPERLINK("http://worldwide.espacenet.com/publicationDetails/biblio?DB=EPODOC&amp;adjacent=true&amp;locale=en_EP&amp;FT=D&amp;CC=KR&amp;NR=101617564B1&amp;KC=B1","KR101617564.B1")</f>
        <v>KR101617564.B1</v>
      </c>
      <c r="Z104" s="26" t="str">
        <f>HYPERLINK("http://worldwide.espacenet.com/publicationDetails/biblio?DB=EPODOC&amp;adjacent=true&amp;locale=en_EP&amp;FT=D&amp;CC=KR&amp;NR=20140113977A&amp;KC=A","KR20140113977.A")</f>
        <v>KR20140113977.A</v>
      </c>
      <c r="AA104" s="26" t="str">
        <f>HYPERLINK("http://worldwide.espacenet.com/publicationDetails/biblio?DB=EPODOC&amp;adjacent=true&amp;locale=en_EP&amp;FT=D&amp;CC=MX&amp;NR=2014007632A&amp;KC=A","MX2014007632.A")</f>
        <v>MX2014007632.A</v>
      </c>
      <c r="AB104" s="26" t="str">
        <f>HYPERLINK("http://worldwide.espacenet.com/publicationDetails/biblio?DB=EPODOC&amp;adjacent=true&amp;locale=en_EP&amp;FT=D&amp;CC=MX&amp;NR=349355B&amp;KC=B","MX349355.B")</f>
        <v>MX349355.B</v>
      </c>
      <c r="AC104" s="26" t="str">
        <f>HYPERLINK("http://worldwide.espacenet.com/publicationDetails/biblio?DB=EPODOC&amp;adjacent=true&amp;locale=en_EP&amp;FT=D&amp;CC=SG&amp;NR=11201402970RA&amp;KC=A","SG11201402970R.A")</f>
        <v>SG11201402970R.A</v>
      </c>
      <c r="AD104" s="26" t="str">
        <f>HYPERLINK("http://worldwide.espacenet.com/publicationDetails/biblio?DB=EPODOC&amp;adjacent=true&amp;locale=en_EP&amp;FT=D&amp;CC=US&amp;NR=2013164212A1&amp;KC=A1","US2013164212.A1")</f>
        <v>US2013164212.A1</v>
      </c>
      <c r="AE104" s="26" t="str">
        <f>HYPERLINK("http://worldwide.espacenet.com/publicationDetails/biblio?DB=EPODOC&amp;adjacent=true&amp;locale=en_EP&amp;FT=D&amp;CC=US&amp;NR=2013164213A1&amp;KC=A1","US2013164213.A1")</f>
        <v>US2013164213.A1</v>
      </c>
      <c r="AF104" s="26" t="str">
        <f>HYPERLINK("http://worldwide.espacenet.com/publicationDetails/biblio?DB=EPODOC&amp;adjacent=true&amp;locale=en_EP&amp;FT=D&amp;CC=US&amp;NR=2013165720A1&amp;KC=A1","US2013165720.A1")</f>
        <v>US2013165720.A1</v>
      </c>
      <c r="AG104" s="26" t="str">
        <f>HYPERLINK("http://worldwide.espacenet.com/publicationDetails/biblio?DB=EPODOC&amp;adjacent=true&amp;locale=en_EP&amp;FT=D&amp;CC=US&amp;NR=2014066674A1&amp;KC=A1","US2014066674.A1")</f>
        <v>US2014066674.A1</v>
      </c>
      <c r="AH104" s="26" t="str">
        <f>HYPERLINK("http://worldwide.espacenet.com/publicationDetails/biblio?DB=EPODOC&amp;adjacent=true&amp;locale=en_EP&amp;FT=D&amp;CC=US&amp;NR=2014171719A1&amp;KC=A1","US2014171719.A1")</f>
        <v>US2014171719.A1</v>
      </c>
      <c r="AI104" s="26" t="str">
        <f>HYPERLINK("http://worldwide.espacenet.com/publicationDetails/biblio?DB=EPODOC&amp;adjacent=true&amp;locale=en_EP&amp;FT=D&amp;CC=US&amp;NR=2015025287A1&amp;KC=A1","US2015025287.A1")</f>
        <v>US2015025287.A1</v>
      </c>
      <c r="AJ104" s="26" t="str">
        <f>HYPERLINK("http://worldwide.espacenet.com/publicationDetails/biblio?DB=EPODOC&amp;adjacent=true&amp;locale=en_EP&amp;FT=D&amp;CC=US&amp;NR=8642823B2&amp;KC=B2","US8642823.B2")</f>
        <v>US8642823.B2</v>
      </c>
      <c r="AK104" s="26" t="str">
        <f>HYPERLINK("http://worldwide.espacenet.com/publicationDetails/biblio?DB=EPODOC&amp;adjacent=true&amp;locale=en_EP&amp;FT=D&amp;CC=US&amp;NR=8846998B2&amp;KC=B2","US8846998.B2")</f>
        <v>US8846998.B2</v>
      </c>
      <c r="AL104" s="26" t="str">
        <f>HYPERLINK("http://worldwide.espacenet.com/publicationDetails/biblio?DB=EPODOC&amp;adjacent=true&amp;locale=en_EP&amp;FT=D&amp;CC=US&amp;NR=8940952B2&amp;KC=B2","US8940952.B2")</f>
        <v>US8940952.B2</v>
      </c>
      <c r="AM104" s="26" t="str">
        <f>HYPERLINK("http://worldwide.espacenet.com/publicationDetails/biblio?DB=EPODOC&amp;adjacent=true&amp;locale=en_EP&amp;FT=D&amp;CC=US&amp;NR=8946497B1&amp;KC=B1","US8946497.B1")</f>
        <v>US8946497.B1</v>
      </c>
      <c r="AN104" s="26" t="str">
        <f>HYPERLINK("http://worldwide.espacenet.com/publicationDetails/biblio?DB=EPODOC&amp;adjacent=true&amp;locale=en_EP&amp;FT=D&amp;CC=US&amp;NR=8992885B2&amp;KC=B2","US8992885.B2")</f>
        <v>US8992885.B2</v>
      </c>
      <c r="AO104" s="26" t="str">
        <f>HYPERLINK("http://worldwide.espacenet.com/publicationDetails/biblio?DB=EPODOC&amp;adjacent=true&amp;locale=en_EP&amp;FT=D&amp;CC=WO&amp;NR=2013096069A2&amp;KC=A2","WO2013096069.A2")</f>
        <v>WO2013096069.A2</v>
      </c>
      <c r="AP104" s="26" t="str">
        <f>HYPERLINK("http://worldwide.espacenet.com/publicationDetails/biblio?DB=EPODOC&amp;adjacent=true&amp;locale=en_EP&amp;FT=D&amp;CC=WO&amp;NR=2013096069A3&amp;KC=A3","WO2013096069.A3")</f>
        <v>WO2013096069.A3</v>
      </c>
    </row>
    <row r="105" spans="1:42" ht="17.100000000000001" customHeight="1" x14ac:dyDescent="0.25">
      <c r="A105" s="16" t="s">
        <v>3206</v>
      </c>
      <c r="B105" s="21" t="s">
        <v>3206</v>
      </c>
      <c r="C105" s="23">
        <v>0.68548744916915905</v>
      </c>
      <c r="D105" s="23">
        <v>0.44414699077606201</v>
      </c>
      <c r="E105" s="23">
        <v>0.304457187652588</v>
      </c>
      <c r="F105" s="21">
        <v>0.304457187652588</v>
      </c>
      <c r="G105" s="23">
        <v>0</v>
      </c>
      <c r="H105" s="24">
        <v>42836</v>
      </c>
      <c r="I105" s="23">
        <v>3</v>
      </c>
      <c r="J105" s="22">
        <v>482213583</v>
      </c>
      <c r="K105" s="21"/>
      <c r="L105" s="21" t="s">
        <v>3207</v>
      </c>
      <c r="M105" s="21" t="s">
        <v>3077</v>
      </c>
      <c r="N105" s="21" t="s">
        <v>3013</v>
      </c>
      <c r="O105" s="25" t="str">
        <f>HYPERLINK("http://worldwide.espacenet.com/publicationDetails/biblio?DB=EPODOC&amp;adjacent=true&amp;locale=en_EP&amp;FT=D&amp;CC=CN&amp;NR=107010639A&amp;KC=A","CN107010639.A")</f>
        <v>CN107010639.A</v>
      </c>
      <c r="P105" s="25" t="str">
        <f>HYPERLINK("http://worldwide.espacenet.com/publicationDetails/biblio?DB=EPODOC&amp;adjacent=true&amp;locale=en_EP&amp;FT=D&amp;CC=CN&amp;NR=107010639A&amp;KC=A","CN107010639.A")</f>
        <v>CN107010639.A</v>
      </c>
      <c r="U105" s="26" t="str">
        <f>HYPERLINK("http://worldwide.espacenet.com/publicationDetails/biblio?DB=EPODOC&amp;adjacent=true&amp;locale=en_EP&amp;FT=D&amp;CC=CA&amp;NR=2754816C&amp;KC=C","CA2754816.C")</f>
        <v>CA2754816.C</v>
      </c>
      <c r="V105" s="26" t="str">
        <f>HYPERLINK("http://worldwide.espacenet.com/publicationDetails/biblio?DB=EPODOC&amp;adjacent=true&amp;locale=en_EP&amp;FT=D&amp;CC=CN&amp;NR=102625823A&amp;KC=A","CN102625823.A")</f>
        <v>CN102625823.A</v>
      </c>
      <c r="W105" s="26" t="str">
        <f>HYPERLINK("http://worldwide.espacenet.com/publicationDetails/biblio?DB=EPODOC&amp;adjacent=true&amp;locale=en_EP&amp;FT=D&amp;CC=CN&amp;NR=102625823B&amp;KC=B","CN102625823.B")</f>
        <v>CN102625823.B</v>
      </c>
      <c r="X105" s="26" t="str">
        <f>HYPERLINK("http://worldwide.espacenet.com/publicationDetails/biblio?DB=EPODOC&amp;adjacent=true&amp;locale=en_EP&amp;FT=D&amp;CC=EP&amp;NR=2408880A2&amp;KC=A2","EP2408880.A2")</f>
        <v>EP2408880.A2</v>
      </c>
      <c r="Y105" s="26" t="str">
        <f>HYPERLINK("http://worldwide.espacenet.com/publicationDetails/biblio?DB=EPODOC&amp;adjacent=true&amp;locale=en_EP&amp;FT=D&amp;CC=JP&amp;NR=2012520376A&amp;KC=A","JP2012520376.A")</f>
        <v>JP2012520376.A</v>
      </c>
      <c r="Z105" s="26" t="str">
        <f>HYPERLINK("http://worldwide.espacenet.com/publicationDetails/biblio?DB=EPODOC&amp;adjacent=true&amp;locale=en_EP&amp;FT=D&amp;CC=JP&amp;NR=5636382B2&amp;KC=B2","JP5636382.B2")</f>
        <v>JP5636382.B2</v>
      </c>
      <c r="AA105" s="26" t="str">
        <f>HYPERLINK("http://worldwide.espacenet.com/publicationDetails/biblio?DB=EPODOC&amp;adjacent=true&amp;locale=en_EP&amp;FT=D&amp;CC=KR&amp;NR=101474599B1&amp;KC=B1","KR101474599.B1")</f>
        <v>KR101474599.B1</v>
      </c>
      <c r="AB105" s="26" t="str">
        <f>HYPERLINK("http://worldwide.espacenet.com/publicationDetails/biblio?DB=EPODOC&amp;adjacent=true&amp;locale=en_EP&amp;FT=D&amp;CC=KR&amp;NR=20120002586A&amp;KC=A","KR20120002586.A")</f>
        <v>KR20120002586.A</v>
      </c>
      <c r="AC105" s="26" t="str">
        <f>HYPERLINK("http://worldwide.espacenet.com/publicationDetails/biblio?DB=EPODOC&amp;adjacent=true&amp;locale=en_EP&amp;FT=D&amp;CC=MX&amp;NR=2011009373A&amp;KC=A","MX2011009373.A")</f>
        <v>MX2011009373.A</v>
      </c>
      <c r="AD105" s="26" t="str">
        <f>HYPERLINK("http://worldwide.espacenet.com/publicationDetails/biblio?DB=EPODOC&amp;adjacent=true&amp;locale=en_EP&amp;FT=D&amp;CC=RU&amp;NR=2011139641A&amp;KC=A","RU2011139641.A")</f>
        <v>RU2011139641.A</v>
      </c>
      <c r="AE105" s="26" t="str">
        <f>HYPERLINK("http://worldwide.espacenet.com/publicationDetails/biblio?DB=EPODOC&amp;adjacent=true&amp;locale=en_EP&amp;FT=D&amp;CC=RU&amp;NR=2515525C2&amp;KC=C2","RU2515525.C2")</f>
        <v>RU2515525.C2</v>
      </c>
      <c r="AF105" s="26" t="str">
        <f>HYPERLINK("http://worldwide.espacenet.com/publicationDetails/biblio?DB=EPODOC&amp;adjacent=true&amp;locale=en_EP&amp;FT=D&amp;CC=US&amp;NR=2010300930A1&amp;KC=A1","US2010300930.A1")</f>
        <v>US2010300930.A1</v>
      </c>
      <c r="AG105" s="26" t="str">
        <f>HYPERLINK("http://worldwide.espacenet.com/publicationDetails/biblio?DB=EPODOC&amp;adjacent=true&amp;locale=en_EP&amp;FT=D&amp;CC=US&amp;NR=8395006B2&amp;KC=B2","US8395006.B2")</f>
        <v>US8395006.B2</v>
      </c>
      <c r="AH105" s="26" t="str">
        <f>HYPERLINK("http://worldwide.espacenet.com/publicationDetails/biblio?DB=EPODOC&amp;adjacent=true&amp;locale=en_EP&amp;FT=D&amp;CC=WO&amp;NR=2010104581A2&amp;KC=A2","WO2010104581.A2")</f>
        <v>WO2010104581.A2</v>
      </c>
      <c r="AI105" s="26" t="str">
        <f>HYPERLINK("http://worldwide.espacenet.com/publicationDetails/biblio?DB=EPODOC&amp;adjacent=true&amp;locale=en_EP&amp;FT=D&amp;CC=WO&amp;NR=2010104581A3&amp;KC=A3","WO2010104581.A3")</f>
        <v>WO2010104581.A3</v>
      </c>
      <c r="AJ105" s="26" t="str">
        <f>HYPERLINK("http://worldwide.espacenet.com/publicationDetails/biblio?DB=EPODOC&amp;adjacent=true&amp;locale=en_EP&amp;FT=D&amp;CC=ZA&amp;NR=201106630B&amp;KC=B","ZA201106630.B")</f>
        <v>ZA201106630.B</v>
      </c>
    </row>
    <row r="106" spans="1:42" ht="17.100000000000001" customHeight="1" x14ac:dyDescent="0.25">
      <c r="A106" s="16" t="s">
        <v>3208</v>
      </c>
      <c r="B106" s="21" t="s">
        <v>3208</v>
      </c>
      <c r="C106" s="23">
        <v>1.1336923837661701</v>
      </c>
      <c r="D106" s="23">
        <v>0.44414699077606201</v>
      </c>
      <c r="E106" s="23">
        <v>0.50352603197097801</v>
      </c>
      <c r="F106" s="21">
        <v>0.50352603197097801</v>
      </c>
      <c r="G106" s="23">
        <v>0</v>
      </c>
      <c r="H106" s="24">
        <v>42929</v>
      </c>
      <c r="I106" s="23">
        <v>2</v>
      </c>
      <c r="J106" s="22">
        <v>484814022</v>
      </c>
      <c r="K106" s="21"/>
      <c r="L106" s="21" t="s">
        <v>3209</v>
      </c>
      <c r="M106" s="21" t="s">
        <v>3077</v>
      </c>
      <c r="N106" s="21" t="s">
        <v>2958</v>
      </c>
      <c r="O106" s="25" t="str">
        <f>HYPERLINK("http://worldwide.espacenet.com/publicationDetails/biblio?DB=EPODOC&amp;adjacent=true&amp;locale=en_EP&amp;FT=D&amp;CC=CN&amp;NR=107243359A&amp;KC=A","CN107243359.A")</f>
        <v>CN107243359.A</v>
      </c>
      <c r="P106" s="25" t="str">
        <f>HYPERLINK("http://worldwide.espacenet.com/publicationDetails/biblio?DB=EPODOC&amp;adjacent=true&amp;locale=en_EP&amp;FT=D&amp;CC=CN&amp;NR=107243359A&amp;KC=A","CN107243359.A")</f>
        <v>CN107243359.A</v>
      </c>
    </row>
    <row r="107" spans="1:42" ht="17.100000000000001" customHeight="1" x14ac:dyDescent="0.25">
      <c r="A107" s="16" t="s">
        <v>3210</v>
      </c>
      <c r="B107" s="21" t="s">
        <v>3210</v>
      </c>
      <c r="C107" s="23">
        <v>1.2072130441665601</v>
      </c>
      <c r="D107" s="23">
        <v>0.44414699077606201</v>
      </c>
      <c r="E107" s="23">
        <v>0.536180019378662</v>
      </c>
      <c r="F107" s="21">
        <v>0.536180019378662</v>
      </c>
      <c r="G107" s="23">
        <v>0</v>
      </c>
      <c r="H107" s="24">
        <v>42926</v>
      </c>
      <c r="I107" s="23">
        <v>2</v>
      </c>
      <c r="J107" s="22">
        <v>485129260</v>
      </c>
      <c r="K107" s="21"/>
      <c r="L107" s="21" t="s">
        <v>2956</v>
      </c>
      <c r="M107" s="21" t="s">
        <v>3077</v>
      </c>
      <c r="N107" s="21" t="s">
        <v>2958</v>
      </c>
      <c r="O107" s="25" t="str">
        <f>HYPERLINK("http://worldwide.espacenet.com/publicationDetails/biblio?DB=EPODOC&amp;adjacent=true&amp;locale=en_EP&amp;FT=D&amp;CC=CN&amp;NR=107262142A&amp;KC=A","CN107262142.A")</f>
        <v>CN107262142.A</v>
      </c>
      <c r="P107" s="25" t="str">
        <f>HYPERLINK("http://worldwide.espacenet.com/publicationDetails/biblio?DB=EPODOC&amp;adjacent=true&amp;locale=en_EP&amp;FT=D&amp;CC=CN&amp;NR=107262142A&amp;KC=A","CN107262142.A")</f>
        <v>CN107262142.A</v>
      </c>
      <c r="U107" s="26" t="str">
        <f>HYPERLINK("http://worldwide.espacenet.com/publicationDetails/biblio?DB=EPODOC&amp;adjacent=true&amp;locale=en_EP&amp;FT=D&amp;CC=ZA&amp;NR=8808909B&amp;KC=B","ZA8808909.B")</f>
        <v>ZA8808909.B</v>
      </c>
    </row>
    <row r="108" spans="1:42" ht="17.100000000000001" customHeight="1" x14ac:dyDescent="0.25">
      <c r="A108" s="16" t="s">
        <v>3211</v>
      </c>
      <c r="B108" s="21" t="s">
        <v>3211</v>
      </c>
      <c r="C108" s="23">
        <v>1.18615639209747</v>
      </c>
      <c r="D108" s="23">
        <v>0.44414699077606201</v>
      </c>
      <c r="E108" s="23">
        <v>0.526827812194824</v>
      </c>
      <c r="F108" s="21">
        <v>0.526827812194824</v>
      </c>
      <c r="G108" s="23">
        <v>0</v>
      </c>
      <c r="H108" s="24">
        <v>42508</v>
      </c>
      <c r="I108" s="23">
        <v>2</v>
      </c>
      <c r="J108" s="22">
        <v>486599555</v>
      </c>
      <c r="K108" s="21"/>
      <c r="L108" s="21" t="s">
        <v>3116</v>
      </c>
      <c r="M108" s="21" t="s">
        <v>3077</v>
      </c>
      <c r="N108" s="21" t="s">
        <v>2958</v>
      </c>
      <c r="O108" s="25" t="str">
        <f>HYPERLINK("http://worldwide.espacenet.com/publicationDetails/biblio?DB=EPODOC&amp;adjacent=true&amp;locale=en_EP&amp;FT=D&amp;CC=CN&amp;NR=107398294A&amp;KC=A","CN107398294.A")</f>
        <v>CN107398294.A</v>
      </c>
      <c r="P108" s="25" t="str">
        <f>HYPERLINK("http://worldwide.espacenet.com/publicationDetails/biblio?DB=EPODOC&amp;adjacent=true&amp;locale=en_EP&amp;FT=D&amp;CC=CN&amp;NR=107398294A&amp;KC=A","CN107398294.A")</f>
        <v>CN107398294.A</v>
      </c>
      <c r="U108" s="26" t="str">
        <f>HYPERLINK("http://worldwide.espacenet.com/publicationDetails/biblio?DB=EPODOC&amp;adjacent=true&amp;locale=en_EP&amp;FT=D&amp;CC=GB&amp;NR=2021636A&amp;KC=A","GB2021636.A")</f>
        <v>GB2021636.A</v>
      </c>
      <c r="V108" s="26" t="str">
        <f>HYPERLINK("http://worldwide.espacenet.com/publicationDetails/biblio?DB=EPODOC&amp;adjacent=true&amp;locale=en_EP&amp;FT=D&amp;CC=GB&amp;NR=2021636B&amp;KC=B","GB2021636.B")</f>
        <v>GB2021636.B</v>
      </c>
      <c r="W108" s="26" t="str">
        <f>HYPERLINK("http://worldwide.espacenet.com/publicationDetails/biblio?DB=EPODOC&amp;adjacent=true&amp;locale=en_EP&amp;FT=D&amp;CC=IT&amp;NR=1115233B&amp;KC=B","IT1115233.B")</f>
        <v>IT1115233.B</v>
      </c>
      <c r="X108" s="26" t="str">
        <f>HYPERLINK("http://worldwide.espacenet.com/publicationDetails/biblio?DB=EPODOC&amp;adjacent=true&amp;locale=en_EP&amp;FT=D&amp;CC=IT&amp;NR=7922934D0&amp;KC=D0","IT7922934.D0")</f>
        <v>IT7922934.D0</v>
      </c>
      <c r="Y108" s="26" t="str">
        <f>HYPERLINK("http://worldwide.espacenet.com/publicationDetails/biblio?DB=EPODOC&amp;adjacent=true&amp;locale=en_EP&amp;FT=D&amp;CC=JP&amp;NR=S54153805A&amp;KC=A","JPS54153805.A")</f>
        <v>JPS54153805.A</v>
      </c>
      <c r="Z108" s="26" t="str">
        <f>HYPERLINK("http://worldwide.espacenet.com/publicationDetails/biblio?DB=EPODOC&amp;adjacent=true&amp;locale=en_EP&amp;FT=D&amp;CC=JP&amp;NR=S6158112B2&amp;KC=B2","JPS6158112.B2")</f>
        <v>JPS6158112.B2</v>
      </c>
      <c r="AA108" s="26" t="str">
        <f>HYPERLINK("http://worldwide.espacenet.com/publicationDetails/biblio?DB=EPODOC&amp;adjacent=true&amp;locale=en_EP&amp;FT=D&amp;CC=NL&amp;NR=7805671A&amp;KC=A","NL7805671.A")</f>
        <v>NL7805671.A</v>
      </c>
      <c r="AB108" s="26" t="str">
        <f>HYPERLINK("http://worldwide.espacenet.com/publicationDetails/biblio?DB=EPODOC&amp;adjacent=true&amp;locale=en_EP&amp;FT=D&amp;CC=US&amp;NR=4244807A&amp;KC=A","US4244807.A")</f>
        <v>US4244807.A</v>
      </c>
    </row>
    <row r="109" spans="1:42" ht="17.100000000000001" customHeight="1" x14ac:dyDescent="0.25">
      <c r="A109" s="16" t="s">
        <v>3212</v>
      </c>
      <c r="B109" s="21" t="s">
        <v>3212</v>
      </c>
      <c r="C109" s="23">
        <v>0.935413837432861</v>
      </c>
      <c r="D109" s="23">
        <v>0.44414699077606201</v>
      </c>
      <c r="E109" s="23">
        <v>0.41546124219894398</v>
      </c>
      <c r="F109" s="21">
        <v>0.41546124219894398</v>
      </c>
      <c r="G109" s="23">
        <v>0</v>
      </c>
      <c r="H109" s="24">
        <v>42514</v>
      </c>
      <c r="I109" s="23">
        <v>3</v>
      </c>
      <c r="J109" s="22">
        <v>486820780</v>
      </c>
      <c r="K109" s="21"/>
      <c r="L109" s="21" t="s">
        <v>2981</v>
      </c>
      <c r="M109" s="21" t="s">
        <v>3077</v>
      </c>
      <c r="N109" s="21" t="s">
        <v>2951</v>
      </c>
      <c r="O109" s="25" t="str">
        <f>HYPERLINK("http://worldwide.espacenet.com/publicationDetails/biblio?DB=EPODOC&amp;adjacent=true&amp;locale=en_EP&amp;FT=D&amp;CC=CN&amp;NR=107413376A&amp;KC=A","CN107413376.A")</f>
        <v>CN107413376.A</v>
      </c>
      <c r="P109" s="25" t="str">
        <f>HYPERLINK("http://worldwide.espacenet.com/publicationDetails/biblio?DB=EPODOC&amp;adjacent=true&amp;locale=en_EP&amp;FT=D&amp;CC=CN&amp;NR=107413376A&amp;KC=A","CN107413376.A")</f>
        <v>CN107413376.A</v>
      </c>
    </row>
    <row r="110" spans="1:42" ht="17.100000000000001" customHeight="1" x14ac:dyDescent="0.25">
      <c r="A110" s="16" t="s">
        <v>3213</v>
      </c>
      <c r="B110" s="21" t="s">
        <v>3213</v>
      </c>
      <c r="C110" s="23">
        <v>0.935413837432861</v>
      </c>
      <c r="D110" s="23">
        <v>0.44414699077606201</v>
      </c>
      <c r="E110" s="23">
        <v>0.41546124219894398</v>
      </c>
      <c r="F110" s="21">
        <v>0.41546124219894398</v>
      </c>
      <c r="G110" s="23">
        <v>0</v>
      </c>
      <c r="H110" s="24">
        <v>42550</v>
      </c>
      <c r="I110" s="23">
        <v>1</v>
      </c>
      <c r="J110" s="22">
        <v>488885094</v>
      </c>
      <c r="K110" s="21"/>
      <c r="L110" s="21" t="s">
        <v>2981</v>
      </c>
      <c r="M110" s="21" t="s">
        <v>3077</v>
      </c>
      <c r="N110" s="21" t="s">
        <v>2943</v>
      </c>
      <c r="O110" s="25" t="str">
        <f>HYPERLINK("http://worldwide.espacenet.com/publicationDetails/biblio?DB=EPODOC&amp;adjacent=true&amp;locale=en_EP&amp;FT=D&amp;CC=CN&amp;NR=107540492A&amp;KC=A","CN107540492.A")</f>
        <v>CN107540492.A</v>
      </c>
      <c r="P110" s="25" t="str">
        <f>HYPERLINK("http://worldwide.espacenet.com/publicationDetails/biblio?DB=EPODOC&amp;adjacent=true&amp;locale=en_EP&amp;FT=D&amp;CC=CN&amp;NR=107540492A&amp;KC=A","CN107540492.A")</f>
        <v>CN107540492.A</v>
      </c>
      <c r="U110" s="26" t="str">
        <f>HYPERLINK("http://worldwide.espacenet.com/publicationDetails/biblio?DB=EPODOC&amp;adjacent=true&amp;locale=en_EP&amp;FT=D&amp;CC=WO&amp;NR=2009055216A3&amp;KC=A3","WO2009055216.A3")</f>
        <v>WO2009055216.A3</v>
      </c>
    </row>
    <row r="111" spans="1:42" ht="17.100000000000001" customHeight="1" x14ac:dyDescent="0.25">
      <c r="A111" s="16" t="s">
        <v>3214</v>
      </c>
      <c r="B111" s="21" t="s">
        <v>3214</v>
      </c>
      <c r="C111" s="23">
        <v>0.935413837432861</v>
      </c>
      <c r="D111" s="23">
        <v>0.44414699077606201</v>
      </c>
      <c r="E111" s="23">
        <v>0.41546124219894398</v>
      </c>
      <c r="F111" s="21">
        <v>0.41546124219894398</v>
      </c>
      <c r="G111" s="23">
        <v>0</v>
      </c>
      <c r="H111" s="24">
        <v>42550</v>
      </c>
      <c r="I111" s="23">
        <v>1</v>
      </c>
      <c r="J111" s="22">
        <v>488882284</v>
      </c>
      <c r="K111" s="21"/>
      <c r="L111" s="21" t="s">
        <v>2981</v>
      </c>
      <c r="M111" s="21" t="s">
        <v>3077</v>
      </c>
      <c r="N111" s="21" t="s">
        <v>2943</v>
      </c>
      <c r="O111" s="25" t="str">
        <f>HYPERLINK("http://worldwide.espacenet.com/publicationDetails/biblio?DB=EPODOC&amp;adjacent=true&amp;locale=en_EP&amp;FT=D&amp;CC=CN&amp;NR=107540493A&amp;KC=A","CN107540493.A")</f>
        <v>CN107540493.A</v>
      </c>
      <c r="P111" s="25" t="str">
        <f>HYPERLINK("http://worldwide.espacenet.com/publicationDetails/biblio?DB=EPODOC&amp;adjacent=true&amp;locale=en_EP&amp;FT=D&amp;CC=CN&amp;NR=107540493A&amp;KC=A","CN107540493.A")</f>
        <v>CN107540493.A</v>
      </c>
    </row>
    <row r="112" spans="1:42" ht="17.100000000000001" customHeight="1" x14ac:dyDescent="0.25">
      <c r="A112" s="16" t="s">
        <v>3215</v>
      </c>
      <c r="B112" s="21" t="s">
        <v>3215</v>
      </c>
      <c r="C112" s="23">
        <v>0.935413837432861</v>
      </c>
      <c r="D112" s="23">
        <v>0.44414699077606201</v>
      </c>
      <c r="E112" s="23">
        <v>0.41546124219894398</v>
      </c>
      <c r="F112" s="21">
        <v>0.41546124219894398</v>
      </c>
      <c r="G112" s="23">
        <v>0</v>
      </c>
      <c r="H112" s="24">
        <v>42550</v>
      </c>
      <c r="I112" s="23">
        <v>1</v>
      </c>
      <c r="J112" s="22">
        <v>488882126</v>
      </c>
      <c r="K112" s="21"/>
      <c r="L112" s="21" t="s">
        <v>2981</v>
      </c>
      <c r="M112" s="21" t="s">
        <v>3077</v>
      </c>
      <c r="N112" s="21" t="s">
        <v>2943</v>
      </c>
      <c r="O112" s="25" t="str">
        <f>HYPERLINK("http://worldwide.espacenet.com/publicationDetails/biblio?DB=EPODOC&amp;adjacent=true&amp;locale=en_EP&amp;FT=D&amp;CC=CN&amp;NR=107540494A&amp;KC=A","CN107540494.A")</f>
        <v>CN107540494.A</v>
      </c>
      <c r="P112" s="25" t="str">
        <f>HYPERLINK("http://worldwide.espacenet.com/publicationDetails/biblio?DB=EPODOC&amp;adjacent=true&amp;locale=en_EP&amp;FT=D&amp;CC=CN&amp;NR=107540494A&amp;KC=A","CN107540494.A")</f>
        <v>CN107540494.A</v>
      </c>
    </row>
    <row r="113" spans="1:33" ht="17.100000000000001" customHeight="1" x14ac:dyDescent="0.25">
      <c r="A113" s="16" t="s">
        <v>3216</v>
      </c>
      <c r="B113" s="21" t="s">
        <v>3216</v>
      </c>
      <c r="C113" s="23">
        <v>0.935413837432861</v>
      </c>
      <c r="D113" s="23">
        <v>0.44414699077606201</v>
      </c>
      <c r="E113" s="23">
        <v>0.41546124219894398</v>
      </c>
      <c r="F113" s="21">
        <v>0.41546124219894398</v>
      </c>
      <c r="G113" s="23">
        <v>0</v>
      </c>
      <c r="H113" s="24">
        <v>42550</v>
      </c>
      <c r="I113" s="23">
        <v>1</v>
      </c>
      <c r="J113" s="22">
        <v>488891856</v>
      </c>
      <c r="K113" s="21"/>
      <c r="L113" s="21" t="s">
        <v>2981</v>
      </c>
      <c r="M113" s="21" t="s">
        <v>3077</v>
      </c>
      <c r="N113" s="21" t="s">
        <v>2943</v>
      </c>
      <c r="O113" s="25" t="str">
        <f>HYPERLINK("http://worldwide.espacenet.com/publicationDetails/biblio?DB=EPODOC&amp;adjacent=true&amp;locale=en_EP&amp;FT=D&amp;CC=CN&amp;NR=107540495A&amp;KC=A","CN107540495.A")</f>
        <v>CN107540495.A</v>
      </c>
      <c r="P113" s="25" t="str">
        <f>HYPERLINK("http://worldwide.espacenet.com/publicationDetails/biblio?DB=EPODOC&amp;adjacent=true&amp;locale=en_EP&amp;FT=D&amp;CC=CN&amp;NR=107540495A&amp;KC=A","CN107540495.A")</f>
        <v>CN107540495.A</v>
      </c>
    </row>
    <row r="114" spans="1:33" ht="17.100000000000001" customHeight="1" x14ac:dyDescent="0.25">
      <c r="A114" s="16" t="s">
        <v>3217</v>
      </c>
      <c r="B114" s="21" t="s">
        <v>3217</v>
      </c>
      <c r="C114" s="23">
        <v>0.935413837432861</v>
      </c>
      <c r="D114" s="23">
        <v>0.44414699077606201</v>
      </c>
      <c r="E114" s="23">
        <v>0.41546124219894398</v>
      </c>
      <c r="F114" s="21">
        <v>0.41546124219894398</v>
      </c>
      <c r="G114" s="23">
        <v>0</v>
      </c>
      <c r="H114" s="24">
        <v>42550</v>
      </c>
      <c r="I114" s="23">
        <v>1</v>
      </c>
      <c r="J114" s="22">
        <v>488891980</v>
      </c>
      <c r="K114" s="21"/>
      <c r="L114" s="21" t="s">
        <v>2981</v>
      </c>
      <c r="M114" s="21" t="s">
        <v>3077</v>
      </c>
      <c r="N114" s="21" t="s">
        <v>2943</v>
      </c>
      <c r="O114" s="25" t="str">
        <f>HYPERLINK("http://worldwide.espacenet.com/publicationDetails/biblio?DB=EPODOC&amp;adjacent=true&amp;locale=en_EP&amp;FT=D&amp;CC=CN&amp;NR=107540496A&amp;KC=A","CN107540496.A")</f>
        <v>CN107540496.A</v>
      </c>
      <c r="P114" s="25" t="str">
        <f>HYPERLINK("http://worldwide.espacenet.com/publicationDetails/biblio?DB=EPODOC&amp;adjacent=true&amp;locale=en_EP&amp;FT=D&amp;CC=CN&amp;NR=107540496A&amp;KC=A","CN107540496.A")</f>
        <v>CN107540496.A</v>
      </c>
    </row>
    <row r="115" spans="1:33" ht="17.100000000000001" customHeight="1" x14ac:dyDescent="0.25">
      <c r="A115" s="16" t="s">
        <v>3218</v>
      </c>
      <c r="B115" s="21" t="s">
        <v>3218</v>
      </c>
      <c r="C115" s="23">
        <v>0.935413837432861</v>
      </c>
      <c r="D115" s="23">
        <v>0.44414699077606201</v>
      </c>
      <c r="E115" s="23">
        <v>0.41546124219894398</v>
      </c>
      <c r="F115" s="21">
        <v>0.41546124219894398</v>
      </c>
      <c r="G115" s="23">
        <v>0</v>
      </c>
      <c r="H115" s="24">
        <v>42550</v>
      </c>
      <c r="I115" s="23">
        <v>1</v>
      </c>
      <c r="J115" s="22">
        <v>488893286</v>
      </c>
      <c r="K115" s="21"/>
      <c r="L115" s="21" t="s">
        <v>2981</v>
      </c>
      <c r="M115" s="21" t="s">
        <v>3077</v>
      </c>
      <c r="N115" s="21" t="s">
        <v>2943</v>
      </c>
      <c r="O115" s="25" t="str">
        <f>HYPERLINK("http://worldwide.espacenet.com/publicationDetails/biblio?DB=EPODOC&amp;adjacent=true&amp;locale=en_EP&amp;FT=D&amp;CC=CN&amp;NR=107540498A&amp;KC=A","CN107540498.A")</f>
        <v>CN107540498.A</v>
      </c>
      <c r="P115" s="25" t="str">
        <f>HYPERLINK("http://worldwide.espacenet.com/publicationDetails/biblio?DB=EPODOC&amp;adjacent=true&amp;locale=en_EP&amp;FT=D&amp;CC=CN&amp;NR=107540498A&amp;KC=A","CN107540498.A")</f>
        <v>CN107540498.A</v>
      </c>
    </row>
    <row r="116" spans="1:33" ht="17.100000000000001" customHeight="1" x14ac:dyDescent="0.25">
      <c r="A116" s="16" t="s">
        <v>3219</v>
      </c>
      <c r="B116" s="21" t="s">
        <v>3219</v>
      </c>
      <c r="C116" s="23">
        <v>0.935413837432861</v>
      </c>
      <c r="D116" s="23">
        <v>0.44414699077606201</v>
      </c>
      <c r="E116" s="23">
        <v>0.41546124219894398</v>
      </c>
      <c r="F116" s="21">
        <v>0.41546124219894398</v>
      </c>
      <c r="G116" s="23">
        <v>0</v>
      </c>
      <c r="H116" s="24">
        <v>42550</v>
      </c>
      <c r="I116" s="23">
        <v>1</v>
      </c>
      <c r="J116" s="22">
        <v>488893477</v>
      </c>
      <c r="K116" s="21"/>
      <c r="L116" s="21" t="s">
        <v>2981</v>
      </c>
      <c r="M116" s="21" t="s">
        <v>3077</v>
      </c>
      <c r="N116" s="21" t="s">
        <v>2943</v>
      </c>
      <c r="O116" s="25" t="str">
        <f>HYPERLINK("http://worldwide.espacenet.com/publicationDetails/biblio?DB=EPODOC&amp;adjacent=true&amp;locale=en_EP&amp;FT=D&amp;CC=CN&amp;NR=107540499A&amp;KC=A","CN107540499.A")</f>
        <v>CN107540499.A</v>
      </c>
      <c r="P116" s="25" t="str">
        <f>HYPERLINK("http://worldwide.espacenet.com/publicationDetails/biblio?DB=EPODOC&amp;adjacent=true&amp;locale=en_EP&amp;FT=D&amp;CC=CN&amp;NR=107540499A&amp;KC=A","CN107540499.A")</f>
        <v>CN107540499.A</v>
      </c>
    </row>
    <row r="117" spans="1:33" ht="17.100000000000001" customHeight="1" x14ac:dyDescent="0.25">
      <c r="A117" s="16" t="s">
        <v>3220</v>
      </c>
      <c r="B117" s="21" t="s">
        <v>3220</v>
      </c>
      <c r="C117" s="23">
        <v>0.935413837432861</v>
      </c>
      <c r="D117" s="23">
        <v>0.44414699077606201</v>
      </c>
      <c r="E117" s="23">
        <v>0.41546124219894398</v>
      </c>
      <c r="F117" s="21">
        <v>0.41546124219894398</v>
      </c>
      <c r="G117" s="23">
        <v>0</v>
      </c>
      <c r="H117" s="24">
        <v>42556</v>
      </c>
      <c r="I117" s="23">
        <v>1</v>
      </c>
      <c r="J117" s="22">
        <v>489414234</v>
      </c>
      <c r="K117" s="21"/>
      <c r="L117" s="21" t="s">
        <v>2981</v>
      </c>
      <c r="M117" s="21" t="s">
        <v>3077</v>
      </c>
      <c r="N117" s="21" t="s">
        <v>3003</v>
      </c>
      <c r="O117" s="25" t="str">
        <f>HYPERLINK("http://worldwide.espacenet.com/publicationDetails/biblio?DB=EPODOC&amp;adjacent=true&amp;locale=en_EP&amp;FT=D&amp;CC=CN&amp;NR=107573966A&amp;KC=A","CN107573966.A")</f>
        <v>CN107573966.A</v>
      </c>
      <c r="P117" s="25" t="str">
        <f>HYPERLINK("http://worldwide.espacenet.com/publicationDetails/biblio?DB=EPODOC&amp;adjacent=true&amp;locale=en_EP&amp;FT=D&amp;CC=CN&amp;NR=107573966A&amp;KC=A","CN107573966.A")</f>
        <v>CN107573966.A</v>
      </c>
    </row>
    <row r="118" spans="1:33" ht="17.100000000000001" customHeight="1" x14ac:dyDescent="0.25">
      <c r="A118" s="16" t="s">
        <v>3221</v>
      </c>
      <c r="B118" s="21" t="s">
        <v>3221</v>
      </c>
      <c r="C118" s="23">
        <v>0.935413837432861</v>
      </c>
      <c r="D118" s="23">
        <v>0.44414699077606201</v>
      </c>
      <c r="E118" s="23">
        <v>0.41546124219894398</v>
      </c>
      <c r="F118" s="21">
        <v>0.41546124219894398</v>
      </c>
      <c r="G118" s="23">
        <v>0</v>
      </c>
      <c r="H118" s="24">
        <v>42613</v>
      </c>
      <c r="I118" s="23">
        <v>1</v>
      </c>
      <c r="J118" s="22">
        <v>491639857</v>
      </c>
      <c r="K118" s="21"/>
      <c r="L118" s="21" t="s">
        <v>2981</v>
      </c>
      <c r="M118" s="21" t="s">
        <v>3077</v>
      </c>
      <c r="N118" s="21" t="s">
        <v>3003</v>
      </c>
      <c r="O118" s="25" t="str">
        <f>HYPERLINK("http://worldwide.espacenet.com/publicationDetails/biblio?DB=EPODOC&amp;adjacent=true&amp;locale=en_EP&amp;FT=D&amp;CC=CN&amp;NR=107794080A&amp;KC=A","CN107794080.A")</f>
        <v>CN107794080.A</v>
      </c>
      <c r="P118" s="25" t="str">
        <f>HYPERLINK("http://worldwide.espacenet.com/publicationDetails/biblio?DB=EPODOC&amp;adjacent=true&amp;locale=en_EP&amp;FT=D&amp;CC=CN&amp;NR=107794080A&amp;KC=A","CN107794080.A")</f>
        <v>CN107794080.A</v>
      </c>
    </row>
    <row r="119" spans="1:33" ht="17.100000000000001" customHeight="1" x14ac:dyDescent="0.25">
      <c r="A119" s="16" t="s">
        <v>3222</v>
      </c>
      <c r="B119" s="21" t="s">
        <v>3222</v>
      </c>
      <c r="C119" s="23">
        <v>1.0548611879348799</v>
      </c>
      <c r="D119" s="23">
        <v>0.44414699077606201</v>
      </c>
      <c r="E119" s="23">
        <v>0.46851342916488598</v>
      </c>
      <c r="F119" s="21">
        <v>0.46851342916488598</v>
      </c>
      <c r="G119" s="23">
        <v>0</v>
      </c>
      <c r="H119" s="24">
        <v>43046</v>
      </c>
      <c r="I119" s="23">
        <v>3</v>
      </c>
      <c r="J119" s="22">
        <v>492753420</v>
      </c>
      <c r="K119" s="21"/>
      <c r="L119" s="21" t="s">
        <v>2976</v>
      </c>
      <c r="M119" s="21" t="s">
        <v>3077</v>
      </c>
      <c r="N119" s="21" t="s">
        <v>2951</v>
      </c>
      <c r="O119" s="25" t="str">
        <f>HYPERLINK("http://worldwide.espacenet.com/publicationDetails/biblio?DB=EPODOC&amp;adjacent=true&amp;locale=en_EP&amp;FT=D&amp;CC=CN&amp;NR=107876083A&amp;KC=A","CN107876083.A")</f>
        <v>CN107876083.A</v>
      </c>
      <c r="P119" s="25" t="str">
        <f>HYPERLINK("http://worldwide.espacenet.com/publicationDetails/biblio?DB=EPODOC&amp;adjacent=true&amp;locale=en_EP&amp;FT=D&amp;CC=CN&amp;NR=107876083A&amp;KC=A","CN107876083.A")</f>
        <v>CN107876083.A</v>
      </c>
      <c r="U119" s="26" t="str">
        <f>HYPERLINK("http://worldwide.espacenet.com/publicationDetails/biblio?DB=EPODOC&amp;adjacent=true&amp;locale=en_EP&amp;FT=D&amp;CC=US&amp;NR=2017145317A1&amp;KC=A1","US2017145317.A1")</f>
        <v>US2017145317.A1</v>
      </c>
      <c r="V119" s="26" t="str">
        <f>HYPERLINK("http://worldwide.espacenet.com/publicationDetails/biblio?DB=EPODOC&amp;adjacent=true&amp;locale=en_EP&amp;FT=D&amp;CC=WO&amp;NR=2015147700A1&amp;KC=A1","WO2015147700.A1")</f>
        <v>WO2015147700.A1</v>
      </c>
    </row>
    <row r="120" spans="1:33" ht="17.100000000000001" customHeight="1" x14ac:dyDescent="0.25">
      <c r="A120" s="16" t="s">
        <v>3223</v>
      </c>
      <c r="B120" s="21" t="s">
        <v>3223</v>
      </c>
      <c r="C120" s="23">
        <v>1.18615639209747</v>
      </c>
      <c r="D120" s="23">
        <v>0.44414699077606201</v>
      </c>
      <c r="E120" s="23">
        <v>0.526827812194824</v>
      </c>
      <c r="F120" s="21">
        <v>0.526827812194824</v>
      </c>
      <c r="G120" s="23">
        <v>0</v>
      </c>
      <c r="H120" s="24">
        <v>42663</v>
      </c>
      <c r="I120" s="23">
        <v>3</v>
      </c>
      <c r="J120" s="22">
        <v>493668469</v>
      </c>
      <c r="K120" s="21"/>
      <c r="L120" s="21" t="s">
        <v>3116</v>
      </c>
      <c r="M120" s="21" t="s">
        <v>3077</v>
      </c>
      <c r="N120" s="21" t="s">
        <v>3013</v>
      </c>
      <c r="O120" s="25" t="str">
        <f>HYPERLINK("http://worldwide.espacenet.com/publicationDetails/biblio?DB=EPODOC&amp;adjacent=true&amp;locale=en_EP&amp;FT=D&amp;CC=CN&amp;NR=107963638A&amp;KC=A","CN107963638.A")</f>
        <v>CN107963638.A</v>
      </c>
      <c r="P120" s="25" t="str">
        <f>HYPERLINK("http://worldwide.espacenet.com/publicationDetails/biblio?DB=EPODOC&amp;adjacent=true&amp;locale=en_EP&amp;FT=D&amp;CC=CN&amp;NR=107963638A&amp;KC=A","CN107963638.A")</f>
        <v>CN107963638.A</v>
      </c>
    </row>
    <row r="121" spans="1:33" ht="17.100000000000001" customHeight="1" x14ac:dyDescent="0.25">
      <c r="A121" s="16" t="s">
        <v>3224</v>
      </c>
      <c r="B121" s="21" t="s">
        <v>3224</v>
      </c>
      <c r="C121" s="23">
        <v>0.935413837432861</v>
      </c>
      <c r="D121" s="23">
        <v>0.44414699077606201</v>
      </c>
      <c r="E121" s="23">
        <v>0.41546124219894398</v>
      </c>
      <c r="F121" s="21">
        <v>0.41546124219894398</v>
      </c>
      <c r="G121" s="23">
        <v>0</v>
      </c>
      <c r="H121" s="24">
        <v>42678</v>
      </c>
      <c r="I121" s="23">
        <v>2</v>
      </c>
      <c r="J121" s="22">
        <v>494125110</v>
      </c>
      <c r="K121" s="21"/>
      <c r="L121" s="21" t="s">
        <v>2981</v>
      </c>
      <c r="M121" s="21" t="s">
        <v>3077</v>
      </c>
      <c r="N121" s="21" t="s">
        <v>2958</v>
      </c>
      <c r="O121" s="25" t="str">
        <f>HYPERLINK("http://worldwide.espacenet.com/publicationDetails/biblio?DB=EPODOC&amp;adjacent=true&amp;locale=en_EP&amp;FT=D&amp;CC=CN&amp;NR=108014841A&amp;KC=A","CN108014841.A")</f>
        <v>CN108014841.A</v>
      </c>
      <c r="P121" s="25" t="str">
        <f>HYPERLINK("http://worldwide.espacenet.com/publicationDetails/biblio?DB=EPODOC&amp;adjacent=true&amp;locale=en_EP&amp;FT=D&amp;CC=CN&amp;NR=108014841A&amp;KC=A","CN108014841.A")</f>
        <v>CN108014841.A</v>
      </c>
    </row>
    <row r="122" spans="1:33" ht="17.100000000000001" customHeight="1" x14ac:dyDescent="0.25">
      <c r="A122" s="16" t="s">
        <v>3225</v>
      </c>
      <c r="B122" s="21" t="s">
        <v>3225</v>
      </c>
      <c r="C122" s="23">
        <v>0.935413837432861</v>
      </c>
      <c r="D122" s="23">
        <v>0.44414699077606201</v>
      </c>
      <c r="E122" s="23">
        <v>0.41546124219894398</v>
      </c>
      <c r="F122" s="21">
        <v>0.41546124219894398</v>
      </c>
      <c r="G122" s="23">
        <v>1</v>
      </c>
      <c r="H122" s="24">
        <v>42678</v>
      </c>
      <c r="I122" s="23">
        <v>2</v>
      </c>
      <c r="J122" s="22">
        <v>494125214</v>
      </c>
      <c r="K122" s="21" t="s">
        <v>3226</v>
      </c>
      <c r="L122" s="21" t="s">
        <v>2981</v>
      </c>
      <c r="M122" s="21" t="s">
        <v>3077</v>
      </c>
      <c r="N122" s="21" t="s">
        <v>2958</v>
      </c>
      <c r="O122" s="25" t="str">
        <f>HYPERLINK("http://worldwide.espacenet.com/publicationDetails/biblio?DB=EPODOC&amp;adjacent=true&amp;locale=en_EP&amp;FT=D&amp;CC=CN&amp;NR=108017487A&amp;KC=A","CN108017487.A")</f>
        <v>CN108017487.A</v>
      </c>
      <c r="P122" s="25" t="str">
        <f>HYPERLINK("http://worldwide.espacenet.com/publicationDetails/biblio?DB=EPODOC&amp;adjacent=true&amp;locale=en_EP&amp;FT=D&amp;CC=CN&amp;NR=108017487A&amp;KC=A","CN108017487.A")</f>
        <v>CN108017487.A</v>
      </c>
    </row>
    <row r="123" spans="1:33" ht="17.100000000000001" customHeight="1" x14ac:dyDescent="0.25">
      <c r="A123" s="16" t="s">
        <v>3227</v>
      </c>
      <c r="B123" s="21" t="s">
        <v>3227</v>
      </c>
      <c r="C123" s="23">
        <v>0.935413837432861</v>
      </c>
      <c r="D123" s="23">
        <v>0.44414699077606201</v>
      </c>
      <c r="E123" s="23">
        <v>0.41546124219894398</v>
      </c>
      <c r="F123" s="21">
        <v>0.41546124219894398</v>
      </c>
      <c r="G123" s="23">
        <v>0</v>
      </c>
      <c r="H123" s="24">
        <v>42678</v>
      </c>
      <c r="I123" s="23">
        <v>1</v>
      </c>
      <c r="J123" s="22">
        <v>494126864</v>
      </c>
      <c r="K123" s="21"/>
      <c r="L123" s="21" t="s">
        <v>2981</v>
      </c>
      <c r="M123" s="21" t="s">
        <v>3077</v>
      </c>
      <c r="N123" s="21" t="s">
        <v>2943</v>
      </c>
      <c r="O123" s="25" t="str">
        <f>HYPERLINK("http://worldwide.espacenet.com/publicationDetails/biblio?DB=EPODOC&amp;adjacent=true&amp;locale=en_EP&amp;FT=D&amp;CC=CN&amp;NR=108017491A&amp;KC=A","CN108017491.A")</f>
        <v>CN108017491.A</v>
      </c>
      <c r="P123" s="25" t="str">
        <f>HYPERLINK("http://worldwide.espacenet.com/publicationDetails/biblio?DB=EPODOC&amp;adjacent=true&amp;locale=en_EP&amp;FT=D&amp;CC=CN&amp;NR=108017491A&amp;KC=A","CN108017491.A")</f>
        <v>CN108017491.A</v>
      </c>
      <c r="U123" s="26" t="str">
        <f>HYPERLINK("http://worldwide.espacenet.com/publicationDetails/biblio?DB=EPODOC&amp;adjacent=true&amp;locale=en_EP&amp;FT=D&amp;CC=DE&amp;NR=3877582D1&amp;KC=D1","DE3877582.D1")</f>
        <v>DE3877582.D1</v>
      </c>
      <c r="V123" s="26" t="str">
        <f>HYPERLINK("http://worldwide.espacenet.com/publicationDetails/biblio?DB=EPODOC&amp;adjacent=true&amp;locale=en_EP&amp;FT=D&amp;CC=DE&amp;NR=3877582T2&amp;KC=T2","DE3877582.T2")</f>
        <v>DE3877582.T2</v>
      </c>
      <c r="W123" s="26" t="str">
        <f>HYPERLINK("http://worldwide.espacenet.com/publicationDetails/biblio?DB=EPODOC&amp;adjacent=true&amp;locale=en_EP&amp;FT=D&amp;CC=EP&amp;NR=0372133A1&amp;KC=A1","EP0372133.A1")</f>
        <v>EP0372133.A1</v>
      </c>
      <c r="X123" s="26" t="str">
        <f>HYPERLINK("http://worldwide.espacenet.com/publicationDetails/biblio?DB=EPODOC&amp;adjacent=true&amp;locale=en_EP&amp;FT=D&amp;CC=EP&amp;NR=0372133B1&amp;KC=B1","EP0372133.B1")</f>
        <v>EP0372133.B1</v>
      </c>
      <c r="Y123" s="26" t="str">
        <f>HYPERLINK("http://worldwide.espacenet.com/publicationDetails/biblio?DB=EPODOC&amp;adjacent=true&amp;locale=en_EP&amp;FT=D&amp;CC=ES&amp;NR=2042770T3&amp;KC=T3","ES2042770.T3")</f>
        <v>ES2042770.T3</v>
      </c>
      <c r="Z123" s="26" t="str">
        <f>HYPERLINK("http://worldwide.espacenet.com/publicationDetails/biblio?DB=EPODOC&amp;adjacent=true&amp;locale=en_EP&amp;FT=D&amp;CC=GR&amp;NR=3007042T3&amp;KC=T3","GR3007042.T3")</f>
        <v>GR3007042.T3</v>
      </c>
      <c r="AA123" s="26" t="str">
        <f>HYPERLINK("http://worldwide.espacenet.com/publicationDetails/biblio?DB=EPODOC&amp;adjacent=true&amp;locale=en_EP&amp;FT=D&amp;CC=IN&amp;NR=171379B&amp;KC=B","IN171379.B")</f>
        <v>IN171379.B</v>
      </c>
      <c r="AB123" s="26" t="str">
        <f>HYPERLINK("http://worldwide.espacenet.com/publicationDetails/biblio?DB=EPODOC&amp;adjacent=true&amp;locale=en_EP&amp;FT=D&amp;CC=IN&amp;NR=177327B&amp;KC=B","IN177327.B")</f>
        <v>IN177327.B</v>
      </c>
      <c r="AC123" s="26" t="str">
        <f>HYPERLINK("http://worldwide.espacenet.com/publicationDetails/biblio?DB=EPODOC&amp;adjacent=true&amp;locale=en_EP&amp;FT=D&amp;CC=JP&amp;NR=2693534B2&amp;KC=B2","JP2693534.B2")</f>
        <v>JP2693534.B2</v>
      </c>
      <c r="AD123" s="26" t="str">
        <f>HYPERLINK("http://worldwide.espacenet.com/publicationDetails/biblio?DB=EPODOC&amp;adjacent=true&amp;locale=en_EP&amp;FT=D&amp;CC=JP&amp;NR=H02184516A&amp;KC=A","JPH02184516.A")</f>
        <v>JPH02184516.A</v>
      </c>
      <c r="AE123" s="26" t="str">
        <f>HYPERLINK("http://worldwide.espacenet.com/publicationDetails/biblio?DB=EPODOC&amp;adjacent=true&amp;locale=en_EP&amp;FT=D&amp;CC=US&amp;NR=4853202A&amp;KC=A","US4853202.A")</f>
        <v>US4853202.A</v>
      </c>
      <c r="AF123" s="26" t="str">
        <f>HYPERLINK("http://worldwide.espacenet.com/publicationDetails/biblio?DB=EPODOC&amp;adjacent=true&amp;locale=en_EP&amp;FT=D&amp;CC=US&amp;NR=5011591A&amp;KC=A","US5011591.A")</f>
        <v>US5011591.A</v>
      </c>
      <c r="AG123" s="26" t="str">
        <f>HYPERLINK("http://worldwide.espacenet.com/publicationDetails/biblio?DB=EPODOC&amp;adjacent=true&amp;locale=en_EP&amp;FT=D&amp;CC=ZA&amp;NR=8809455B&amp;KC=B","ZA8809455.B")</f>
        <v>ZA8809455.B</v>
      </c>
    </row>
    <row r="124" spans="1:33" ht="17.100000000000001" customHeight="1" x14ac:dyDescent="0.25">
      <c r="A124" s="16" t="s">
        <v>3228</v>
      </c>
      <c r="B124" s="21" t="s">
        <v>3228</v>
      </c>
      <c r="C124" s="23">
        <v>0.935413837432861</v>
      </c>
      <c r="D124" s="23">
        <v>0.44414699077606201</v>
      </c>
      <c r="E124" s="23">
        <v>0.41546124219894398</v>
      </c>
      <c r="F124" s="21">
        <v>0.41546124219894398</v>
      </c>
      <c r="G124" s="23">
        <v>0</v>
      </c>
      <c r="H124" s="24">
        <v>42678</v>
      </c>
      <c r="I124" s="23">
        <v>2</v>
      </c>
      <c r="J124" s="22">
        <v>494126644</v>
      </c>
      <c r="K124" s="21"/>
      <c r="L124" s="21" t="s">
        <v>2981</v>
      </c>
      <c r="M124" s="21" t="s">
        <v>3077</v>
      </c>
      <c r="N124" s="21" t="s">
        <v>2977</v>
      </c>
      <c r="O124" s="25" t="str">
        <f>HYPERLINK("http://worldwide.espacenet.com/publicationDetails/biblio?DB=EPODOC&amp;adjacent=true&amp;locale=en_EP&amp;FT=D&amp;CC=CN&amp;NR=108017494A&amp;KC=A","CN108017494.A")</f>
        <v>CN108017494.A</v>
      </c>
      <c r="P124" s="25" t="str">
        <f>HYPERLINK("http://worldwide.espacenet.com/publicationDetails/biblio?DB=EPODOC&amp;adjacent=true&amp;locale=en_EP&amp;FT=D&amp;CC=CN&amp;NR=108017494A&amp;KC=A","CN108017494.A")</f>
        <v>CN108017494.A</v>
      </c>
      <c r="U124" s="26" t="str">
        <f>HYPERLINK("http://worldwide.espacenet.com/publicationDetails/biblio?DB=EPODOC&amp;adjacent=true&amp;locale=en_EP&amp;FT=D&amp;CC=JP&amp;NR=S58191521A&amp;KC=A","JPS58191521.A")</f>
        <v>JPS58191521.A</v>
      </c>
      <c r="V124" s="26" t="str">
        <f>HYPERLINK("http://worldwide.espacenet.com/publicationDetails/biblio?DB=EPODOC&amp;adjacent=true&amp;locale=en_EP&amp;FT=D&amp;CC=US&amp;NR=4439690A&amp;KC=A","US4439690.A")</f>
        <v>US4439690.A</v>
      </c>
    </row>
    <row r="125" spans="1:33" ht="17.100000000000001" customHeight="1" x14ac:dyDescent="0.25">
      <c r="A125" s="16" t="s">
        <v>3229</v>
      </c>
      <c r="B125" s="21" t="s">
        <v>3229</v>
      </c>
      <c r="C125" s="23">
        <v>0.95540797710418701</v>
      </c>
      <c r="D125" s="23">
        <v>0.44414699077606201</v>
      </c>
      <c r="E125" s="23">
        <v>0.42434158921241799</v>
      </c>
      <c r="F125" s="21">
        <v>0.42434158921241799</v>
      </c>
      <c r="G125" s="23">
        <v>0</v>
      </c>
      <c r="H125" s="24">
        <v>42727</v>
      </c>
      <c r="I125" s="23">
        <v>3</v>
      </c>
      <c r="J125" s="22">
        <v>496606891</v>
      </c>
      <c r="K125" s="21"/>
      <c r="L125" s="21" t="s">
        <v>3230</v>
      </c>
      <c r="M125" s="21" t="s">
        <v>3077</v>
      </c>
      <c r="N125" s="21" t="s">
        <v>2951</v>
      </c>
      <c r="O125" s="25" t="str">
        <f>HYPERLINK("http://worldwide.espacenet.com/publicationDetails/biblio?DB=EPODOC&amp;adjacent=true&amp;locale=en_EP&amp;FT=D&amp;CC=CN&amp;NR=108236966A&amp;KC=A","CN108236966.A")</f>
        <v>CN108236966.A</v>
      </c>
      <c r="P125" s="25" t="str">
        <f>HYPERLINK("http://worldwide.espacenet.com/publicationDetails/biblio?DB=EPODOC&amp;adjacent=true&amp;locale=en_EP&amp;FT=D&amp;CC=CN&amp;NR=108236966A&amp;KC=A","CN108236966.A")</f>
        <v>CN108236966.A</v>
      </c>
    </row>
    <row r="126" spans="1:33" ht="17.100000000000001" customHeight="1" x14ac:dyDescent="0.25">
      <c r="A126" s="16" t="s">
        <v>3231</v>
      </c>
      <c r="B126" s="21" t="s">
        <v>3231</v>
      </c>
      <c r="C126" s="23">
        <v>1.18615639209747</v>
      </c>
      <c r="D126" s="23">
        <v>0.44414699077606201</v>
      </c>
      <c r="E126" s="23">
        <v>0.526827812194824</v>
      </c>
      <c r="F126" s="21">
        <v>0.526827812194824</v>
      </c>
      <c r="G126" s="23">
        <v>0</v>
      </c>
      <c r="H126" s="24">
        <v>43164</v>
      </c>
      <c r="I126" s="23">
        <v>2</v>
      </c>
      <c r="J126" s="22">
        <v>498511799</v>
      </c>
      <c r="K126" s="21"/>
      <c r="L126" s="21" t="s">
        <v>3116</v>
      </c>
      <c r="M126" s="21" t="s">
        <v>3077</v>
      </c>
      <c r="N126" s="21" t="s">
        <v>2958</v>
      </c>
      <c r="O126" s="25" t="str">
        <f>HYPERLINK("http://worldwide.espacenet.com/publicationDetails/biblio?DB=EPODOC&amp;adjacent=true&amp;locale=en_EP&amp;FT=D&amp;CC=CN&amp;NR=108404970A&amp;KC=A","CN108404970.A")</f>
        <v>CN108404970.A</v>
      </c>
      <c r="P126" s="25" t="str">
        <f>HYPERLINK("http://worldwide.espacenet.com/publicationDetails/biblio?DB=EPODOC&amp;adjacent=true&amp;locale=en_EP&amp;FT=D&amp;CC=CN&amp;NR=108404970A&amp;KC=A","CN108404970.A")</f>
        <v>CN108404970.A</v>
      </c>
    </row>
    <row r="127" spans="1:33" ht="17.100000000000001" customHeight="1" x14ac:dyDescent="0.25">
      <c r="A127" s="16" t="s">
        <v>3232</v>
      </c>
      <c r="B127" s="21" t="s">
        <v>3233</v>
      </c>
      <c r="C127" s="23">
        <v>0.190607145428658</v>
      </c>
      <c r="D127" s="23">
        <v>0</v>
      </c>
      <c r="E127" s="23">
        <v>0</v>
      </c>
      <c r="F127" s="21">
        <v>0</v>
      </c>
      <c r="G127" s="23">
        <v>2</v>
      </c>
      <c r="H127" s="24">
        <v>34940</v>
      </c>
      <c r="I127" s="23">
        <v>1</v>
      </c>
      <c r="J127" s="22">
        <v>7416073</v>
      </c>
      <c r="K127" s="21" t="s">
        <v>3234</v>
      </c>
      <c r="L127" s="21" t="s">
        <v>3235</v>
      </c>
      <c r="M127" s="21" t="s">
        <v>2942</v>
      </c>
      <c r="N127" s="21" t="s">
        <v>3236</v>
      </c>
      <c r="O127" s="25" t="str">
        <f>HYPERLINK("http://worldwide.espacenet.com/publicationDetails/biblio?DB=EPODOC&amp;adjacent=true&amp;locale=en_EP&amp;FT=D&amp;CC=CN&amp;NR=1144135A&amp;KC=A","CN1144135.A")</f>
        <v>CN1144135.A</v>
      </c>
      <c r="P127" s="25" t="str">
        <f>HYPERLINK("http://worldwide.espacenet.com/publicationDetails/biblio?DB=EPODOC&amp;adjacent=true&amp;locale=en_EP&amp;FT=D&amp;CC=CN&amp;NR=1058195C&amp;KC=C","CN1058195.C")</f>
        <v>CN1058195.C</v>
      </c>
      <c r="Q127" s="26" t="str">
        <f>HYPERLINK("http://worldwide.espacenet.com/publicationDetails/biblio?DB=EPODOC&amp;adjacent=true&amp;locale=en_EP&amp;FT=D&amp;CC=CN&amp;NR=1144135A&amp;KC=A","CN1144135.A")</f>
        <v>CN1144135.A</v>
      </c>
      <c r="U127" s="26" t="str">
        <f>HYPERLINK("http://worldwide.espacenet.com/publicationDetails/biblio?DB=EPODOC&amp;adjacent=true&amp;locale=en_EP&amp;FT=D&amp;CC=JP&amp;NR=2014513151A&amp;KC=A","JP2014513151.A")</f>
        <v>JP2014513151.A</v>
      </c>
      <c r="V127" s="26" t="str">
        <f>HYPERLINK("http://worldwide.espacenet.com/publicationDetails/biblio?DB=EPODOC&amp;adjacent=true&amp;locale=en_EP&amp;FT=D&amp;CC=KR&amp;NR=20140037040A&amp;KC=A","KR20140037040.A")</f>
        <v>KR20140037040.A</v>
      </c>
      <c r="W127" s="26" t="str">
        <f>HYPERLINK("http://worldwide.espacenet.com/publicationDetails/biblio?DB=EPODOC&amp;adjacent=true&amp;locale=en_EP&amp;FT=D&amp;CC=MX&amp;NR=2013008351A&amp;KC=A","MX2013008351.A")</f>
        <v>MX2013008351.A</v>
      </c>
      <c r="X127" s="26" t="str">
        <f>HYPERLINK("http://worldwide.espacenet.com/publicationDetails/biblio?DB=EPODOC&amp;adjacent=true&amp;locale=en_EP&amp;FT=D&amp;CC=MX&amp;NR=337780B&amp;KC=B","MX337780.B")</f>
        <v>MX337780.B</v>
      </c>
      <c r="Y127" s="26" t="str">
        <f>HYPERLINK("http://worldwide.espacenet.com/publicationDetails/biblio?DB=EPODOC&amp;adjacent=true&amp;locale=en_EP&amp;FT=D&amp;CC=TW&amp;NR=201247598A&amp;KC=A","TW201247598.A")</f>
        <v>TW201247598.A</v>
      </c>
      <c r="Z127" s="26" t="str">
        <f>HYPERLINK("http://worldwide.espacenet.com/publicationDetails/biblio?DB=EPODOC&amp;adjacent=true&amp;locale=en_EP&amp;FT=D&amp;CC=US&amp;NR=2013324776A1&amp;KC=A1","US2013324776.A1")</f>
        <v>US2013324776.A1</v>
      </c>
      <c r="AA127" s="26" t="str">
        <f>HYPERLINK("http://worldwide.espacenet.com/publicationDetails/biblio?DB=EPODOC&amp;adjacent=true&amp;locale=en_EP&amp;FT=D&amp;CC=US&amp;NR=9199891B2&amp;KC=B2","US9199891.B2")</f>
        <v>US9199891.B2</v>
      </c>
      <c r="AB127" s="26" t="str">
        <f>HYPERLINK("http://worldwide.espacenet.com/publicationDetails/biblio?DB=EPODOC&amp;adjacent=true&amp;locale=en_EP&amp;FT=D&amp;CC=WO&amp;NR=2012108926A1&amp;KC=A1","WO2012108926.A1")</f>
        <v>WO2012108926.A1</v>
      </c>
      <c r="AC127" s="26" t="str">
        <f>HYPERLINK("http://worldwide.espacenet.com/publicationDetails/biblio?DB=EPODOC&amp;adjacent=true&amp;locale=en_EP&amp;FT=D&amp;CC=ZA&amp;NR=201305320B&amp;KC=B","ZA201305320.B")</f>
        <v>ZA201305320.B</v>
      </c>
    </row>
    <row r="128" spans="1:33" ht="17.100000000000001" customHeight="1" x14ac:dyDescent="0.25">
      <c r="A128" s="16" t="s">
        <v>3237</v>
      </c>
      <c r="B128" s="21" t="s">
        <v>3238</v>
      </c>
      <c r="C128" s="23">
        <v>0.58719962835311901</v>
      </c>
      <c r="D128" s="23">
        <v>0</v>
      </c>
      <c r="E128" s="23">
        <v>0</v>
      </c>
      <c r="F128" s="21">
        <v>0</v>
      </c>
      <c r="G128" s="23">
        <v>3</v>
      </c>
      <c r="H128" s="24">
        <v>35332</v>
      </c>
      <c r="I128" s="23">
        <v>1</v>
      </c>
      <c r="J128" s="22">
        <v>7471711</v>
      </c>
      <c r="K128" s="21" t="s">
        <v>3239</v>
      </c>
      <c r="L128" s="21" t="s">
        <v>3240</v>
      </c>
      <c r="M128" s="21" t="s">
        <v>2942</v>
      </c>
      <c r="N128" s="21" t="s">
        <v>3241</v>
      </c>
      <c r="O128" s="25" t="str">
        <f>HYPERLINK("http://worldwide.espacenet.com/publicationDetails/biblio?DB=EPODOC&amp;adjacent=true&amp;locale=en_EP&amp;FT=D&amp;CC=CN&amp;NR=1177508A&amp;KC=A","CN1177508.A")</f>
        <v>CN1177508.A</v>
      </c>
      <c r="P128" s="25" t="str">
        <f>HYPERLINK("http://worldwide.espacenet.com/publicationDetails/biblio?DB=EPODOC&amp;adjacent=true&amp;locale=en_EP&amp;FT=D&amp;CC=CN&amp;NR=1058196C&amp;KC=C","CN1058196.C")</f>
        <v>CN1058196.C</v>
      </c>
      <c r="Q128" s="26" t="str">
        <f>HYPERLINK("http://worldwide.espacenet.com/publicationDetails/biblio?DB=EPODOC&amp;adjacent=true&amp;locale=en_EP&amp;FT=D&amp;CC=CN&amp;NR=1177508A&amp;KC=A","CN1177508.A")</f>
        <v>CN1177508.A</v>
      </c>
    </row>
    <row r="129" spans="1:28" ht="17.100000000000001" customHeight="1" x14ac:dyDescent="0.25">
      <c r="A129" s="16" t="s">
        <v>3242</v>
      </c>
      <c r="B129" s="21" t="s">
        <v>3243</v>
      </c>
      <c r="C129" s="23">
        <v>0.120402716100216</v>
      </c>
      <c r="D129" s="23">
        <v>0</v>
      </c>
      <c r="E129" s="23">
        <v>0</v>
      </c>
      <c r="F129" s="21">
        <v>0</v>
      </c>
      <c r="G129" s="23">
        <v>0</v>
      </c>
      <c r="H129" s="24">
        <v>35794</v>
      </c>
      <c r="I129" s="23">
        <v>3</v>
      </c>
      <c r="J129" s="22">
        <v>7535945</v>
      </c>
      <c r="K129" s="21"/>
      <c r="L129" s="21" t="s">
        <v>3244</v>
      </c>
      <c r="M129" s="21" t="s">
        <v>2942</v>
      </c>
      <c r="N129" s="21" t="s">
        <v>3245</v>
      </c>
      <c r="O129" s="25" t="str">
        <f>HYPERLINK("http://worldwide.espacenet.com/publicationDetails/biblio?DB=EPODOC&amp;adjacent=true&amp;locale=en_EP&amp;FT=D&amp;CC=CN&amp;NR=1187625A&amp;KC=A","CN1187625.A")</f>
        <v>CN1187625.A</v>
      </c>
      <c r="P129" s="25" t="str">
        <f>HYPERLINK("http://worldwide.espacenet.com/publicationDetails/biblio?DB=EPODOC&amp;adjacent=true&amp;locale=en_EP&amp;FT=D&amp;CC=CN&amp;NR=1152263C&amp;KC=C","CN1152263.C")</f>
        <v>CN1152263.C</v>
      </c>
      <c r="Q129" s="26" t="str">
        <f>HYPERLINK("http://worldwide.espacenet.com/publicationDetails/biblio?DB=EPODOC&amp;adjacent=true&amp;locale=en_EP&amp;FT=D&amp;CC=CN&amp;NR=1187625A&amp;KC=A","CN1187625.A")</f>
        <v>CN1187625.A</v>
      </c>
    </row>
    <row r="130" spans="1:28" ht="17.100000000000001" customHeight="1" x14ac:dyDescent="0.25">
      <c r="A130" s="16" t="s">
        <v>3246</v>
      </c>
      <c r="B130" s="21" t="s">
        <v>3247</v>
      </c>
      <c r="C130" s="23">
        <v>0.128979742527008</v>
      </c>
      <c r="D130" s="23">
        <v>0</v>
      </c>
      <c r="E130" s="23">
        <v>0</v>
      </c>
      <c r="F130" s="21">
        <v>0</v>
      </c>
      <c r="G130" s="23">
        <v>0</v>
      </c>
      <c r="H130" s="24">
        <v>36948</v>
      </c>
      <c r="I130" s="23">
        <v>2</v>
      </c>
      <c r="J130" s="22">
        <v>6646464</v>
      </c>
      <c r="K130" s="21"/>
      <c r="L130" s="21" t="s">
        <v>3248</v>
      </c>
      <c r="M130" s="21" t="s">
        <v>2942</v>
      </c>
      <c r="N130" s="21" t="s">
        <v>3249</v>
      </c>
      <c r="O130" s="25" t="str">
        <f>HYPERLINK("http://worldwide.espacenet.com/publicationDetails/biblio?DB=EPODOC&amp;adjacent=true&amp;locale=en_EP&amp;FT=D&amp;CC=CN&amp;NR=1322672A&amp;KC=A","CN1322672.A")</f>
        <v>CN1322672.A</v>
      </c>
      <c r="P130" s="25" t="str">
        <f>HYPERLINK("http://worldwide.espacenet.com/publicationDetails/biblio?DB=EPODOC&amp;adjacent=true&amp;locale=en_EP&amp;FT=D&amp;CC=CN&amp;NR=1147422C&amp;KC=C","CN1147422.C")</f>
        <v>CN1147422.C</v>
      </c>
      <c r="Q130" s="26" t="str">
        <f>HYPERLINK("http://worldwide.espacenet.com/publicationDetails/biblio?DB=EPODOC&amp;adjacent=true&amp;locale=en_EP&amp;FT=D&amp;CC=CN&amp;NR=1322672A&amp;KC=A","CN1322672.A")</f>
        <v>CN1322672.A</v>
      </c>
      <c r="U130" s="26" t="str">
        <f>HYPERLINK("http://worldwide.espacenet.com/publicationDetails/biblio?DB=EPODOC&amp;adjacent=true&amp;locale=en_EP&amp;FT=D&amp;CC=US&amp;NR=2017001922A1&amp;KC=A1","US2017001922.A1")</f>
        <v>US2017001922.A1</v>
      </c>
      <c r="V130" s="26" t="str">
        <f>HYPERLINK("http://worldwide.espacenet.com/publicationDetails/biblio?DB=EPODOC&amp;adjacent=true&amp;locale=en_EP&amp;FT=D&amp;CC=WO&amp;NR=2015112056A1&amp;KC=A1","WO2015112056.A1")</f>
        <v>WO2015112056.A1</v>
      </c>
    </row>
    <row r="131" spans="1:28" ht="17.100000000000001" customHeight="1" x14ac:dyDescent="0.25">
      <c r="A131" s="16" t="s">
        <v>3250</v>
      </c>
      <c r="B131" s="21" t="s">
        <v>3251</v>
      </c>
      <c r="C131" s="23">
        <v>6.9626522064209002</v>
      </c>
      <c r="D131" s="23">
        <v>0</v>
      </c>
      <c r="E131" s="23">
        <v>0</v>
      </c>
      <c r="F131" s="21">
        <v>0</v>
      </c>
      <c r="G131" s="23">
        <v>78</v>
      </c>
      <c r="H131" s="24">
        <v>37547</v>
      </c>
      <c r="I131" s="23">
        <v>4</v>
      </c>
      <c r="J131" s="22">
        <v>1077116</v>
      </c>
      <c r="K131" s="21" t="s">
        <v>3252</v>
      </c>
      <c r="L131" s="21" t="s">
        <v>3253</v>
      </c>
      <c r="M131" s="21" t="s">
        <v>2942</v>
      </c>
      <c r="N131" s="21" t="s">
        <v>3254</v>
      </c>
      <c r="O131" s="25" t="str">
        <f>HYPERLINK("http://worldwide.espacenet.com/publicationDetails/biblio?DB=EPODOC&amp;adjacent=true&amp;locale=en_EP&amp;FT=D&amp;CC=CN&amp;NR=1705647A&amp;KC=A","CN1705647.A")</f>
        <v>CN1705647.A</v>
      </c>
      <c r="P131" s="25" t="str">
        <f>HYPERLINK("http://worldwide.espacenet.com/publicationDetails/biblio?DB=EPODOC&amp;adjacent=true&amp;locale=en_EP&amp;FT=D&amp;CC=AT&amp;NR=390416T&amp;KC=T","AT390416.T")</f>
        <v>AT390416.T</v>
      </c>
      <c r="Q131" s="26" t="str">
        <f>HYPERLINK("http://worldwide.espacenet.com/publicationDetails/biblio?DB=EPODOC&amp;adjacent=true&amp;locale=en_EP&amp;FT=D&amp;CC=AU&amp;NR=2003298596A1&amp;KC=A1","AU2003298596.A1")</f>
        <v>AU2003298596.A1</v>
      </c>
      <c r="R131" s="26" t="str">
        <f>HYPERLINK("http://worldwide.espacenet.com/publicationDetails/biblio?DB=EPODOC&amp;adjacent=true&amp;locale=en_EP&amp;FT=D&amp;CC=AU&amp;NR=2003298596B2&amp;KC=B2","AU2003298596.B2")</f>
        <v>AU2003298596.B2</v>
      </c>
      <c r="S131" s="26" t="str">
        <f>HYPERLINK("http://worldwide.espacenet.com/publicationDetails/biblio?DB=EPODOC&amp;adjacent=true&amp;locale=en_EP&amp;FT=D&amp;CC=BR&amp;NR=0315381A&amp;KC=A","BR0315381.A")</f>
        <v>BR0315381.A</v>
      </c>
      <c r="T131" s="26" t="str">
        <f>HYPERLINK("http://worldwide.espacenet.com/publicationDetails/biblio?DB=EPODOC&amp;adjacent=true&amp;locale=en_EP&amp;FT=D&amp;CC=CA&amp;NR=2502269A1&amp;KC=A1","CA2502269.A1")</f>
        <v>CA2502269.A1</v>
      </c>
      <c r="U131" s="26" t="str">
        <f>HYPERLINK("http://worldwide.espacenet.com/publicationDetails/biblio?DB=EPODOC&amp;adjacent=true&amp;locale=en_EP&amp;FT=D&amp;CC=EP&amp;NR=0375286A1&amp;KC=A1","EP0375286.A1")</f>
        <v>EP0375286.A1</v>
      </c>
      <c r="V131" s="26" t="str">
        <f>HYPERLINK("http://worldwide.espacenet.com/publicationDetails/biblio?DB=EPODOC&amp;adjacent=true&amp;locale=en_EP&amp;FT=D&amp;CC=EP&amp;NR=0375286B1&amp;KC=B1","EP0375286.B1")</f>
        <v>EP0375286.B1</v>
      </c>
      <c r="W131" s="26" t="str">
        <f>HYPERLINK("http://worldwide.espacenet.com/publicationDetails/biblio?DB=EPODOC&amp;adjacent=true&amp;locale=en_EP&amp;FT=D&amp;CC=JP&amp;NR=H02222489A&amp;KC=A","JPH02222489.A")</f>
        <v>JPH02222489.A</v>
      </c>
      <c r="X131" s="26" t="str">
        <f>HYPERLINK("http://worldwide.espacenet.com/publicationDetails/biblio?DB=EPODOC&amp;adjacent=true&amp;locale=en_EP&amp;FT=D&amp;CC=US&amp;NR=4939314A&amp;KC=A","US4939314.A")</f>
        <v>US4939314.A</v>
      </c>
    </row>
    <row r="132" spans="1:28" ht="17.100000000000001" customHeight="1" x14ac:dyDescent="0.25">
      <c r="A132" s="16" t="s">
        <v>3255</v>
      </c>
      <c r="B132" s="21" t="s">
        <v>3255</v>
      </c>
      <c r="C132" s="23">
        <v>9.4397738575935398E-3</v>
      </c>
      <c r="D132" s="23">
        <v>0.63449597358703602</v>
      </c>
      <c r="E132" s="23">
        <v>5.9894984588027E-3</v>
      </c>
      <c r="F132" s="21">
        <v>5.9894984588027E-3</v>
      </c>
      <c r="G132" s="23">
        <v>0</v>
      </c>
      <c r="H132" s="24">
        <v>42755</v>
      </c>
      <c r="I132" s="23">
        <v>1</v>
      </c>
      <c r="J132" s="22">
        <v>485104310</v>
      </c>
      <c r="K132" s="21"/>
      <c r="L132" s="21" t="s">
        <v>3256</v>
      </c>
      <c r="M132" s="21" t="s">
        <v>2957</v>
      </c>
      <c r="N132" s="21" t="s">
        <v>3003</v>
      </c>
      <c r="O132" s="25" t="str">
        <f>HYPERLINK("http://worldwide.espacenet.com/publicationDetails/biblio?DB=EPODOC&amp;adjacent=true&amp;locale=en_EP&amp;FT=D&amp;CC=CN&amp;NR=206570276U&amp;KC=U","CN206570276.U")</f>
        <v>CN206570276.U</v>
      </c>
      <c r="P132" s="25" t="str">
        <f>HYPERLINK("http://worldwide.espacenet.com/publicationDetails/biblio?DB=EPODOC&amp;adjacent=true&amp;locale=en_EP&amp;FT=D&amp;CC=CN&amp;NR=206570276U&amp;KC=U","CN206570276.U")</f>
        <v>CN206570276.U</v>
      </c>
      <c r="U132" s="26" t="str">
        <f>HYPERLINK("http://worldwide.espacenet.com/publicationDetails/biblio?DB=EPODOC&amp;adjacent=true&amp;locale=en_EP&amp;FT=D&amp;CC=WO&amp;NR=2015094696A1&amp;KC=A1","WO2015094696.A1")</f>
        <v>WO2015094696.A1</v>
      </c>
      <c r="V132" s="26" t="str">
        <f>HYPERLINK("http://worldwide.espacenet.com/publicationDetails/biblio?DB=EPODOC&amp;adjacent=true&amp;locale=en_EP&amp;FT=D&amp;CC=WO&amp;NR=2015094697A1&amp;KC=A1","WO2015094697.A1")</f>
        <v>WO2015094697.A1</v>
      </c>
      <c r="W132" s="26" t="str">
        <f>HYPERLINK("http://worldwide.espacenet.com/publicationDetails/biblio?DB=EPODOC&amp;adjacent=true&amp;locale=en_EP&amp;FT=D&amp;CC=WO&amp;NR=2015094698A1&amp;KC=A1","WO2015094698.A1")</f>
        <v>WO2015094698.A1</v>
      </c>
    </row>
    <row r="133" spans="1:28" ht="17.100000000000001" customHeight="1" x14ac:dyDescent="0.25">
      <c r="A133" s="16" t="s">
        <v>3257</v>
      </c>
      <c r="B133" s="21" t="s">
        <v>3257</v>
      </c>
      <c r="C133" s="23">
        <v>9.4397738575935398E-3</v>
      </c>
      <c r="D133" s="23">
        <v>0.63449597358703602</v>
      </c>
      <c r="E133" s="23">
        <v>5.9894984588027E-3</v>
      </c>
      <c r="F133" s="21">
        <v>5.9894984588027E-3</v>
      </c>
      <c r="G133" s="23">
        <v>0</v>
      </c>
      <c r="H133" s="24">
        <v>42865</v>
      </c>
      <c r="I133" s="23">
        <v>1</v>
      </c>
      <c r="J133" s="22">
        <v>487464385</v>
      </c>
      <c r="K133" s="21"/>
      <c r="L133" s="21" t="s">
        <v>3258</v>
      </c>
      <c r="M133" s="21" t="s">
        <v>2957</v>
      </c>
      <c r="N133" s="21" t="s">
        <v>3003</v>
      </c>
      <c r="O133" s="25" t="str">
        <f>HYPERLINK("http://worldwide.espacenet.com/publicationDetails/biblio?DB=EPODOC&amp;adjacent=true&amp;locale=en_EP&amp;FT=D&amp;CC=CN&amp;NR=206751740U&amp;KC=U","CN206751740.U")</f>
        <v>CN206751740.U</v>
      </c>
      <c r="P133" s="25" t="str">
        <f>HYPERLINK("http://worldwide.espacenet.com/publicationDetails/biblio?DB=EPODOC&amp;adjacent=true&amp;locale=en_EP&amp;FT=D&amp;CC=CN&amp;NR=206751740U&amp;KC=U","CN206751740.U")</f>
        <v>CN206751740.U</v>
      </c>
      <c r="U133" s="26" t="str">
        <f>HYPERLINK("http://worldwide.espacenet.com/publicationDetails/biblio?DB=EPODOC&amp;adjacent=true&amp;locale=en_EP&amp;FT=D&amp;CC=US&amp;NR=2013158323A1&amp;KC=A1","US2013158323.A1")</f>
        <v>US2013158323.A1</v>
      </c>
      <c r="V133" s="26" t="str">
        <f>HYPERLINK("http://worldwide.espacenet.com/publicationDetails/biblio?DB=EPODOC&amp;adjacent=true&amp;locale=en_EP&amp;FT=D&amp;CC=US&amp;NR=9388092B2&amp;KC=B2","US9388092.B2")</f>
        <v>US9388092.B2</v>
      </c>
      <c r="W133" s="26" t="str">
        <f>HYPERLINK("http://worldwide.espacenet.com/publicationDetails/biblio?DB=EPODOC&amp;adjacent=true&amp;locale=en_EP&amp;FT=D&amp;CC=WO&amp;NR=2013091824A1&amp;KC=A1","WO2013091824.A1")</f>
        <v>WO2013091824.A1</v>
      </c>
    </row>
    <row r="134" spans="1:28" ht="17.100000000000001" customHeight="1" x14ac:dyDescent="0.25">
      <c r="A134" s="16" t="s">
        <v>3259</v>
      </c>
      <c r="B134" s="21" t="s">
        <v>3259</v>
      </c>
      <c r="C134" s="23">
        <v>0.17498739063739799</v>
      </c>
      <c r="D134" s="23">
        <v>0</v>
      </c>
      <c r="E134" s="23">
        <v>0</v>
      </c>
      <c r="F134" s="21">
        <v>0</v>
      </c>
      <c r="G134" s="23">
        <v>1</v>
      </c>
      <c r="H134" s="24">
        <v>30113</v>
      </c>
      <c r="I134" s="23">
        <v>1</v>
      </c>
      <c r="J134" s="22">
        <v>10623786</v>
      </c>
      <c r="K134" s="21" t="s">
        <v>3260</v>
      </c>
      <c r="L134" s="21" t="s">
        <v>3261</v>
      </c>
      <c r="M134" s="21" t="s">
        <v>2942</v>
      </c>
      <c r="N134" s="21" t="s">
        <v>3003</v>
      </c>
      <c r="O134" s="25" t="str">
        <f>HYPERLINK("http://worldwide.espacenet.com/publicationDetails/biblio?DB=EPODOC&amp;adjacent=true&amp;locale=en_EP&amp;FT=D&amp;CC=DE&amp;NR=3221936A1&amp;KC=A1","DE3221936.A1")</f>
        <v>DE3221936.A1</v>
      </c>
      <c r="P134" s="25" t="str">
        <f>HYPERLINK("http://worldwide.espacenet.com/publicationDetails/biblio?DB=EPODOC&amp;adjacent=true&amp;locale=en_EP&amp;FT=D&amp;CC=DE&amp;NR=3221936A1&amp;KC=A1","DE3221936.A1")</f>
        <v>DE3221936.A1</v>
      </c>
    </row>
    <row r="135" spans="1:28" ht="17.100000000000001" customHeight="1" x14ac:dyDescent="0.25">
      <c r="A135" s="16" t="s">
        <v>3262</v>
      </c>
      <c r="B135" s="21" t="s">
        <v>3263</v>
      </c>
      <c r="C135" s="23">
        <v>0.64779967069625899</v>
      </c>
      <c r="D135" s="23">
        <v>0</v>
      </c>
      <c r="E135" s="23">
        <v>0</v>
      </c>
      <c r="F135" s="21">
        <v>0</v>
      </c>
      <c r="G135" s="23">
        <v>6</v>
      </c>
      <c r="H135" s="24">
        <v>36124</v>
      </c>
      <c r="I135" s="23">
        <v>3</v>
      </c>
      <c r="J135" s="22">
        <v>15568609</v>
      </c>
      <c r="K135" s="21" t="s">
        <v>3264</v>
      </c>
      <c r="L135" s="21" t="s">
        <v>3265</v>
      </c>
      <c r="M135" s="21" t="s">
        <v>2942</v>
      </c>
      <c r="N135" s="21" t="s">
        <v>2951</v>
      </c>
      <c r="O135" s="25" t="str">
        <f>HYPERLINK("http://worldwide.espacenet.com/publicationDetails/biblio?DB=EPODOC&amp;adjacent=true&amp;locale=en_EP&amp;FT=D&amp;CC=EA&amp;NR=199900341A1&amp;KC=A1","EA199900341.A1")</f>
        <v>EA199900341.A1</v>
      </c>
      <c r="P135" s="25" t="str">
        <f>HYPERLINK("http://worldwide.espacenet.com/publicationDetails/biblio?DB=EPODOC&amp;adjacent=true&amp;locale=en_EP&amp;FT=D&amp;CC=EA&amp;NR=003249B1&amp;KC=B1","EA003249.B1")</f>
        <v>EA003249.B1</v>
      </c>
      <c r="Q135" s="26" t="str">
        <f>HYPERLINK("http://worldwide.espacenet.com/publicationDetails/biblio?DB=EPODOC&amp;adjacent=true&amp;locale=en_EP&amp;FT=D&amp;CC=EA&amp;NR=199900341A1&amp;KC=A1","EA199900341.A1")</f>
        <v>EA199900341.A1</v>
      </c>
      <c r="R135" s="26" t="str">
        <f>HYPERLINK("http://worldwide.espacenet.com/publicationDetails/biblio?DB=EPODOC&amp;adjacent=true&amp;locale=en_EP&amp;FT=D&amp;CC=RU&amp;NR=2163624C2&amp;KC=C2","RU2163624.C2")</f>
        <v>RU2163624.C2</v>
      </c>
      <c r="U135" s="26" t="str">
        <f>HYPERLINK("http://worldwide.espacenet.com/publicationDetails/biblio?DB=EPODOC&amp;adjacent=true&amp;locale=en_EP&amp;FT=D&amp;CC=KR&amp;NR=20120123305A&amp;KC=A","KR20120123305.A")</f>
        <v>KR20120123305.A</v>
      </c>
      <c r="V135" s="26" t="str">
        <f>HYPERLINK("http://worldwide.espacenet.com/publicationDetails/biblio?DB=EPODOC&amp;adjacent=true&amp;locale=en_EP&amp;FT=D&amp;CC=RU&amp;NR=2012126402A&amp;KC=A","RU2012126402.A")</f>
        <v>RU2012126402.A</v>
      </c>
      <c r="W135" s="26" t="str">
        <f>HYPERLINK("http://worldwide.espacenet.com/publicationDetails/biblio?DB=EPODOC&amp;adjacent=true&amp;locale=en_EP&amp;FT=D&amp;CC=US&amp;NR=2011152594A1&amp;KC=A1","US2011152594.A1")</f>
        <v>US2011152594.A1</v>
      </c>
      <c r="X135" s="26" t="str">
        <f>HYPERLINK("http://worldwide.espacenet.com/publicationDetails/biblio?DB=EPODOC&amp;adjacent=true&amp;locale=en_EP&amp;FT=D&amp;CC=US&amp;NR=9090525B2&amp;KC=B2","US9090525.B2")</f>
        <v>US9090525.B2</v>
      </c>
      <c r="Y135" s="26" t="str">
        <f>HYPERLINK("http://worldwide.espacenet.com/publicationDetails/biblio?DB=EPODOC&amp;adjacent=true&amp;locale=en_EP&amp;FT=D&amp;CC=WO&amp;NR=2011071755A2&amp;KC=A2","WO2011071755.A2")</f>
        <v>WO2011071755.A2</v>
      </c>
      <c r="Z135" s="26" t="str">
        <f>HYPERLINK("http://worldwide.espacenet.com/publicationDetails/biblio?DB=EPODOC&amp;adjacent=true&amp;locale=en_EP&amp;FT=D&amp;CC=WO&amp;NR=2011071755A3&amp;KC=A3","WO2011071755.A3")</f>
        <v>WO2011071755.A3</v>
      </c>
    </row>
    <row r="136" spans="1:28" ht="17.100000000000001" customHeight="1" x14ac:dyDescent="0.25">
      <c r="A136" s="16" t="s">
        <v>3266</v>
      </c>
      <c r="B136" s="21" t="s">
        <v>3267</v>
      </c>
      <c r="C136" s="23">
        <v>1.2555458545684799</v>
      </c>
      <c r="D136" s="23">
        <v>0</v>
      </c>
      <c r="E136" s="23">
        <v>0</v>
      </c>
      <c r="F136" s="21">
        <v>0</v>
      </c>
      <c r="G136" s="23">
        <v>12</v>
      </c>
      <c r="H136" s="24">
        <v>28773</v>
      </c>
      <c r="I136" s="23">
        <v>3</v>
      </c>
      <c r="J136" s="22">
        <v>1979516</v>
      </c>
      <c r="K136" s="21" t="s">
        <v>3268</v>
      </c>
      <c r="L136" s="21" t="s">
        <v>3269</v>
      </c>
      <c r="M136" s="21" t="s">
        <v>2942</v>
      </c>
      <c r="N136" s="21" t="s">
        <v>3270</v>
      </c>
      <c r="O136" s="25" t="str">
        <f>HYPERLINK("http://worldwide.espacenet.com/publicationDetails/biblio?DB=EPODOC&amp;adjacent=true&amp;locale=en_EP&amp;FT=D&amp;CC=EP&amp;NR=0009917A1&amp;KC=A1","EP0009917.A1")</f>
        <v>EP0009917.A1</v>
      </c>
      <c r="P136" s="25" t="str">
        <f>HYPERLINK("http://worldwide.espacenet.com/publicationDetails/biblio?DB=EPODOC&amp;adjacent=true&amp;locale=en_EP&amp;FT=D&amp;CC=AU&amp;NR=5118179A&amp;KC=A","AU5118179.A")</f>
        <v>AU5118179.A</v>
      </c>
      <c r="Q136" s="26" t="str">
        <f>HYPERLINK("http://worldwide.espacenet.com/publicationDetails/biblio?DB=EPODOC&amp;adjacent=true&amp;locale=en_EP&amp;FT=D&amp;CC=AU&amp;NR=531633B2&amp;KC=B2","AU531633.B2")</f>
        <v>AU531633.B2</v>
      </c>
      <c r="R136" s="26" t="str">
        <f>HYPERLINK("http://worldwide.espacenet.com/publicationDetails/biblio?DB=EPODOC&amp;adjacent=true&amp;locale=en_EP&amp;FT=D&amp;CC=CA&amp;NR=1129393A&amp;KC=A","CA1129393.A")</f>
        <v>CA1129393.A</v>
      </c>
      <c r="S136" s="26" t="str">
        <f>HYPERLINK("http://worldwide.espacenet.com/publicationDetails/biblio?DB=EPODOC&amp;adjacent=true&amp;locale=en_EP&amp;FT=D&amp;CC=DE&amp;NR=2961703D1&amp;KC=D1","DE2961703.D1")</f>
        <v>DE2961703.D1</v>
      </c>
      <c r="T136" s="26" t="str">
        <f>HYPERLINK("http://worldwide.espacenet.com/publicationDetails/biblio?DB=EPODOC&amp;adjacent=true&amp;locale=en_EP&amp;FT=D&amp;CC=EP&amp;NR=0009917A1&amp;KC=A1","EP0009917.A1")</f>
        <v>EP0009917.A1</v>
      </c>
      <c r="U136" s="26" t="str">
        <f>HYPERLINK("http://worldwide.espacenet.com/publicationDetails/biblio?DB=EPODOC&amp;adjacent=true&amp;locale=en_EP&amp;FT=D&amp;CC=US&amp;NR=4441990A&amp;KC=A","US4441990.A")</f>
        <v>US4441990.A</v>
      </c>
    </row>
    <row r="137" spans="1:28" ht="17.100000000000001" customHeight="1" x14ac:dyDescent="0.25">
      <c r="A137" s="16" t="s">
        <v>3271</v>
      </c>
      <c r="B137" s="21" t="s">
        <v>3272</v>
      </c>
      <c r="C137" s="23">
        <v>1.00476741790771</v>
      </c>
      <c r="D137" s="23">
        <v>0</v>
      </c>
      <c r="E137" s="23">
        <v>0</v>
      </c>
      <c r="F137" s="21">
        <v>0</v>
      </c>
      <c r="G137" s="23">
        <v>4</v>
      </c>
      <c r="H137" s="24">
        <v>29327</v>
      </c>
      <c r="I137" s="23">
        <v>3</v>
      </c>
      <c r="J137" s="22">
        <v>10480773</v>
      </c>
      <c r="K137" s="21" t="s">
        <v>3273</v>
      </c>
      <c r="L137" s="21" t="s">
        <v>3274</v>
      </c>
      <c r="M137" s="21" t="s">
        <v>2942</v>
      </c>
      <c r="N137" s="21" t="s">
        <v>3013</v>
      </c>
      <c r="O137" s="25" t="str">
        <f>HYPERLINK("http://worldwide.espacenet.com/publicationDetails/biblio?DB=EPODOC&amp;adjacent=true&amp;locale=en_EP&amp;FT=D&amp;CC=EP&amp;NR=0037982A1&amp;KC=A1","EP0037982.A1")</f>
        <v>EP0037982.A1</v>
      </c>
      <c r="P137" s="25" t="str">
        <f>HYPERLINK("http://worldwide.espacenet.com/publicationDetails/biblio?DB=EPODOC&amp;adjacent=true&amp;locale=en_EP&amp;FT=D&amp;CC=DE&amp;NR=3014637A1&amp;KC=A1","DE3014637.A1")</f>
        <v>DE3014637.A1</v>
      </c>
      <c r="Q137" s="26" t="str">
        <f>HYPERLINK("http://worldwide.espacenet.com/publicationDetails/biblio?DB=EPODOC&amp;adjacent=true&amp;locale=en_EP&amp;FT=D&amp;CC=EP&amp;NR=0037982A1&amp;KC=A1","EP0037982.A1")</f>
        <v>EP0037982.A1</v>
      </c>
      <c r="R137" s="26" t="str">
        <f>HYPERLINK("http://worldwide.espacenet.com/publicationDetails/biblio?DB=EPODOC&amp;adjacent=true&amp;locale=en_EP&amp;FT=D&amp;CC=JP&amp;NR=S56160317A&amp;KC=A","JPS56160317.A")</f>
        <v>JPS56160317.A</v>
      </c>
      <c r="U137" s="26" t="str">
        <f>HYPERLINK("http://worldwide.espacenet.com/publicationDetails/biblio?DB=EPODOC&amp;adjacent=true&amp;locale=en_EP&amp;FT=D&amp;CC=JP&amp;NR=H10502608A&amp;KC=A","JPH10502608.A")</f>
        <v>JPH10502608.A</v>
      </c>
      <c r="V137" s="26" t="str">
        <f>HYPERLINK("http://worldwide.espacenet.com/publicationDetails/biblio?DB=EPODOC&amp;adjacent=true&amp;locale=en_EP&amp;FT=D&amp;CC=KR&amp;NR=970704514A&amp;KC=A","KR970704514.A")</f>
        <v>KR970704514.A</v>
      </c>
      <c r="W137" s="26" t="str">
        <f>HYPERLINK("http://worldwide.espacenet.com/publicationDetails/biblio?DB=EPODOC&amp;adjacent=true&amp;locale=en_EP&amp;FT=D&amp;CC=RU&amp;NR=2153397C2&amp;KC=C2","RU2153397.C2")</f>
        <v>RU2153397.C2</v>
      </c>
      <c r="X137" s="26" t="str">
        <f>HYPERLINK("http://worldwide.espacenet.com/publicationDetails/biblio?DB=EPODOC&amp;adjacent=true&amp;locale=en_EP&amp;FT=D&amp;CC=US&amp;NR=5591421A&amp;KC=A","US5591421.A")</f>
        <v>US5591421.A</v>
      </c>
      <c r="Y137" s="26" t="str">
        <f>HYPERLINK("http://worldwide.espacenet.com/publicationDetails/biblio?DB=EPODOC&amp;adjacent=true&amp;locale=en_EP&amp;FT=D&amp;CC=US&amp;NR=5656149A&amp;KC=A","US5656149.A")</f>
        <v>US5656149.A</v>
      </c>
      <c r="Z137" s="26" t="str">
        <f>HYPERLINK("http://worldwide.espacenet.com/publicationDetails/biblio?DB=EPODOC&amp;adjacent=true&amp;locale=en_EP&amp;FT=D&amp;CC=WO&amp;NR=9601688A1&amp;KC=A1","WO9601688.A1")</f>
        <v>WO9601688.A1</v>
      </c>
    </row>
    <row r="138" spans="1:28" ht="17.100000000000001" customHeight="1" x14ac:dyDescent="0.25">
      <c r="A138" s="16" t="s">
        <v>3275</v>
      </c>
      <c r="B138" s="21" t="s">
        <v>3276</v>
      </c>
      <c r="C138" s="23">
        <v>0.21444398164749101</v>
      </c>
      <c r="D138" s="23">
        <v>0</v>
      </c>
      <c r="E138" s="23">
        <v>0</v>
      </c>
      <c r="F138" s="21">
        <v>0</v>
      </c>
      <c r="G138" s="23">
        <v>1</v>
      </c>
      <c r="H138" s="24">
        <v>29327</v>
      </c>
      <c r="I138" s="23">
        <v>4</v>
      </c>
      <c r="J138" s="22">
        <v>10480772</v>
      </c>
      <c r="K138" s="21" t="s">
        <v>3277</v>
      </c>
      <c r="L138" s="21" t="s">
        <v>3274</v>
      </c>
      <c r="M138" s="21" t="s">
        <v>2942</v>
      </c>
      <c r="N138" s="21" t="s">
        <v>3278</v>
      </c>
      <c r="O138" s="25" t="str">
        <f>HYPERLINK("http://worldwide.espacenet.com/publicationDetails/biblio?DB=EPODOC&amp;adjacent=true&amp;locale=en_EP&amp;FT=D&amp;CC=EP&amp;NR=0037983A1&amp;KC=A1","EP0037983.A1")</f>
        <v>EP0037983.A1</v>
      </c>
      <c r="P138" s="25" t="str">
        <f>HYPERLINK("http://worldwide.espacenet.com/publicationDetails/biblio?DB=EPODOC&amp;adjacent=true&amp;locale=en_EP&amp;FT=D&amp;CC=DE&amp;NR=3014636A1&amp;KC=A1","DE3014636.A1")</f>
        <v>DE3014636.A1</v>
      </c>
      <c r="Q138" s="26" t="str">
        <f>HYPERLINK("http://worldwide.espacenet.com/publicationDetails/biblio?DB=EPODOC&amp;adjacent=true&amp;locale=en_EP&amp;FT=D&amp;CC=EP&amp;NR=0037983A1&amp;KC=A1","EP0037983.A1")</f>
        <v>EP0037983.A1</v>
      </c>
      <c r="R138" s="26" t="str">
        <f>HYPERLINK("http://worldwide.espacenet.com/publicationDetails/biblio?DB=EPODOC&amp;adjacent=true&amp;locale=en_EP&amp;FT=D&amp;CC=JP&amp;NR=S56161837A&amp;KC=A","JPS56161837.A")</f>
        <v>JPS56161837.A</v>
      </c>
      <c r="U138" s="26" t="str">
        <f>HYPERLINK("http://worldwide.espacenet.com/publicationDetails/biblio?DB=EPODOC&amp;adjacent=true&amp;locale=en_EP&amp;FT=D&amp;CC=JP&amp;NR=2014513152A&amp;KC=A","JP2014513152.A")</f>
        <v>JP2014513152.A</v>
      </c>
      <c r="V138" s="26" t="str">
        <f>HYPERLINK("http://worldwide.espacenet.com/publicationDetails/biblio?DB=EPODOC&amp;adjacent=true&amp;locale=en_EP&amp;FT=D&amp;CC=KR&amp;NR=20140037039A&amp;KC=A","KR20140037039.A")</f>
        <v>KR20140037039.A</v>
      </c>
      <c r="W138" s="26" t="str">
        <f>HYPERLINK("http://worldwide.espacenet.com/publicationDetails/biblio?DB=EPODOC&amp;adjacent=true&amp;locale=en_EP&amp;FT=D&amp;CC=MX&amp;NR=2013008353A&amp;KC=A","MX2013008353.A")</f>
        <v>MX2013008353.A</v>
      </c>
      <c r="X138" s="26" t="str">
        <f>HYPERLINK("http://worldwide.espacenet.com/publicationDetails/biblio?DB=EPODOC&amp;adjacent=true&amp;locale=en_EP&amp;FT=D&amp;CC=MX&amp;NR=358098B&amp;KC=B","MX358098.B")</f>
        <v>MX358098.B</v>
      </c>
      <c r="Y138" s="26" t="str">
        <f>HYPERLINK("http://worldwide.espacenet.com/publicationDetails/biblio?DB=EPODOC&amp;adjacent=true&amp;locale=en_EP&amp;FT=D&amp;CC=TW&amp;NR=201245432A&amp;KC=A","TW201245432.A")</f>
        <v>TW201245432.A</v>
      </c>
      <c r="Z138" s="26" t="str">
        <f>HYPERLINK("http://worldwide.espacenet.com/publicationDetails/biblio?DB=EPODOC&amp;adjacent=true&amp;locale=en_EP&amp;FT=D&amp;CC=US&amp;NR=2013331627A1&amp;KC=A1","US2013331627.A1")</f>
        <v>US2013331627.A1</v>
      </c>
      <c r="AA138" s="26" t="str">
        <f>HYPERLINK("http://worldwide.espacenet.com/publicationDetails/biblio?DB=EPODOC&amp;adjacent=true&amp;locale=en_EP&amp;FT=D&amp;CC=US&amp;NR=9834493B2&amp;KC=B2","US9834493.B2")</f>
        <v>US9834493.B2</v>
      </c>
      <c r="AB138" s="26" t="str">
        <f>HYPERLINK("http://worldwide.espacenet.com/publicationDetails/biblio?DB=EPODOC&amp;adjacent=true&amp;locale=en_EP&amp;FT=D&amp;CC=WO&amp;NR=2012108861A1&amp;KC=A1","WO2012108861.A1")</f>
        <v>WO2012108861.A1</v>
      </c>
    </row>
    <row r="139" spans="1:28" ht="17.100000000000001" customHeight="1" x14ac:dyDescent="0.25">
      <c r="A139" s="16" t="s">
        <v>3279</v>
      </c>
      <c r="B139" s="21" t="s">
        <v>3280</v>
      </c>
      <c r="C139" s="23">
        <v>0.976568043231964</v>
      </c>
      <c r="D139" s="23">
        <v>0</v>
      </c>
      <c r="E139" s="23">
        <v>0</v>
      </c>
      <c r="F139" s="21">
        <v>0</v>
      </c>
      <c r="G139" s="23">
        <v>7</v>
      </c>
      <c r="H139" s="24">
        <v>29347</v>
      </c>
      <c r="I139" s="23">
        <v>4</v>
      </c>
      <c r="J139" s="22">
        <v>2234940</v>
      </c>
      <c r="K139" s="21" t="s">
        <v>3281</v>
      </c>
      <c r="L139" s="21" t="s">
        <v>3282</v>
      </c>
      <c r="M139" s="21" t="s">
        <v>2942</v>
      </c>
      <c r="N139" s="21" t="s">
        <v>3283</v>
      </c>
      <c r="O139" s="25" t="str">
        <f>HYPERLINK("http://worldwide.espacenet.com/publicationDetails/biblio?DB=EPODOC&amp;adjacent=true&amp;locale=en_EP&amp;FT=D&amp;CC=EP&amp;NR=0039964A1&amp;KC=A1","EP0039964.A1")</f>
        <v>EP0039964.A1</v>
      </c>
      <c r="P139" s="25" t="str">
        <f>HYPERLINK("http://worldwide.espacenet.com/publicationDetails/biblio?DB=EPODOC&amp;adjacent=true&amp;locale=en_EP&amp;FT=D&amp;CC=AU&amp;NR=543699B2&amp;KC=B2","AU543699.B2")</f>
        <v>AU543699.B2</v>
      </c>
      <c r="Q139" s="26" t="str">
        <f>HYPERLINK("http://worldwide.espacenet.com/publicationDetails/biblio?DB=EPODOC&amp;adjacent=true&amp;locale=en_EP&amp;FT=D&amp;CC=AU&amp;NR=7010381A&amp;KC=A","AU7010381.A")</f>
        <v>AU7010381.A</v>
      </c>
      <c r="R139" s="26" t="str">
        <f>HYPERLINK("http://worldwide.espacenet.com/publicationDetails/biblio?DB=EPODOC&amp;adjacent=true&amp;locale=en_EP&amp;FT=D&amp;CC=BR&amp;NR=8102713A&amp;KC=A","BR8102713.A")</f>
        <v>BR8102713.A</v>
      </c>
      <c r="S139" s="26" t="str">
        <f>HYPERLINK("http://worldwide.espacenet.com/publicationDetails/biblio?DB=EPODOC&amp;adjacent=true&amp;locale=en_EP&amp;FT=D&amp;CC=CA&amp;NR=1157484A&amp;KC=A","CA1157484.A")</f>
        <v>CA1157484.A</v>
      </c>
      <c r="T139" s="26" t="str">
        <f>HYPERLINK("http://worldwide.espacenet.com/publicationDetails/biblio?DB=EPODOC&amp;adjacent=true&amp;locale=en_EP&amp;FT=D&amp;CC=DE&amp;NR=3162594D1&amp;KC=D1","DE3162594.D1")</f>
        <v>DE3162594.D1</v>
      </c>
    </row>
    <row r="140" spans="1:28" ht="17.100000000000001" customHeight="1" x14ac:dyDescent="0.25">
      <c r="A140" s="16" t="s">
        <v>3284</v>
      </c>
      <c r="B140" s="21" t="s">
        <v>3285</v>
      </c>
      <c r="C140" s="23">
        <v>1.4747056961059599</v>
      </c>
      <c r="D140" s="23">
        <v>0</v>
      </c>
      <c r="E140" s="23">
        <v>0</v>
      </c>
      <c r="F140" s="21">
        <v>0</v>
      </c>
      <c r="G140" s="23">
        <v>12</v>
      </c>
      <c r="H140" s="24">
        <v>29350</v>
      </c>
      <c r="I140" s="23">
        <v>3</v>
      </c>
      <c r="J140" s="22">
        <v>2231224</v>
      </c>
      <c r="K140" s="21" t="s">
        <v>3286</v>
      </c>
      <c r="L140" s="21" t="s">
        <v>3287</v>
      </c>
      <c r="M140" s="21" t="s">
        <v>2942</v>
      </c>
      <c r="N140" s="21" t="s">
        <v>2951</v>
      </c>
      <c r="O140" s="25" t="str">
        <f>HYPERLINK("http://worldwide.espacenet.com/publicationDetails/biblio?DB=EPODOC&amp;adjacent=true&amp;locale=en_EP&amp;FT=D&amp;CC=EP&amp;NR=0039996A1&amp;KC=A1","EP0039996.A1")</f>
        <v>EP0039996.A1</v>
      </c>
      <c r="P140" s="25" t="str">
        <f>HYPERLINK("http://worldwide.espacenet.com/publicationDetails/biblio?DB=EPODOC&amp;adjacent=true&amp;locale=en_EP&amp;FT=D&amp;CC=AU&amp;NR=535752B2&amp;KC=B2","AU535752.B2")</f>
        <v>AU535752.B2</v>
      </c>
      <c r="Q140" s="26" t="str">
        <f>HYPERLINK("http://worldwide.espacenet.com/publicationDetails/biblio?DB=EPODOC&amp;adjacent=true&amp;locale=en_EP&amp;FT=D&amp;CC=AU&amp;NR=6980581A&amp;KC=A","AU6980581.A")</f>
        <v>AU6980581.A</v>
      </c>
      <c r="R140" s="26" t="str">
        <f>HYPERLINK("http://worldwide.espacenet.com/publicationDetails/biblio?DB=EPODOC&amp;adjacent=true&amp;locale=en_EP&amp;FT=D&amp;CC=CA&amp;NR=1154737A&amp;KC=A","CA1154737.A")</f>
        <v>CA1154737.A</v>
      </c>
      <c r="S140" s="26" t="str">
        <f>HYPERLINK("http://worldwide.espacenet.com/publicationDetails/biblio?DB=EPODOC&amp;adjacent=true&amp;locale=en_EP&amp;FT=D&amp;CC=DE&amp;NR=3161305D1&amp;KC=D1","DE3161305.D1")</f>
        <v>DE3161305.D1</v>
      </c>
      <c r="T140" s="26" t="str">
        <f>HYPERLINK("http://worldwide.espacenet.com/publicationDetails/biblio?DB=EPODOC&amp;adjacent=true&amp;locale=en_EP&amp;FT=D&amp;CC=EP&amp;NR=0039996A1&amp;KC=A1","EP0039996.A1")</f>
        <v>EP0039996.A1</v>
      </c>
      <c r="U140" s="26" t="str">
        <f>HYPERLINK("http://worldwide.espacenet.com/publicationDetails/biblio?DB=EPODOC&amp;adjacent=true&amp;locale=en_EP&amp;FT=D&amp;CC=US&amp;NR=4814536A&amp;KC=A","US4814536.A")</f>
        <v>US4814536.A</v>
      </c>
    </row>
    <row r="141" spans="1:28" ht="17.100000000000001" customHeight="1" x14ac:dyDescent="0.25">
      <c r="A141" s="16" t="s">
        <v>3288</v>
      </c>
      <c r="B141" s="21" t="s">
        <v>3289</v>
      </c>
      <c r="C141" s="23">
        <v>0.21886666119098699</v>
      </c>
      <c r="D141" s="23">
        <v>0</v>
      </c>
      <c r="E141" s="23">
        <v>0</v>
      </c>
      <c r="F141" s="21">
        <v>0</v>
      </c>
      <c r="G141" s="23">
        <v>2</v>
      </c>
      <c r="H141" s="24">
        <v>29511</v>
      </c>
      <c r="I141" s="23">
        <v>1</v>
      </c>
      <c r="J141" s="22">
        <v>2309698</v>
      </c>
      <c r="K141" s="21" t="s">
        <v>3290</v>
      </c>
      <c r="L141" s="21" t="s">
        <v>2330</v>
      </c>
      <c r="M141" s="21" t="s">
        <v>2942</v>
      </c>
      <c r="N141" s="21" t="s">
        <v>3003</v>
      </c>
      <c r="O141" s="25" t="str">
        <f>HYPERLINK("http://worldwide.espacenet.com/publicationDetails/biblio?DB=EPODOC&amp;adjacent=true&amp;locale=en_EP&amp;FT=D&amp;CC=EP&amp;NR=0050499A2&amp;KC=A2","EP0050499.A2")</f>
        <v>EP0050499.A2</v>
      </c>
      <c r="P141" s="25" t="str">
        <f>HYPERLINK("http://worldwide.espacenet.com/publicationDetails/biblio?DB=EPODOC&amp;adjacent=true&amp;locale=en_EP&amp;FT=D&amp;CC=AU&amp;NR=544220B2&amp;KC=B2","AU544220.B2")</f>
        <v>AU544220.B2</v>
      </c>
      <c r="Q141" s="26" t="str">
        <f>HYPERLINK("http://worldwide.espacenet.com/publicationDetails/biblio?DB=EPODOC&amp;adjacent=true&amp;locale=en_EP&amp;FT=D&amp;CC=AU&amp;NR=7635381A&amp;KC=A","AU7635381.A")</f>
        <v>AU7635381.A</v>
      </c>
      <c r="R141" s="26" t="str">
        <f>HYPERLINK("http://worldwide.espacenet.com/publicationDetails/biblio?DB=EPODOC&amp;adjacent=true&amp;locale=en_EP&amp;FT=D&amp;CC=CA&amp;NR=1158586A&amp;KC=A","CA1158586.A")</f>
        <v>CA1158586.A</v>
      </c>
      <c r="S141" s="26" t="str">
        <f>HYPERLINK("http://worldwide.espacenet.com/publicationDetails/biblio?DB=EPODOC&amp;adjacent=true&amp;locale=en_EP&amp;FT=D&amp;CC=DE&amp;NR=3169580D1&amp;KC=D1","DE3169580.D1")</f>
        <v>DE3169580.D1</v>
      </c>
      <c r="T141" s="26" t="str">
        <f>HYPERLINK("http://worldwide.espacenet.com/publicationDetails/biblio?DB=EPODOC&amp;adjacent=true&amp;locale=en_EP&amp;FT=D&amp;CC=DK&amp;NR=458881A&amp;KC=A","DK458881.A")</f>
        <v>DK458881.A</v>
      </c>
      <c r="U141" s="26" t="str">
        <f>HYPERLINK("http://worldwide.espacenet.com/publicationDetails/biblio?DB=EPODOC&amp;adjacent=true&amp;locale=en_EP&amp;FT=D&amp;CC=RU&amp;NR=2013132371A&amp;KC=A","RU2013132371.A")</f>
        <v>RU2013132371.A</v>
      </c>
      <c r="V141" s="26" t="str">
        <f>HYPERLINK("http://worldwide.espacenet.com/publicationDetails/biblio?DB=EPODOC&amp;adjacent=true&amp;locale=en_EP&amp;FT=D&amp;CC=RU&amp;NR=2607633C2&amp;KC=C2","RU2607633.C2")</f>
        <v>RU2607633.C2</v>
      </c>
      <c r="W141" s="26" t="str">
        <f>HYPERLINK("http://worldwide.espacenet.com/publicationDetails/biblio?DB=EPODOC&amp;adjacent=true&amp;locale=en_EP&amp;FT=D&amp;CC=US&amp;NR=2014018592A1&amp;KC=A1","US2014018592.A1")</f>
        <v>US2014018592.A1</v>
      </c>
      <c r="X141" s="26" t="str">
        <f>HYPERLINK("http://worldwide.espacenet.com/publicationDetails/biblio?DB=EPODOC&amp;adjacent=true&amp;locale=en_EP&amp;FT=D&amp;CC=US&amp;NR=9339801B2&amp;KC=B2","US9339801.B2")</f>
        <v>US9339801.B2</v>
      </c>
      <c r="Y141" s="26" t="str">
        <f>HYPERLINK("http://worldwide.espacenet.com/publicationDetails/biblio?DB=EPODOC&amp;adjacent=true&amp;locale=en_EP&amp;FT=D&amp;CC=ZA&amp;NR=201305248B&amp;KC=B","ZA201305248.B")</f>
        <v>ZA201305248.B</v>
      </c>
    </row>
    <row r="142" spans="1:28" ht="17.100000000000001" customHeight="1" x14ac:dyDescent="0.25">
      <c r="A142" s="16" t="s">
        <v>3291</v>
      </c>
      <c r="B142" s="21" t="s">
        <v>3292</v>
      </c>
      <c r="C142" s="23">
        <v>0.83982825279235795</v>
      </c>
      <c r="D142" s="23">
        <v>0</v>
      </c>
      <c r="E142" s="23">
        <v>0</v>
      </c>
      <c r="F142" s="21">
        <v>0</v>
      </c>
      <c r="G142" s="23">
        <v>3</v>
      </c>
      <c r="H142" s="24">
        <v>29889</v>
      </c>
      <c r="I142" s="23">
        <v>3</v>
      </c>
      <c r="J142" s="22">
        <v>10573960</v>
      </c>
      <c r="K142" s="21" t="s">
        <v>3293</v>
      </c>
      <c r="L142" s="21" t="s">
        <v>1273</v>
      </c>
      <c r="M142" s="21" t="s">
        <v>2942</v>
      </c>
      <c r="N142" s="21" t="s">
        <v>3013</v>
      </c>
      <c r="O142" s="25" t="str">
        <f>HYPERLINK("http://worldwide.espacenet.com/publicationDetails/biblio?DB=EPODOC&amp;adjacent=true&amp;locale=en_EP&amp;FT=D&amp;CC=EP&amp;NR=0091508A2&amp;KC=A2","EP0091508.A2")</f>
        <v>EP0091508.A2</v>
      </c>
      <c r="P142" s="25" t="str">
        <f>HYPERLINK("http://worldwide.espacenet.com/publicationDetails/biblio?DB=EPODOC&amp;adjacent=true&amp;locale=en_EP&amp;FT=D&amp;CC=DE&amp;NR=3143045A1&amp;KC=A1","DE3143045.A1")</f>
        <v>DE3143045.A1</v>
      </c>
      <c r="Q142" s="26" t="str">
        <f>HYPERLINK("http://worldwide.espacenet.com/publicationDetails/biblio?DB=EPODOC&amp;adjacent=true&amp;locale=en_EP&amp;FT=D&amp;CC=DE&amp;NR=3272178D1&amp;KC=D1","DE3272178.D1")</f>
        <v>DE3272178.D1</v>
      </c>
      <c r="R142" s="26" t="str">
        <f>HYPERLINK("http://worldwide.espacenet.com/publicationDetails/biblio?DB=EPODOC&amp;adjacent=true&amp;locale=en_EP&amp;FT=D&amp;CC=EP&amp;NR=0091508A2&amp;KC=A2","EP0091508.A2")</f>
        <v>EP0091508.A2</v>
      </c>
      <c r="S142" s="26" t="str">
        <f>HYPERLINK("http://worldwide.espacenet.com/publicationDetails/biblio?DB=EPODOC&amp;adjacent=true&amp;locale=en_EP&amp;FT=D&amp;CC=EP&amp;NR=0091508A3&amp;KC=A3","EP0091508.A3")</f>
        <v>EP0091508.A3</v>
      </c>
      <c r="T142" s="26" t="str">
        <f>HYPERLINK("http://worldwide.espacenet.com/publicationDetails/biblio?DB=EPODOC&amp;adjacent=true&amp;locale=en_EP&amp;FT=D&amp;CC=EP&amp;NR=0091508B1&amp;KC=B1","EP0091508.B1")</f>
        <v>EP0091508.B1</v>
      </c>
      <c r="U142" s="26" t="str">
        <f>HYPERLINK("http://worldwide.espacenet.com/publicationDetails/biblio?DB=EPODOC&amp;adjacent=true&amp;locale=en_EP&amp;FT=D&amp;CC=US&amp;NR=4741891A&amp;KC=A","US4741891.A")</f>
        <v>US4741891.A</v>
      </c>
      <c r="V142" s="26" t="str">
        <f>HYPERLINK("http://worldwide.espacenet.com/publicationDetails/biblio?DB=EPODOC&amp;adjacent=true&amp;locale=en_EP&amp;FT=D&amp;CC=US&amp;NR=4836996A&amp;KC=A","US4836996.A")</f>
        <v>US4836996.A</v>
      </c>
      <c r="W142" s="26" t="str">
        <f>HYPERLINK("http://worldwide.espacenet.com/publicationDetails/biblio?DB=EPODOC&amp;adjacent=true&amp;locale=en_EP&amp;FT=D&amp;CC=US&amp;NR=4876412A&amp;KC=A","US4876412.A")</f>
        <v>US4876412.A</v>
      </c>
      <c r="X142" s="26" t="str">
        <f>HYPERLINK("http://worldwide.espacenet.com/publicationDetails/biblio?DB=EPODOC&amp;adjacent=true&amp;locale=en_EP&amp;FT=D&amp;CC=US&amp;NR=5098685A&amp;KC=A","US5098685.A")</f>
        <v>US5098685.A</v>
      </c>
    </row>
    <row r="143" spans="1:28" ht="17.100000000000001" customHeight="1" x14ac:dyDescent="0.25">
      <c r="A143" s="16" t="s">
        <v>3294</v>
      </c>
      <c r="B143" s="21" t="s">
        <v>3295</v>
      </c>
      <c r="C143" s="23">
        <v>1.6237096786498999</v>
      </c>
      <c r="D143" s="23">
        <v>0</v>
      </c>
      <c r="E143" s="23">
        <v>0</v>
      </c>
      <c r="F143" s="21">
        <v>0</v>
      </c>
      <c r="G143" s="23">
        <v>8</v>
      </c>
      <c r="H143" s="24">
        <v>30067</v>
      </c>
      <c r="I143" s="23">
        <v>1</v>
      </c>
      <c r="J143" s="22">
        <v>10738761</v>
      </c>
      <c r="K143" s="21" t="s">
        <v>3296</v>
      </c>
      <c r="L143" s="21" t="s">
        <v>3297</v>
      </c>
      <c r="M143" s="21" t="s">
        <v>2942</v>
      </c>
      <c r="N143" s="21" t="s">
        <v>3298</v>
      </c>
      <c r="O143" s="25" t="str">
        <f>HYPERLINK("http://worldwide.espacenet.com/publicationDetails/biblio?DB=EPODOC&amp;adjacent=true&amp;locale=en_EP&amp;FT=D&amp;CC=EP&amp;NR=0092663A2&amp;KC=A2","EP0092663.A2")</f>
        <v>EP0092663.A2</v>
      </c>
      <c r="P143" s="25" t="str">
        <f>HYPERLINK("http://worldwide.espacenet.com/publicationDetails/biblio?DB=EPODOC&amp;adjacent=true&amp;locale=en_EP&amp;FT=D&amp;CC=DE&amp;NR=3380388D1&amp;KC=D1","DE3380388.D1")</f>
        <v>DE3380388.D1</v>
      </c>
      <c r="Q143" s="26" t="str">
        <f>HYPERLINK("http://worldwide.espacenet.com/publicationDetails/biblio?DB=EPODOC&amp;adjacent=true&amp;locale=en_EP&amp;FT=D&amp;CC=EP&amp;NR=0092663A2&amp;KC=A2","EP0092663.A2")</f>
        <v>EP0092663.A2</v>
      </c>
      <c r="R143" s="26" t="str">
        <f>HYPERLINK("http://worldwide.espacenet.com/publicationDetails/biblio?DB=EPODOC&amp;adjacent=true&amp;locale=en_EP&amp;FT=D&amp;CC=EP&amp;NR=0092663A3&amp;KC=A3","EP0092663.A3")</f>
        <v>EP0092663.A3</v>
      </c>
      <c r="S143" s="26" t="str">
        <f>HYPERLINK("http://worldwide.espacenet.com/publicationDetails/biblio?DB=EPODOC&amp;adjacent=true&amp;locale=en_EP&amp;FT=D&amp;CC=EP&amp;NR=0092663B1&amp;KC=B1","EP0092663.B1")</f>
        <v>EP0092663.B1</v>
      </c>
      <c r="T143" s="26" t="str">
        <f>HYPERLINK("http://worldwide.espacenet.com/publicationDetails/biblio?DB=EPODOC&amp;adjacent=true&amp;locale=en_EP&amp;FT=D&amp;CC=JP&amp;NR=H0230612B2&amp;KC=B2","JPH0230612.B2")</f>
        <v>JPH0230612.B2</v>
      </c>
      <c r="U143" s="26" t="str">
        <f>HYPERLINK("http://worldwide.espacenet.com/publicationDetails/biblio?DB=EPODOC&amp;adjacent=true&amp;locale=en_EP&amp;FT=D&amp;CC=EP&amp;NR=0148540B1&amp;KC=B1","EP0148540.B1")</f>
        <v>EP0148540.B1</v>
      </c>
      <c r="V143" s="26" t="str">
        <f>HYPERLINK("http://worldwide.espacenet.com/publicationDetails/biblio?DB=EPODOC&amp;adjacent=true&amp;locale=en_EP&amp;FT=D&amp;CC=JP&amp;NR=H0512024B2&amp;KC=B2","JPH0512024.B2")</f>
        <v>JPH0512024.B2</v>
      </c>
      <c r="W143" s="26" t="str">
        <f>HYPERLINK("http://worldwide.espacenet.com/publicationDetails/biblio?DB=EPODOC&amp;adjacent=true&amp;locale=en_EP&amp;FT=D&amp;CC=JP&amp;NR=S60153944A&amp;KC=A","JPS60153944.A")</f>
        <v>JPS60153944.A</v>
      </c>
      <c r="X143" s="26" t="str">
        <f>HYPERLINK("http://worldwide.espacenet.com/publicationDetails/biblio?DB=EPODOC&amp;adjacent=true&amp;locale=en_EP&amp;FT=D&amp;CC=US&amp;NR=4429176A&amp;KC=A","US4429176.A")</f>
        <v>US4429176.A</v>
      </c>
    </row>
    <row r="144" spans="1:28" ht="17.100000000000001" customHeight="1" x14ac:dyDescent="0.25">
      <c r="A144" s="16" t="s">
        <v>3299</v>
      </c>
      <c r="B144" s="21" t="s">
        <v>3300</v>
      </c>
      <c r="C144" s="23">
        <v>5.1435575485229501</v>
      </c>
      <c r="D144" s="23">
        <v>0</v>
      </c>
      <c r="E144" s="23">
        <v>0</v>
      </c>
      <c r="F144" s="21">
        <v>0</v>
      </c>
      <c r="G144" s="23">
        <v>41</v>
      </c>
      <c r="H144" s="24">
        <v>30099</v>
      </c>
      <c r="I144" s="23">
        <v>5</v>
      </c>
      <c r="J144" s="22">
        <v>10726787</v>
      </c>
      <c r="K144" s="21" t="s">
        <v>3301</v>
      </c>
      <c r="L144" s="21" t="s">
        <v>2941</v>
      </c>
      <c r="M144" s="21" t="s">
        <v>2942</v>
      </c>
      <c r="N144" s="21" t="s">
        <v>3302</v>
      </c>
      <c r="O144" s="25" t="str">
        <f>HYPERLINK("http://worldwide.espacenet.com/publicationDetails/biblio?DB=EPODOC&amp;adjacent=true&amp;locale=en_EP&amp;FT=D&amp;CC=EP&amp;NR=0095851A1&amp;KC=A1","EP0095851.A1")</f>
        <v>EP0095851.A1</v>
      </c>
      <c r="P144" s="25" t="str">
        <f>HYPERLINK("http://worldwide.espacenet.com/publicationDetails/biblio?DB=EPODOC&amp;adjacent=true&amp;locale=en_EP&amp;FT=D&amp;CC=DE&amp;NR=3368533D1&amp;KC=D1","DE3368533.D1")</f>
        <v>DE3368533.D1</v>
      </c>
      <c r="Q144" s="26" t="str">
        <f>HYPERLINK("http://worldwide.espacenet.com/publicationDetails/biblio?DB=EPODOC&amp;adjacent=true&amp;locale=en_EP&amp;FT=D&amp;CC=EP&amp;NR=0095851A1&amp;KC=A1","EP0095851.A1")</f>
        <v>EP0095851.A1</v>
      </c>
      <c r="R144" s="26" t="str">
        <f>HYPERLINK("http://worldwide.espacenet.com/publicationDetails/biblio?DB=EPODOC&amp;adjacent=true&amp;locale=en_EP&amp;FT=D&amp;CC=EP&amp;NR=0095851B1&amp;KC=B1","EP0095851.B1")</f>
        <v>EP0095851.B1</v>
      </c>
      <c r="S144" s="26" t="str">
        <f>HYPERLINK("http://worldwide.espacenet.com/publicationDetails/biblio?DB=EPODOC&amp;adjacent=true&amp;locale=en_EP&amp;FT=D&amp;CC=JP&amp;NR=H0420665B2&amp;KC=B2","JPH0420665.B2")</f>
        <v>JPH0420665.B2</v>
      </c>
      <c r="T144" s="26" t="str">
        <f>HYPERLINK("http://worldwide.espacenet.com/publicationDetails/biblio?DB=EPODOC&amp;adjacent=true&amp;locale=en_EP&amp;FT=D&amp;CC=JP&amp;NR=S58214346A&amp;KC=A","JPS58214346.A")</f>
        <v>JPS58214346.A</v>
      </c>
    </row>
    <row r="145" spans="1:94" ht="17.100000000000001" customHeight="1" x14ac:dyDescent="0.25">
      <c r="A145" s="16" t="s">
        <v>3303</v>
      </c>
      <c r="B145" s="21" t="s">
        <v>3304</v>
      </c>
      <c r="C145" s="23">
        <v>1.01794326305389</v>
      </c>
      <c r="D145" s="23">
        <v>0</v>
      </c>
      <c r="E145" s="23">
        <v>0</v>
      </c>
      <c r="F145" s="21">
        <v>0</v>
      </c>
      <c r="G145" s="23">
        <v>5</v>
      </c>
      <c r="H145" s="24">
        <v>30511</v>
      </c>
      <c r="I145" s="23">
        <v>2</v>
      </c>
      <c r="J145" s="22">
        <v>1147095</v>
      </c>
      <c r="K145" s="21" t="s">
        <v>3305</v>
      </c>
      <c r="L145" s="21" t="s">
        <v>3282</v>
      </c>
      <c r="M145" s="21" t="s">
        <v>2942</v>
      </c>
      <c r="N145" s="21" t="s">
        <v>2982</v>
      </c>
      <c r="O145" s="25" t="str">
        <f>HYPERLINK("http://worldwide.espacenet.com/publicationDetails/biblio?DB=EPODOC&amp;adjacent=true&amp;locale=en_EP&amp;FT=D&amp;CC=EP&amp;NR=0131975A2&amp;KC=A2","EP0131975.A2")</f>
        <v>EP0131975.A2</v>
      </c>
      <c r="P145" s="25" t="str">
        <f>HYPERLINK("http://worldwide.espacenet.com/publicationDetails/biblio?DB=EPODOC&amp;adjacent=true&amp;locale=en_EP&amp;FT=D&amp;CC=AT&amp;NR=36725T&amp;KC=T","AT36725.T")</f>
        <v>AT36725.T</v>
      </c>
      <c r="Q145" s="26" t="str">
        <f>HYPERLINK("http://worldwide.espacenet.com/publicationDetails/biblio?DB=EPODOC&amp;adjacent=true&amp;locale=en_EP&amp;FT=D&amp;CC=DE&amp;NR=3473611D1&amp;KC=D1","DE3473611.D1")</f>
        <v>DE3473611.D1</v>
      </c>
      <c r="R145" s="26" t="str">
        <f>HYPERLINK("http://worldwide.espacenet.com/publicationDetails/biblio?DB=EPODOC&amp;adjacent=true&amp;locale=en_EP&amp;FT=D&amp;CC=EP&amp;NR=0131975A2&amp;KC=A2","EP0131975.A2")</f>
        <v>EP0131975.A2</v>
      </c>
      <c r="S145" s="26" t="str">
        <f>HYPERLINK("http://worldwide.espacenet.com/publicationDetails/biblio?DB=EPODOC&amp;adjacent=true&amp;locale=en_EP&amp;FT=D&amp;CC=EP&amp;NR=0131975A3&amp;KC=A3","EP0131975.A3")</f>
        <v>EP0131975.A3</v>
      </c>
      <c r="T145" s="26" t="str">
        <f>HYPERLINK("http://worldwide.espacenet.com/publicationDetails/biblio?DB=EPODOC&amp;adjacent=true&amp;locale=en_EP&amp;FT=D&amp;CC=EP&amp;NR=0131975B1&amp;KC=B1","EP0131975.B1")</f>
        <v>EP0131975.B1</v>
      </c>
    </row>
    <row r="146" spans="1:94" ht="17.100000000000001" customHeight="1" x14ac:dyDescent="0.25">
      <c r="A146" s="16" t="s">
        <v>3306</v>
      </c>
      <c r="B146" s="21" t="s">
        <v>3307</v>
      </c>
      <c r="C146" s="23">
        <v>2.52177953720093</v>
      </c>
      <c r="D146" s="23">
        <v>0</v>
      </c>
      <c r="E146" s="23">
        <v>0</v>
      </c>
      <c r="F146" s="21">
        <v>0</v>
      </c>
      <c r="G146" s="23">
        <v>16</v>
      </c>
      <c r="H146" s="24">
        <v>30536</v>
      </c>
      <c r="I146" s="23">
        <v>4</v>
      </c>
      <c r="J146" s="22">
        <v>1700634</v>
      </c>
      <c r="K146" s="21" t="s">
        <v>3308</v>
      </c>
      <c r="L146" s="21" t="s">
        <v>3282</v>
      </c>
      <c r="M146" s="21" t="s">
        <v>2942</v>
      </c>
      <c r="N146" s="21" t="s">
        <v>3283</v>
      </c>
      <c r="O146" s="25" t="str">
        <f>HYPERLINK("http://worldwide.espacenet.com/publicationDetails/biblio?DB=EPODOC&amp;adjacent=true&amp;locale=en_EP&amp;FT=D&amp;CC=EP&amp;NR=0134058A2&amp;KC=A2","EP0134058.A2")</f>
        <v>EP0134058.A2</v>
      </c>
      <c r="P146" s="25" t="str">
        <f>HYPERLINK("http://worldwide.espacenet.com/publicationDetails/biblio?DB=EPODOC&amp;adjacent=true&amp;locale=en_EP&amp;FT=D&amp;CC=AU&amp;NR=3162484A&amp;KC=A","AU3162484.A")</f>
        <v>AU3162484.A</v>
      </c>
      <c r="Q146" s="26" t="str">
        <f>HYPERLINK("http://worldwide.espacenet.com/publicationDetails/biblio?DB=EPODOC&amp;adjacent=true&amp;locale=en_EP&amp;FT=D&amp;CC=AU&amp;NR=565365B2&amp;KC=B2","AU565365.B2")</f>
        <v>AU565365.B2</v>
      </c>
      <c r="R146" s="26" t="str">
        <f>HYPERLINK("http://worldwide.espacenet.com/publicationDetails/biblio?DB=EPODOC&amp;adjacent=true&amp;locale=en_EP&amp;FT=D&amp;CC=CA&amp;NR=1231104A&amp;KC=A","CA1231104.A")</f>
        <v>CA1231104.A</v>
      </c>
      <c r="S146" s="26" t="str">
        <f>HYPERLINK("http://worldwide.espacenet.com/publicationDetails/biblio?DB=EPODOC&amp;adjacent=true&amp;locale=en_EP&amp;FT=D&amp;CC=DE&amp;NR=3471473D1&amp;KC=D1","DE3471473.D1")</f>
        <v>DE3471473.D1</v>
      </c>
      <c r="T146" s="26" t="str">
        <f>HYPERLINK("http://worldwide.espacenet.com/publicationDetails/biblio?DB=EPODOC&amp;adjacent=true&amp;locale=en_EP&amp;FT=D&amp;CC=EP&amp;NR=0134058A2&amp;KC=A2","EP0134058.A2")</f>
        <v>EP0134058.A2</v>
      </c>
      <c r="U146" s="26" t="str">
        <f>HYPERLINK("http://worldwide.espacenet.com/publicationDetails/biblio?DB=EPODOC&amp;adjacent=true&amp;locale=en_EP&amp;FT=D&amp;CC=US&amp;NR=8262904B2&amp;KC=B2","US8262904.B2")</f>
        <v>US8262904.B2</v>
      </c>
      <c r="V146" s="26" t="str">
        <f>HYPERLINK("http://worldwide.espacenet.com/publicationDetails/biblio?DB=EPODOC&amp;adjacent=true&amp;locale=en_EP&amp;FT=D&amp;CC=US&amp;NR=8636976B2&amp;KC=B2","US8636976.B2")</f>
        <v>US8636976.B2</v>
      </c>
    </row>
    <row r="147" spans="1:94" ht="17.100000000000001" customHeight="1" x14ac:dyDescent="0.25">
      <c r="A147" s="16" t="s">
        <v>3309</v>
      </c>
      <c r="B147" s="21" t="s">
        <v>3310</v>
      </c>
      <c r="C147" s="23">
        <v>0.63494956493377697</v>
      </c>
      <c r="D147" s="23">
        <v>0</v>
      </c>
      <c r="E147" s="23">
        <v>0</v>
      </c>
      <c r="F147" s="21">
        <v>0</v>
      </c>
      <c r="G147" s="23">
        <v>5</v>
      </c>
      <c r="H147" s="24">
        <v>30523</v>
      </c>
      <c r="I147" s="23">
        <v>3</v>
      </c>
      <c r="J147" s="22">
        <v>10813769</v>
      </c>
      <c r="K147" s="21" t="s">
        <v>3311</v>
      </c>
      <c r="L147" s="21" t="s">
        <v>3312</v>
      </c>
      <c r="M147" s="21" t="s">
        <v>2942</v>
      </c>
      <c r="N147" s="21" t="s">
        <v>3270</v>
      </c>
      <c r="O147" s="25" t="str">
        <f>HYPERLINK("http://worldwide.espacenet.com/publicationDetails/biblio?DB=EPODOC&amp;adjacent=true&amp;locale=en_EP&amp;FT=D&amp;CC=EP&amp;NR=0148038A2&amp;KC=A2","EP0148038.A2")</f>
        <v>EP0148038.A2</v>
      </c>
      <c r="P147" s="25" t="str">
        <f>HYPERLINK("http://worldwide.espacenet.com/publicationDetails/biblio?DB=EPODOC&amp;adjacent=true&amp;locale=en_EP&amp;FT=D&amp;CC=DE&amp;NR=3485493D1&amp;KC=D1","DE3485493.D1")</f>
        <v>DE3485493.D1</v>
      </c>
      <c r="Q147" s="26" t="str">
        <f>HYPERLINK("http://worldwide.espacenet.com/publicationDetails/biblio?DB=EPODOC&amp;adjacent=true&amp;locale=en_EP&amp;FT=D&amp;CC=EP&amp;NR=0148038A2&amp;KC=A2","EP0148038.A2")</f>
        <v>EP0148038.A2</v>
      </c>
      <c r="R147" s="26" t="str">
        <f>HYPERLINK("http://worldwide.espacenet.com/publicationDetails/biblio?DB=EPODOC&amp;adjacent=true&amp;locale=en_EP&amp;FT=D&amp;CC=EP&amp;NR=0148038A3&amp;KC=A3","EP0148038.A3")</f>
        <v>EP0148038.A3</v>
      </c>
      <c r="S147" s="26" t="str">
        <f>HYPERLINK("http://worldwide.espacenet.com/publicationDetails/biblio?DB=EPODOC&amp;adjacent=true&amp;locale=en_EP&amp;FT=D&amp;CC=EP&amp;NR=0148038B1&amp;KC=B1","EP0148038.B1")</f>
        <v>EP0148038.B1</v>
      </c>
      <c r="T147" s="26" t="str">
        <f>HYPERLINK("http://worldwide.espacenet.com/publicationDetails/biblio?DB=EPODOC&amp;adjacent=true&amp;locale=en_EP&amp;FT=D&amp;CC=US&amp;NR=4708857A&amp;KC=A","US4708857.A")</f>
        <v>US4708857.A</v>
      </c>
      <c r="U147" s="26" t="str">
        <f>HYPERLINK("http://worldwide.espacenet.com/publicationDetails/biblio?DB=EPODOC&amp;adjacent=true&amp;locale=en_EP&amp;FT=D&amp;CC=JP&amp;NR=2009544568A&amp;KC=A","JP2009544568.A")</f>
        <v>JP2009544568.A</v>
      </c>
      <c r="V147" s="26" t="str">
        <f>HYPERLINK("http://worldwide.espacenet.com/publicationDetails/biblio?DB=EPODOC&amp;adjacent=true&amp;locale=en_EP&amp;FT=D&amp;CC=JP&amp;NR=5571950B2&amp;KC=B2","JP5571950.B2")</f>
        <v>JP5571950.B2</v>
      </c>
      <c r="W147" s="26" t="str">
        <f>HYPERLINK("http://worldwide.espacenet.com/publicationDetails/biblio?DB=EPODOC&amp;adjacent=true&amp;locale=en_EP&amp;FT=D&amp;CC=KR&amp;NR=101044495B1&amp;KC=B1","KR101044495.B1")</f>
        <v>KR101044495.B1</v>
      </c>
      <c r="X147" s="26" t="str">
        <f>HYPERLINK("http://worldwide.espacenet.com/publicationDetails/biblio?DB=EPODOC&amp;adjacent=true&amp;locale=en_EP&amp;FT=D&amp;CC=KR&amp;NR=20090014224A&amp;KC=A","KR20090014224.A")</f>
        <v>KR20090014224.A</v>
      </c>
      <c r="Y147" s="26" t="str">
        <f>HYPERLINK("http://worldwide.espacenet.com/publicationDetails/biblio?DB=EPODOC&amp;adjacent=true&amp;locale=en_EP&amp;FT=D&amp;CC=TW&amp;NR=200831187A&amp;KC=A","TW200831187.A")</f>
        <v>TW200831187.A</v>
      </c>
      <c r="Z147" s="26" t="str">
        <f>HYPERLINK("http://worldwide.espacenet.com/publicationDetails/biblio?DB=EPODOC&amp;adjacent=true&amp;locale=en_EP&amp;FT=D&amp;CC=TW&amp;NR=I365105B&amp;KC=B","TWI365105.B")</f>
        <v>TWI365105.B</v>
      </c>
      <c r="AA147" s="26" t="str">
        <f>HYPERLINK("http://worldwide.espacenet.com/publicationDetails/biblio?DB=EPODOC&amp;adjacent=true&amp;locale=en_EP&amp;FT=D&amp;CC=US&amp;NR=2008027256A1&amp;KC=A1","US2008027256.A1")</f>
        <v>US2008027256.A1</v>
      </c>
      <c r="AB147" s="26" t="str">
        <f>HYPERLINK("http://worldwide.espacenet.com/publicationDetails/biblio?DB=EPODOC&amp;adjacent=true&amp;locale=en_EP&amp;FT=D&amp;CC=US&amp;NR=2012226084A1&amp;KC=A1","US2012226084.A1")</f>
        <v>US2012226084.A1</v>
      </c>
      <c r="AC147" s="26" t="str">
        <f>HYPERLINK("http://worldwide.espacenet.com/publicationDetails/biblio?DB=EPODOC&amp;adjacent=true&amp;locale=en_EP&amp;FT=D&amp;CC=US&amp;NR=8110176B2&amp;KC=B2","US8110176.B2")</f>
        <v>US8110176.B2</v>
      </c>
      <c r="AD147" s="26" t="str">
        <f>HYPERLINK("http://worldwide.espacenet.com/publicationDetails/biblio?DB=EPODOC&amp;adjacent=true&amp;locale=en_EP&amp;FT=D&amp;CC=US&amp;NR=8529752B2&amp;KC=B2","US8529752.B2")</f>
        <v>US8529752.B2</v>
      </c>
      <c r="AE147" s="26" t="str">
        <f>HYPERLINK("http://worldwide.espacenet.com/publicationDetails/biblio?DB=EPODOC&amp;adjacent=true&amp;locale=en_EP&amp;FT=D&amp;CC=WO&amp;NR=2008016456A2&amp;KC=A2","WO2008016456.A2")</f>
        <v>WO2008016456.A2</v>
      </c>
      <c r="AF147" s="26" t="str">
        <f>HYPERLINK("http://worldwide.espacenet.com/publicationDetails/biblio?DB=EPODOC&amp;adjacent=true&amp;locale=en_EP&amp;FT=D&amp;CC=WO&amp;NR=2008016456A3&amp;KC=A3","WO2008016456.A3")</f>
        <v>WO2008016456.A3</v>
      </c>
      <c r="AG147" s="26" t="str">
        <f>HYPERLINK("http://worldwide.espacenet.com/publicationDetails/biblio?DB=EPODOC&amp;adjacent=true&amp;locale=en_EP&amp;FT=D&amp;CC=ZA&amp;NR=200810099B&amp;KC=B","ZA200810099.B")</f>
        <v>ZA200810099.B</v>
      </c>
    </row>
    <row r="148" spans="1:94" ht="17.100000000000001" customHeight="1" x14ac:dyDescent="0.25">
      <c r="A148" s="16" t="s">
        <v>3313</v>
      </c>
      <c r="B148" s="21" t="s">
        <v>3314</v>
      </c>
      <c r="C148" s="23">
        <v>2.7545757293701199</v>
      </c>
      <c r="D148" s="23">
        <v>0</v>
      </c>
      <c r="E148" s="23">
        <v>0</v>
      </c>
      <c r="F148" s="21">
        <v>0</v>
      </c>
      <c r="G148" s="23">
        <v>27</v>
      </c>
      <c r="H148" s="24">
        <v>29990</v>
      </c>
      <c r="I148" s="23">
        <v>3</v>
      </c>
      <c r="J148" s="22">
        <v>1582870</v>
      </c>
      <c r="K148" s="21" t="s">
        <v>3315</v>
      </c>
      <c r="L148" s="21" t="s">
        <v>2941</v>
      </c>
      <c r="M148" s="21" t="s">
        <v>2942</v>
      </c>
      <c r="N148" s="21" t="s">
        <v>3316</v>
      </c>
      <c r="O148" s="25" t="str">
        <f>HYPERLINK("http://worldwide.espacenet.com/publicationDetails/biblio?DB=EPODOC&amp;adjacent=true&amp;locale=en_EP&amp;FT=D&amp;CC=EP&amp;NR=0148540A1&amp;KC=A1","EP0148540.A1")</f>
        <v>EP0148540.A1</v>
      </c>
      <c r="P148" s="25" t="str">
        <f>HYPERLINK("http://worldwide.espacenet.com/publicationDetails/biblio?DB=EPODOC&amp;adjacent=true&amp;locale=en_EP&amp;FT=D&amp;CC=AU&amp;NR=2294483A&amp;KC=A","AU2294483.A")</f>
        <v>AU2294483.A</v>
      </c>
      <c r="Q148" s="26" t="str">
        <f>HYPERLINK("http://worldwide.espacenet.com/publicationDetails/biblio?DB=EPODOC&amp;adjacent=true&amp;locale=en_EP&amp;FT=D&amp;CC=AU&amp;NR=566588B2&amp;KC=B2","AU566588.B2")</f>
        <v>AU566588.B2</v>
      </c>
      <c r="R148" s="26" t="str">
        <f>HYPERLINK("http://worldwide.espacenet.com/publicationDetails/biblio?DB=EPODOC&amp;adjacent=true&amp;locale=en_EP&amp;FT=D&amp;CC=CA&amp;NR=1207734A&amp;KC=A","CA1207734.A")</f>
        <v>CA1207734.A</v>
      </c>
      <c r="S148" s="26" t="str">
        <f>HYPERLINK("http://worldwide.espacenet.com/publicationDetails/biblio?DB=EPODOC&amp;adjacent=true&amp;locale=en_EP&amp;FT=D&amp;CC=DE&amp;NR=3477746D1&amp;KC=D1","DE3477746.D1")</f>
        <v>DE3477746.D1</v>
      </c>
      <c r="T148" s="26" t="str">
        <f>HYPERLINK("http://worldwide.espacenet.com/publicationDetails/biblio?DB=EPODOC&amp;adjacent=true&amp;locale=en_EP&amp;FT=D&amp;CC=EP&amp;NR=0148540A1&amp;KC=A1","EP0148540.A1")</f>
        <v>EP0148540.A1</v>
      </c>
    </row>
    <row r="149" spans="1:94" ht="17.100000000000001" customHeight="1" x14ac:dyDescent="0.25">
      <c r="A149" s="16" t="s">
        <v>3317</v>
      </c>
      <c r="B149" s="21" t="s">
        <v>3318</v>
      </c>
      <c r="C149" s="23">
        <v>2.5376565456390399</v>
      </c>
      <c r="D149" s="23">
        <v>0</v>
      </c>
      <c r="E149" s="23">
        <v>0</v>
      </c>
      <c r="F149" s="21">
        <v>0</v>
      </c>
      <c r="G149" s="23">
        <v>36</v>
      </c>
      <c r="H149" s="24">
        <v>31210</v>
      </c>
      <c r="I149" s="23">
        <v>2</v>
      </c>
      <c r="J149" s="22">
        <v>2037256</v>
      </c>
      <c r="K149" s="21" t="s">
        <v>3319</v>
      </c>
      <c r="L149" s="21" t="s">
        <v>2941</v>
      </c>
      <c r="M149" s="21" t="s">
        <v>2942</v>
      </c>
      <c r="N149" s="21" t="s">
        <v>2958</v>
      </c>
      <c r="O149" s="25" t="str">
        <f>HYPERLINK("http://worldwide.espacenet.com/publicationDetails/biblio?DB=EPODOC&amp;adjacent=true&amp;locale=en_EP&amp;FT=D&amp;CC=EP&amp;NR=0205300A2&amp;KC=A2","EP0205300.A2")</f>
        <v>EP0205300.A2</v>
      </c>
      <c r="P149" s="25" t="str">
        <f>HYPERLINK("http://worldwide.espacenet.com/publicationDetails/biblio?DB=EPODOC&amp;adjacent=true&amp;locale=en_EP&amp;FT=D&amp;CC=AU&amp;NR=5527386A&amp;KC=A","AU5527386.A")</f>
        <v>AU5527386.A</v>
      </c>
      <c r="Q149" s="26" t="str">
        <f>HYPERLINK("http://worldwide.espacenet.com/publicationDetails/biblio?DB=EPODOC&amp;adjacent=true&amp;locale=en_EP&amp;FT=D&amp;CC=AU&amp;NR=595508B2&amp;KC=B2","AU595508.B2")</f>
        <v>AU595508.B2</v>
      </c>
      <c r="R149" s="26" t="str">
        <f>HYPERLINK("http://worldwide.espacenet.com/publicationDetails/biblio?DB=EPODOC&amp;adjacent=true&amp;locale=en_EP&amp;FT=D&amp;CC=CA&amp;NR=1262363A&amp;KC=A","CA1262363.A")</f>
        <v>CA1262363.A</v>
      </c>
      <c r="S149" s="26" t="str">
        <f>HYPERLINK("http://worldwide.espacenet.com/publicationDetails/biblio?DB=EPODOC&amp;adjacent=true&amp;locale=en_EP&amp;FT=D&amp;CC=DE&amp;NR=3680034D1&amp;KC=D1","DE3680034.D1")</f>
        <v>DE3680034.D1</v>
      </c>
      <c r="T149" s="26" t="str">
        <f>HYPERLINK("http://worldwide.espacenet.com/publicationDetails/biblio?DB=EPODOC&amp;adjacent=true&amp;locale=en_EP&amp;FT=D&amp;CC=EP&amp;NR=0205300A2&amp;KC=A2","EP0205300.A2")</f>
        <v>EP0205300.A2</v>
      </c>
      <c r="U149" s="26" t="str">
        <f>HYPERLINK("http://worldwide.espacenet.com/publicationDetails/biblio?DB=EPODOC&amp;adjacent=true&amp;locale=en_EP&amp;FT=D&amp;CC=EA&amp;NR=201600533A1&amp;KC=A1","EA201600533.A1")</f>
        <v>EA201600533.A1</v>
      </c>
      <c r="V149" s="26" t="str">
        <f>HYPERLINK("http://worldwide.espacenet.com/publicationDetails/biblio?DB=EPODOC&amp;adjacent=true&amp;locale=en_EP&amp;FT=D&amp;CC=EP&amp;NR=3100784A1&amp;KC=A1","EP3100784.A1")</f>
        <v>EP3100784.A1</v>
      </c>
      <c r="W149" s="26" t="str">
        <f>HYPERLINK("http://worldwide.espacenet.com/publicationDetails/biblio?DB=EPODOC&amp;adjacent=true&amp;locale=en_EP&amp;FT=D&amp;CC=EP&amp;NR=3100784A4&amp;KC=A4","EP3100784.A4")</f>
        <v>EP3100784.A4</v>
      </c>
      <c r="X149" s="26" t="str">
        <f>HYPERLINK("http://worldwide.espacenet.com/publicationDetails/biblio?DB=EPODOC&amp;adjacent=true&amp;locale=en_EP&amp;FT=D&amp;CC=RU&amp;NR=2544017C1&amp;KC=C1","RU2544017.C1")</f>
        <v>RU2544017.C1</v>
      </c>
      <c r="Y149" s="26" t="str">
        <f>HYPERLINK("http://worldwide.espacenet.com/publicationDetails/biblio?DB=EPODOC&amp;adjacent=true&amp;locale=en_EP&amp;FT=D&amp;CC=US&amp;NR=10131592B2&amp;KC=B2","US10131592.B2")</f>
        <v>US10131592.B2</v>
      </c>
      <c r="Z149" s="26" t="str">
        <f>HYPERLINK("http://worldwide.espacenet.com/publicationDetails/biblio?DB=EPODOC&amp;adjacent=true&amp;locale=en_EP&amp;FT=D&amp;CC=US&amp;NR=2017007992A1&amp;KC=A1","US2017007992.A1")</f>
        <v>US2017007992.A1</v>
      </c>
      <c r="AA149" s="26" t="str">
        <f>HYPERLINK("http://worldwide.espacenet.com/publicationDetails/biblio?DB=EPODOC&amp;adjacent=true&amp;locale=en_EP&amp;FT=D&amp;CC=US&amp;NR=2019100477A1&amp;KC=A1","US2019100477.A1")</f>
        <v>US2019100477.A1</v>
      </c>
      <c r="AB149" s="26" t="str">
        <f>HYPERLINK("http://worldwide.espacenet.com/publicationDetails/biblio?DB=EPODOC&amp;adjacent=true&amp;locale=en_EP&amp;FT=D&amp;CC=WO&amp;NR=2015115932A1&amp;KC=A1","WO2015115932.A1")</f>
        <v>WO2015115932.A1</v>
      </c>
    </row>
    <row r="150" spans="1:94" ht="17.100000000000001" customHeight="1" x14ac:dyDescent="0.25">
      <c r="A150" s="16" t="s">
        <v>3320</v>
      </c>
      <c r="B150" s="21" t="s">
        <v>3321</v>
      </c>
      <c r="C150" s="23">
        <v>0.58070009946823098</v>
      </c>
      <c r="D150" s="23">
        <v>0</v>
      </c>
      <c r="E150" s="23">
        <v>0</v>
      </c>
      <c r="F150" s="21">
        <v>0</v>
      </c>
      <c r="G150" s="23">
        <v>2</v>
      </c>
      <c r="H150" s="24">
        <v>32062</v>
      </c>
      <c r="I150" s="23">
        <v>1</v>
      </c>
      <c r="J150" s="22">
        <v>3704182</v>
      </c>
      <c r="K150" s="21" t="s">
        <v>3322</v>
      </c>
      <c r="L150" s="21" t="s">
        <v>3323</v>
      </c>
      <c r="M150" s="21" t="s">
        <v>2942</v>
      </c>
      <c r="N150" s="21" t="s">
        <v>3324</v>
      </c>
      <c r="O150" s="25" t="str">
        <f>HYPERLINK("http://worldwide.espacenet.com/publicationDetails/biblio?DB=EPODOC&amp;adjacent=true&amp;locale=en_EP&amp;FT=D&amp;CC=EP&amp;NR=0311945A1&amp;KC=A1","EP0311945.A1")</f>
        <v>EP0311945.A1</v>
      </c>
      <c r="P150" s="25" t="str">
        <f>HYPERLINK("http://worldwide.espacenet.com/publicationDetails/biblio?DB=EPODOC&amp;adjacent=true&amp;locale=en_EP&amp;FT=D&amp;CC=BR&amp;NR=8805193A&amp;KC=A","BR8805193.A")</f>
        <v>BR8805193.A</v>
      </c>
      <c r="Q150" s="26" t="str">
        <f>HYPERLINK("http://worldwide.espacenet.com/publicationDetails/biblio?DB=EPODOC&amp;adjacent=true&amp;locale=en_EP&amp;FT=D&amp;CC=CN&amp;NR=1033850A&amp;KC=A","CN1033850.A")</f>
        <v>CN1033850.A</v>
      </c>
      <c r="R150" s="26" t="str">
        <f>HYPERLINK("http://worldwide.espacenet.com/publicationDetails/biblio?DB=EPODOC&amp;adjacent=true&amp;locale=en_EP&amp;FT=D&amp;CC=EP&amp;NR=0311945A1&amp;KC=A1","EP0311945.A1")</f>
        <v>EP0311945.A1</v>
      </c>
      <c r="S150" s="26" t="str">
        <f>HYPERLINK("http://worldwide.espacenet.com/publicationDetails/biblio?DB=EPODOC&amp;adjacent=true&amp;locale=en_EP&amp;FT=D&amp;CC=IT&amp;NR=1222876B&amp;KC=B","IT1222876.B")</f>
        <v>IT1222876.B</v>
      </c>
      <c r="T150" s="26" t="str">
        <f>HYPERLINK("http://worldwide.espacenet.com/publicationDetails/biblio?DB=EPODOC&amp;adjacent=true&amp;locale=en_EP&amp;FT=D&amp;CC=IT&amp;NR=8722229D0&amp;KC=D0","IT8722229.D0")</f>
        <v>IT8722229.D0</v>
      </c>
    </row>
    <row r="151" spans="1:94" ht="17.100000000000001" customHeight="1" x14ac:dyDescent="0.25">
      <c r="A151" s="16" t="s">
        <v>3325</v>
      </c>
      <c r="B151" s="21" t="s">
        <v>3326</v>
      </c>
      <c r="C151" s="23">
        <v>3.9021189212799099</v>
      </c>
      <c r="D151" s="23">
        <v>0</v>
      </c>
      <c r="E151" s="23">
        <v>0</v>
      </c>
      <c r="F151" s="21">
        <v>0</v>
      </c>
      <c r="G151" s="23">
        <v>26</v>
      </c>
      <c r="H151" s="24">
        <v>32119</v>
      </c>
      <c r="I151" s="23">
        <v>2</v>
      </c>
      <c r="J151" s="22">
        <v>11084997</v>
      </c>
      <c r="K151" s="21" t="s">
        <v>3327</v>
      </c>
      <c r="L151" s="21" t="s">
        <v>2941</v>
      </c>
      <c r="M151" s="21" t="s">
        <v>2942</v>
      </c>
      <c r="N151" s="21" t="s">
        <v>3328</v>
      </c>
      <c r="O151" s="25" t="str">
        <f>HYPERLINK("http://worldwide.espacenet.com/publicationDetails/biblio?DB=EPODOC&amp;adjacent=true&amp;locale=en_EP&amp;FT=D&amp;CC=EP&amp;NR=0320158A1&amp;KC=A1","EP0320158.A1")</f>
        <v>EP0320158.A1</v>
      </c>
      <c r="P151" s="25" t="str">
        <f>HYPERLINK("http://worldwide.espacenet.com/publicationDetails/biblio?DB=EPODOC&amp;adjacent=true&amp;locale=en_EP&amp;FT=D&amp;CC=DE&amp;NR=3872678D1&amp;KC=D1","DE3872678.D1")</f>
        <v>DE3872678.D1</v>
      </c>
      <c r="Q151" s="26" t="str">
        <f>HYPERLINK("http://worldwide.espacenet.com/publicationDetails/biblio?DB=EPODOC&amp;adjacent=true&amp;locale=en_EP&amp;FT=D&amp;CC=EP&amp;NR=0320158A1&amp;KC=A1","EP0320158.A1")</f>
        <v>EP0320158.A1</v>
      </c>
      <c r="R151" s="26" t="str">
        <f>HYPERLINK("http://worldwide.espacenet.com/publicationDetails/biblio?DB=EPODOC&amp;adjacent=true&amp;locale=en_EP&amp;FT=D&amp;CC=EP&amp;NR=0320158B1&amp;KC=B1","EP0320158.B1")</f>
        <v>EP0320158.B1</v>
      </c>
      <c r="S151" s="26" t="str">
        <f>HYPERLINK("http://worldwide.espacenet.com/publicationDetails/biblio?DB=EPODOC&amp;adjacent=true&amp;locale=en_EP&amp;FT=D&amp;CC=NZ&amp;NR=226970A&amp;KC=A","NZ226970.A")</f>
        <v>NZ226970.A</v>
      </c>
      <c r="T151" s="26" t="str">
        <f>HYPERLINK("http://worldwide.espacenet.com/publicationDetails/biblio?DB=EPODOC&amp;adjacent=true&amp;locale=en_EP&amp;FT=D&amp;CC=US&amp;NR=4788365A&amp;KC=A","US4788365.A")</f>
        <v>US4788365.A</v>
      </c>
    </row>
    <row r="152" spans="1:94" ht="17.100000000000001" customHeight="1" x14ac:dyDescent="0.25">
      <c r="A152" s="16" t="s">
        <v>3329</v>
      </c>
      <c r="B152" s="21" t="s">
        <v>3330</v>
      </c>
      <c r="C152" s="23">
        <v>5.7198042869567898</v>
      </c>
      <c r="D152" s="23">
        <v>0</v>
      </c>
      <c r="E152" s="23">
        <v>0</v>
      </c>
      <c r="F152" s="21">
        <v>0</v>
      </c>
      <c r="G152" s="23">
        <v>63</v>
      </c>
      <c r="H152" s="24">
        <v>32028</v>
      </c>
      <c r="I152" s="23">
        <v>3</v>
      </c>
      <c r="J152" s="22">
        <v>1196709</v>
      </c>
      <c r="K152" s="21" t="s">
        <v>3331</v>
      </c>
      <c r="L152" s="21" t="s">
        <v>1273</v>
      </c>
      <c r="M152" s="21" t="s">
        <v>2942</v>
      </c>
      <c r="N152" s="21" t="s">
        <v>3270</v>
      </c>
      <c r="O152" s="25" t="str">
        <f>HYPERLINK("http://worldwide.espacenet.com/publicationDetails/biblio?DB=EPODOC&amp;adjacent=true&amp;locale=en_EP&amp;FT=D&amp;CC=EP&amp;NR=0372133A1&amp;KC=A1","EP0372133.A1")</f>
        <v>EP0372133.A1</v>
      </c>
      <c r="P152" s="25" t="str">
        <f>HYPERLINK("http://worldwide.espacenet.com/publicationDetails/biblio?DB=EPODOC&amp;adjacent=true&amp;locale=en_EP&amp;FT=D&amp;CC=AT&amp;NR=84502T&amp;KC=T","AT84502.T")</f>
        <v>AT84502.T</v>
      </c>
      <c r="Q152" s="26" t="str">
        <f>HYPERLINK("http://worldwide.espacenet.com/publicationDetails/biblio?DB=EPODOC&amp;adjacent=true&amp;locale=en_EP&amp;FT=D&amp;CC=AU&amp;NR=2736188A&amp;KC=A","AU2736188.A")</f>
        <v>AU2736188.A</v>
      </c>
      <c r="R152" s="26" t="str">
        <f>HYPERLINK("http://worldwide.espacenet.com/publicationDetails/biblio?DB=EPODOC&amp;adjacent=true&amp;locale=en_EP&amp;FT=D&amp;CC=AU&amp;NR=623357B2&amp;KC=B2","AU623357.B2")</f>
        <v>AU623357.B2</v>
      </c>
      <c r="S152" s="26" t="str">
        <f>HYPERLINK("http://worldwide.espacenet.com/publicationDetails/biblio?DB=EPODOC&amp;adjacent=true&amp;locale=en_EP&amp;FT=D&amp;CC=BR&amp;NR=8900091A&amp;KC=A","BR8900091.A")</f>
        <v>BR8900091.A</v>
      </c>
      <c r="T152" s="26" t="str">
        <f>HYPERLINK("http://worldwide.espacenet.com/publicationDetails/biblio?DB=EPODOC&amp;adjacent=true&amp;locale=en_EP&amp;FT=D&amp;CC=CA&amp;NR=1330431C&amp;KC=C","CA1330431.C")</f>
        <v>CA1330431.C</v>
      </c>
    </row>
    <row r="153" spans="1:94" ht="17.100000000000001" customHeight="1" x14ac:dyDescent="0.25">
      <c r="A153" s="16" t="s">
        <v>3332</v>
      </c>
      <c r="B153" s="21" t="s">
        <v>3333</v>
      </c>
      <c r="C153" s="23">
        <v>2.2899377346038801</v>
      </c>
      <c r="D153" s="23">
        <v>0</v>
      </c>
      <c r="E153" s="23">
        <v>0</v>
      </c>
      <c r="F153" s="21">
        <v>0</v>
      </c>
      <c r="G153" s="23">
        <v>25</v>
      </c>
      <c r="H153" s="24">
        <v>32496</v>
      </c>
      <c r="I153" s="23">
        <v>3</v>
      </c>
      <c r="J153" s="22">
        <v>1919261</v>
      </c>
      <c r="K153" s="21" t="s">
        <v>3334</v>
      </c>
      <c r="L153" s="21" t="s">
        <v>2941</v>
      </c>
      <c r="M153" s="21" t="s">
        <v>2942</v>
      </c>
      <c r="N153" s="21" t="s">
        <v>2951</v>
      </c>
      <c r="O153" s="25" t="str">
        <f>HYPERLINK("http://worldwide.espacenet.com/publicationDetails/biblio?DB=EPODOC&amp;adjacent=true&amp;locale=en_EP&amp;FT=D&amp;CC=EP&amp;NR=0375286A1&amp;KC=A1","EP0375286.A1")</f>
        <v>EP0375286.A1</v>
      </c>
      <c r="P153" s="25" t="str">
        <f>HYPERLINK("http://worldwide.espacenet.com/publicationDetails/biblio?DB=EPODOC&amp;adjacent=true&amp;locale=en_EP&amp;FT=D&amp;CC=AU&amp;NR=4693289A&amp;KC=A","AU4693289.A")</f>
        <v>AU4693289.A</v>
      </c>
      <c r="Q153" s="26" t="str">
        <f>HYPERLINK("http://worldwide.espacenet.com/publicationDetails/biblio?DB=EPODOC&amp;adjacent=true&amp;locale=en_EP&amp;FT=D&amp;CC=AU&amp;NR=633531B2&amp;KC=B2","AU633531.B2")</f>
        <v>AU633531.B2</v>
      </c>
      <c r="R153" s="26" t="str">
        <f>HYPERLINK("http://worldwide.espacenet.com/publicationDetails/biblio?DB=EPODOC&amp;adjacent=true&amp;locale=en_EP&amp;FT=D&amp;CC=CA&amp;NR=2005452A1&amp;KC=A1","CA2005452.A1")</f>
        <v>CA2005452.A1</v>
      </c>
      <c r="S153" s="26" t="str">
        <f>HYPERLINK("http://worldwide.espacenet.com/publicationDetails/biblio?DB=EPODOC&amp;adjacent=true&amp;locale=en_EP&amp;FT=D&amp;CC=DE&amp;NR=68915258D1&amp;KC=D1","DE68915258.D1")</f>
        <v>DE68915258.D1</v>
      </c>
      <c r="T153" s="26" t="str">
        <f>HYPERLINK("http://worldwide.espacenet.com/publicationDetails/biblio?DB=EPODOC&amp;adjacent=true&amp;locale=en_EP&amp;FT=D&amp;CC=DE&amp;NR=68915258T2&amp;KC=T2","DE68915258.T2")</f>
        <v>DE68915258.T2</v>
      </c>
    </row>
    <row r="154" spans="1:94" ht="17.100000000000001" customHeight="1" x14ac:dyDescent="0.25">
      <c r="A154" s="16" t="s">
        <v>3335</v>
      </c>
      <c r="B154" s="21" t="s">
        <v>3336</v>
      </c>
      <c r="C154" s="23">
        <v>6.2925267219543501</v>
      </c>
      <c r="D154" s="23">
        <v>0</v>
      </c>
      <c r="E154" s="23">
        <v>0</v>
      </c>
      <c r="F154" s="21">
        <v>0</v>
      </c>
      <c r="G154" s="23">
        <v>56</v>
      </c>
      <c r="H154" s="24">
        <v>32499</v>
      </c>
      <c r="I154" s="23">
        <v>5</v>
      </c>
      <c r="J154" s="22">
        <v>1211129</v>
      </c>
      <c r="K154" s="21" t="s">
        <v>3337</v>
      </c>
      <c r="L154" s="21" t="s">
        <v>3338</v>
      </c>
      <c r="M154" s="21" t="s">
        <v>2942</v>
      </c>
      <c r="N154" s="21" t="s">
        <v>3339</v>
      </c>
      <c r="O154" s="25" t="str">
        <f>HYPERLINK("http://worldwide.espacenet.com/publicationDetails/biblio?DB=EPODOC&amp;adjacent=true&amp;locale=en_EP&amp;FT=D&amp;CC=EP&amp;NR=0378916A1&amp;KC=A1","EP0378916.A1")</f>
        <v>EP0378916.A1</v>
      </c>
      <c r="P154" s="25" t="str">
        <f>HYPERLINK("http://worldwide.espacenet.com/publicationDetails/biblio?DB=EPODOC&amp;adjacent=true&amp;locale=en_EP&amp;FT=D&amp;CC=AT&amp;NR=82526T&amp;KC=T","AT82526.T")</f>
        <v>AT82526.T</v>
      </c>
      <c r="Q154" s="26" t="str">
        <f>HYPERLINK("http://worldwide.espacenet.com/publicationDetails/biblio?DB=EPODOC&amp;adjacent=true&amp;locale=en_EP&amp;FT=D&amp;CC=AU&amp;NR=4714689A&amp;KC=A","AU4714689.A")</f>
        <v>AU4714689.A</v>
      </c>
      <c r="R154" s="26" t="str">
        <f>HYPERLINK("http://worldwide.espacenet.com/publicationDetails/biblio?DB=EPODOC&amp;adjacent=true&amp;locale=en_EP&amp;FT=D&amp;CC=AU&amp;NR=622964B2&amp;KC=B2","AU622964.B2")</f>
        <v>AU622964.B2</v>
      </c>
      <c r="S154" s="26" t="str">
        <f>HYPERLINK("http://worldwide.espacenet.com/publicationDetails/biblio?DB=EPODOC&amp;adjacent=true&amp;locale=en_EP&amp;FT=D&amp;CC=CA&amp;NR=2006542A1&amp;KC=A1","CA2006542.A1")</f>
        <v>CA2006542.A1</v>
      </c>
      <c r="T154" s="26" t="str">
        <f>HYPERLINK("http://worldwide.espacenet.com/publicationDetails/biblio?DB=EPODOC&amp;adjacent=true&amp;locale=en_EP&amp;FT=D&amp;CC=CA&amp;NR=2006542C&amp;KC=C","CA2006542.C")</f>
        <v>CA2006542.C</v>
      </c>
      <c r="U154" s="26" t="str">
        <f>HYPERLINK("http://worldwide.espacenet.com/publicationDetails/biblio?DB=EPODOC&amp;adjacent=true&amp;locale=en_EP&amp;FT=D&amp;CC=US&amp;NR=4886925A&amp;KC=A","US4886925.A")</f>
        <v>US4886925.A</v>
      </c>
      <c r="V154" s="26" t="str">
        <f>HYPERLINK("http://worldwide.espacenet.com/publicationDetails/biblio?DB=EPODOC&amp;adjacent=true&amp;locale=en_EP&amp;FT=D&amp;CC=WO&amp;NR=8911463A1&amp;KC=A1","WO8911463.A1")</f>
        <v>WO8911463.A1</v>
      </c>
      <c r="W154" s="26" t="str">
        <f>HYPERLINK("http://worldwide.espacenet.com/publicationDetails/biblio?DB=EPODOC&amp;adjacent=true&amp;locale=en_EP&amp;FT=D&amp;CC=ZA&amp;NR=8903236B&amp;KC=B","ZA8903236.B")</f>
        <v>ZA8903236.B</v>
      </c>
    </row>
    <row r="155" spans="1:94" ht="17.100000000000001" customHeight="1" x14ac:dyDescent="0.25">
      <c r="A155" s="16" t="s">
        <v>3340</v>
      </c>
      <c r="B155" s="21" t="s">
        <v>3341</v>
      </c>
      <c r="C155" s="23">
        <v>5.3078923225402797</v>
      </c>
      <c r="D155" s="23">
        <v>0</v>
      </c>
      <c r="E155" s="23">
        <v>0</v>
      </c>
      <c r="F155" s="21">
        <v>0</v>
      </c>
      <c r="G155" s="23">
        <v>51</v>
      </c>
      <c r="H155" s="24">
        <v>32688</v>
      </c>
      <c r="I155" s="23">
        <v>6</v>
      </c>
      <c r="J155" s="22">
        <v>518585</v>
      </c>
      <c r="K155" s="21" t="s">
        <v>3342</v>
      </c>
      <c r="L155" s="21" t="s">
        <v>1273</v>
      </c>
      <c r="M155" s="21" t="s">
        <v>2942</v>
      </c>
      <c r="N155" s="21" t="s">
        <v>3343</v>
      </c>
      <c r="O155" s="25" t="str">
        <f>HYPERLINK("http://worldwide.espacenet.com/publicationDetails/biblio?DB=EPODOC&amp;adjacent=true&amp;locale=en_EP&amp;FT=D&amp;CC=EP&amp;NR=0405978A1&amp;KC=A1","EP0405978.A1")</f>
        <v>EP0405978.A1</v>
      </c>
      <c r="P155" s="25" t="str">
        <f>HYPERLINK("http://worldwide.espacenet.com/publicationDetails/biblio?DB=EPODOC&amp;adjacent=true&amp;locale=en_EP&amp;FT=D&amp;CC=AR&amp;NR=246198A1&amp;KC=A1","AR246198.A1")</f>
        <v>AR246198.A1</v>
      </c>
      <c r="Q155" s="26" t="str">
        <f>HYPERLINK("http://worldwide.espacenet.com/publicationDetails/biblio?DB=EPODOC&amp;adjacent=true&amp;locale=en_EP&amp;FT=D&amp;CC=AT&amp;NR=89494T&amp;KC=T","AT89494.T")</f>
        <v>AT89494.T</v>
      </c>
      <c r="R155" s="26" t="str">
        <f>HYPERLINK("http://worldwide.espacenet.com/publicationDetails/biblio?DB=EPODOC&amp;adjacent=true&amp;locale=en_EP&amp;FT=D&amp;CC=AU&amp;NR=5510990A&amp;KC=A","AU5510990.A")</f>
        <v>AU5510990.A</v>
      </c>
      <c r="S155" s="26" t="str">
        <f>HYPERLINK("http://worldwide.espacenet.com/publicationDetails/biblio?DB=EPODOC&amp;adjacent=true&amp;locale=en_EP&amp;FT=D&amp;CC=AU&amp;NR=633567B2&amp;KC=B2","AU633567.B2")</f>
        <v>AU633567.B2</v>
      </c>
      <c r="T155" s="26" t="str">
        <f>HYPERLINK("http://worldwide.espacenet.com/publicationDetails/biblio?DB=EPODOC&amp;adjacent=true&amp;locale=en_EP&amp;FT=D&amp;CC=BR&amp;NR=9002548A&amp;KC=A","BR9002548.A")</f>
        <v>BR9002548.A</v>
      </c>
    </row>
    <row r="156" spans="1:94" ht="17.100000000000001" customHeight="1" x14ac:dyDescent="0.25">
      <c r="A156" s="16" t="s">
        <v>3344</v>
      </c>
      <c r="B156" s="21" t="s">
        <v>3345</v>
      </c>
      <c r="C156" s="23">
        <v>1.5796362161636399</v>
      </c>
      <c r="D156" s="23">
        <v>0</v>
      </c>
      <c r="E156" s="23">
        <v>0</v>
      </c>
      <c r="F156" s="21">
        <v>0</v>
      </c>
      <c r="G156" s="23">
        <v>18</v>
      </c>
      <c r="H156" s="24">
        <v>32717</v>
      </c>
      <c r="I156" s="23">
        <v>4</v>
      </c>
      <c r="J156" s="22">
        <v>2101769</v>
      </c>
      <c r="K156" s="21" t="s">
        <v>3346</v>
      </c>
      <c r="L156" s="21" t="s">
        <v>2941</v>
      </c>
      <c r="M156" s="21" t="s">
        <v>2942</v>
      </c>
      <c r="N156" s="21" t="s">
        <v>3347</v>
      </c>
      <c r="O156" s="25" t="str">
        <f>HYPERLINK("http://worldwide.espacenet.com/publicationDetails/biblio?DB=EPODOC&amp;adjacent=true&amp;locale=en_EP&amp;FT=D&amp;CC=EP&amp;NR=0410690A1&amp;KC=A1","EP0410690.A1")</f>
        <v>EP0410690.A1</v>
      </c>
      <c r="P156" s="25" t="str">
        <f>HYPERLINK("http://worldwide.espacenet.com/publicationDetails/biblio?DB=EPODOC&amp;adjacent=true&amp;locale=en_EP&amp;FT=D&amp;CC=AU&amp;NR=5990390A&amp;KC=A","AU5990390.A")</f>
        <v>AU5990390.A</v>
      </c>
      <c r="Q156" s="26" t="str">
        <f>HYPERLINK("http://worldwide.espacenet.com/publicationDetails/biblio?DB=EPODOC&amp;adjacent=true&amp;locale=en_EP&amp;FT=D&amp;CC=CA&amp;NR=2022308A1&amp;KC=A1","CA2022308.A1")</f>
        <v>CA2022308.A1</v>
      </c>
      <c r="R156" s="26" t="str">
        <f>HYPERLINK("http://worldwide.espacenet.com/publicationDetails/biblio?DB=EPODOC&amp;adjacent=true&amp;locale=en_EP&amp;FT=D&amp;CC=EP&amp;NR=0410690A1&amp;KC=A1","EP0410690.A1")</f>
        <v>EP0410690.A1</v>
      </c>
      <c r="S156" s="26" t="str">
        <f>HYPERLINK("http://worldwide.espacenet.com/publicationDetails/biblio?DB=EPODOC&amp;adjacent=true&amp;locale=en_EP&amp;FT=D&amp;CC=JP&amp;NR=H03205490A&amp;KC=A","JPH03205490.A")</f>
        <v>JPH03205490.A</v>
      </c>
      <c r="T156" s="26" t="str">
        <f>HYPERLINK("http://worldwide.espacenet.com/publicationDetails/biblio?DB=EPODOC&amp;adjacent=true&amp;locale=en_EP&amp;FT=D&amp;CC=NZ&amp;NR=234637A&amp;KC=A","NZ234637.A")</f>
        <v>NZ234637.A</v>
      </c>
      <c r="U156" s="26" t="str">
        <f>HYPERLINK("http://worldwide.espacenet.com/publicationDetails/biblio?DB=EPODOC&amp;adjacent=true&amp;locale=en_EP&amp;FT=D&amp;CC=WO&amp;NR=2009108655A3&amp;KC=A3","WO2009108655.A3")</f>
        <v>WO2009108655.A3</v>
      </c>
      <c r="V156" s="26" t="str">
        <f>HYPERLINK("http://worldwide.espacenet.com/publicationDetails/biblio?DB=EPODOC&amp;adjacent=true&amp;locale=en_EP&amp;FT=D&amp;CC=ZA&amp;NR=201005778B&amp;KC=B","ZA201005778.B")</f>
        <v>ZA201005778.B</v>
      </c>
    </row>
    <row r="157" spans="1:94" ht="17.100000000000001" customHeight="1" x14ac:dyDescent="0.25">
      <c r="A157" s="16" t="s">
        <v>3348</v>
      </c>
      <c r="B157" s="21" t="s">
        <v>3349</v>
      </c>
      <c r="C157" s="23">
        <v>2.08532762527466</v>
      </c>
      <c r="D157" s="23">
        <v>0</v>
      </c>
      <c r="E157" s="23">
        <v>0</v>
      </c>
      <c r="F157" s="21">
        <v>0</v>
      </c>
      <c r="G157" s="23">
        <v>26</v>
      </c>
      <c r="H157" s="24">
        <v>32744</v>
      </c>
      <c r="I157" s="23">
        <v>2</v>
      </c>
      <c r="J157" s="22">
        <v>2116489</v>
      </c>
      <c r="K157" s="21" t="s">
        <v>3350</v>
      </c>
      <c r="L157" s="21" t="s">
        <v>2941</v>
      </c>
      <c r="M157" s="21" t="s">
        <v>2942</v>
      </c>
      <c r="N157" s="21" t="s">
        <v>3351</v>
      </c>
      <c r="O157" s="25" t="str">
        <f>HYPERLINK("http://worldwide.espacenet.com/publicationDetails/biblio?DB=EPODOC&amp;adjacent=true&amp;locale=en_EP&amp;FT=D&amp;CC=EP&amp;NR=0414449A1&amp;KC=A1","EP0414449.A1")</f>
        <v>EP0414449.A1</v>
      </c>
      <c r="P157" s="25" t="str">
        <f>HYPERLINK("http://worldwide.espacenet.com/publicationDetails/biblio?DB=EPODOC&amp;adjacent=true&amp;locale=en_EP&amp;FT=D&amp;CC=AU&amp;NR=6097390A&amp;KC=A","AU6097390.A")</f>
        <v>AU6097390.A</v>
      </c>
      <c r="Q157" s="26" t="str">
        <f>HYPERLINK("http://worldwide.espacenet.com/publicationDetails/biblio?DB=EPODOC&amp;adjacent=true&amp;locale=en_EP&amp;FT=D&amp;CC=AU&amp;NR=635060B2&amp;KC=B2","AU635060.B2")</f>
        <v>AU635060.B2</v>
      </c>
      <c r="R157" s="26" t="str">
        <f>HYPERLINK("http://worldwide.espacenet.com/publicationDetails/biblio?DB=EPODOC&amp;adjacent=true&amp;locale=en_EP&amp;FT=D&amp;CC=CA&amp;NR=2023449A1&amp;KC=A1","CA2023449.A1")</f>
        <v>CA2023449.A1</v>
      </c>
      <c r="S157" s="26" t="str">
        <f>HYPERLINK("http://worldwide.espacenet.com/publicationDetails/biblio?DB=EPODOC&amp;adjacent=true&amp;locale=en_EP&amp;FT=D&amp;CC=DE&amp;NR=69003634D1&amp;KC=D1","DE69003634.D1")</f>
        <v>DE69003634.D1</v>
      </c>
      <c r="T157" s="26" t="str">
        <f>HYPERLINK("http://worldwide.espacenet.com/publicationDetails/biblio?DB=EPODOC&amp;adjacent=true&amp;locale=en_EP&amp;FT=D&amp;CC=DE&amp;NR=69003634T2&amp;KC=T2","DE69003634.T2")</f>
        <v>DE69003634.T2</v>
      </c>
    </row>
    <row r="158" spans="1:94" ht="17.100000000000001" customHeight="1" x14ac:dyDescent="0.25">
      <c r="A158" s="16" t="s">
        <v>3352</v>
      </c>
      <c r="B158" s="21" t="s">
        <v>3353</v>
      </c>
      <c r="C158" s="23">
        <v>3.40535664558411</v>
      </c>
      <c r="D158" s="23">
        <v>0</v>
      </c>
      <c r="E158" s="23">
        <v>0</v>
      </c>
      <c r="F158" s="21">
        <v>0</v>
      </c>
      <c r="G158" s="23">
        <v>24</v>
      </c>
      <c r="H158" s="24">
        <v>32265</v>
      </c>
      <c r="I158" s="23">
        <v>3</v>
      </c>
      <c r="J158" s="22">
        <v>1775887</v>
      </c>
      <c r="K158" s="21" t="s">
        <v>3354</v>
      </c>
      <c r="L158" s="21" t="s">
        <v>2941</v>
      </c>
      <c r="M158" s="21" t="s">
        <v>2942</v>
      </c>
      <c r="N158" s="21" t="s">
        <v>3355</v>
      </c>
      <c r="O158" s="25" t="str">
        <f>HYPERLINK("http://worldwide.espacenet.com/publicationDetails/biblio?DB=EPODOC&amp;adjacent=true&amp;locale=en_EP&amp;FT=D&amp;CC=EP&amp;NR=0414800A1&amp;KC=A1","EP0414800.A1")</f>
        <v>EP0414800.A1</v>
      </c>
      <c r="P158" s="25" t="str">
        <f>HYPERLINK("http://worldwide.espacenet.com/publicationDetails/biblio?DB=EPODOC&amp;adjacent=true&amp;locale=en_EP&amp;FT=D&amp;CC=AU&amp;NR=3688589A&amp;KC=A","AU3688589.A")</f>
        <v>AU3688589.A</v>
      </c>
      <c r="Q158" s="26" t="str">
        <f>HYPERLINK("http://worldwide.espacenet.com/publicationDetails/biblio?DB=EPODOC&amp;adjacent=true&amp;locale=en_EP&amp;FT=D&amp;CC=AU&amp;NR=625062B2&amp;KC=B2","AU625062.B2")</f>
        <v>AU625062.B2</v>
      </c>
      <c r="R158" s="26" t="str">
        <f>HYPERLINK("http://worldwide.espacenet.com/publicationDetails/biblio?DB=EPODOC&amp;adjacent=true&amp;locale=en_EP&amp;FT=D&amp;CC=EP&amp;NR=0414800A1&amp;KC=A1","EP0414800.A1")</f>
        <v>EP0414800.A1</v>
      </c>
      <c r="S158" s="26" t="str">
        <f>HYPERLINK("http://worldwide.espacenet.com/publicationDetails/biblio?DB=EPODOC&amp;adjacent=true&amp;locale=en_EP&amp;FT=D&amp;CC=EP&amp;NR=0414800A4&amp;KC=A4","EP0414800.A4")</f>
        <v>EP0414800.A4</v>
      </c>
      <c r="T158" s="26" t="str">
        <f>HYPERLINK("http://worldwide.espacenet.com/publicationDetails/biblio?DB=EPODOC&amp;adjacent=true&amp;locale=en_EP&amp;FT=D&amp;CC=JP&amp;NR=H03504136A&amp;KC=A","JPH03504136.A")</f>
        <v>JPH03504136.A</v>
      </c>
    </row>
    <row r="159" spans="1:94" ht="17.100000000000001" customHeight="1" x14ac:dyDescent="0.25">
      <c r="A159" s="16" t="s">
        <v>3356</v>
      </c>
      <c r="B159" s="21" t="s">
        <v>3357</v>
      </c>
      <c r="C159" s="23">
        <v>0.12133127450943</v>
      </c>
      <c r="D159" s="23">
        <v>0</v>
      </c>
      <c r="E159" s="23">
        <v>0</v>
      </c>
      <c r="F159" s="21">
        <v>0</v>
      </c>
      <c r="G159" s="23">
        <v>2</v>
      </c>
      <c r="H159" s="24">
        <v>32622</v>
      </c>
      <c r="I159" s="23">
        <v>4</v>
      </c>
      <c r="J159" s="22">
        <v>1740644</v>
      </c>
      <c r="K159" s="21" t="s">
        <v>3358</v>
      </c>
      <c r="L159" s="21" t="s">
        <v>2941</v>
      </c>
      <c r="M159" s="21" t="s">
        <v>2942</v>
      </c>
      <c r="N159" s="21" t="s">
        <v>3359</v>
      </c>
      <c r="O159" s="25" t="str">
        <f>HYPERLINK("http://worldwide.espacenet.com/publicationDetails/biblio?DB=EPODOC&amp;adjacent=true&amp;locale=en_EP&amp;FT=D&amp;CC=EP&amp;NR=0422188A1&amp;KC=A1","EP0422188.A1")</f>
        <v>EP0422188.A1</v>
      </c>
      <c r="P159" s="25" t="str">
        <f>HYPERLINK("http://worldwide.espacenet.com/publicationDetails/biblio?DB=EPODOC&amp;adjacent=true&amp;locale=en_EP&amp;FT=D&amp;CC=AU&amp;NR=5529890A&amp;KC=A","AU5529890.A")</f>
        <v>AU5529890.A</v>
      </c>
      <c r="Q159" s="26" t="str">
        <f>HYPERLINK("http://worldwide.espacenet.com/publicationDetails/biblio?DB=EPODOC&amp;adjacent=true&amp;locale=en_EP&amp;FT=D&amp;CC=CA&amp;NR=2031212A1&amp;KC=A1","CA2031212.A1")</f>
        <v>CA2031212.A1</v>
      </c>
      <c r="R159" s="26" t="str">
        <f>HYPERLINK("http://worldwide.espacenet.com/publicationDetails/biblio?DB=EPODOC&amp;adjacent=true&amp;locale=en_EP&amp;FT=D&amp;CC=EP&amp;NR=0422188A1&amp;KC=A1","EP0422188.A1")</f>
        <v>EP0422188.A1</v>
      </c>
      <c r="S159" s="26" t="str">
        <f>HYPERLINK("http://worldwide.espacenet.com/publicationDetails/biblio?DB=EPODOC&amp;adjacent=true&amp;locale=en_EP&amp;FT=D&amp;CC=JP&amp;NR=H03505603A&amp;KC=A","JPH03505603.A")</f>
        <v>JPH03505603.A</v>
      </c>
      <c r="T159" s="26" t="str">
        <f>HYPERLINK("http://worldwide.espacenet.com/publicationDetails/biblio?DB=EPODOC&amp;adjacent=true&amp;locale=en_EP&amp;FT=D&amp;CC=WO&amp;NR=9012778A1&amp;KC=A1","WO9012778.A1")</f>
        <v>WO9012778.A1</v>
      </c>
      <c r="U159" s="26" t="str">
        <f>HYPERLINK("http://worldwide.espacenet.com/publicationDetails/biblio?DB=EPODOC&amp;adjacent=true&amp;locale=en_EP&amp;FT=D&amp;CC=BG&amp;NR=39638A3&amp;KC=A3","BG39638.A3")</f>
        <v>BG39638.A3</v>
      </c>
      <c r="V159" s="26" t="str">
        <f>HYPERLINK("http://worldwide.espacenet.com/publicationDetails/biblio?DB=EPODOC&amp;adjacent=true&amp;locale=en_EP&amp;FT=D&amp;CC=CA&amp;NR=1155824A&amp;KC=A","CA1155824.A")</f>
        <v>CA1155824.A</v>
      </c>
      <c r="W159" s="26" t="str">
        <f>HYPERLINK("http://worldwide.espacenet.com/publicationDetails/biblio?DB=EPODOC&amp;adjacent=true&amp;locale=en_EP&amp;FT=D&amp;CC=CH&amp;NR=643803A5&amp;KC=A5","CH643803.A5")</f>
        <v>CH643803.A5</v>
      </c>
      <c r="X159" s="26" t="str">
        <f>HYPERLINK("http://worldwide.espacenet.com/publicationDetails/biblio?DB=EPODOC&amp;adjacent=true&amp;locale=en_EP&amp;FT=D&amp;CC=DD&amp;NR=144398A5&amp;KC=A5","DD144398.A5")</f>
        <v>DD144398.A5</v>
      </c>
      <c r="Y159" s="26" t="str">
        <f>HYPERLINK("http://worldwide.espacenet.com/publicationDetails/biblio?DB=EPODOC&amp;adjacent=true&amp;locale=en_EP&amp;FT=D&amp;CC=DE&amp;NR=2924915A1&amp;KC=A1","DE2924915.A1")</f>
        <v>DE2924915.A1</v>
      </c>
      <c r="Z159" s="26" t="str">
        <f>HYPERLINK("http://worldwide.espacenet.com/publicationDetails/biblio?DB=EPODOC&amp;adjacent=true&amp;locale=en_EP&amp;FT=D&amp;CC=DE&amp;NR=2924915C2&amp;KC=C2","DE2924915.C2")</f>
        <v>DE2924915.C2</v>
      </c>
      <c r="AA159" s="26" t="str">
        <f>HYPERLINK("http://worldwide.espacenet.com/publicationDetails/biblio?DB=EPODOC&amp;adjacent=true&amp;locale=en_EP&amp;FT=D&amp;CC=DE&amp;NR=2953858C2&amp;KC=C2","DE2953858.C2")</f>
        <v>DE2953858.C2</v>
      </c>
      <c r="AB159" s="26" t="str">
        <f>HYPERLINK("http://worldwide.espacenet.com/publicationDetails/biblio?DB=EPODOC&amp;adjacent=true&amp;locale=en_EP&amp;FT=D&amp;CC=DK&amp;NR=149839B&amp;KC=B","DK149839.B")</f>
        <v>DK149839.B</v>
      </c>
      <c r="AC159" s="26" t="str">
        <f>HYPERLINK("http://worldwide.espacenet.com/publicationDetails/biblio?DB=EPODOC&amp;adjacent=true&amp;locale=en_EP&amp;FT=D&amp;CC=DK&amp;NR=149839C&amp;KC=C","DK149839.C")</f>
        <v>DK149839.C</v>
      </c>
      <c r="AD159" s="26" t="str">
        <f>HYPERLINK("http://worldwide.espacenet.com/publicationDetails/biblio?DB=EPODOC&amp;adjacent=true&amp;locale=en_EP&amp;FT=D&amp;CC=DK&amp;NR=164813B&amp;KC=B","DK164813.B")</f>
        <v>DK164813.B</v>
      </c>
      <c r="AE159" s="26" t="str">
        <f>HYPERLINK("http://worldwide.espacenet.com/publicationDetails/biblio?DB=EPODOC&amp;adjacent=true&amp;locale=en_EP&amp;FT=D&amp;CC=DK&amp;NR=164813C&amp;KC=C","DK164813.C")</f>
        <v>DK164813.C</v>
      </c>
      <c r="AF159" s="26" t="str">
        <f>HYPERLINK("http://worldwide.espacenet.com/publicationDetails/biblio?DB=EPODOC&amp;adjacent=true&amp;locale=en_EP&amp;FT=D&amp;CC=DK&amp;NR=165173B&amp;KC=B","DK165173.B")</f>
        <v>DK165173.B</v>
      </c>
      <c r="AG159" s="26" t="str">
        <f>HYPERLINK("http://worldwide.espacenet.com/publicationDetails/biblio?DB=EPODOC&amp;adjacent=true&amp;locale=en_EP&amp;FT=D&amp;CC=DK&amp;NR=165173C&amp;KC=C","DK165173.C")</f>
        <v>DK165173.C</v>
      </c>
      <c r="AH159" s="26" t="str">
        <f>HYPERLINK("http://worldwide.espacenet.com/publicationDetails/biblio?DB=EPODOC&amp;adjacent=true&amp;locale=en_EP&amp;FT=D&amp;CC=DK&amp;NR=165174B&amp;KC=B","DK165174.B")</f>
        <v>DK165174.B</v>
      </c>
      <c r="AI159" s="26" t="str">
        <f>HYPERLINK("http://worldwide.espacenet.com/publicationDetails/biblio?DB=EPODOC&amp;adjacent=true&amp;locale=en_EP&amp;FT=D&amp;CC=DK&amp;NR=165174C&amp;KC=C","DK165174.C")</f>
        <v>DK165174.C</v>
      </c>
      <c r="AJ159" s="26" t="str">
        <f>HYPERLINK("http://worldwide.espacenet.com/publicationDetails/biblio?DB=EPODOC&amp;adjacent=true&amp;locale=en_EP&amp;FT=D&amp;CC=DK&amp;NR=166245B&amp;KC=B","DK166245.B")</f>
        <v>DK166245.B</v>
      </c>
      <c r="AK159" s="26" t="str">
        <f>HYPERLINK("http://worldwide.espacenet.com/publicationDetails/biblio?DB=EPODOC&amp;adjacent=true&amp;locale=en_EP&amp;FT=D&amp;CC=DK&amp;NR=240379A&amp;KC=A","DK240379.A")</f>
        <v>DK240379.A</v>
      </c>
      <c r="AL159" s="26" t="str">
        <f>HYPERLINK("http://worldwide.espacenet.com/publicationDetails/biblio?DB=EPODOC&amp;adjacent=true&amp;locale=en_EP&amp;FT=D&amp;CC=DK&amp;NR=3592A&amp;KC=A","DK3592.A")</f>
        <v>DK3592.A</v>
      </c>
      <c r="AM159" s="26" t="str">
        <f>HYPERLINK("http://worldwide.espacenet.com/publicationDetails/biblio?DB=EPODOC&amp;adjacent=true&amp;locale=en_EP&amp;FT=D&amp;CC=DK&amp;NR=3592D0&amp;KC=D0","DK3592.D0")</f>
        <v>DK3592.D0</v>
      </c>
      <c r="AN159" s="26" t="str">
        <f>HYPERLINK("http://worldwide.espacenet.com/publicationDetails/biblio?DB=EPODOC&amp;adjacent=true&amp;locale=en_EP&amp;FT=D&amp;CC=DK&amp;NR=3692A&amp;KC=A","DK3692.A")</f>
        <v>DK3692.A</v>
      </c>
      <c r="AO159" s="26" t="str">
        <f>HYPERLINK("http://worldwide.espacenet.com/publicationDetails/biblio?DB=EPODOC&amp;adjacent=true&amp;locale=en_EP&amp;FT=D&amp;CC=DK&amp;NR=3692D0&amp;KC=D0","DK3692.D0")</f>
        <v>DK3692.D0</v>
      </c>
      <c r="AP159" s="26" t="str">
        <f>HYPERLINK("http://worldwide.espacenet.com/publicationDetails/biblio?DB=EPODOC&amp;adjacent=true&amp;locale=en_EP&amp;FT=D&amp;CC=DK&amp;NR=593084A&amp;KC=A","DK593084.A")</f>
        <v>DK593084.A</v>
      </c>
      <c r="AQ159" s="26" t="str">
        <f>HYPERLINK("http://worldwide.espacenet.com/publicationDetails/biblio?DB=EPODOC&amp;adjacent=true&amp;locale=en_EP&amp;FT=D&amp;CC=DK&amp;NR=593084D0&amp;KC=D0","DK593084.D0")</f>
        <v>DK593084.D0</v>
      </c>
      <c r="AR159" s="26" t="str">
        <f>HYPERLINK("http://worldwide.espacenet.com/publicationDetails/biblio?DB=EPODOC&amp;adjacent=true&amp;locale=en_EP&amp;FT=D&amp;CC=EG&amp;NR=13934A&amp;KC=A","EG13934.A")</f>
        <v>EG13934.A</v>
      </c>
      <c r="AS159" s="26" t="str">
        <f>HYPERLINK("http://worldwide.espacenet.com/publicationDetails/biblio?DB=EPODOC&amp;adjacent=true&amp;locale=en_EP&amp;FT=D&amp;CC=ES&amp;NR=482161A0&amp;KC=A0","ES482161.A0")</f>
        <v>ES482161.A0</v>
      </c>
      <c r="AT159" s="26" t="str">
        <f>HYPERLINK("http://worldwide.espacenet.com/publicationDetails/biblio?DB=EPODOC&amp;adjacent=true&amp;locale=en_EP&amp;FT=D&amp;CC=ES&amp;NR=8101921A1&amp;KC=A1","ES8101921.A1")</f>
        <v>ES8101921.A1</v>
      </c>
      <c r="AU159" s="26" t="str">
        <f>HYPERLINK("http://worldwide.espacenet.com/publicationDetails/biblio?DB=EPODOC&amp;adjacent=true&amp;locale=en_EP&amp;FT=D&amp;CC=FR&amp;NR=2429182A1&amp;KC=A1","FR2429182.A1")</f>
        <v>FR2429182.A1</v>
      </c>
      <c r="AV159" s="26" t="str">
        <f>HYPERLINK("http://worldwide.espacenet.com/publicationDetails/biblio?DB=EPODOC&amp;adjacent=true&amp;locale=en_EP&amp;FT=D&amp;CC=FR&amp;NR=2429182B1&amp;KC=B1","FR2429182.B1")</f>
        <v>FR2429182.B1</v>
      </c>
      <c r="AW159" s="26" t="str">
        <f>HYPERLINK("http://worldwide.espacenet.com/publicationDetails/biblio?DB=EPODOC&amp;adjacent=true&amp;locale=en_EP&amp;FT=D&amp;CC=GB&amp;NR=2024790A&amp;KC=A","GB2024790.A")</f>
        <v>GB2024790.A</v>
      </c>
      <c r="AX159" s="26" t="str">
        <f>HYPERLINK("http://worldwide.espacenet.com/publicationDetails/biblio?DB=EPODOC&amp;adjacent=true&amp;locale=en_EP&amp;FT=D&amp;CC=GB&amp;NR=2024790B&amp;KC=B","GB2024790.B")</f>
        <v>GB2024790.B</v>
      </c>
      <c r="AY159" s="26" t="str">
        <f>HYPERLINK("http://worldwide.espacenet.com/publicationDetails/biblio?DB=EPODOC&amp;adjacent=true&amp;locale=en_EP&amp;FT=D&amp;CC=GB&amp;NR=2078704A&amp;KC=A","GB2078704.A")</f>
        <v>GB2078704.A</v>
      </c>
      <c r="AZ159" s="26" t="str">
        <f>HYPERLINK("http://worldwide.espacenet.com/publicationDetails/biblio?DB=EPODOC&amp;adjacent=true&amp;locale=en_EP&amp;FT=D&amp;CC=GB&amp;NR=2078704B&amp;KC=B","GB2078704.B")</f>
        <v>GB2078704.B</v>
      </c>
      <c r="BA159" s="26" t="str">
        <f>HYPERLINK("http://worldwide.espacenet.com/publicationDetails/biblio?DB=EPODOC&amp;adjacent=true&amp;locale=en_EP&amp;FT=D&amp;CC=GR&amp;NR=66589B&amp;KC=B","GR66589.B")</f>
        <v>GR66589.B</v>
      </c>
      <c r="BB159" s="26" t="str">
        <f>HYPERLINK("http://worldwide.espacenet.com/publicationDetails/biblio?DB=EPODOC&amp;adjacent=true&amp;locale=en_EP&amp;FT=D&amp;CC=HU&amp;NR=181955B&amp;KC=B","HU181955.B")</f>
        <v>HU181955.B</v>
      </c>
      <c r="BC159" s="26" t="str">
        <f>HYPERLINK("http://worldwide.espacenet.com/publicationDetails/biblio?DB=EPODOC&amp;adjacent=true&amp;locale=en_EP&amp;FT=D&amp;CC=IE&amp;NR=48198B1&amp;KC=B1","IE48198.B1")</f>
        <v>IE48198.B1</v>
      </c>
      <c r="BD159" s="26" t="str">
        <f>HYPERLINK("http://worldwide.espacenet.com/publicationDetails/biblio?DB=EPODOC&amp;adjacent=true&amp;locale=en_EP&amp;FT=D&amp;CC=IE&amp;NR=791169L&amp;KC=L","IE791169.L")</f>
        <v>IE791169.L</v>
      </c>
      <c r="BE159" s="26" t="str">
        <f>HYPERLINK("http://worldwide.espacenet.com/publicationDetails/biblio?DB=EPODOC&amp;adjacent=true&amp;locale=en_EP&amp;FT=D&amp;CC=IL&amp;NR=57582A&amp;KC=A","IL57582.A")</f>
        <v>IL57582.A</v>
      </c>
      <c r="BF159" s="26" t="str">
        <f>HYPERLINK("http://worldwide.espacenet.com/publicationDetails/biblio?DB=EPODOC&amp;adjacent=true&amp;locale=en_EP&amp;FT=D&amp;CC=IL&amp;NR=57582D0&amp;KC=D0","IL57582.D0")</f>
        <v>IL57582.D0</v>
      </c>
      <c r="BG159" s="26" t="str">
        <f>HYPERLINK("http://worldwide.espacenet.com/publicationDetails/biblio?DB=EPODOC&amp;adjacent=true&amp;locale=en_EP&amp;FT=D&amp;CC=IN&amp;NR=151534B&amp;KC=B","IN151534.B")</f>
        <v>IN151534.B</v>
      </c>
      <c r="BH159" s="26" t="str">
        <f>HYPERLINK("http://worldwide.espacenet.com/publicationDetails/biblio?DB=EPODOC&amp;adjacent=true&amp;locale=en_EP&amp;FT=D&amp;CC=JP&amp;NR=H01275417A&amp;KC=A","JPH01275417.A")</f>
        <v>JPH01275417.A</v>
      </c>
      <c r="BI159" s="26" t="str">
        <f>HYPERLINK("http://worldwide.espacenet.com/publicationDetails/biblio?DB=EPODOC&amp;adjacent=true&amp;locale=en_EP&amp;FT=D&amp;CC=JP&amp;NR=H0217482B2&amp;KC=B2","JPH0217482.B2")</f>
        <v>JPH0217482.B2</v>
      </c>
      <c r="BJ159" s="26" t="str">
        <f>HYPERLINK("http://worldwide.espacenet.com/publicationDetails/biblio?DB=EPODOC&amp;adjacent=true&amp;locale=en_EP&amp;FT=D&amp;CC=JP&amp;NR=H0223481B2&amp;KC=B2","JPH0223481.B2")</f>
        <v>JPH0223481.B2</v>
      </c>
      <c r="BK159" s="26" t="str">
        <f>HYPERLINK("http://worldwide.espacenet.com/publicationDetails/biblio?DB=EPODOC&amp;adjacent=true&amp;locale=en_EP&amp;FT=D&amp;CC=JP&amp;NR=H0230612A&amp;KC=A","JPH0230612.A")</f>
        <v>JPH0230612.A</v>
      </c>
      <c r="BL159" s="26" t="str">
        <f>HYPERLINK("http://worldwide.espacenet.com/publicationDetails/biblio?DB=EPODOC&amp;adjacent=true&amp;locale=en_EP&amp;FT=D&amp;CC=LU&amp;NR=81415A1&amp;KC=A1","LU81415.A1")</f>
        <v>LU81415.A1</v>
      </c>
      <c r="BM159" s="26" t="str">
        <f>HYPERLINK("http://worldwide.espacenet.com/publicationDetails/biblio?DB=EPODOC&amp;adjacent=true&amp;locale=en_EP&amp;FT=D&amp;CC=NL&amp;NR=190144B&amp;KC=B","NL190144.B")</f>
        <v>NL190144.B</v>
      </c>
      <c r="BN159" s="26" t="str">
        <f>HYPERLINK("http://worldwide.espacenet.com/publicationDetails/biblio?DB=EPODOC&amp;adjacent=true&amp;locale=en_EP&amp;FT=D&amp;CC=NL&amp;NR=190144C&amp;KC=C","NL190144.C")</f>
        <v>NL190144.C</v>
      </c>
      <c r="BO159" s="26" t="str">
        <f>HYPERLINK("http://worldwide.espacenet.com/publicationDetails/biblio?DB=EPODOC&amp;adjacent=true&amp;locale=en_EP&amp;FT=D&amp;CC=NL&amp;NR=192292B&amp;KC=B","NL192292.B")</f>
        <v>NL192292.B</v>
      </c>
      <c r="BP159" s="26" t="str">
        <f>HYPERLINK("http://worldwide.espacenet.com/publicationDetails/biblio?DB=EPODOC&amp;adjacent=true&amp;locale=en_EP&amp;FT=D&amp;CC=NL&amp;NR=192292C&amp;KC=C","NL192292.C")</f>
        <v>NL192292.C</v>
      </c>
      <c r="BQ159" s="26" t="str">
        <f>HYPERLINK("http://worldwide.espacenet.com/publicationDetails/biblio?DB=EPODOC&amp;adjacent=true&amp;locale=en_EP&amp;FT=D&amp;CC=NL&amp;NR=7904909A&amp;KC=A","NL7904909.A")</f>
        <v>NL7904909.A</v>
      </c>
      <c r="BR159" s="26" t="str">
        <f>HYPERLINK("http://worldwide.espacenet.com/publicationDetails/biblio?DB=EPODOC&amp;adjacent=true&amp;locale=en_EP&amp;FT=D&amp;CC=NL&amp;NR=9300562A&amp;KC=A","NL9300562.A")</f>
        <v>NL9300562.A</v>
      </c>
      <c r="BS159" s="26" t="str">
        <f>HYPERLINK("http://worldwide.espacenet.com/publicationDetails/biblio?DB=EPODOC&amp;adjacent=true&amp;locale=en_EP&amp;FT=D&amp;CC=NO&amp;NR=156125B&amp;KC=B","NO156125.B")</f>
        <v>NO156125.B</v>
      </c>
      <c r="BT159" s="26" t="str">
        <f>HYPERLINK("http://worldwide.espacenet.com/publicationDetails/biblio?DB=EPODOC&amp;adjacent=true&amp;locale=en_EP&amp;FT=D&amp;CC=NO&amp;NR=156125C&amp;KC=C","NO156125.C")</f>
        <v>NO156125.C</v>
      </c>
      <c r="BU159" s="26" t="str">
        <f>HYPERLINK("http://worldwide.espacenet.com/publicationDetails/biblio?DB=EPODOC&amp;adjacent=true&amp;locale=en_EP&amp;FT=D&amp;CC=NO&amp;NR=792059L&amp;KC=L","NO792059.L")</f>
        <v>NO792059.L</v>
      </c>
      <c r="BV159" s="26" t="str">
        <f>HYPERLINK("http://worldwide.espacenet.com/publicationDetails/biblio?DB=EPODOC&amp;adjacent=true&amp;locale=en_EP&amp;FT=D&amp;CC=PH&amp;NR=15865A&amp;KC=A","PH15865.A")</f>
        <v>PH15865.A</v>
      </c>
      <c r="BW159" s="26" t="str">
        <f>HYPERLINK("http://worldwide.espacenet.com/publicationDetails/biblio?DB=EPODOC&amp;adjacent=true&amp;locale=en_EP&amp;FT=D&amp;CC=PL&amp;NR=118686B1&amp;KC=B1","PL118686.B1")</f>
        <v>PL118686.B1</v>
      </c>
      <c r="BX159" s="26" t="str">
        <f>HYPERLINK("http://worldwide.espacenet.com/publicationDetails/biblio?DB=EPODOC&amp;adjacent=true&amp;locale=en_EP&amp;FT=D&amp;CC=PL&amp;NR=216527A1&amp;KC=A1","PL216527.A1")</f>
        <v>PL216527.A1</v>
      </c>
      <c r="BY159" s="26" t="str">
        <f>HYPERLINK("http://worldwide.espacenet.com/publicationDetails/biblio?DB=EPODOC&amp;adjacent=true&amp;locale=en_EP&amp;FT=D&amp;CC=PT&amp;NR=69799A&amp;KC=A","PT69799.A")</f>
        <v>PT69799.A</v>
      </c>
      <c r="BZ159" s="26" t="str">
        <f>HYPERLINK("http://worldwide.espacenet.com/publicationDetails/biblio?DB=EPODOC&amp;adjacent=true&amp;locale=en_EP&amp;FT=D&amp;CC=RO&amp;NR=78795A&amp;KC=A","RO78795.A")</f>
        <v>RO78795.A</v>
      </c>
      <c r="CA159" s="26" t="str">
        <f>HYPERLINK("http://worldwide.espacenet.com/publicationDetails/biblio?DB=EPODOC&amp;adjacent=true&amp;locale=en_EP&amp;FT=D&amp;CC=RO&amp;NR=78795B&amp;KC=B","RO78795.B")</f>
        <v>RO78795.B</v>
      </c>
      <c r="CB159" s="26" t="str">
        <f>HYPERLINK("http://worldwide.espacenet.com/publicationDetails/biblio?DB=EPODOC&amp;adjacent=true&amp;locale=en_EP&amp;FT=D&amp;CC=SE&amp;NR=445521B&amp;KC=B","SE445521.B")</f>
        <v>SE445521.B</v>
      </c>
      <c r="CC159" s="26" t="str">
        <f>HYPERLINK("http://worldwide.espacenet.com/publicationDetails/biblio?DB=EPODOC&amp;adjacent=true&amp;locale=en_EP&amp;FT=D&amp;CC=SE&amp;NR=462845B&amp;KC=B","SE462845.B")</f>
        <v>SE462845.B</v>
      </c>
      <c r="CD159" s="26" t="str">
        <f>HYPERLINK("http://worldwide.espacenet.com/publicationDetails/biblio?DB=EPODOC&amp;adjacent=true&amp;locale=en_EP&amp;FT=D&amp;CC=SE&amp;NR=464248B&amp;KC=B","SE464248.B")</f>
        <v>SE464248.B</v>
      </c>
      <c r="CE159" s="26" t="str">
        <f>HYPERLINK("http://worldwide.espacenet.com/publicationDetails/biblio?DB=EPODOC&amp;adjacent=true&amp;locale=en_EP&amp;FT=D&amp;CC=SE&amp;NR=464249B&amp;KC=B","SE464249.B")</f>
        <v>SE464249.B</v>
      </c>
      <c r="CF159" s="26" t="str">
        <f>HYPERLINK("http://worldwide.espacenet.com/publicationDetails/biblio?DB=EPODOC&amp;adjacent=true&amp;locale=en_EP&amp;FT=D&amp;CC=SE&amp;NR=7905452L&amp;KC=L","SE7905452.L")</f>
        <v>SE7905452.L</v>
      </c>
      <c r="CG159" s="26" t="str">
        <f>HYPERLINK("http://worldwide.espacenet.com/publicationDetails/biblio?DB=EPODOC&amp;adjacent=true&amp;locale=en_EP&amp;FT=D&amp;CC=SE&amp;NR=8403805D0&amp;KC=D0","SE8403805.D0")</f>
        <v>SE8403805.D0</v>
      </c>
      <c r="CH159" s="26" t="str">
        <f>HYPERLINK("http://worldwide.espacenet.com/publicationDetails/biblio?DB=EPODOC&amp;adjacent=true&amp;locale=en_EP&amp;FT=D&amp;CC=SE&amp;NR=8403805L&amp;KC=L","SE8403805.L")</f>
        <v>SE8403805.L</v>
      </c>
      <c r="CI159" s="26" t="str">
        <f>HYPERLINK("http://worldwide.espacenet.com/publicationDetails/biblio?DB=EPODOC&amp;adjacent=true&amp;locale=en_EP&amp;FT=D&amp;CC=SE&amp;NR=8803721D0&amp;KC=D0","SE8803721.D0")</f>
        <v>SE8803721.D0</v>
      </c>
      <c r="CJ159" s="26" t="str">
        <f>HYPERLINK("http://worldwide.espacenet.com/publicationDetails/biblio?DB=EPODOC&amp;adjacent=true&amp;locale=en_EP&amp;FT=D&amp;CC=SE&amp;NR=8803721L&amp;KC=L","SE8803721.L")</f>
        <v>SE8803721.L</v>
      </c>
      <c r="CK159" s="26" t="str">
        <f>HYPERLINK("http://worldwide.espacenet.com/publicationDetails/biblio?DB=EPODOC&amp;adjacent=true&amp;locale=en_EP&amp;FT=D&amp;CC=SE&amp;NR=8803722D0&amp;KC=D0","SE8803722.D0")</f>
        <v>SE8803722.D0</v>
      </c>
      <c r="CL159" s="26" t="str">
        <f>HYPERLINK("http://worldwide.espacenet.com/publicationDetails/biblio?DB=EPODOC&amp;adjacent=true&amp;locale=en_EP&amp;FT=D&amp;CC=SE&amp;NR=8803722L&amp;KC=L","SE8803722.L")</f>
        <v>SE8803722.L</v>
      </c>
      <c r="CM159" s="26" t="str">
        <f>HYPERLINK("http://worldwide.espacenet.com/publicationDetails/biblio?DB=EPODOC&amp;adjacent=true&amp;locale=en_EP&amp;FT=D&amp;CC=TR&amp;NR=21215A&amp;KC=A","TR21215.A")</f>
        <v>TR21215.A</v>
      </c>
      <c r="CN159" s="26" t="str">
        <f>HYPERLINK("http://worldwide.espacenet.com/publicationDetails/biblio?DB=EPODOC&amp;adjacent=true&amp;locale=en_EP&amp;FT=D&amp;CC=US&amp;NR=4656016A&amp;KC=A","US4656016.A")</f>
        <v>US4656016.A</v>
      </c>
      <c r="CO159" s="26" t="str">
        <f>HYPERLINK("http://worldwide.espacenet.com/publicationDetails/biblio?DB=EPODOC&amp;adjacent=true&amp;locale=en_EP&amp;FT=D&amp;CC=US&amp;NR=4666692A&amp;KC=A","US4666692.A")</f>
        <v>US4666692.A</v>
      </c>
      <c r="CP159" s="26" t="str">
        <f>HYPERLINK("http://worldwide.espacenet.com/publicationDetails/biblio?DB=EPODOC&amp;adjacent=true&amp;locale=en_EP&amp;FT=D&amp;CC=YU&amp;NR=148479A&amp;KC=A","YU148479.A")</f>
        <v>YU148479.A</v>
      </c>
    </row>
    <row r="160" spans="1:94" ht="17.100000000000001" customHeight="1" x14ac:dyDescent="0.25">
      <c r="A160" s="16" t="s">
        <v>3360</v>
      </c>
      <c r="B160" s="21" t="s">
        <v>3361</v>
      </c>
      <c r="C160" s="23">
        <v>0.279758810997009</v>
      </c>
      <c r="D160" s="23">
        <v>0</v>
      </c>
      <c r="E160" s="23">
        <v>0</v>
      </c>
      <c r="F160" s="21">
        <v>0</v>
      </c>
      <c r="G160" s="23">
        <v>3</v>
      </c>
      <c r="H160" s="24">
        <v>32622</v>
      </c>
      <c r="I160" s="23">
        <v>4</v>
      </c>
      <c r="J160" s="22">
        <v>1740644</v>
      </c>
      <c r="K160" s="21" t="s">
        <v>3362</v>
      </c>
      <c r="L160" s="21" t="s">
        <v>2941</v>
      </c>
      <c r="M160" s="21" t="s">
        <v>2942</v>
      </c>
      <c r="N160" s="21" t="s">
        <v>3359</v>
      </c>
      <c r="O160" s="25" t="str">
        <f>HYPERLINK("http://worldwide.espacenet.com/publicationDetails/biblio?DB=EPODOC&amp;adjacent=true&amp;locale=en_EP&amp;FT=D&amp;CC=EP&amp;NR=0424511A1&amp;KC=A1","EP0424511.A1")</f>
        <v>EP0424511.A1</v>
      </c>
      <c r="P160" s="25" t="str">
        <f>HYPERLINK("http://worldwide.espacenet.com/publicationDetails/biblio?DB=EPODOC&amp;adjacent=true&amp;locale=en_EP&amp;FT=D&amp;CC=AU&amp;NR=5556090A&amp;KC=A","AU5556090.A")</f>
        <v>AU5556090.A</v>
      </c>
      <c r="Q160" s="26" t="str">
        <f>HYPERLINK("http://worldwide.espacenet.com/publicationDetails/biblio?DB=EPODOC&amp;adjacent=true&amp;locale=en_EP&amp;FT=D&amp;CC=AU&amp;NR=621486B2&amp;KC=B2","AU621486.B2")</f>
        <v>AU621486.B2</v>
      </c>
      <c r="R160" s="26" t="str">
        <f>HYPERLINK("http://worldwide.espacenet.com/publicationDetails/biblio?DB=EPODOC&amp;adjacent=true&amp;locale=en_EP&amp;FT=D&amp;CC=CA&amp;NR=2030797A1&amp;KC=A1","CA2030797.A1")</f>
        <v>CA2030797.A1</v>
      </c>
      <c r="S160" s="26" t="str">
        <f>HYPERLINK("http://worldwide.espacenet.com/publicationDetails/biblio?DB=EPODOC&amp;adjacent=true&amp;locale=en_EP&amp;FT=D&amp;CC=EP&amp;NR=0424511A1&amp;KC=A1","EP0424511.A1")</f>
        <v>EP0424511.A1</v>
      </c>
      <c r="T160" s="26" t="str">
        <f>HYPERLINK("http://worldwide.espacenet.com/publicationDetails/biblio?DB=EPODOC&amp;adjacent=true&amp;locale=en_EP&amp;FT=D&amp;CC=JP&amp;NR=H03505608A&amp;KC=A","JPH03505608.A")</f>
        <v>JPH03505608.A</v>
      </c>
      <c r="U160" s="26" t="str">
        <f>HYPERLINK("http://worldwide.espacenet.com/publicationDetails/biblio?DB=EPODOC&amp;adjacent=true&amp;locale=en_EP&amp;FT=D&amp;CC=EP&amp;NR=2964380A4&amp;KC=A4","EP2964380.A4")</f>
        <v>EP2964380.A4</v>
      </c>
      <c r="V160" s="26" t="str">
        <f>HYPERLINK("http://worldwide.espacenet.com/publicationDetails/biblio?DB=EPODOC&amp;adjacent=true&amp;locale=en_EP&amp;FT=D&amp;CC=HK&amp;NR=1215227A1&amp;KC=A1","HK1215227.A1")</f>
        <v>HK1215227.A1</v>
      </c>
      <c r="W160" s="26" t="str">
        <f>HYPERLINK("http://worldwide.espacenet.com/publicationDetails/biblio?DB=EPODOC&amp;adjacent=true&amp;locale=en_EP&amp;FT=D&amp;CC=MX&amp;NR=2015011706A&amp;KC=A","MX2015011706.A")</f>
        <v>MX2015011706.A</v>
      </c>
      <c r="X160" s="26" t="str">
        <f>HYPERLINK("http://worldwide.espacenet.com/publicationDetails/biblio?DB=EPODOC&amp;adjacent=true&amp;locale=en_EP&amp;FT=D&amp;CC=US&amp;NR=2014256010A1&amp;KC=A1","US2014256010.A1")</f>
        <v>US2014256010.A1</v>
      </c>
      <c r="Y160" s="26" t="str">
        <f>HYPERLINK("http://worldwide.espacenet.com/publicationDetails/biblio?DB=EPODOC&amp;adjacent=true&amp;locale=en_EP&amp;FT=D&amp;CC=US&amp;NR=2014322781A1&amp;KC=A1","US2014322781.A1")</f>
        <v>US2014322781.A1</v>
      </c>
      <c r="Z160" s="26" t="str">
        <f>HYPERLINK("http://worldwide.espacenet.com/publicationDetails/biblio?DB=EPODOC&amp;adjacent=true&amp;locale=en_EP&amp;FT=D&amp;CC=US&amp;NR=9278892B2&amp;KC=B2","US9278892.B2")</f>
        <v>US9278892.B2</v>
      </c>
      <c r="AA160" s="26" t="str">
        <f>HYPERLINK("http://worldwide.espacenet.com/publicationDetails/biblio?DB=EPODOC&amp;adjacent=true&amp;locale=en_EP&amp;FT=D&amp;CC=US&amp;NR=9434658B2&amp;KC=B2","US9434658.B2")</f>
        <v>US9434658.B2</v>
      </c>
      <c r="AB160" s="26" t="str">
        <f>HYPERLINK("http://worldwide.espacenet.com/publicationDetails/biblio?DB=EPODOC&amp;adjacent=true&amp;locale=en_EP&amp;FT=D&amp;CC=WO&amp;NR=2014137991A1&amp;KC=A1","WO2014137991.A1")</f>
        <v>WO2014137991.A1</v>
      </c>
    </row>
    <row r="161" spans="1:31" ht="17.100000000000001" customHeight="1" x14ac:dyDescent="0.25">
      <c r="A161" s="16" t="s">
        <v>3363</v>
      </c>
      <c r="B161" s="21" t="s">
        <v>3364</v>
      </c>
      <c r="C161" s="23">
        <v>0.488394916057587</v>
      </c>
      <c r="D161" s="23">
        <v>0</v>
      </c>
      <c r="E161" s="23">
        <v>0</v>
      </c>
      <c r="F161" s="21">
        <v>0</v>
      </c>
      <c r="G161" s="23">
        <v>5</v>
      </c>
      <c r="H161" s="24">
        <v>32967</v>
      </c>
      <c r="I161" s="23">
        <v>2</v>
      </c>
      <c r="J161" s="22">
        <v>2280482</v>
      </c>
      <c r="K161" s="21" t="s">
        <v>3365</v>
      </c>
      <c r="L161" s="21" t="s">
        <v>2941</v>
      </c>
      <c r="M161" s="21" t="s">
        <v>2942</v>
      </c>
      <c r="N161" s="21" t="s">
        <v>3351</v>
      </c>
      <c r="O161" s="25" t="str">
        <f>HYPERLINK("http://worldwide.espacenet.com/publicationDetails/biblio?DB=EPODOC&amp;adjacent=true&amp;locale=en_EP&amp;FT=D&amp;CC=EP&amp;NR=0454304A1&amp;KC=A1","EP0454304.A1")</f>
        <v>EP0454304.A1</v>
      </c>
      <c r="P161" s="25" t="str">
        <f>HYPERLINK("http://worldwide.espacenet.com/publicationDetails/biblio?DB=EPODOC&amp;adjacent=true&amp;locale=en_EP&amp;FT=D&amp;CC=AU&amp;NR=7391091A&amp;KC=A","AU7391091.A")</f>
        <v>AU7391091.A</v>
      </c>
      <c r="Q161" s="26" t="str">
        <f>HYPERLINK("http://worldwide.espacenet.com/publicationDetails/biblio?DB=EPODOC&amp;adjacent=true&amp;locale=en_EP&amp;FT=D&amp;CC=CA&amp;NR=2039224A1&amp;KC=A1","CA2039224.A1")</f>
        <v>CA2039224.A1</v>
      </c>
      <c r="R161" s="26" t="str">
        <f>HYPERLINK("http://worldwide.espacenet.com/publicationDetails/biblio?DB=EPODOC&amp;adjacent=true&amp;locale=en_EP&amp;FT=D&amp;CC=EP&amp;NR=0454304A1&amp;KC=A1","EP0454304.A1")</f>
        <v>EP0454304.A1</v>
      </c>
      <c r="S161" s="26" t="str">
        <f>HYPERLINK("http://worldwide.espacenet.com/publicationDetails/biblio?DB=EPODOC&amp;adjacent=true&amp;locale=en_EP&amp;FT=D&amp;CC=JP&amp;NR=H04225093A&amp;KC=A","JPH04225093.A")</f>
        <v>JPH04225093.A</v>
      </c>
      <c r="T161" s="26" t="str">
        <f>HYPERLINK("http://worldwide.espacenet.com/publicationDetails/biblio?DB=EPODOC&amp;adjacent=true&amp;locale=en_EP&amp;FT=D&amp;CC=US&amp;NR=5080691A&amp;KC=A","US5080691.A")</f>
        <v>US5080691.A</v>
      </c>
      <c r="U161" s="26" t="str">
        <f>HYPERLINK("http://worldwide.espacenet.com/publicationDetails/biblio?DB=EPODOC&amp;adjacent=true&amp;locale=en_EP&amp;FT=D&amp;CC=WO&amp;NR=2011020194A1&amp;KC=A1","WO2011020194.A1")</f>
        <v>WO2011020194.A1</v>
      </c>
    </row>
    <row r="162" spans="1:31" ht="17.100000000000001" customHeight="1" x14ac:dyDescent="0.25">
      <c r="A162" s="16" t="s">
        <v>3366</v>
      </c>
      <c r="B162" s="21" t="s">
        <v>3367</v>
      </c>
      <c r="C162" s="23">
        <v>5.2940711975097701</v>
      </c>
      <c r="D162" s="23">
        <v>0</v>
      </c>
      <c r="E162" s="23">
        <v>0</v>
      </c>
      <c r="F162" s="21">
        <v>0</v>
      </c>
      <c r="G162" s="23">
        <v>53</v>
      </c>
      <c r="H162" s="24">
        <v>33045</v>
      </c>
      <c r="I162" s="23">
        <v>5</v>
      </c>
      <c r="J162" s="22">
        <v>1240401</v>
      </c>
      <c r="K162" s="21" t="s">
        <v>3368</v>
      </c>
      <c r="L162" s="21" t="s">
        <v>3338</v>
      </c>
      <c r="M162" s="21" t="s">
        <v>2942</v>
      </c>
      <c r="N162" s="21" t="s">
        <v>3339</v>
      </c>
      <c r="O162" s="25" t="str">
        <f>HYPERLINK("http://worldwide.espacenet.com/publicationDetails/biblio?DB=EPODOC&amp;adjacent=true&amp;locale=en_EP&amp;FT=D&amp;CC=EP&amp;NR=0462745A2&amp;KC=A2","EP0462745.A2")</f>
        <v>EP0462745.A2</v>
      </c>
      <c r="P162" s="25" t="str">
        <f>HYPERLINK("http://worldwide.espacenet.com/publicationDetails/biblio?DB=EPODOC&amp;adjacent=true&amp;locale=en_EP&amp;FT=D&amp;CC=AT&amp;NR=133922T&amp;KC=T","AT133922.T")</f>
        <v>AT133922.T</v>
      </c>
      <c r="Q162" s="26" t="str">
        <f>HYPERLINK("http://worldwide.espacenet.com/publicationDetails/biblio?DB=EPODOC&amp;adjacent=true&amp;locale=en_EP&amp;FT=D&amp;CC=AU&amp;NR=639110B2&amp;KC=B2","AU639110.B2")</f>
        <v>AU639110.B2</v>
      </c>
      <c r="R162" s="26" t="str">
        <f>HYPERLINK("http://worldwide.espacenet.com/publicationDetails/biblio?DB=EPODOC&amp;adjacent=true&amp;locale=en_EP&amp;FT=D&amp;CC=AU&amp;NR=7836991A&amp;KC=A","AU7836991.A")</f>
        <v>AU7836991.A</v>
      </c>
      <c r="S162" s="26" t="str">
        <f>HYPERLINK("http://worldwide.espacenet.com/publicationDetails/biblio?DB=EPODOC&amp;adjacent=true&amp;locale=en_EP&amp;FT=D&amp;CC=CA&amp;NR=2044960A1&amp;KC=A1","CA2044960.A1")</f>
        <v>CA2044960.A1</v>
      </c>
      <c r="T162" s="26" t="str">
        <f>HYPERLINK("http://worldwide.espacenet.com/publicationDetails/biblio?DB=EPODOC&amp;adjacent=true&amp;locale=en_EP&amp;FT=D&amp;CC=CA&amp;NR=2044960C&amp;KC=C","CA2044960.C")</f>
        <v>CA2044960.C</v>
      </c>
      <c r="U162" s="26" t="str">
        <f>HYPERLINK("http://worldwide.espacenet.com/publicationDetails/biblio?DB=EPODOC&amp;adjacent=true&amp;locale=en_EP&amp;FT=D&amp;CC=EP&amp;NR=0050499A2&amp;KC=A2","EP0050499.A2")</f>
        <v>EP0050499.A2</v>
      </c>
      <c r="V162" s="26" t="str">
        <f>HYPERLINK("http://worldwide.espacenet.com/publicationDetails/biblio?DB=EPODOC&amp;adjacent=true&amp;locale=en_EP&amp;FT=D&amp;CC=EP&amp;NR=0050499A3&amp;KC=A3","EP0050499.A3")</f>
        <v>EP0050499.A3</v>
      </c>
      <c r="W162" s="26" t="str">
        <f>HYPERLINK("http://worldwide.espacenet.com/publicationDetails/biblio?DB=EPODOC&amp;adjacent=true&amp;locale=en_EP&amp;FT=D&amp;CC=EP&amp;NR=0050499B1&amp;KC=B1","EP0050499.B1")</f>
        <v>EP0050499.B1</v>
      </c>
      <c r="X162" s="26" t="str">
        <f>HYPERLINK("http://worldwide.espacenet.com/publicationDetails/biblio?DB=EPODOC&amp;adjacent=true&amp;locale=en_EP&amp;FT=D&amp;CC=IN&amp;NR=157106B&amp;KC=B","IN157106.B")</f>
        <v>IN157106.B</v>
      </c>
      <c r="Y162" s="26" t="str">
        <f>HYPERLINK("http://worldwide.espacenet.com/publicationDetails/biblio?DB=EPODOC&amp;adjacent=true&amp;locale=en_EP&amp;FT=D&amp;CC=JP&amp;NR=H0148958B2&amp;KC=B2","JPH0148958.B2")</f>
        <v>JPH0148958.B2</v>
      </c>
      <c r="Z162" s="26" t="str">
        <f>HYPERLINK("http://worldwide.espacenet.com/publicationDetails/biblio?DB=EPODOC&amp;adjacent=true&amp;locale=en_EP&amp;FT=D&amp;CC=JP&amp;NR=S5796086A&amp;KC=A","JPS5796086.A")</f>
        <v>JPS5796086.A</v>
      </c>
      <c r="AA162" s="26" t="str">
        <f>HYPERLINK("http://worldwide.espacenet.com/publicationDetails/biblio?DB=EPODOC&amp;adjacent=true&amp;locale=en_EP&amp;FT=D&amp;CC=NO&amp;NR=163236B&amp;KC=B","NO163236.B")</f>
        <v>NO163236.B</v>
      </c>
      <c r="AB162" s="26" t="str">
        <f>HYPERLINK("http://worldwide.espacenet.com/publicationDetails/biblio?DB=EPODOC&amp;adjacent=true&amp;locale=en_EP&amp;FT=D&amp;CC=NO&amp;NR=163236C&amp;KC=C","NO163236.C")</f>
        <v>NO163236.C</v>
      </c>
      <c r="AC162" s="26" t="str">
        <f>HYPERLINK("http://worldwide.espacenet.com/publicationDetails/biblio?DB=EPODOC&amp;adjacent=true&amp;locale=en_EP&amp;FT=D&amp;CC=NO&amp;NR=813481L&amp;KC=L","NO813481.L")</f>
        <v>NO813481.L</v>
      </c>
      <c r="AD162" s="26" t="str">
        <f>HYPERLINK("http://worldwide.espacenet.com/publicationDetails/biblio?DB=EPODOC&amp;adjacent=true&amp;locale=en_EP&amp;FT=D&amp;CC=US&amp;NR=4444652A&amp;KC=A","US4444652.A")</f>
        <v>US4444652.A</v>
      </c>
      <c r="AE162" s="26" t="str">
        <f>HYPERLINK("http://worldwide.espacenet.com/publicationDetails/biblio?DB=EPODOC&amp;adjacent=true&amp;locale=en_EP&amp;FT=D&amp;CC=ZA&amp;NR=8107004B&amp;KC=B","ZA8107004.B")</f>
        <v>ZA8107004.B</v>
      </c>
    </row>
    <row r="163" spans="1:31" ht="17.100000000000001" customHeight="1" x14ac:dyDescent="0.25">
      <c r="A163" s="16" t="s">
        <v>3369</v>
      </c>
      <c r="B163" s="21" t="s">
        <v>3370</v>
      </c>
      <c r="C163" s="23">
        <v>5.5100593566894496</v>
      </c>
      <c r="D163" s="23">
        <v>0</v>
      </c>
      <c r="E163" s="23">
        <v>0</v>
      </c>
      <c r="F163" s="21">
        <v>0</v>
      </c>
      <c r="G163" s="23">
        <v>42</v>
      </c>
      <c r="H163" s="24">
        <v>33046</v>
      </c>
      <c r="I163" s="23">
        <v>5</v>
      </c>
      <c r="J163" s="22">
        <v>1240402</v>
      </c>
      <c r="K163" s="21" t="s">
        <v>3371</v>
      </c>
      <c r="L163" s="21" t="s">
        <v>3338</v>
      </c>
      <c r="M163" s="21" t="s">
        <v>2942</v>
      </c>
      <c r="N163" s="21" t="s">
        <v>3339</v>
      </c>
      <c r="O163" s="25" t="str">
        <f>HYPERLINK("http://worldwide.espacenet.com/publicationDetails/biblio?DB=EPODOC&amp;adjacent=true&amp;locale=en_EP&amp;FT=D&amp;CC=EP&amp;NR=0463768A2&amp;KC=A2","EP0463768.A2")</f>
        <v>EP0463768.A2</v>
      </c>
      <c r="P163" s="25" t="str">
        <f>HYPERLINK("http://worldwide.espacenet.com/publicationDetails/biblio?DB=EPODOC&amp;adjacent=true&amp;locale=en_EP&amp;FT=D&amp;CC=AT&amp;NR=144755T&amp;KC=T","AT144755.T")</f>
        <v>AT144755.T</v>
      </c>
      <c r="Q163" s="26" t="str">
        <f>HYPERLINK("http://worldwide.espacenet.com/publicationDetails/biblio?DB=EPODOC&amp;adjacent=true&amp;locale=en_EP&amp;FT=D&amp;CC=AU&amp;NR=641018B2&amp;KC=B2","AU641018.B2")</f>
        <v>AU641018.B2</v>
      </c>
      <c r="R163" s="26" t="str">
        <f>HYPERLINK("http://worldwide.espacenet.com/publicationDetails/biblio?DB=EPODOC&amp;adjacent=true&amp;locale=en_EP&amp;FT=D&amp;CC=AU&amp;NR=7836891A&amp;KC=A","AU7836891.A")</f>
        <v>AU7836891.A</v>
      </c>
      <c r="S163" s="26" t="str">
        <f>HYPERLINK("http://worldwide.espacenet.com/publicationDetails/biblio?DB=EPODOC&amp;adjacent=true&amp;locale=en_EP&amp;FT=D&amp;CC=CA&amp;NR=2044959A1&amp;KC=A1","CA2044959.A1")</f>
        <v>CA2044959.A1</v>
      </c>
      <c r="T163" s="26" t="str">
        <f>HYPERLINK("http://worldwide.espacenet.com/publicationDetails/biblio?DB=EPODOC&amp;adjacent=true&amp;locale=en_EP&amp;FT=D&amp;CC=CA&amp;NR=2044959C&amp;KC=C","CA2044959.C")</f>
        <v>CA2044959.C</v>
      </c>
      <c r="U163" s="26" t="str">
        <f>HYPERLINK("http://worldwide.espacenet.com/publicationDetails/biblio?DB=EPODOC&amp;adjacent=true&amp;locale=en_EP&amp;FT=D&amp;CC=EP&amp;NR=0723326A3&amp;KC=A3","EP0723326.A3")</f>
        <v>EP0723326.A3</v>
      </c>
      <c r="V163" s="26" t="str">
        <f>HYPERLINK("http://worldwide.espacenet.com/publicationDetails/biblio?DB=EPODOC&amp;adjacent=true&amp;locale=en_EP&amp;FT=D&amp;CC=EP&amp;NR=0723326B1&amp;KC=B1","EP0723326.B1")</f>
        <v>EP0723326.B1</v>
      </c>
      <c r="W163" s="26" t="str">
        <f>HYPERLINK("http://worldwide.espacenet.com/publicationDetails/biblio?DB=EPODOC&amp;adjacent=true&amp;locale=en_EP&amp;FT=D&amp;CC=JP&amp;NR=3303155B2&amp;KC=B2","JP3303155.B2")</f>
        <v>JP3303155.B2</v>
      </c>
      <c r="X163" s="26" t="str">
        <f>HYPERLINK("http://worldwide.espacenet.com/publicationDetails/biblio?DB=EPODOC&amp;adjacent=true&amp;locale=en_EP&amp;FT=D&amp;CC=JP&amp;NR=H08195225A&amp;KC=A","JPH08195225.A")</f>
        <v>JPH08195225.A</v>
      </c>
      <c r="Y163" s="26" t="str">
        <f>HYPERLINK("http://worldwide.espacenet.com/publicationDetails/biblio?DB=EPODOC&amp;adjacent=true&amp;locale=en_EP&amp;FT=D&amp;CC=US&amp;NR=5861733A&amp;KC=A","US5861733.A")</f>
        <v>US5861733.A</v>
      </c>
    </row>
    <row r="164" spans="1:31" ht="17.100000000000001" customHeight="1" x14ac:dyDescent="0.25">
      <c r="A164" s="16" t="s">
        <v>3372</v>
      </c>
      <c r="B164" s="21" t="s">
        <v>3373</v>
      </c>
      <c r="C164" s="23">
        <v>0.63545262813568104</v>
      </c>
      <c r="D164" s="23">
        <v>0</v>
      </c>
      <c r="E164" s="23">
        <v>0</v>
      </c>
      <c r="F164" s="21">
        <v>0</v>
      </c>
      <c r="G164" s="23">
        <v>4</v>
      </c>
      <c r="H164" s="24">
        <v>32696</v>
      </c>
      <c r="I164" s="23">
        <v>4</v>
      </c>
      <c r="J164" s="22">
        <v>2098346</v>
      </c>
      <c r="K164" s="21" t="s">
        <v>3374</v>
      </c>
      <c r="L164" s="21" t="s">
        <v>3261</v>
      </c>
      <c r="M164" s="21" t="s">
        <v>2942</v>
      </c>
      <c r="N164" s="21" t="s">
        <v>3278</v>
      </c>
      <c r="O164" s="25" t="str">
        <f>HYPERLINK("http://worldwide.espacenet.com/publicationDetails/biblio?DB=EPODOC&amp;adjacent=true&amp;locale=en_EP&amp;FT=D&amp;CC=EP&amp;NR=0483222A1&amp;KC=A1","EP0483222.A1")</f>
        <v>EP0483222.A1</v>
      </c>
      <c r="P164" s="25" t="str">
        <f>HYPERLINK("http://worldwide.espacenet.com/publicationDetails/biblio?DB=EPODOC&amp;adjacent=true&amp;locale=en_EP&amp;FT=D&amp;CC=AU&amp;NR=5965490A&amp;KC=A","AU5965490.A")</f>
        <v>AU5965490.A</v>
      </c>
      <c r="Q164" s="26" t="str">
        <f>HYPERLINK("http://worldwide.espacenet.com/publicationDetails/biblio?DB=EPODOC&amp;adjacent=true&amp;locale=en_EP&amp;FT=D&amp;CC=BR&amp;NR=9007513A&amp;KC=A","BR9007513.A")</f>
        <v>BR9007513.A</v>
      </c>
      <c r="R164" s="26" t="str">
        <f>HYPERLINK("http://worldwide.espacenet.com/publicationDetails/biblio?DB=EPODOC&amp;adjacent=true&amp;locale=en_EP&amp;FT=D&amp;CC=CA&amp;NR=2062799A1&amp;KC=A1","CA2062799.A1")</f>
        <v>CA2062799.A1</v>
      </c>
      <c r="S164" s="26" t="str">
        <f>HYPERLINK("http://worldwide.espacenet.com/publicationDetails/biblio?DB=EPODOC&amp;adjacent=true&amp;locale=en_EP&amp;FT=D&amp;CC=EP&amp;NR=0483222A1&amp;KC=A1","EP0483222.A1")</f>
        <v>EP0483222.A1</v>
      </c>
      <c r="T164" s="26" t="str">
        <f>HYPERLINK("http://worldwide.espacenet.com/publicationDetails/biblio?DB=EPODOC&amp;adjacent=true&amp;locale=en_EP&amp;FT=D&amp;CC=EP&amp;NR=0483222A4&amp;KC=A4","EP0483222.A4")</f>
        <v>EP0483222.A4</v>
      </c>
    </row>
    <row r="165" spans="1:31" ht="17.100000000000001" customHeight="1" x14ac:dyDescent="0.25">
      <c r="A165" s="16" t="s">
        <v>3375</v>
      </c>
      <c r="B165" s="21" t="s">
        <v>3376</v>
      </c>
      <c r="C165" s="23">
        <v>0.90968137979507402</v>
      </c>
      <c r="D165" s="23">
        <v>0</v>
      </c>
      <c r="E165" s="23">
        <v>0</v>
      </c>
      <c r="F165" s="21">
        <v>0</v>
      </c>
      <c r="G165" s="23">
        <v>12</v>
      </c>
      <c r="H165" s="24">
        <v>32598</v>
      </c>
      <c r="I165" s="23">
        <v>4</v>
      </c>
      <c r="J165" s="22">
        <v>2286211</v>
      </c>
      <c r="K165" s="21" t="s">
        <v>3377</v>
      </c>
      <c r="L165" s="21" t="s">
        <v>2941</v>
      </c>
      <c r="M165" s="21" t="s">
        <v>2942</v>
      </c>
      <c r="N165" s="21" t="s">
        <v>3378</v>
      </c>
      <c r="O165" s="25" t="str">
        <f>HYPERLINK("http://worldwide.espacenet.com/publicationDetails/biblio?DB=EPODOC&amp;adjacent=true&amp;locale=en_EP&amp;FT=D&amp;CC=EP&amp;NR=0509162A1&amp;KC=A1","EP0509162.A1")</f>
        <v>EP0509162.A1</v>
      </c>
      <c r="P165" s="25" t="str">
        <f>HYPERLINK("http://worldwide.espacenet.com/publicationDetails/biblio?DB=EPODOC&amp;adjacent=true&amp;locale=en_EP&amp;FT=D&amp;CC=AU&amp;NR=633719B2&amp;KC=B2","AU633719.B2")</f>
        <v>AU633719.B2</v>
      </c>
      <c r="Q165" s="26" t="str">
        <f>HYPERLINK("http://worldwide.espacenet.com/publicationDetails/biblio?DB=EPODOC&amp;adjacent=true&amp;locale=en_EP&amp;FT=D&amp;CC=AU&amp;NR=7437591A&amp;KC=A","AU7437591.A")</f>
        <v>AU7437591.A</v>
      </c>
      <c r="R165" s="26" t="str">
        <f>HYPERLINK("http://worldwide.espacenet.com/publicationDetails/biblio?DB=EPODOC&amp;adjacent=true&amp;locale=en_EP&amp;FT=D&amp;CC=CA&amp;NR=2040152A1&amp;KC=A1","CA2040152.A1")</f>
        <v>CA2040152.A1</v>
      </c>
      <c r="S165" s="26" t="str">
        <f>HYPERLINK("http://worldwide.espacenet.com/publicationDetails/biblio?DB=EPODOC&amp;adjacent=true&amp;locale=en_EP&amp;FT=D&amp;CC=DE&amp;NR=69102419D1&amp;KC=D1","DE69102419.D1")</f>
        <v>DE69102419.D1</v>
      </c>
      <c r="T165" s="26" t="str">
        <f>HYPERLINK("http://worldwide.espacenet.com/publicationDetails/biblio?DB=EPODOC&amp;adjacent=true&amp;locale=en_EP&amp;FT=D&amp;CC=DE&amp;NR=69102419T2&amp;KC=T2","DE69102419.T2")</f>
        <v>DE69102419.T2</v>
      </c>
    </row>
    <row r="166" spans="1:31" ht="17.100000000000001" customHeight="1" x14ac:dyDescent="0.25">
      <c r="A166" s="16" t="s">
        <v>3379</v>
      </c>
      <c r="B166" s="21" t="s">
        <v>3380</v>
      </c>
      <c r="C166" s="23">
        <v>0.84744572639465299</v>
      </c>
      <c r="D166" s="23">
        <v>0</v>
      </c>
      <c r="E166" s="23">
        <v>0</v>
      </c>
      <c r="F166" s="21">
        <v>0</v>
      </c>
      <c r="G166" s="23">
        <v>8</v>
      </c>
      <c r="H166" s="24">
        <v>33534</v>
      </c>
      <c r="I166" s="23">
        <v>2</v>
      </c>
      <c r="J166" s="22">
        <v>1256099</v>
      </c>
      <c r="K166" s="21" t="s">
        <v>3381</v>
      </c>
      <c r="L166" s="21" t="s">
        <v>3382</v>
      </c>
      <c r="M166" s="21" t="s">
        <v>2942</v>
      </c>
      <c r="N166" s="21" t="s">
        <v>3383</v>
      </c>
      <c r="O166" s="25" t="str">
        <f>HYPERLINK("http://worldwide.espacenet.com/publicationDetails/biblio?DB=EPODOC&amp;adjacent=true&amp;locale=en_EP&amp;FT=D&amp;CC=EP&amp;NR=0539121A1&amp;KC=A1","EP0539121.A1")</f>
        <v>EP0539121.A1</v>
      </c>
      <c r="P166" s="25" t="str">
        <f>HYPERLINK("http://worldwide.espacenet.com/publicationDetails/biblio?DB=EPODOC&amp;adjacent=true&amp;locale=en_EP&amp;FT=D&amp;CC=AT&amp;NR=140636T&amp;KC=T","AT140636.T")</f>
        <v>AT140636.T</v>
      </c>
      <c r="Q166" s="26" t="str">
        <f>HYPERLINK("http://worldwide.espacenet.com/publicationDetails/biblio?DB=EPODOC&amp;adjacent=true&amp;locale=en_EP&amp;FT=D&amp;CC=CA&amp;NR=2081030A1&amp;KC=A1","CA2081030.A1")</f>
        <v>CA2081030.A1</v>
      </c>
      <c r="R166" s="26" t="str">
        <f>HYPERLINK("http://worldwide.espacenet.com/publicationDetails/biblio?DB=EPODOC&amp;adjacent=true&amp;locale=en_EP&amp;FT=D&amp;CC=CA&amp;NR=2081030C&amp;KC=C","CA2081030.C")</f>
        <v>CA2081030.C</v>
      </c>
      <c r="S166" s="26" t="str">
        <f>HYPERLINK("http://worldwide.espacenet.com/publicationDetails/biblio?DB=EPODOC&amp;adjacent=true&amp;locale=en_EP&amp;FT=D&amp;CC=CN&amp;NR=1032407C&amp;KC=C","CN1032407.C")</f>
        <v>CN1032407.C</v>
      </c>
      <c r="T166" s="26" t="str">
        <f>HYPERLINK("http://worldwide.espacenet.com/publicationDetails/biblio?DB=EPODOC&amp;adjacent=true&amp;locale=en_EP&amp;FT=D&amp;CC=CN&amp;NR=1073888A&amp;KC=A","CN1073888.A")</f>
        <v>CN1073888.A</v>
      </c>
    </row>
    <row r="167" spans="1:31" ht="17.100000000000001" customHeight="1" x14ac:dyDescent="0.25">
      <c r="A167" s="16" t="s">
        <v>3384</v>
      </c>
      <c r="B167" s="21" t="s">
        <v>3385</v>
      </c>
      <c r="C167" s="23">
        <v>3.6992542743682901</v>
      </c>
      <c r="D167" s="23">
        <v>0</v>
      </c>
      <c r="E167" s="23">
        <v>0</v>
      </c>
      <c r="F167" s="21">
        <v>0</v>
      </c>
      <c r="G167" s="23">
        <v>31</v>
      </c>
      <c r="H167" s="24">
        <v>33785</v>
      </c>
      <c r="I167" s="23">
        <v>5</v>
      </c>
      <c r="J167" s="22">
        <v>1913462</v>
      </c>
      <c r="K167" s="21" t="s">
        <v>3386</v>
      </c>
      <c r="L167" s="21" t="s">
        <v>3261</v>
      </c>
      <c r="M167" s="21" t="s">
        <v>2942</v>
      </c>
      <c r="N167" s="21" t="s">
        <v>3339</v>
      </c>
      <c r="O167" s="25" t="str">
        <f>HYPERLINK("http://worldwide.espacenet.com/publicationDetails/biblio?DB=EPODOC&amp;adjacent=true&amp;locale=en_EP&amp;FT=D&amp;CC=EP&amp;NR=0604640A1&amp;KC=A1","EP0604640.A1")</f>
        <v>EP0604640.A1</v>
      </c>
      <c r="P167" s="25" t="str">
        <f>HYPERLINK("http://worldwide.espacenet.com/publicationDetails/biblio?DB=EPODOC&amp;adjacent=true&amp;locale=en_EP&amp;FT=D&amp;CC=AU&amp;NR=4652193A&amp;KC=A","AU4652193.A")</f>
        <v>AU4652193.A</v>
      </c>
      <c r="Q167" s="26" t="str">
        <f>HYPERLINK("http://worldwide.espacenet.com/publicationDetails/biblio?DB=EPODOC&amp;adjacent=true&amp;locale=en_EP&amp;FT=D&amp;CC=AU&amp;NR=6678396A&amp;KC=A","AU6678396.A")</f>
        <v>AU6678396.A</v>
      </c>
      <c r="R167" s="26" t="str">
        <f>HYPERLINK("http://worldwide.espacenet.com/publicationDetails/biblio?DB=EPODOC&amp;adjacent=true&amp;locale=en_EP&amp;FT=D&amp;CC=EP&amp;NR=0604640A1&amp;KC=A1","EP0604640.A1")</f>
        <v>EP0604640.A1</v>
      </c>
      <c r="S167" s="26" t="str">
        <f>HYPERLINK("http://worldwide.espacenet.com/publicationDetails/biblio?DB=EPODOC&amp;adjacent=true&amp;locale=en_EP&amp;FT=D&amp;CC=JP&amp;NR=H07501042A&amp;KC=A","JPH07501042.A")</f>
        <v>JPH07501042.A</v>
      </c>
      <c r="T167" s="26" t="str">
        <f>HYPERLINK("http://worldwide.espacenet.com/publicationDetails/biblio?DB=EPODOC&amp;adjacent=true&amp;locale=en_EP&amp;FT=D&amp;CC=US&amp;NR=5254514A&amp;KC=A","US5254514.A")</f>
        <v>US5254514.A</v>
      </c>
    </row>
    <row r="168" spans="1:31" ht="17.100000000000001" customHeight="1" x14ac:dyDescent="0.25">
      <c r="A168" s="16" t="s">
        <v>3387</v>
      </c>
      <c r="B168" s="21" t="s">
        <v>3388</v>
      </c>
      <c r="C168" s="23">
        <v>11.0326194763184</v>
      </c>
      <c r="D168" s="23">
        <v>0</v>
      </c>
      <c r="E168" s="23">
        <v>0</v>
      </c>
      <c r="F168" s="21">
        <v>0</v>
      </c>
      <c r="G168" s="23">
        <v>114</v>
      </c>
      <c r="H168" s="24">
        <v>33886</v>
      </c>
      <c r="I168" s="23">
        <v>5</v>
      </c>
      <c r="J168" s="22">
        <v>1977275</v>
      </c>
      <c r="K168" s="21" t="s">
        <v>3389</v>
      </c>
      <c r="L168" s="21" t="s">
        <v>3261</v>
      </c>
      <c r="M168" s="21" t="s">
        <v>2942</v>
      </c>
      <c r="N168" s="21" t="s">
        <v>3339</v>
      </c>
      <c r="O168" s="25" t="str">
        <f>HYPERLINK("http://worldwide.espacenet.com/publicationDetails/biblio?DB=EPODOC&amp;adjacent=true&amp;locale=en_EP&amp;FT=D&amp;CC=EP&amp;NR=0618879A1&amp;KC=A1","EP0618879.A1")</f>
        <v>EP0618879.A1</v>
      </c>
      <c r="P168" s="25" t="str">
        <f>HYPERLINK("http://worldwide.espacenet.com/publicationDetails/biblio?DB=EPODOC&amp;adjacent=true&amp;locale=en_EP&amp;FT=D&amp;CC=AU&amp;NR=5101793A&amp;KC=A","AU5101793.A")</f>
        <v>AU5101793.A</v>
      </c>
      <c r="Q168" s="26" t="str">
        <f>HYPERLINK("http://worldwide.espacenet.com/publicationDetails/biblio?DB=EPODOC&amp;adjacent=true&amp;locale=en_EP&amp;FT=D&amp;CC=EP&amp;NR=0618879A1&amp;KC=A1","EP0618879.A1")</f>
        <v>EP0618879.A1</v>
      </c>
      <c r="R168" s="26" t="str">
        <f>HYPERLINK("http://worldwide.espacenet.com/publicationDetails/biblio?DB=EPODOC&amp;adjacent=true&amp;locale=en_EP&amp;FT=D&amp;CC=EP&amp;NR=0618879A4&amp;KC=A4","EP0618879.A4")</f>
        <v>EP0618879.A4</v>
      </c>
      <c r="S168" s="26" t="str">
        <f>HYPERLINK("http://worldwide.espacenet.com/publicationDetails/biblio?DB=EPODOC&amp;adjacent=true&amp;locale=en_EP&amp;FT=D&amp;CC=JP&amp;NR=3499870B2&amp;KC=B2","JP3499870.B2")</f>
        <v>JP3499870.B2</v>
      </c>
      <c r="T168" s="26" t="str">
        <f>HYPERLINK("http://worldwide.espacenet.com/publicationDetails/biblio?DB=EPODOC&amp;adjacent=true&amp;locale=en_EP&amp;FT=D&amp;CC=JP&amp;NR=H07504151A&amp;KC=A","JPH07504151.A")</f>
        <v>JPH07504151.A</v>
      </c>
      <c r="U168" s="26" t="str">
        <f>HYPERLINK("http://worldwide.espacenet.com/publicationDetails/biblio?DB=EPODOC&amp;adjacent=true&amp;locale=en_EP&amp;FT=D&amp;CC=US&amp;NR=2010041932A1&amp;KC=A1","US2010041932.A1")</f>
        <v>US2010041932.A1</v>
      </c>
      <c r="V168" s="26" t="str">
        <f>HYPERLINK("http://worldwide.espacenet.com/publicationDetails/biblio?DB=EPODOC&amp;adjacent=true&amp;locale=en_EP&amp;FT=D&amp;CC=US&amp;NR=8450545B2&amp;KC=B2","US8450545.B2")</f>
        <v>US8450545.B2</v>
      </c>
      <c r="W168" s="26" t="str">
        <f>HYPERLINK("http://worldwide.espacenet.com/publicationDetails/biblio?DB=EPODOC&amp;adjacent=true&amp;locale=en_EP&amp;FT=D&amp;CC=WO&amp;NR=2010011958A2&amp;KC=A2","WO2010011958.A2")</f>
        <v>WO2010011958.A2</v>
      </c>
      <c r="X168" s="26" t="str">
        <f>HYPERLINK("http://worldwide.espacenet.com/publicationDetails/biblio?DB=EPODOC&amp;adjacent=true&amp;locale=en_EP&amp;FT=D&amp;CC=WO&amp;NR=2010011958A3&amp;KC=A3","WO2010011958.A3")</f>
        <v>WO2010011958.A3</v>
      </c>
    </row>
    <row r="169" spans="1:31" ht="17.100000000000001" customHeight="1" x14ac:dyDescent="0.25">
      <c r="A169" s="16" t="s">
        <v>3390</v>
      </c>
      <c r="B169" s="21" t="s">
        <v>3391</v>
      </c>
      <c r="C169" s="23">
        <v>3.7086441516876198</v>
      </c>
      <c r="D169" s="23">
        <v>0</v>
      </c>
      <c r="E169" s="23">
        <v>0</v>
      </c>
      <c r="F169" s="21">
        <v>0</v>
      </c>
      <c r="G169" s="23">
        <v>29</v>
      </c>
      <c r="H169" s="24">
        <v>34718</v>
      </c>
      <c r="I169" s="23">
        <v>2</v>
      </c>
      <c r="J169" s="22">
        <v>7463058</v>
      </c>
      <c r="K169" s="21" t="s">
        <v>3392</v>
      </c>
      <c r="L169" s="21" t="s">
        <v>3393</v>
      </c>
      <c r="M169" s="21" t="s">
        <v>2942</v>
      </c>
      <c r="N169" s="21" t="s">
        <v>3394</v>
      </c>
      <c r="O169" s="25" t="str">
        <f>HYPERLINK("http://worldwide.espacenet.com/publicationDetails/biblio?DB=EPODOC&amp;adjacent=true&amp;locale=en_EP&amp;FT=D&amp;CC=EP&amp;NR=0723326A2&amp;KC=A2","EP0723326.A2")</f>
        <v>EP0723326.A2</v>
      </c>
      <c r="P169" s="25" t="str">
        <f>HYPERLINK("http://worldwide.espacenet.com/publicationDetails/biblio?DB=EPODOC&amp;adjacent=true&amp;locale=en_EP&amp;FT=D&amp;CC=CN&amp;NR=1044052C&amp;KC=C","CN1044052.C")</f>
        <v>CN1044052.C</v>
      </c>
      <c r="Q169" s="26" t="str">
        <f>HYPERLINK("http://worldwide.espacenet.com/publicationDetails/biblio?DB=EPODOC&amp;adjacent=true&amp;locale=en_EP&amp;FT=D&amp;CC=CN&amp;NR=1134620A&amp;KC=A","CN1134620.A")</f>
        <v>CN1134620.A</v>
      </c>
      <c r="R169" s="26" t="str">
        <f>HYPERLINK("http://worldwide.espacenet.com/publicationDetails/biblio?DB=EPODOC&amp;adjacent=true&amp;locale=en_EP&amp;FT=D&amp;CC=DE&amp;NR=69620929D1&amp;KC=D1","DE69620929.D1")</f>
        <v>DE69620929.D1</v>
      </c>
      <c r="S169" s="26" t="str">
        <f>HYPERLINK("http://worldwide.espacenet.com/publicationDetails/biblio?DB=EPODOC&amp;adjacent=true&amp;locale=en_EP&amp;FT=D&amp;CC=DE&amp;NR=69620929T2&amp;KC=T2","DE69620929.T2")</f>
        <v>DE69620929.T2</v>
      </c>
      <c r="T169" s="26" t="str">
        <f>HYPERLINK("http://worldwide.espacenet.com/publicationDetails/biblio?DB=EPODOC&amp;adjacent=true&amp;locale=en_EP&amp;FT=D&amp;CC=EP&amp;NR=0723326A2&amp;KC=A2","EP0723326.A2")</f>
        <v>EP0723326.A2</v>
      </c>
    </row>
    <row r="170" spans="1:31" ht="17.100000000000001" customHeight="1" x14ac:dyDescent="0.25">
      <c r="A170" s="16" t="s">
        <v>3395</v>
      </c>
      <c r="B170" s="21" t="s">
        <v>3396</v>
      </c>
      <c r="C170" s="23">
        <v>2.9908809661865199</v>
      </c>
      <c r="D170" s="23">
        <v>0</v>
      </c>
      <c r="E170" s="23">
        <v>0</v>
      </c>
      <c r="F170" s="21">
        <v>0</v>
      </c>
      <c r="G170" s="23">
        <v>30</v>
      </c>
      <c r="H170" s="24">
        <v>34526</v>
      </c>
      <c r="I170" s="23">
        <v>4</v>
      </c>
      <c r="J170" s="22">
        <v>1660953</v>
      </c>
      <c r="K170" s="21" t="s">
        <v>3397</v>
      </c>
      <c r="L170" s="21" t="s">
        <v>3261</v>
      </c>
      <c r="M170" s="21" t="s">
        <v>2942</v>
      </c>
      <c r="N170" s="21" t="s">
        <v>3398</v>
      </c>
      <c r="O170" s="25" t="str">
        <f>HYPERLINK("http://worldwide.espacenet.com/publicationDetails/biblio?DB=EPODOC&amp;adjacent=true&amp;locale=en_EP&amp;FT=D&amp;CC=EP&amp;NR=0769984A1&amp;KC=A1","EP0769984.A1")</f>
        <v>EP0769984.A1</v>
      </c>
      <c r="P170" s="25" t="str">
        <f>HYPERLINK("http://worldwide.espacenet.com/publicationDetails/biblio?DB=EPODOC&amp;adjacent=true&amp;locale=en_EP&amp;FT=D&amp;CC=AU&amp;NR=2869495A&amp;KC=A","AU2869495.A")</f>
        <v>AU2869495.A</v>
      </c>
      <c r="Q170" s="26" t="str">
        <f>HYPERLINK("http://worldwide.espacenet.com/publicationDetails/biblio?DB=EPODOC&amp;adjacent=true&amp;locale=en_EP&amp;FT=D&amp;CC=BR&amp;NR=9508391A&amp;KC=A","BR9508391.A")</f>
        <v>BR9508391.A</v>
      </c>
      <c r="R170" s="26" t="str">
        <f>HYPERLINK("http://worldwide.espacenet.com/publicationDetails/biblio?DB=EPODOC&amp;adjacent=true&amp;locale=en_EP&amp;FT=D&amp;CC=CN&amp;NR=1152263A&amp;KC=A","CN1152263.A")</f>
        <v>CN1152263.A</v>
      </c>
      <c r="S170" s="26" t="str">
        <f>HYPERLINK("http://worldwide.espacenet.com/publicationDetails/biblio?DB=EPODOC&amp;adjacent=true&amp;locale=en_EP&amp;FT=D&amp;CC=EP&amp;NR=0769984A1&amp;KC=A1","EP0769984.A1")</f>
        <v>EP0769984.A1</v>
      </c>
      <c r="T170" s="26" t="str">
        <f>HYPERLINK("http://worldwide.espacenet.com/publicationDetails/biblio?DB=EPODOC&amp;adjacent=true&amp;locale=en_EP&amp;FT=D&amp;CC=EP&amp;NR=0769984A4&amp;KC=A4","EP0769984.A4")</f>
        <v>EP0769984.A4</v>
      </c>
    </row>
    <row r="171" spans="1:31" ht="17.100000000000001" customHeight="1" x14ac:dyDescent="0.25">
      <c r="A171" s="16" t="s">
        <v>3399</v>
      </c>
      <c r="B171" s="21" t="s">
        <v>3400</v>
      </c>
      <c r="C171" s="23">
        <v>1.07872867584229</v>
      </c>
      <c r="D171" s="23">
        <v>0</v>
      </c>
      <c r="E171" s="23">
        <v>0</v>
      </c>
      <c r="F171" s="21">
        <v>0</v>
      </c>
      <c r="G171" s="23">
        <v>12</v>
      </c>
      <c r="H171" s="24">
        <v>34690</v>
      </c>
      <c r="I171" s="23">
        <v>1</v>
      </c>
      <c r="J171" s="22">
        <v>1333548</v>
      </c>
      <c r="K171" s="21" t="s">
        <v>3401</v>
      </c>
      <c r="L171" s="21" t="s">
        <v>3402</v>
      </c>
      <c r="M171" s="21" t="s">
        <v>2942</v>
      </c>
      <c r="N171" s="21" t="s">
        <v>3003</v>
      </c>
      <c r="O171" s="25" t="str">
        <f>HYPERLINK("http://worldwide.espacenet.com/publicationDetails/biblio?DB=EPODOC&amp;adjacent=true&amp;locale=en_EP&amp;FT=D&amp;CC=EP&amp;NR=0913452A1&amp;KC=A1","EP0913452.A1")</f>
        <v>EP0913452.A1</v>
      </c>
      <c r="P171" s="25" t="str">
        <f>HYPERLINK("http://worldwide.espacenet.com/publicationDetails/biblio?DB=EPODOC&amp;adjacent=true&amp;locale=en_EP&amp;FT=D&amp;CC=AT&amp;NR=230007T&amp;KC=T","AT230007.T")</f>
        <v>AT230007.T</v>
      </c>
      <c r="Q171" s="26" t="str">
        <f>HYPERLINK("http://worldwide.espacenet.com/publicationDetails/biblio?DB=EPODOC&amp;adjacent=true&amp;locale=en_EP&amp;FT=D&amp;CC=AU&amp;NR=4366497A&amp;KC=A","AU4366497.A")</f>
        <v>AU4366497.A</v>
      </c>
      <c r="R171" s="26" t="str">
        <f>HYPERLINK("http://worldwide.espacenet.com/publicationDetails/biblio?DB=EPODOC&amp;adjacent=true&amp;locale=en_EP&amp;FT=D&amp;CC=AU&amp;NR=743806B2&amp;KC=B2","AU743806.B2")</f>
        <v>AU743806.B2</v>
      </c>
      <c r="S171" s="26" t="str">
        <f>HYPERLINK("http://worldwide.espacenet.com/publicationDetails/biblio?DB=EPODOC&amp;adjacent=true&amp;locale=en_EP&amp;FT=D&amp;CC=CA&amp;NR=2219690A1&amp;KC=A1","CA2219690.A1")</f>
        <v>CA2219690.A1</v>
      </c>
      <c r="T171" s="26" t="str">
        <f>HYPERLINK("http://worldwide.espacenet.com/publicationDetails/biblio?DB=EPODOC&amp;adjacent=true&amp;locale=en_EP&amp;FT=D&amp;CC=CA&amp;NR=2219690C&amp;KC=C","CA2219690.C")</f>
        <v>CA2219690.C</v>
      </c>
    </row>
    <row r="172" spans="1:31" ht="17.100000000000001" customHeight="1" x14ac:dyDescent="0.25">
      <c r="A172" s="16" t="s">
        <v>3403</v>
      </c>
      <c r="B172" s="21" t="s">
        <v>3404</v>
      </c>
      <c r="C172" s="23">
        <v>1.08051693439484</v>
      </c>
      <c r="D172" s="23">
        <v>0</v>
      </c>
      <c r="E172" s="23">
        <v>0</v>
      </c>
      <c r="F172" s="21">
        <v>0</v>
      </c>
      <c r="G172" s="23">
        <v>15</v>
      </c>
      <c r="H172" s="24">
        <v>35479</v>
      </c>
      <c r="I172" s="23">
        <v>1</v>
      </c>
      <c r="J172" s="22">
        <v>2191680</v>
      </c>
      <c r="K172" s="21" t="s">
        <v>3405</v>
      </c>
      <c r="L172" s="21" t="s">
        <v>2941</v>
      </c>
      <c r="M172" s="21" t="s">
        <v>2942</v>
      </c>
      <c r="N172" s="21" t="s">
        <v>3003</v>
      </c>
      <c r="O172" s="25" t="str">
        <f>HYPERLINK("http://worldwide.espacenet.com/publicationDetails/biblio?DB=EPODOC&amp;adjacent=true&amp;locale=en_EP&amp;FT=D&amp;CC=EP&amp;NR=0964903A1&amp;KC=A1","EP0964903.A1")</f>
        <v>EP0964903.A1</v>
      </c>
      <c r="P172" s="25" t="str">
        <f>HYPERLINK("http://worldwide.espacenet.com/publicationDetails/biblio?DB=EPODOC&amp;adjacent=true&amp;locale=en_EP&amp;FT=D&amp;CC=AU&amp;NR=6654298A&amp;KC=A","AU6654298.A")</f>
        <v>AU6654298.A</v>
      </c>
      <c r="Q172" s="26" t="str">
        <f>HYPERLINK("http://worldwide.espacenet.com/publicationDetails/biblio?DB=EPODOC&amp;adjacent=true&amp;locale=en_EP&amp;FT=D&amp;CC=CA&amp;NR=2281563A1&amp;KC=A1","CA2281563.A1")</f>
        <v>CA2281563.A1</v>
      </c>
      <c r="R172" s="26" t="str">
        <f>HYPERLINK("http://worldwide.espacenet.com/publicationDetails/biblio?DB=EPODOC&amp;adjacent=true&amp;locale=en_EP&amp;FT=D&amp;CC=CN&amp;NR=1251123A&amp;KC=A","CN1251123.A")</f>
        <v>CN1251123.A</v>
      </c>
      <c r="S172" s="26" t="str">
        <f>HYPERLINK("http://worldwide.espacenet.com/publicationDetails/biblio?DB=EPODOC&amp;adjacent=true&amp;locale=en_EP&amp;FT=D&amp;CC=DE&amp;NR=69819305D1&amp;KC=D1","DE69819305.D1")</f>
        <v>DE69819305.D1</v>
      </c>
      <c r="T172" s="26" t="str">
        <f>HYPERLINK("http://worldwide.espacenet.com/publicationDetails/biblio?DB=EPODOC&amp;adjacent=true&amp;locale=en_EP&amp;FT=D&amp;CC=EP&amp;NR=0964903A1&amp;KC=A1","EP0964903.A1")</f>
        <v>EP0964903.A1</v>
      </c>
    </row>
    <row r="173" spans="1:31" ht="17.100000000000001" customHeight="1" x14ac:dyDescent="0.25">
      <c r="A173" s="16" t="s">
        <v>3406</v>
      </c>
      <c r="B173" s="21" t="s">
        <v>3407</v>
      </c>
      <c r="C173" s="23">
        <v>8.2661447525024396</v>
      </c>
      <c r="D173" s="23">
        <v>3.2445509433746298</v>
      </c>
      <c r="E173" s="23">
        <v>26.8199272155762</v>
      </c>
      <c r="F173" s="21">
        <v>26.8199272155762</v>
      </c>
      <c r="G173" s="23">
        <v>81</v>
      </c>
      <c r="H173" s="24">
        <v>36671</v>
      </c>
      <c r="I173" s="23">
        <v>7</v>
      </c>
      <c r="J173" s="22">
        <v>230642</v>
      </c>
      <c r="K173" s="21" t="s">
        <v>3408</v>
      </c>
      <c r="L173" s="21" t="s">
        <v>3409</v>
      </c>
      <c r="M173" s="21" t="s">
        <v>2957</v>
      </c>
      <c r="N173" s="21" t="s">
        <v>3410</v>
      </c>
      <c r="O173" s="25" t="str">
        <f>HYPERLINK("http://worldwide.espacenet.com/publicationDetails/biblio?DB=EPODOC&amp;adjacent=true&amp;locale=en_EP&amp;FT=D&amp;CC=EP&amp;NR=1294378A2&amp;KC=A2","EP1294378.A2")</f>
        <v>EP1294378.A2</v>
      </c>
      <c r="P173" s="25" t="str">
        <f>HYPERLINK("http://worldwide.espacenet.com/publicationDetails/biblio?DB=EPODOC&amp;adjacent=true&amp;locale=en_EP&amp;FT=D&amp;CC=AR&amp;NR=030696A1&amp;KC=A1","AR030696.A1")</f>
        <v>AR030696.A1</v>
      </c>
      <c r="Q173" s="26" t="str">
        <f>HYPERLINK("http://worldwide.espacenet.com/publicationDetails/biblio?DB=EPODOC&amp;adjacent=true&amp;locale=en_EP&amp;FT=D&amp;CC=AR&amp;NR=066036A2&amp;KC=A2","AR066036.A2")</f>
        <v>AR066036.A2</v>
      </c>
      <c r="R173" s="26" t="str">
        <f>HYPERLINK("http://worldwide.espacenet.com/publicationDetails/biblio?DB=EPODOC&amp;adjacent=true&amp;locale=en_EP&amp;FT=D&amp;CC=AT&amp;NR=374772T&amp;KC=T","AT374772.T")</f>
        <v>AT374772.T</v>
      </c>
      <c r="S173" s="26" t="str">
        <f>HYPERLINK("http://worldwide.espacenet.com/publicationDetails/biblio?DB=EPODOC&amp;adjacent=true&amp;locale=en_EP&amp;FT=D&amp;CC=AT&amp;NR=445606T&amp;KC=T","AT445606.T")</f>
        <v>AT445606.T</v>
      </c>
      <c r="T173" s="26" t="str">
        <f>HYPERLINK("http://worldwide.espacenet.com/publicationDetails/biblio?DB=EPODOC&amp;adjacent=true&amp;locale=en_EP&amp;FT=D&amp;CC=AU&amp;NR=2001274938B2&amp;KC=B2","AU2001274938.B2")</f>
        <v>AU2001274938.B2</v>
      </c>
    </row>
    <row r="174" spans="1:31" ht="17.100000000000001" customHeight="1" x14ac:dyDescent="0.25">
      <c r="A174" s="16" t="s">
        <v>3411</v>
      </c>
      <c r="B174" s="21" t="s">
        <v>3412</v>
      </c>
      <c r="C174" s="23">
        <v>0.76544785499572798</v>
      </c>
      <c r="D174" s="23">
        <v>2.5224249362945601</v>
      </c>
      <c r="E174" s="23">
        <v>1.9307847023010301</v>
      </c>
      <c r="F174" s="21">
        <v>1.9307847023010301</v>
      </c>
      <c r="G174" s="23">
        <v>5</v>
      </c>
      <c r="H174" s="24">
        <v>37026</v>
      </c>
      <c r="I174" s="23">
        <v>2</v>
      </c>
      <c r="J174" s="22">
        <v>397228</v>
      </c>
      <c r="K174" s="21" t="s">
        <v>3413</v>
      </c>
      <c r="L174" s="21" t="s">
        <v>3414</v>
      </c>
      <c r="M174" s="21" t="s">
        <v>2957</v>
      </c>
      <c r="N174" s="21" t="s">
        <v>3415</v>
      </c>
      <c r="O174" s="25" t="str">
        <f>HYPERLINK("http://worldwide.espacenet.com/publicationDetails/biblio?DB=EPODOC&amp;adjacent=true&amp;locale=en_EP&amp;FT=D&amp;CC=EP&amp;NR=1390261A2&amp;KC=A2","EP1390261.A2")</f>
        <v>EP1390261.A2</v>
      </c>
      <c r="P174" s="25" t="str">
        <f>HYPERLINK("http://worldwide.espacenet.com/publicationDetails/biblio?DB=EPODOC&amp;adjacent=true&amp;locale=en_EP&amp;FT=D&amp;CC=AT&amp;NR=381483T&amp;KC=T","AT381483.T")</f>
        <v>AT381483.T</v>
      </c>
      <c r="Q174" s="26" t="str">
        <f>HYPERLINK("http://worldwide.espacenet.com/publicationDetails/biblio?DB=EPODOC&amp;adjacent=true&amp;locale=en_EP&amp;FT=D&amp;CC=BR&amp;NR=0209350A&amp;KC=A","BR0209350.A")</f>
        <v>BR0209350.A</v>
      </c>
      <c r="R174" s="26" t="str">
        <f>HYPERLINK("http://worldwide.espacenet.com/publicationDetails/biblio?DB=EPODOC&amp;adjacent=true&amp;locale=en_EP&amp;FT=D&amp;CC=CN&amp;NR=100448746C&amp;KC=C","CN100448746.C")</f>
        <v>CN100448746.C</v>
      </c>
      <c r="S174" s="26" t="str">
        <f>HYPERLINK("http://worldwide.espacenet.com/publicationDetails/biblio?DB=EPODOC&amp;adjacent=true&amp;locale=en_EP&amp;FT=D&amp;CC=CN&amp;NR=1639004A&amp;KC=A","CN1639004.A")</f>
        <v>CN1639004.A</v>
      </c>
      <c r="T174" s="26" t="str">
        <f>HYPERLINK("http://worldwide.espacenet.com/publicationDetails/biblio?DB=EPODOC&amp;adjacent=true&amp;locale=en_EP&amp;FT=D&amp;CC=DE&amp;NR=60224179D1&amp;KC=D1","DE60224179.D1")</f>
        <v>DE60224179.D1</v>
      </c>
    </row>
    <row r="175" spans="1:31" ht="17.100000000000001" customHeight="1" x14ac:dyDescent="0.25">
      <c r="A175" s="16" t="s">
        <v>3416</v>
      </c>
      <c r="B175" s="21" t="s">
        <v>3417</v>
      </c>
      <c r="C175" s="23">
        <v>0.74144995212554898</v>
      </c>
      <c r="D175" s="23">
        <v>0.85694998502731301</v>
      </c>
      <c r="E175" s="23">
        <v>0.63538551330566395</v>
      </c>
      <c r="F175" s="21">
        <v>0.63538551330566395</v>
      </c>
      <c r="G175" s="23">
        <v>6</v>
      </c>
      <c r="H175" s="24">
        <v>38077</v>
      </c>
      <c r="I175" s="23">
        <v>4</v>
      </c>
      <c r="J175" s="22">
        <v>400024</v>
      </c>
      <c r="K175" s="21" t="s">
        <v>3418</v>
      </c>
      <c r="L175" s="21" t="s">
        <v>3419</v>
      </c>
      <c r="M175" s="21" t="s">
        <v>2957</v>
      </c>
      <c r="N175" s="21" t="s">
        <v>3420</v>
      </c>
      <c r="O175" s="25" t="str">
        <f>HYPERLINK("http://worldwide.espacenet.com/publicationDetails/biblio?DB=EPODOC&amp;adjacent=true&amp;locale=en_EP&amp;FT=D&amp;CC=EP&amp;NR=1729943A1&amp;KC=A1","EP1729943.A1")</f>
        <v>EP1729943.A1</v>
      </c>
      <c r="P175" s="25" t="str">
        <f>HYPERLINK("http://worldwide.espacenet.com/publicationDetails/biblio?DB=EPODOC&amp;adjacent=true&amp;locale=en_EP&amp;FT=D&amp;CC=AT&amp;NR=373553T&amp;KC=T","AT373553.T")</f>
        <v>AT373553.T</v>
      </c>
      <c r="Q175" s="26" t="str">
        <f>HYPERLINK("http://worldwide.espacenet.com/publicationDetails/biblio?DB=EPODOC&amp;adjacent=true&amp;locale=en_EP&amp;FT=D&amp;CC=AT&amp;NR=374770T&amp;KC=T","AT374770.T")</f>
        <v>AT374770.T</v>
      </c>
      <c r="R175" s="26" t="str">
        <f>HYPERLINK("http://worldwide.espacenet.com/publicationDetails/biblio?DB=EPODOC&amp;adjacent=true&amp;locale=en_EP&amp;FT=D&amp;CC=BR&amp;NR=PI0418685A&amp;KC=A","BRPI0418685.A")</f>
        <v>BRPI0418685.A</v>
      </c>
      <c r="S175" s="26" t="str">
        <f>HYPERLINK("http://worldwide.espacenet.com/publicationDetails/biblio?DB=EPODOC&amp;adjacent=true&amp;locale=en_EP&amp;FT=D&amp;CC=BR&amp;NR=PI0418685B1&amp;KC=B1","BRPI0418685.B1")</f>
        <v>BRPI0418685.B1</v>
      </c>
      <c r="T175" s="26" t="str">
        <f>HYPERLINK("http://worldwide.espacenet.com/publicationDetails/biblio?DB=EPODOC&amp;adjacent=true&amp;locale=en_EP&amp;FT=D&amp;CC=CN&amp;NR=100484738C&amp;KC=C","CN100484738.C")</f>
        <v>CN100484738.C</v>
      </c>
    </row>
    <row r="176" spans="1:31" ht="17.100000000000001" customHeight="1" x14ac:dyDescent="0.25">
      <c r="A176" s="16" t="s">
        <v>3421</v>
      </c>
      <c r="B176" s="21" t="s">
        <v>3422</v>
      </c>
      <c r="C176" s="23">
        <v>2.7626378536224401</v>
      </c>
      <c r="D176" s="23">
        <v>2.2057070732116699</v>
      </c>
      <c r="E176" s="23">
        <v>6.0935697555542001</v>
      </c>
      <c r="F176" s="21">
        <v>6.0935697555542001</v>
      </c>
      <c r="G176" s="23">
        <v>31</v>
      </c>
      <c r="H176" s="24">
        <v>38926</v>
      </c>
      <c r="I176" s="23">
        <v>5</v>
      </c>
      <c r="J176" s="22">
        <v>53655378</v>
      </c>
      <c r="K176" s="21" t="s">
        <v>3423</v>
      </c>
      <c r="L176" s="21" t="s">
        <v>2941</v>
      </c>
      <c r="M176" s="21" t="s">
        <v>2957</v>
      </c>
      <c r="N176" s="21" t="s">
        <v>3339</v>
      </c>
      <c r="O176" s="25" t="str">
        <f>HYPERLINK("http://worldwide.espacenet.com/publicationDetails/biblio?DB=EPODOC&amp;adjacent=true&amp;locale=en_EP&amp;FT=D&amp;CC=EP&amp;NR=2051806A2&amp;KC=A2","EP2051806.A2")</f>
        <v>EP2051806.A2</v>
      </c>
      <c r="P176" s="25" t="str">
        <f>HYPERLINK("http://worldwide.espacenet.com/publicationDetails/biblio?DB=EPODOC&amp;adjacent=true&amp;locale=en_EP&amp;FT=D&amp;CC=BR&amp;NR=PI0713674A2&amp;KC=A2","BRPI0713674.A2")</f>
        <v>BRPI0713674.A2</v>
      </c>
      <c r="Q176" s="26" t="str">
        <f>HYPERLINK("http://worldwide.espacenet.com/publicationDetails/biblio?DB=EPODOC&amp;adjacent=true&amp;locale=en_EP&amp;FT=D&amp;CC=CN&amp;NR=101489675A&amp;KC=A","CN101489675.A")</f>
        <v>CN101489675.A</v>
      </c>
      <c r="R176" s="26" t="str">
        <f>HYPERLINK("http://worldwide.espacenet.com/publicationDetails/biblio?DB=EPODOC&amp;adjacent=true&amp;locale=en_EP&amp;FT=D&amp;CC=CN&amp;NR=101489675B&amp;KC=B","CN101489675.B")</f>
        <v>CN101489675.B</v>
      </c>
      <c r="S176" s="26" t="str">
        <f>HYPERLINK("http://worldwide.espacenet.com/publicationDetails/biblio?DB=EPODOC&amp;adjacent=true&amp;locale=en_EP&amp;FT=D&amp;CC=EP&amp;NR=2051806A2&amp;KC=A2","EP2051806.A2")</f>
        <v>EP2051806.A2</v>
      </c>
      <c r="T176" s="26" t="str">
        <f>HYPERLINK("http://worldwide.espacenet.com/publicationDetails/biblio?DB=EPODOC&amp;adjacent=true&amp;locale=en_EP&amp;FT=D&amp;CC=EP&amp;NR=2051806B1&amp;KC=B1","EP2051806.B1")</f>
        <v>EP2051806.B1</v>
      </c>
    </row>
    <row r="177" spans="1:58" ht="17.100000000000001" customHeight="1" x14ac:dyDescent="0.25">
      <c r="A177" s="16" t="s">
        <v>3424</v>
      </c>
      <c r="B177" s="21" t="s">
        <v>3425</v>
      </c>
      <c r="C177" s="23">
        <v>1.4451267719268801</v>
      </c>
      <c r="D177" s="23">
        <v>0</v>
      </c>
      <c r="E177" s="23">
        <v>0</v>
      </c>
      <c r="F177" s="21">
        <v>0</v>
      </c>
      <c r="G177" s="23">
        <v>9</v>
      </c>
      <c r="H177" s="24">
        <v>38959</v>
      </c>
      <c r="I177" s="23">
        <v>3</v>
      </c>
      <c r="J177" s="22">
        <v>39345784</v>
      </c>
      <c r="K177" s="21" t="s">
        <v>3426</v>
      </c>
      <c r="L177" s="21" t="s">
        <v>961</v>
      </c>
      <c r="M177" s="21" t="s">
        <v>2942</v>
      </c>
      <c r="N177" s="21" t="s">
        <v>2951</v>
      </c>
      <c r="O177" s="25" t="str">
        <f>HYPERLINK("http://worldwide.espacenet.com/publicationDetails/biblio?DB=EPODOC&amp;adjacent=true&amp;locale=en_EP&amp;FT=D&amp;CC=EP&amp;NR=2058290A1&amp;KC=A1","EP2058290.A1")</f>
        <v>EP2058290.A1</v>
      </c>
      <c r="P177" s="25" t="str">
        <f>HYPERLINK("http://worldwide.espacenet.com/publicationDetails/biblio?DB=EPODOC&amp;adjacent=true&amp;locale=en_EP&amp;FT=D&amp;CC=EP&amp;NR=2058290A1&amp;KC=A1","EP2058290.A1")</f>
        <v>EP2058290.A1</v>
      </c>
      <c r="Q177" s="26" t="str">
        <f>HYPERLINK("http://worldwide.espacenet.com/publicationDetails/biblio?DB=EPODOC&amp;adjacent=true&amp;locale=en_EP&amp;FT=D&amp;CC=EP&amp;NR=2058290A4&amp;KC=A4","EP2058290.A4")</f>
        <v>EP2058290.A4</v>
      </c>
      <c r="R177" s="26" t="str">
        <f>HYPERLINK("http://worldwide.espacenet.com/publicationDetails/biblio?DB=EPODOC&amp;adjacent=true&amp;locale=en_EP&amp;FT=D&amp;CC=KR&amp;NR=20090059108A&amp;KC=A","KR20090059108.A")</f>
        <v>KR20090059108.A</v>
      </c>
      <c r="S177" s="26" t="str">
        <f>HYPERLINK("http://worldwide.espacenet.com/publicationDetails/biblio?DB=EPODOC&amp;adjacent=true&amp;locale=en_EP&amp;FT=D&amp;CC=TW&amp;NR=200825036A&amp;KC=A","TW200825036.A")</f>
        <v>TW200825036.A</v>
      </c>
      <c r="T177" s="26" t="str">
        <f>HYPERLINK("http://worldwide.espacenet.com/publicationDetails/biblio?DB=EPODOC&amp;adjacent=true&amp;locale=en_EP&amp;FT=D&amp;CC=US&amp;NR=2010179365A1&amp;KC=A1","US2010179365.A1")</f>
        <v>US2010179365.A1</v>
      </c>
    </row>
    <row r="178" spans="1:58" ht="17.100000000000001" customHeight="1" x14ac:dyDescent="0.25">
      <c r="A178" s="16" t="s">
        <v>3427</v>
      </c>
      <c r="B178" s="21" t="s">
        <v>3428</v>
      </c>
      <c r="C178" s="23">
        <v>1.8281773328781099</v>
      </c>
      <c r="D178" s="23">
        <v>2.8939619064331099</v>
      </c>
      <c r="E178" s="23">
        <v>5.2906756401062003</v>
      </c>
      <c r="F178" s="21">
        <v>5.2906756401062003</v>
      </c>
      <c r="G178" s="23">
        <v>16</v>
      </c>
      <c r="H178" s="24">
        <v>38926</v>
      </c>
      <c r="I178" s="23">
        <v>5</v>
      </c>
      <c r="J178" s="22">
        <v>53412299</v>
      </c>
      <c r="K178" s="21" t="s">
        <v>3429</v>
      </c>
      <c r="L178" s="21" t="s">
        <v>3430</v>
      </c>
      <c r="M178" s="21" t="s">
        <v>2957</v>
      </c>
      <c r="N178" s="21" t="s">
        <v>3339</v>
      </c>
      <c r="O178" s="25" t="str">
        <f>HYPERLINK("http://worldwide.espacenet.com/publicationDetails/biblio?DB=EPODOC&amp;adjacent=true&amp;locale=en_EP&amp;FT=D&amp;CC=EP&amp;NR=2061861A2&amp;KC=A2","EP2061861.A2")</f>
        <v>EP2061861.A2</v>
      </c>
      <c r="P178" s="25" t="str">
        <f>HYPERLINK("http://worldwide.espacenet.com/publicationDetails/biblio?DB=EPODOC&amp;adjacent=true&amp;locale=en_EP&amp;FT=D&amp;CC=AU&amp;NR=2007279207A1&amp;KC=A1","AU2007279207.A1")</f>
        <v>AU2007279207.A1</v>
      </c>
      <c r="Q178" s="26" t="str">
        <f>HYPERLINK("http://worldwide.espacenet.com/publicationDetails/biblio?DB=EPODOC&amp;adjacent=true&amp;locale=en_EP&amp;FT=D&amp;CC=AU&amp;NR=2007279207B2&amp;KC=B2","AU2007279207.B2")</f>
        <v>AU2007279207.B2</v>
      </c>
      <c r="R178" s="26" t="str">
        <f>HYPERLINK("http://worldwide.espacenet.com/publicationDetails/biblio?DB=EPODOC&amp;adjacent=true&amp;locale=en_EP&amp;FT=D&amp;CC=AU&amp;NR=2007279207C1&amp;KC=C1","AU2007279207.C1")</f>
        <v>AU2007279207.C1</v>
      </c>
      <c r="S178" s="26" t="str">
        <f>HYPERLINK("http://worldwide.espacenet.com/publicationDetails/biblio?DB=EPODOC&amp;adjacent=true&amp;locale=en_EP&amp;FT=D&amp;CC=AU&amp;NR=2011265318A1&amp;KC=A1","AU2011265318.A1")</f>
        <v>AU2011265318.A1</v>
      </c>
      <c r="T178" s="26" t="str">
        <f>HYPERLINK("http://worldwide.espacenet.com/publicationDetails/biblio?DB=EPODOC&amp;adjacent=true&amp;locale=en_EP&amp;FT=D&amp;CC=AU&amp;NR=2011265318B2&amp;KC=B2","AU2011265318.B2")</f>
        <v>AU2011265318.B2</v>
      </c>
    </row>
    <row r="179" spans="1:58" ht="17.100000000000001" customHeight="1" x14ac:dyDescent="0.25">
      <c r="A179" s="16" t="s">
        <v>3431</v>
      </c>
      <c r="B179" s="21" t="s">
        <v>3432</v>
      </c>
      <c r="C179" s="23">
        <v>2.5207421779632599</v>
      </c>
      <c r="D179" s="23">
        <v>2.9939329624175999</v>
      </c>
      <c r="E179" s="23">
        <v>7.5469331741332999</v>
      </c>
      <c r="F179" s="21">
        <v>7.5469331741332999</v>
      </c>
      <c r="G179" s="23">
        <v>15</v>
      </c>
      <c r="H179" s="24">
        <v>39885</v>
      </c>
      <c r="I179" s="23">
        <v>4</v>
      </c>
      <c r="J179" s="22">
        <v>313584909</v>
      </c>
      <c r="K179" s="21" t="s">
        <v>3433</v>
      </c>
      <c r="L179" s="21" t="s">
        <v>2941</v>
      </c>
      <c r="M179" s="21" t="s">
        <v>2957</v>
      </c>
      <c r="N179" s="21" t="s">
        <v>3347</v>
      </c>
      <c r="O179" s="25" t="str">
        <f>HYPERLINK("http://worldwide.espacenet.com/publicationDetails/biblio?DB=EPODOC&amp;adjacent=true&amp;locale=en_EP&amp;FT=D&amp;CC=EP&amp;NR=2408880A2&amp;KC=A2","EP2408880.A2")</f>
        <v>EP2408880.A2</v>
      </c>
      <c r="P179" s="25" t="str">
        <f>HYPERLINK("http://worldwide.espacenet.com/publicationDetails/biblio?DB=EPODOC&amp;adjacent=true&amp;locale=en_EP&amp;FT=D&amp;CC=AU&amp;NR=2010223041A1&amp;KC=A1","AU2010223041.A1")</f>
        <v>AU2010223041.A1</v>
      </c>
      <c r="Q179" s="26" t="str">
        <f>HYPERLINK("http://worldwide.espacenet.com/publicationDetails/biblio?DB=EPODOC&amp;adjacent=true&amp;locale=en_EP&amp;FT=D&amp;CC=AU&amp;NR=2010223041B2&amp;KC=B2","AU2010223041.B2")</f>
        <v>AU2010223041.B2</v>
      </c>
      <c r="R179" s="26" t="str">
        <f>HYPERLINK("http://worldwide.espacenet.com/publicationDetails/biblio?DB=EPODOC&amp;adjacent=true&amp;locale=en_EP&amp;FT=D&amp;CC=BR&amp;NR=PI1009400A2&amp;KC=A2","BRPI1009400.A2")</f>
        <v>BRPI1009400.A2</v>
      </c>
      <c r="S179" s="26" t="str">
        <f>HYPERLINK("http://worldwide.espacenet.com/publicationDetails/biblio?DB=EPODOC&amp;adjacent=true&amp;locale=en_EP&amp;FT=D&amp;CC=BR&amp;NR=PI1009400B1&amp;KC=B1","BRPI1009400.B1")</f>
        <v>BRPI1009400.B1</v>
      </c>
      <c r="T179" s="26" t="str">
        <f>HYPERLINK("http://worldwide.espacenet.com/publicationDetails/biblio?DB=EPODOC&amp;adjacent=true&amp;locale=en_EP&amp;FT=D&amp;CC=CA&amp;NR=2754816A1&amp;KC=A1","CA2754816.A1")</f>
        <v>CA2754816.A1</v>
      </c>
    </row>
    <row r="180" spans="1:58" ht="17.100000000000001" customHeight="1" x14ac:dyDescent="0.25">
      <c r="A180" s="16" t="s">
        <v>3434</v>
      </c>
      <c r="B180" s="21" t="s">
        <v>3435</v>
      </c>
      <c r="C180" s="23">
        <v>0.849248647689819</v>
      </c>
      <c r="D180" s="23">
        <v>0</v>
      </c>
      <c r="E180" s="23">
        <v>0</v>
      </c>
      <c r="F180" s="21">
        <v>0</v>
      </c>
      <c r="G180" s="23">
        <v>6</v>
      </c>
      <c r="H180" s="24">
        <v>40046</v>
      </c>
      <c r="I180" s="23">
        <v>4</v>
      </c>
      <c r="J180" s="22">
        <v>332296747</v>
      </c>
      <c r="K180" s="21" t="s">
        <v>3436</v>
      </c>
      <c r="L180" s="21" t="s">
        <v>3437</v>
      </c>
      <c r="M180" s="21" t="s">
        <v>2942</v>
      </c>
      <c r="N180" s="21" t="s">
        <v>3438</v>
      </c>
      <c r="O180" s="25" t="str">
        <f>HYPERLINK("http://worldwide.espacenet.com/publicationDetails/biblio?DB=EPODOC&amp;adjacent=true&amp;locale=en_EP&amp;FT=D&amp;CC=EP&amp;NR=2467454A1&amp;KC=A1","EP2467454.A1")</f>
        <v>EP2467454.A1</v>
      </c>
      <c r="P180" s="25" t="str">
        <f>HYPERLINK("http://worldwide.espacenet.com/publicationDetails/biblio?DB=EPODOC&amp;adjacent=true&amp;locale=en_EP&amp;FT=D&amp;CC=CA&amp;NR=2771808A1&amp;KC=A1","CA2771808.A1")</f>
        <v>CA2771808.A1</v>
      </c>
      <c r="Q180" s="26" t="str">
        <f>HYPERLINK("http://worldwide.espacenet.com/publicationDetails/biblio?DB=EPODOC&amp;adjacent=true&amp;locale=en_EP&amp;FT=D&amp;CC=EP&amp;NR=2467454A1&amp;KC=A1","EP2467454.A1")</f>
        <v>EP2467454.A1</v>
      </c>
      <c r="R180" s="26" t="str">
        <f>HYPERLINK("http://worldwide.espacenet.com/publicationDetails/biblio?DB=EPODOC&amp;adjacent=true&amp;locale=en_EP&amp;FT=D&amp;CC=EP&amp;NR=2467454A4&amp;KC=A4","EP2467454.A4")</f>
        <v>EP2467454.A4</v>
      </c>
      <c r="S180" s="26" t="str">
        <f>HYPERLINK("http://worldwide.espacenet.com/publicationDetails/biblio?DB=EPODOC&amp;adjacent=true&amp;locale=en_EP&amp;FT=D&amp;CC=US&amp;NR=2012273728A1&amp;KC=A1","US2012273728.A1")</f>
        <v>US2012273728.A1</v>
      </c>
      <c r="T180" s="26" t="str">
        <f>HYPERLINK("http://worldwide.espacenet.com/publicationDetails/biblio?DB=EPODOC&amp;adjacent=true&amp;locale=en_EP&amp;FT=D&amp;CC=US&amp;NR=2015069300A1&amp;KC=A1","US2015069300.A1")</f>
        <v>US2015069300.A1</v>
      </c>
    </row>
    <row r="181" spans="1:58" ht="17.100000000000001" customHeight="1" x14ac:dyDescent="0.25">
      <c r="A181" s="16" t="s">
        <v>3439</v>
      </c>
      <c r="B181" s="21" t="s">
        <v>3440</v>
      </c>
      <c r="C181" s="23">
        <v>4.7935352325439498</v>
      </c>
      <c r="D181" s="23">
        <v>2.7846829891204798</v>
      </c>
      <c r="E181" s="23">
        <v>13.3484764099121</v>
      </c>
      <c r="F181" s="21">
        <v>13.3484764099121</v>
      </c>
      <c r="G181" s="23">
        <v>16</v>
      </c>
      <c r="H181" s="24">
        <v>40540</v>
      </c>
      <c r="I181" s="23">
        <v>4</v>
      </c>
      <c r="J181" s="22">
        <v>364782285</v>
      </c>
      <c r="K181" s="21" t="s">
        <v>3441</v>
      </c>
      <c r="L181" s="21" t="s">
        <v>3116</v>
      </c>
      <c r="M181" s="21" t="s">
        <v>2957</v>
      </c>
      <c r="N181" s="21" t="s">
        <v>3283</v>
      </c>
      <c r="O181" s="25" t="str">
        <f>HYPERLINK("http://worldwide.espacenet.com/publicationDetails/biblio?DB=EPODOC&amp;adjacent=true&amp;locale=en_EP&amp;FT=D&amp;CC=EP&amp;NR=2660228A1&amp;KC=A1","EP2660228.A1")</f>
        <v>EP2660228.A1</v>
      </c>
      <c r="P181" s="25" t="str">
        <f>HYPERLINK("http://worldwide.espacenet.com/publicationDetails/biblio?DB=EPODOC&amp;adjacent=true&amp;locale=en_EP&amp;FT=D&amp;CC=AU&amp;NR=2011349906B2&amp;KC=B2","AU2011349906.B2")</f>
        <v>AU2011349906.B2</v>
      </c>
      <c r="Q181" s="26" t="str">
        <f>HYPERLINK("http://worldwide.espacenet.com/publicationDetails/biblio?DB=EPODOC&amp;adjacent=true&amp;locale=en_EP&amp;FT=D&amp;CC=BR&amp;NR=112013016481A2&amp;KC=A2","BR112013016481.A2")</f>
        <v>BR112013016481.A2</v>
      </c>
      <c r="R181" s="26" t="str">
        <f>HYPERLINK("http://worldwide.espacenet.com/publicationDetails/biblio?DB=EPODOC&amp;adjacent=true&amp;locale=en_EP&amp;FT=D&amp;CC=BR&amp;NR=112013016481B1&amp;KC=B1","BR112013016481.B1")</f>
        <v>BR112013016481.B1</v>
      </c>
      <c r="S181" s="26" t="str">
        <f>HYPERLINK("http://worldwide.espacenet.com/publicationDetails/biblio?DB=EPODOC&amp;adjacent=true&amp;locale=en_EP&amp;FT=D&amp;CC=CN&amp;NR=102531821A&amp;KC=A","CN102531821.A")</f>
        <v>CN102531821.A</v>
      </c>
      <c r="T181" s="26" t="str">
        <f>HYPERLINK("http://worldwide.espacenet.com/publicationDetails/biblio?DB=EPODOC&amp;adjacent=true&amp;locale=en_EP&amp;FT=D&amp;CC=CN&amp;NR=102531821B&amp;KC=B","CN102531821.B")</f>
        <v>CN102531821.B</v>
      </c>
    </row>
    <row r="182" spans="1:58" ht="17.100000000000001" customHeight="1" x14ac:dyDescent="0.25">
      <c r="A182" s="16" t="s">
        <v>3442</v>
      </c>
      <c r="B182" s="21" t="s">
        <v>3443</v>
      </c>
      <c r="C182" s="23">
        <v>0.64613574743270896</v>
      </c>
      <c r="D182" s="23">
        <v>2.6506099700927699</v>
      </c>
      <c r="E182" s="23">
        <v>1.7126538753509499</v>
      </c>
      <c r="F182" s="21">
        <v>1.7126538753509499</v>
      </c>
      <c r="G182" s="23">
        <v>4</v>
      </c>
      <c r="H182" s="24">
        <v>40581</v>
      </c>
      <c r="I182" s="23">
        <v>3</v>
      </c>
      <c r="J182" s="22">
        <v>332888162</v>
      </c>
      <c r="K182" s="21" t="s">
        <v>3444</v>
      </c>
      <c r="L182" s="21" t="s">
        <v>3445</v>
      </c>
      <c r="M182" s="21" t="s">
        <v>2957</v>
      </c>
      <c r="N182" s="21" t="s">
        <v>3355</v>
      </c>
      <c r="O182" s="25" t="str">
        <f>HYPERLINK("http://worldwide.espacenet.com/publicationDetails/biblio?DB=EPODOC&amp;adjacent=true&amp;locale=en_EP&amp;FT=D&amp;CC=EP&amp;NR=2673245A1&amp;KC=A1","EP2673245.A1")</f>
        <v>EP2673245.A1</v>
      </c>
      <c r="P182" s="25" t="str">
        <f>HYPERLINK("http://worldwide.espacenet.com/publicationDetails/biblio?DB=EPODOC&amp;adjacent=true&amp;locale=en_EP&amp;FT=D&amp;CC=AU&amp;NR=2011358597A1&amp;KC=A1","AU2011358597.A1")</f>
        <v>AU2011358597.A1</v>
      </c>
      <c r="Q182" s="26" t="str">
        <f>HYPERLINK("http://worldwide.espacenet.com/publicationDetails/biblio?DB=EPODOC&amp;adjacent=true&amp;locale=en_EP&amp;FT=D&amp;CC=AU&amp;NR=2011358597B2&amp;KC=B2","AU2011358597.B2")</f>
        <v>AU2011358597.B2</v>
      </c>
      <c r="R182" s="26" t="str">
        <f>HYPERLINK("http://worldwide.espacenet.com/publicationDetails/biblio?DB=EPODOC&amp;adjacent=true&amp;locale=en_EP&amp;FT=D&amp;CC=CN&amp;NR=103562161A&amp;KC=A","CN103562161.A")</f>
        <v>CN103562161.A</v>
      </c>
      <c r="S182" s="26" t="str">
        <f>HYPERLINK("http://worldwide.espacenet.com/publicationDetails/biblio?DB=EPODOC&amp;adjacent=true&amp;locale=en_EP&amp;FT=D&amp;CC=CN&amp;NR=103562161B&amp;KC=B","CN103562161.B")</f>
        <v>CN103562161.B</v>
      </c>
      <c r="T182" s="26" t="str">
        <f>HYPERLINK("http://worldwide.espacenet.com/publicationDetails/biblio?DB=EPODOC&amp;adjacent=true&amp;locale=en_EP&amp;FT=D&amp;CC=EP&amp;NR=2673245A1&amp;KC=A1","EP2673245.A1")</f>
        <v>EP2673245.A1</v>
      </c>
      <c r="U182" s="26" t="str">
        <f>HYPERLINK("http://worldwide.espacenet.com/publicationDetails/biblio?DB=EPODOC&amp;adjacent=true&amp;locale=en_EP&amp;FT=D&amp;CC=CN&amp;NR=101489932B&amp;KC=B","CN101489932.B")</f>
        <v>CN101489932.B</v>
      </c>
      <c r="V182" s="26" t="str">
        <f>HYPERLINK("http://worldwide.espacenet.com/publicationDetails/biblio?DB=EPODOC&amp;adjacent=true&amp;locale=en_EP&amp;FT=D&amp;CC=EP&amp;NR=2038220A2&amp;KC=A2","EP2038220.A2")</f>
        <v>EP2038220.A2</v>
      </c>
      <c r="W182" s="26" t="str">
        <f>HYPERLINK("http://worldwide.espacenet.com/publicationDetails/biblio?DB=EPODOC&amp;adjacent=true&amp;locale=en_EP&amp;FT=D&amp;CC=EP&amp;NR=2038220A4&amp;KC=A4","EP2038220.A4")</f>
        <v>EP2038220.A4</v>
      </c>
      <c r="X182" s="26" t="str">
        <f>HYPERLINK("http://worldwide.espacenet.com/publicationDetails/biblio?DB=EPODOC&amp;adjacent=true&amp;locale=en_EP&amp;FT=D&amp;CC=JP&amp;NR=2009539747A&amp;KC=A","JP2009539747.A")</f>
        <v>JP2009539747.A</v>
      </c>
      <c r="Y182" s="26" t="str">
        <f>HYPERLINK("http://worldwide.espacenet.com/publicationDetails/biblio?DB=EPODOC&amp;adjacent=true&amp;locale=en_EP&amp;FT=D&amp;CC=JP&amp;NR=5295953B2&amp;KC=B2","JP5295953.B2")</f>
        <v>JP5295953.B2</v>
      </c>
      <c r="Z182" s="26" t="str">
        <f>HYPERLINK("http://worldwide.espacenet.com/publicationDetails/biblio?DB=EPODOC&amp;adjacent=true&amp;locale=en_EP&amp;FT=D&amp;CC=KR&amp;NR=101385396B1&amp;KC=B1","KR101385396.B1")</f>
        <v>KR101385396.B1</v>
      </c>
      <c r="AA182" s="26" t="str">
        <f>HYPERLINK("http://worldwide.espacenet.com/publicationDetails/biblio?DB=EPODOC&amp;adjacent=true&amp;locale=en_EP&amp;FT=D&amp;CC=KR&amp;NR=20090021376A&amp;KC=A","KR20090021376.A")</f>
        <v>KR20090021376.A</v>
      </c>
      <c r="AB182" s="26" t="str">
        <f>HYPERLINK("http://worldwide.espacenet.com/publicationDetails/biblio?DB=EPODOC&amp;adjacent=true&amp;locale=en_EP&amp;FT=D&amp;CC=US&amp;NR=2007284284A1&amp;KC=A1","US2007284284.A1")</f>
        <v>US2007284284.A1</v>
      </c>
      <c r="AC182" s="26" t="str">
        <f>HYPERLINK("http://worldwide.espacenet.com/publicationDetails/biblio?DB=EPODOC&amp;adjacent=true&amp;locale=en_EP&amp;FT=D&amp;CC=US&amp;NR=2010121122A1&amp;KC=A1","US2010121122.A1")</f>
        <v>US2010121122.A1</v>
      </c>
      <c r="AD182" s="26" t="str">
        <f>HYPERLINK("http://worldwide.espacenet.com/publicationDetails/biblio?DB=EPODOC&amp;adjacent=true&amp;locale=en_EP&amp;FT=D&amp;CC=US&amp;NR=2010121124A1&amp;KC=A1","US2010121124.A1")</f>
        <v>US2010121124.A1</v>
      </c>
      <c r="AE182" s="26" t="str">
        <f>HYPERLINK("http://worldwide.espacenet.com/publicationDetails/biblio?DB=EPODOC&amp;adjacent=true&amp;locale=en_EP&amp;FT=D&amp;CC=US&amp;NR=7651603B2&amp;KC=B2","US7651603.B2")</f>
        <v>US7651603.B2</v>
      </c>
      <c r="AF182" s="26" t="str">
        <f>HYPERLINK("http://worldwide.espacenet.com/publicationDetails/biblio?DB=EPODOC&amp;adjacent=true&amp;locale=en_EP&amp;FT=D&amp;CC=US&amp;NR=7906698B2&amp;KC=B2","US7906698.B2")</f>
        <v>US7906698.B2</v>
      </c>
      <c r="AG182" s="26" t="str">
        <f>HYPERLINK("http://worldwide.espacenet.com/publicationDetails/biblio?DB=EPODOC&amp;adjacent=true&amp;locale=en_EP&amp;FT=D&amp;CC=US&amp;NR=8177961B2&amp;KC=B2","US8177961.B2")</f>
        <v>US8177961.B2</v>
      </c>
      <c r="AH182" s="26" t="str">
        <f>HYPERLINK("http://worldwide.espacenet.com/publicationDetails/biblio?DB=EPODOC&amp;adjacent=true&amp;locale=en_EP&amp;FT=D&amp;CC=WO&amp;NR=2007146622A2&amp;KC=A2","WO2007146622.A2")</f>
        <v>WO2007146622.A2</v>
      </c>
      <c r="AI182" s="26" t="str">
        <f>HYPERLINK("http://worldwide.espacenet.com/publicationDetails/biblio?DB=EPODOC&amp;adjacent=true&amp;locale=en_EP&amp;FT=D&amp;CC=WO&amp;NR=2007146622A3&amp;KC=A3","WO2007146622.A3")</f>
        <v>WO2007146622.A3</v>
      </c>
      <c r="AJ182" s="26" t="str">
        <f>HYPERLINK("http://worldwide.espacenet.com/publicationDetails/biblio?DB=EPODOC&amp;adjacent=true&amp;locale=en_EP&amp;FT=D&amp;CC=WO&amp;NR=2007146622A8&amp;KC=A8","WO2007146622.A8")</f>
        <v>WO2007146622.A8</v>
      </c>
      <c r="AK182" s="26" t="str">
        <f>HYPERLINK("http://worldwide.espacenet.com/publicationDetails/biblio?DB=EPODOC&amp;adjacent=true&amp;locale=en_EP&amp;FT=D&amp;CC=ZA&amp;NR=200900041B&amp;KC=B","ZA200900041.B")</f>
        <v>ZA200900041.B</v>
      </c>
    </row>
    <row r="183" spans="1:58" ht="17.100000000000001" customHeight="1" x14ac:dyDescent="0.25">
      <c r="A183" s="16" t="s">
        <v>3446</v>
      </c>
      <c r="B183" s="21" t="s">
        <v>3447</v>
      </c>
      <c r="C183" s="23">
        <v>0.87478023767471302</v>
      </c>
      <c r="D183" s="23">
        <v>2.4865710735321001</v>
      </c>
      <c r="E183" s="23">
        <v>2.17520332336426</v>
      </c>
      <c r="F183" s="21">
        <v>2.17520332336426</v>
      </c>
      <c r="G183" s="23">
        <v>4</v>
      </c>
      <c r="H183" s="24">
        <v>40581</v>
      </c>
      <c r="I183" s="23">
        <v>3</v>
      </c>
      <c r="J183" s="22">
        <v>340487298</v>
      </c>
      <c r="K183" s="21" t="s">
        <v>3448</v>
      </c>
      <c r="L183" s="21" t="s">
        <v>3445</v>
      </c>
      <c r="M183" s="21" t="s">
        <v>2957</v>
      </c>
      <c r="N183" s="21" t="s">
        <v>3449</v>
      </c>
      <c r="O183" s="25" t="str">
        <f>HYPERLINK("http://worldwide.espacenet.com/publicationDetails/biblio?DB=EPODOC&amp;adjacent=true&amp;locale=en_EP&amp;FT=D&amp;CC=EP&amp;NR=2673247A1&amp;KC=A1","EP2673247.A1")</f>
        <v>EP2673247.A1</v>
      </c>
      <c r="P183" s="25" t="str">
        <f>HYPERLINK("http://worldwide.espacenet.com/publicationDetails/biblio?DB=EPODOC&amp;adjacent=true&amp;locale=en_EP&amp;FT=D&amp;CC=AU&amp;NR=2011358570A1&amp;KC=A1","AU2011358570.A1")</f>
        <v>AU2011358570.A1</v>
      </c>
      <c r="Q183" s="26" t="str">
        <f>HYPERLINK("http://worldwide.espacenet.com/publicationDetails/biblio?DB=EPODOC&amp;adjacent=true&amp;locale=en_EP&amp;FT=D&amp;CC=AU&amp;NR=2011358570B2&amp;KC=B2","AU2011358570.B2")</f>
        <v>AU2011358570.B2</v>
      </c>
      <c r="R183" s="26" t="str">
        <f>HYPERLINK("http://worldwide.espacenet.com/publicationDetails/biblio?DB=EPODOC&amp;adjacent=true&amp;locale=en_EP&amp;FT=D&amp;CC=CN&amp;NR=103402952A&amp;KC=A","CN103402952.A")</f>
        <v>CN103402952.A</v>
      </c>
      <c r="S183" s="26" t="str">
        <f>HYPERLINK("http://worldwide.espacenet.com/publicationDetails/biblio?DB=EPODOC&amp;adjacent=true&amp;locale=en_EP&amp;FT=D&amp;CC=CN&amp;NR=103402952B&amp;KC=B","CN103402952.B")</f>
        <v>CN103402952.B</v>
      </c>
      <c r="T183" s="26" t="str">
        <f>HYPERLINK("http://worldwide.espacenet.com/publicationDetails/biblio?DB=EPODOC&amp;adjacent=true&amp;locale=en_EP&amp;FT=D&amp;CC=EP&amp;NR=2673247A1&amp;KC=A1","EP2673247.A1")</f>
        <v>EP2673247.A1</v>
      </c>
      <c r="U183" s="26" t="str">
        <f>HYPERLINK("http://worldwide.espacenet.com/publicationDetails/biblio?DB=EPODOC&amp;adjacent=true&amp;locale=en_EP&amp;FT=D&amp;CC=US&amp;NR=5316753A&amp;KC=A","US5316753.A")</f>
        <v>US5316753.A</v>
      </c>
      <c r="V183" s="26" t="str">
        <f>HYPERLINK("http://worldwide.espacenet.com/publicationDetails/biblio?DB=EPODOC&amp;adjacent=true&amp;locale=en_EP&amp;FT=D&amp;CC=US&amp;NR=5391287A&amp;KC=A","US5391287.A")</f>
        <v>US5391287.A</v>
      </c>
      <c r="W183" s="26" t="str">
        <f>HYPERLINK("http://worldwide.espacenet.com/publicationDetails/biblio?DB=EPODOC&amp;adjacent=true&amp;locale=en_EP&amp;FT=D&amp;CC=WO&amp;NR=9408899A1&amp;KC=A1","WO9408899.A1")</f>
        <v>WO9408899.A1</v>
      </c>
    </row>
    <row r="184" spans="1:58" ht="17.100000000000001" customHeight="1" x14ac:dyDescent="0.25">
      <c r="A184" s="16" t="s">
        <v>3450</v>
      </c>
      <c r="B184" s="21" t="s">
        <v>3451</v>
      </c>
      <c r="C184" s="23">
        <v>2.7770924568176301</v>
      </c>
      <c r="D184" s="23">
        <v>1.7848219871521001</v>
      </c>
      <c r="E184" s="23">
        <v>4.9566154479980504</v>
      </c>
      <c r="F184" s="21">
        <v>4.9566154479980504</v>
      </c>
      <c r="G184" s="23">
        <v>11</v>
      </c>
      <c r="H184" s="24">
        <v>40899</v>
      </c>
      <c r="I184" s="23">
        <v>5</v>
      </c>
      <c r="J184" s="22">
        <v>407533428</v>
      </c>
      <c r="K184" s="21" t="s">
        <v>3452</v>
      </c>
      <c r="L184" s="21" t="s">
        <v>3402</v>
      </c>
      <c r="M184" s="21" t="s">
        <v>2957</v>
      </c>
      <c r="N184" s="21" t="s">
        <v>3453</v>
      </c>
      <c r="O184" s="25" t="str">
        <f>HYPERLINK("http://worldwide.espacenet.com/publicationDetails/biblio?DB=EPODOC&amp;adjacent=true&amp;locale=en_EP&amp;FT=D&amp;CC=EP&amp;NR=2802533A2&amp;KC=A2","EP2802533.A2")</f>
        <v>EP2802533.A2</v>
      </c>
      <c r="P184" s="25" t="str">
        <f>HYPERLINK("http://worldwide.espacenet.com/publicationDetails/biblio?DB=EPODOC&amp;adjacent=true&amp;locale=en_EP&amp;FT=D&amp;CC=BR&amp;NR=112014015231A2&amp;KC=A2","BR112014015231.A2")</f>
        <v>BR112014015231.A2</v>
      </c>
      <c r="Q184" s="26" t="str">
        <f>HYPERLINK("http://worldwide.espacenet.com/publicationDetails/biblio?DB=EPODOC&amp;adjacent=true&amp;locale=en_EP&amp;FT=D&amp;CC=BR&amp;NR=112014015231A8&amp;KC=A8","BR112014015231.A8")</f>
        <v>BR112014015231.A8</v>
      </c>
      <c r="R184" s="26" t="str">
        <f>HYPERLINK("http://worldwide.espacenet.com/publicationDetails/biblio?DB=EPODOC&amp;adjacent=true&amp;locale=en_EP&amp;FT=D&amp;CC=CA&amp;NR=2858408A1&amp;KC=A1","CA2858408.A1")</f>
        <v>CA2858408.A1</v>
      </c>
      <c r="S184" s="26" t="str">
        <f>HYPERLINK("http://worldwide.espacenet.com/publicationDetails/biblio?DB=EPODOC&amp;adjacent=true&amp;locale=en_EP&amp;FT=D&amp;CC=CN&amp;NR=104379505A&amp;KC=A","CN104379505.A")</f>
        <v>CN104379505.A</v>
      </c>
      <c r="T184" s="26" t="str">
        <f>HYPERLINK("http://worldwide.espacenet.com/publicationDetails/biblio?DB=EPODOC&amp;adjacent=true&amp;locale=en_EP&amp;FT=D&amp;CC=EP&amp;NR=2802533A2&amp;KC=A2","EP2802533.A2")</f>
        <v>EP2802533.A2</v>
      </c>
    </row>
    <row r="185" spans="1:58" ht="17.100000000000001" customHeight="1" x14ac:dyDescent="0.25">
      <c r="A185" s="16" t="s">
        <v>3454</v>
      </c>
      <c r="B185" s="21" t="s">
        <v>3455</v>
      </c>
      <c r="C185" s="23">
        <v>0.56683033704757702</v>
      </c>
      <c r="D185" s="23">
        <v>2.5056109428405802</v>
      </c>
      <c r="E185" s="23">
        <v>1.4202562570571899</v>
      </c>
      <c r="F185" s="21">
        <v>1.4202562570571899</v>
      </c>
      <c r="G185" s="23">
        <v>1</v>
      </c>
      <c r="H185" s="24">
        <v>41339</v>
      </c>
      <c r="I185" s="23">
        <v>4</v>
      </c>
      <c r="J185" s="22">
        <v>421736756</v>
      </c>
      <c r="K185" s="21" t="s">
        <v>3456</v>
      </c>
      <c r="L185" s="21" t="s">
        <v>3457</v>
      </c>
      <c r="M185" s="21" t="s">
        <v>2957</v>
      </c>
      <c r="N185" s="21" t="s">
        <v>3458</v>
      </c>
      <c r="O185" s="25" t="str">
        <f>HYPERLINK("http://worldwide.espacenet.com/publicationDetails/biblio?DB=EPODOC&amp;adjacent=true&amp;locale=en_EP&amp;FT=D&amp;CC=EP&amp;NR=2964380A1&amp;KC=A1","EP2964380.A1")</f>
        <v>EP2964380.A1</v>
      </c>
      <c r="P185" s="25" t="str">
        <f>HYPERLINK("http://worldwide.espacenet.com/publicationDetails/biblio?DB=EPODOC&amp;adjacent=true&amp;locale=en_EP&amp;FT=D&amp;CC=BR&amp;NR=112015021621A2&amp;KC=A2","BR112015021621.A2")</f>
        <v>BR112015021621.A2</v>
      </c>
      <c r="Q185" s="26" t="str">
        <f>HYPERLINK("http://worldwide.espacenet.com/publicationDetails/biblio?DB=EPODOC&amp;adjacent=true&amp;locale=en_EP&amp;FT=D&amp;CC=CA&amp;NR=2903389A1&amp;KC=A1","CA2903389.A1")</f>
        <v>CA2903389.A1</v>
      </c>
      <c r="R185" s="26" t="str">
        <f>HYPERLINK("http://worldwide.espacenet.com/publicationDetails/biblio?DB=EPODOC&amp;adjacent=true&amp;locale=en_EP&amp;FT=D&amp;CC=CN&amp;NR=105050713A&amp;KC=A","CN105050713.A")</f>
        <v>CN105050713.A</v>
      </c>
      <c r="S185" s="26" t="str">
        <f>HYPERLINK("http://worldwide.espacenet.com/publicationDetails/biblio?DB=EPODOC&amp;adjacent=true&amp;locale=en_EP&amp;FT=D&amp;CC=CN&amp;NR=105050713B&amp;KC=B","CN105050713.B")</f>
        <v>CN105050713.B</v>
      </c>
      <c r="T185" s="26" t="str">
        <f>HYPERLINK("http://worldwide.espacenet.com/publicationDetails/biblio?DB=EPODOC&amp;adjacent=true&amp;locale=en_EP&amp;FT=D&amp;CC=EP&amp;NR=2964380A1&amp;KC=A1","EP2964380.A1")</f>
        <v>EP2964380.A1</v>
      </c>
      <c r="U185" s="26" t="str">
        <f>HYPERLINK("http://worldwide.espacenet.com/publicationDetails/biblio?DB=EPODOC&amp;adjacent=true&amp;locale=en_EP&amp;FT=D&amp;CC=US&amp;NR=5641393A&amp;KC=A","US5641393.A")</f>
        <v>US5641393.A</v>
      </c>
      <c r="V185" s="26" t="str">
        <f>HYPERLINK("http://worldwide.espacenet.com/publicationDetails/biblio?DB=EPODOC&amp;adjacent=true&amp;locale=en_EP&amp;FT=D&amp;CC=WO&amp;NR=9400534A1&amp;KC=A1","WO9400534.A1")</f>
        <v>WO9400534.A1</v>
      </c>
      <c r="W185" s="26" t="str">
        <f>HYPERLINK("http://worldwide.espacenet.com/publicationDetails/biblio?DB=EPODOC&amp;adjacent=true&amp;locale=en_EP&amp;FT=D&amp;CC=WO&amp;NR=9706103A1&amp;KC=A1","WO9706103.A1")</f>
        <v>WO9706103.A1</v>
      </c>
    </row>
    <row r="186" spans="1:58" ht="17.100000000000001" customHeight="1" x14ac:dyDescent="0.25">
      <c r="A186" s="16" t="s">
        <v>3459</v>
      </c>
      <c r="B186" s="21" t="s">
        <v>3460</v>
      </c>
      <c r="C186" s="23">
        <v>1.9814798831939699</v>
      </c>
      <c r="D186" s="23">
        <v>2.3263320922851598</v>
      </c>
      <c r="E186" s="23">
        <v>4.60958003997803</v>
      </c>
      <c r="F186" s="21">
        <v>4.60958003997803</v>
      </c>
      <c r="G186" s="23">
        <v>4</v>
      </c>
      <c r="H186" s="24">
        <v>41459</v>
      </c>
      <c r="I186" s="23">
        <v>3</v>
      </c>
      <c r="J186" s="22">
        <v>419617443</v>
      </c>
      <c r="K186" s="21" t="s">
        <v>3461</v>
      </c>
      <c r="L186" s="21" t="s">
        <v>3462</v>
      </c>
      <c r="M186" s="21" t="s">
        <v>2957</v>
      </c>
      <c r="N186" s="21" t="s">
        <v>2951</v>
      </c>
      <c r="O186" s="25" t="str">
        <f>HYPERLINK("http://worldwide.espacenet.com/publicationDetails/biblio?DB=EPODOC&amp;adjacent=true&amp;locale=en_EP&amp;FT=D&amp;CC=EP&amp;NR=3016738A1&amp;KC=A1","EP3016738.A1")</f>
        <v>EP3016738.A1</v>
      </c>
      <c r="P186" s="25" t="str">
        <f>HYPERLINK("http://worldwide.espacenet.com/publicationDetails/biblio?DB=EPODOC&amp;adjacent=true&amp;locale=en_EP&amp;FT=D&amp;CC=CN&amp;NR=105517708A&amp;KC=A","CN105517708.A")</f>
        <v>CN105517708.A</v>
      </c>
      <c r="Q186" s="26" t="str">
        <f>HYPERLINK("http://worldwide.espacenet.com/publicationDetails/biblio?DB=EPODOC&amp;adjacent=true&amp;locale=en_EP&amp;FT=D&amp;CC=CN&amp;NR=105517708B&amp;KC=B","CN105517708.B")</f>
        <v>CN105517708.B</v>
      </c>
      <c r="R186" s="26" t="str">
        <f>HYPERLINK("http://worldwide.espacenet.com/publicationDetails/biblio?DB=EPODOC&amp;adjacent=true&amp;locale=en_EP&amp;FT=D&amp;CC=EP&amp;NR=3016738A1&amp;KC=A1","EP3016738.A1")</f>
        <v>EP3016738.A1</v>
      </c>
      <c r="S186" s="26" t="str">
        <f>HYPERLINK("http://worldwide.espacenet.com/publicationDetails/biblio?DB=EPODOC&amp;adjacent=true&amp;locale=en_EP&amp;FT=D&amp;CC=EP&amp;NR=3016738B1&amp;KC=B1","EP3016738.B1")</f>
        <v>EP3016738.B1</v>
      </c>
      <c r="T186" s="26" t="str">
        <f>HYPERLINK("http://worldwide.espacenet.com/publicationDetails/biblio?DB=EPODOC&amp;adjacent=true&amp;locale=en_EP&amp;FT=D&amp;CC=JP&amp;NR=2016527076A&amp;KC=A","JP2016527076.A")</f>
        <v>JP2016527076.A</v>
      </c>
    </row>
    <row r="187" spans="1:58" ht="17.100000000000001" customHeight="1" x14ac:dyDescent="0.25">
      <c r="A187" s="16" t="s">
        <v>3463</v>
      </c>
      <c r="B187" s="21" t="s">
        <v>3464</v>
      </c>
      <c r="C187" s="23">
        <v>1.4669935703277599</v>
      </c>
      <c r="D187" s="23">
        <v>1.9657219648361199</v>
      </c>
      <c r="E187" s="23">
        <v>2.8837015628814702</v>
      </c>
      <c r="F187" s="21">
        <v>2.8837015628814702</v>
      </c>
      <c r="G187" s="23">
        <v>2</v>
      </c>
      <c r="H187" s="24">
        <v>41661</v>
      </c>
      <c r="I187" s="23">
        <v>4</v>
      </c>
      <c r="J187" s="22">
        <v>441202732</v>
      </c>
      <c r="K187" s="21" t="s">
        <v>3465</v>
      </c>
      <c r="L187" s="21" t="s">
        <v>1505</v>
      </c>
      <c r="M187" s="21" t="s">
        <v>2957</v>
      </c>
      <c r="N187" s="21" t="s">
        <v>3398</v>
      </c>
      <c r="O187" s="25" t="str">
        <f>HYPERLINK("http://worldwide.espacenet.com/publicationDetails/biblio?DB=EPODOC&amp;adjacent=true&amp;locale=en_EP&amp;FT=D&amp;CC=EP&amp;NR=3098213A1&amp;KC=A1","EP3098213.A1")</f>
        <v>EP3098213.A1</v>
      </c>
      <c r="P187" s="25" t="str">
        <f>HYPERLINK("http://worldwide.espacenet.com/publicationDetails/biblio?DB=EPODOC&amp;adjacent=true&amp;locale=en_EP&amp;FT=D&amp;CC=CN&amp;NR=106029613A&amp;KC=A","CN106029613.A")</f>
        <v>CN106029613.A</v>
      </c>
      <c r="Q187" s="26" t="str">
        <f>HYPERLINK("http://worldwide.espacenet.com/publicationDetails/biblio?DB=EPODOC&amp;adjacent=true&amp;locale=en_EP&amp;FT=D&amp;CC=EA&amp;NR=201600532A1&amp;KC=A1","EA201600532.A1")</f>
        <v>EA201600532.A1</v>
      </c>
      <c r="R187" s="26" t="str">
        <f>HYPERLINK("http://worldwide.espacenet.com/publicationDetails/biblio?DB=EPODOC&amp;adjacent=true&amp;locale=en_EP&amp;FT=D&amp;CC=EP&amp;NR=3098213A1&amp;KC=A1","EP3098213.A1")</f>
        <v>EP3098213.A1</v>
      </c>
      <c r="S187" s="26" t="str">
        <f>HYPERLINK("http://worldwide.espacenet.com/publicationDetails/biblio?DB=EPODOC&amp;adjacent=true&amp;locale=en_EP&amp;FT=D&amp;CC=EP&amp;NR=3098213A4&amp;KC=A4","EP3098213.A4")</f>
        <v>EP3098213.A4</v>
      </c>
      <c r="T187" s="26" t="str">
        <f>HYPERLINK("http://worldwide.espacenet.com/publicationDetails/biblio?DB=EPODOC&amp;adjacent=true&amp;locale=en_EP&amp;FT=D&amp;CC=RU&amp;NR=2544241C1&amp;KC=C1","RU2544241.C1")</f>
        <v>RU2544241.C1</v>
      </c>
      <c r="U187" s="26" t="str">
        <f>HYPERLINK("http://worldwide.espacenet.com/publicationDetails/biblio?DB=EPODOC&amp;adjacent=true&amp;locale=en_EP&amp;FT=D&amp;CC=CA&amp;NR=2502269C&amp;KC=C","CA2502269.C")</f>
        <v>CA2502269.C</v>
      </c>
      <c r="V187" s="26" t="str">
        <f>HYPERLINK("http://worldwide.espacenet.com/publicationDetails/biblio?DB=EPODOC&amp;adjacent=true&amp;locale=en_EP&amp;FT=D&amp;CC=CL&amp;NR=2004000437A1&amp;KC=A1","CL2004000437.A1")</f>
        <v>CL2004000437.A1</v>
      </c>
      <c r="W187" s="26" t="str">
        <f>HYPERLINK("http://worldwide.espacenet.com/publicationDetails/biblio?DB=EPODOC&amp;adjacent=true&amp;locale=en_EP&amp;FT=D&amp;CC=CN&amp;NR=100383129C&amp;KC=C","CN100383129.C")</f>
        <v>CN100383129.C</v>
      </c>
      <c r="X187" s="26" t="str">
        <f>HYPERLINK("http://worldwide.espacenet.com/publicationDetails/biblio?DB=EPODOC&amp;adjacent=true&amp;locale=en_EP&amp;FT=D&amp;CC=CN&amp;NR=1705647A&amp;KC=A","CN1705647.A")</f>
        <v>CN1705647.A</v>
      </c>
      <c r="Y187" s="26" t="str">
        <f>HYPERLINK("http://worldwide.espacenet.com/publicationDetails/biblio?DB=EPODOC&amp;adjacent=true&amp;locale=en_EP&amp;FT=D&amp;CC=CY&amp;NR=1108146T1&amp;KC=T1","CY1108146.T1")</f>
        <v>CY1108146.T1</v>
      </c>
      <c r="Z187" s="26" t="str">
        <f>HYPERLINK("http://worldwide.espacenet.com/publicationDetails/biblio?DB=EPODOC&amp;adjacent=true&amp;locale=en_EP&amp;FT=D&amp;CC=DE&amp;NR=60320008D1&amp;KC=D1","DE60320008.D1")</f>
        <v>DE60320008.D1</v>
      </c>
      <c r="AA187" s="26" t="str">
        <f>HYPERLINK("http://worldwide.espacenet.com/publicationDetails/biblio?DB=EPODOC&amp;adjacent=true&amp;locale=en_EP&amp;FT=D&amp;CC=DE&amp;NR=60320008T2&amp;KC=T2","DE60320008.T2")</f>
        <v>DE60320008.T2</v>
      </c>
      <c r="AB187" s="26" t="str">
        <f>HYPERLINK("http://worldwide.espacenet.com/publicationDetails/biblio?DB=EPODOC&amp;adjacent=true&amp;locale=en_EP&amp;FT=D&amp;CC=DK&amp;NR=1556362T3&amp;KC=T3","DK1556362.T3")</f>
        <v>DK1556362.T3</v>
      </c>
      <c r="AC187" s="26" t="str">
        <f>HYPERLINK("http://worldwide.espacenet.com/publicationDetails/biblio?DB=EPODOC&amp;adjacent=true&amp;locale=en_EP&amp;FT=D&amp;CC=EC&amp;NR=SP055732A&amp;KC=A","ECSP055732.A")</f>
        <v>ECSP055732.A</v>
      </c>
      <c r="AD187" s="26" t="str">
        <f>HYPERLINK("http://worldwide.espacenet.com/publicationDetails/biblio?DB=EPODOC&amp;adjacent=true&amp;locale=en_EP&amp;FT=D&amp;CC=EP&amp;NR=1556362A2&amp;KC=A2","EP1556362.A2")</f>
        <v>EP1556362.A2</v>
      </c>
      <c r="AE187" s="26" t="str">
        <f>HYPERLINK("http://worldwide.espacenet.com/publicationDetails/biblio?DB=EPODOC&amp;adjacent=true&amp;locale=en_EP&amp;FT=D&amp;CC=EP&amp;NR=1556362A4&amp;KC=A4","EP1556362.A4")</f>
        <v>EP1556362.A4</v>
      </c>
      <c r="AF187" s="26" t="str">
        <f>HYPERLINK("http://worldwide.espacenet.com/publicationDetails/biblio?DB=EPODOC&amp;adjacent=true&amp;locale=en_EP&amp;FT=D&amp;CC=EP&amp;NR=1556362B1&amp;KC=B1","EP1556362.B1")</f>
        <v>EP1556362.B1</v>
      </c>
      <c r="AG187" s="26" t="str">
        <f>HYPERLINK("http://worldwide.espacenet.com/publicationDetails/biblio?DB=EPODOC&amp;adjacent=true&amp;locale=en_EP&amp;FT=D&amp;CC=ES&amp;NR=2301879T3&amp;KC=T3","ES2301879.T3")</f>
        <v>ES2301879.T3</v>
      </c>
      <c r="AH187" s="26" t="str">
        <f>HYPERLINK("http://worldwide.espacenet.com/publicationDetails/biblio?DB=EPODOC&amp;adjacent=true&amp;locale=en_EP&amp;FT=D&amp;CC=HK&amp;NR=1086265A1&amp;KC=A1","HK1086265.A1")</f>
        <v>HK1086265.A1</v>
      </c>
      <c r="AI187" s="26" t="str">
        <f>HYPERLINK("http://worldwide.espacenet.com/publicationDetails/biblio?DB=EPODOC&amp;adjacent=true&amp;locale=en_EP&amp;FT=D&amp;CC=HR&amp;NR=P20050343A2&amp;KC=A2","HRP20050343.A2")</f>
        <v>HRP20050343.A2</v>
      </c>
      <c r="AJ187" s="26" t="str">
        <f>HYPERLINK("http://worldwide.espacenet.com/publicationDetails/biblio?DB=EPODOC&amp;adjacent=true&amp;locale=en_EP&amp;FT=D&amp;CC=IS&amp;NR=7753A&amp;KC=A","IS7753.A")</f>
        <v>IS7753.A</v>
      </c>
      <c r="AK187" s="26" t="str">
        <f>HYPERLINK("http://worldwide.espacenet.com/publicationDetails/biblio?DB=EPODOC&amp;adjacent=true&amp;locale=en_EP&amp;FT=D&amp;CC=JP&amp;NR=2006510608A&amp;KC=A","JP2006510608.A")</f>
        <v>JP2006510608.A</v>
      </c>
      <c r="AL187" s="26" t="str">
        <f>HYPERLINK("http://worldwide.espacenet.com/publicationDetails/biblio?DB=EPODOC&amp;adjacent=true&amp;locale=en_EP&amp;FT=D&amp;CC=JP&amp;NR=4352001B2&amp;KC=B2","JP4352001.B2")</f>
        <v>JP4352001.B2</v>
      </c>
      <c r="AM187" s="26" t="str">
        <f>HYPERLINK("http://worldwide.espacenet.com/publicationDetails/biblio?DB=EPODOC&amp;adjacent=true&amp;locale=en_EP&amp;FT=D&amp;CC=KR&amp;NR=20050067418A&amp;KC=A","KR20050067418.A")</f>
        <v>KR20050067418.A</v>
      </c>
      <c r="AN187" s="26" t="str">
        <f>HYPERLINK("http://worldwide.espacenet.com/publicationDetails/biblio?DB=EPODOC&amp;adjacent=true&amp;locale=en_EP&amp;FT=D&amp;CC=MA&amp;NR=27548A1&amp;KC=A1","MA27548.A1")</f>
        <v>MA27548.A1</v>
      </c>
      <c r="AO187" s="26" t="str">
        <f>HYPERLINK("http://worldwide.espacenet.com/publicationDetails/biblio?DB=EPODOC&amp;adjacent=true&amp;locale=en_EP&amp;FT=D&amp;CC=MX&amp;NR=PA05004063A&amp;KC=A","MXPA05004063.A")</f>
        <v>MXPA05004063.A</v>
      </c>
      <c r="AP187" s="26" t="str">
        <f>HYPERLINK("http://worldwide.espacenet.com/publicationDetails/biblio?DB=EPODOC&amp;adjacent=true&amp;locale=en_EP&amp;FT=D&amp;CC=NO&amp;NR=20052380L&amp;KC=L","NO20052380.L")</f>
        <v>NO20052380.L</v>
      </c>
      <c r="AQ187" s="26" t="str">
        <f>HYPERLINK("http://worldwide.espacenet.com/publicationDetails/biblio?DB=EPODOC&amp;adjacent=true&amp;locale=en_EP&amp;FT=D&amp;CC=NO&amp;NR=333815B1&amp;KC=B1","NO333815.B1")</f>
        <v>NO333815.B1</v>
      </c>
      <c r="AR187" s="26" t="str">
        <f>HYPERLINK("http://worldwide.espacenet.com/publicationDetails/biblio?DB=EPODOC&amp;adjacent=true&amp;locale=en_EP&amp;FT=D&amp;CC=NZ&amp;NR=538897A&amp;KC=A","NZ538897.A")</f>
        <v>NZ538897.A</v>
      </c>
      <c r="AS187" s="26" t="str">
        <f>HYPERLINK("http://worldwide.espacenet.com/publicationDetails/biblio?DB=EPODOC&amp;adjacent=true&amp;locale=en_EP&amp;FT=D&amp;CC=PL&amp;NR=216527B1&amp;KC=B1","PL216527.B1")</f>
        <v>PL216527.B1</v>
      </c>
      <c r="AT187" s="26" t="str">
        <f>HYPERLINK("http://worldwide.espacenet.com/publicationDetails/biblio?DB=EPODOC&amp;adjacent=true&amp;locale=en_EP&amp;FT=D&amp;CC=PL&amp;NR=375992A1&amp;KC=A1","PL375992.A1")</f>
        <v>PL375992.A1</v>
      </c>
      <c r="AU187" s="26" t="str">
        <f>HYPERLINK("http://worldwide.espacenet.com/publicationDetails/biblio?DB=EPODOC&amp;adjacent=true&amp;locale=en_EP&amp;FT=D&amp;CC=PT&amp;NR=1556362E&amp;KC=E","PT1556362.E")</f>
        <v>PT1556362.E</v>
      </c>
      <c r="AV187" s="26" t="str">
        <f>HYPERLINK("http://worldwide.espacenet.com/publicationDetails/biblio?DB=EPODOC&amp;adjacent=true&amp;locale=en_EP&amp;FT=D&amp;CC=RU&amp;NR=2005115092A&amp;KC=A","RU2005115092.A")</f>
        <v>RU2005115092.A</v>
      </c>
      <c r="AW187" s="26" t="str">
        <f>HYPERLINK("http://worldwide.espacenet.com/publicationDetails/biblio?DB=EPODOC&amp;adjacent=true&amp;locale=en_EP&amp;FT=D&amp;CC=RU&amp;NR=2301803C2&amp;KC=C2","RU2301803.C2")</f>
        <v>RU2301803.C2</v>
      </c>
      <c r="AX187" s="26" t="str">
        <f>HYPERLINK("http://worldwide.espacenet.com/publicationDetails/biblio?DB=EPODOC&amp;adjacent=true&amp;locale=en_EP&amp;FT=D&amp;CC=SI&amp;NR=1556362T1&amp;KC=T1","SI1556362.T1")</f>
        <v>SI1556362.T1</v>
      </c>
      <c r="AY187" s="26" t="str">
        <f>HYPERLINK("http://worldwide.espacenet.com/publicationDetails/biblio?DB=EPODOC&amp;adjacent=true&amp;locale=en_EP&amp;FT=D&amp;CC=TW&amp;NR=200530202A&amp;KC=A","TW200530202.A")</f>
        <v>TW200530202.A</v>
      </c>
      <c r="AZ187" s="26" t="str">
        <f>HYPERLINK("http://worldwide.espacenet.com/publicationDetails/biblio?DB=EPODOC&amp;adjacent=true&amp;locale=en_EP&amp;FT=D&amp;CC=TW&amp;NR=I249529B&amp;KC=B","TWI249529.B")</f>
        <v>TWI249529.B</v>
      </c>
      <c r="BA187" s="26" t="str">
        <f>HYPERLINK("http://worldwide.espacenet.com/publicationDetails/biblio?DB=EPODOC&amp;adjacent=true&amp;locale=en_EP&amp;FT=D&amp;CC=UA&amp;NR=78612C2&amp;KC=C2","UA78612.C2")</f>
        <v>UA78612.C2</v>
      </c>
      <c r="BB187" s="26" t="str">
        <f>HYPERLINK("http://worldwide.espacenet.com/publicationDetails/biblio?DB=EPODOC&amp;adjacent=true&amp;locale=en_EP&amp;FT=D&amp;CC=US&amp;NR=2004254167A1&amp;KC=A1","US2004254167.A1")</f>
        <v>US2004254167.A1</v>
      </c>
      <c r="BC187" s="26" t="str">
        <f>HYPERLINK("http://worldwide.espacenet.com/publicationDetails/biblio?DB=EPODOC&amp;adjacent=true&amp;locale=en_EP&amp;FT=D&amp;CC=US&amp;NR=7101871B2&amp;KC=B2","US7101871.B2")</f>
        <v>US7101871.B2</v>
      </c>
      <c r="BD187" s="26" t="str">
        <f>HYPERLINK("http://worldwide.espacenet.com/publicationDetails/biblio?DB=EPODOC&amp;adjacent=true&amp;locale=en_EP&amp;FT=D&amp;CC=WO&amp;NR=2004037169A2&amp;KC=A2","WO2004037169.A2")</f>
        <v>WO2004037169.A2</v>
      </c>
      <c r="BE187" s="26" t="str">
        <f>HYPERLINK("http://worldwide.espacenet.com/publicationDetails/biblio?DB=EPODOC&amp;adjacent=true&amp;locale=en_EP&amp;FT=D&amp;CC=WO&amp;NR=2004037169A3&amp;KC=A3","WO2004037169.A3")</f>
        <v>WO2004037169.A3</v>
      </c>
      <c r="BF187" s="26" t="str">
        <f>HYPERLINK("http://worldwide.espacenet.com/publicationDetails/biblio?DB=EPODOC&amp;adjacent=true&amp;locale=en_EP&amp;FT=D&amp;CC=ZA&amp;NR=200502162B&amp;KC=B","ZA200502162.B")</f>
        <v>ZA200502162.B</v>
      </c>
    </row>
    <row r="188" spans="1:58" ht="17.100000000000001" customHeight="1" x14ac:dyDescent="0.25">
      <c r="A188" s="16" t="s">
        <v>3466</v>
      </c>
      <c r="B188" s="21" t="s">
        <v>3467</v>
      </c>
      <c r="C188" s="23">
        <v>1.96329581737518</v>
      </c>
      <c r="D188" s="23">
        <v>2.3903219699859601</v>
      </c>
      <c r="E188" s="23">
        <v>4.6929092407226598</v>
      </c>
      <c r="F188" s="21">
        <v>4.6929092407226598</v>
      </c>
      <c r="G188" s="23">
        <v>4</v>
      </c>
      <c r="H188" s="24">
        <v>41667</v>
      </c>
      <c r="I188" s="23">
        <v>4</v>
      </c>
      <c r="J188" s="22">
        <v>441202556</v>
      </c>
      <c r="K188" s="21" t="s">
        <v>3468</v>
      </c>
      <c r="L188" s="21" t="s">
        <v>1505</v>
      </c>
      <c r="M188" s="21" t="s">
        <v>2957</v>
      </c>
      <c r="N188" s="21" t="s">
        <v>3469</v>
      </c>
      <c r="O188" s="25" t="str">
        <f>HYPERLINK("http://worldwide.espacenet.com/publicationDetails/biblio?DB=EPODOC&amp;adjacent=true&amp;locale=en_EP&amp;FT=D&amp;CC=EP&amp;NR=3100784A1&amp;KC=A1","EP3100784.A1")</f>
        <v>EP3100784.A1</v>
      </c>
      <c r="P188" s="25" t="str">
        <f>HYPERLINK("http://worldwide.espacenet.com/publicationDetails/biblio?DB=EPODOC&amp;adjacent=true&amp;locale=en_EP&amp;FT=D&amp;CC=AU&amp;NR=2014380443A1&amp;KC=A1","AU2014380443.A1")</f>
        <v>AU2014380443.A1</v>
      </c>
      <c r="Q188" s="26" t="str">
        <f>HYPERLINK("http://worldwide.espacenet.com/publicationDetails/biblio?DB=EPODOC&amp;adjacent=true&amp;locale=en_EP&amp;FT=D&amp;CC=AU&amp;NR=2014380443B2&amp;KC=B2","AU2014380443.B2")</f>
        <v>AU2014380443.B2</v>
      </c>
      <c r="R188" s="26" t="str">
        <f>HYPERLINK("http://worldwide.espacenet.com/publicationDetails/biblio?DB=EPODOC&amp;adjacent=true&amp;locale=en_EP&amp;FT=D&amp;CC=CA&amp;NR=2945839A1&amp;KC=A1","CA2945839.A1")</f>
        <v>CA2945839.A1</v>
      </c>
      <c r="S188" s="26" t="str">
        <f>HYPERLINK("http://worldwide.espacenet.com/publicationDetails/biblio?DB=EPODOC&amp;adjacent=true&amp;locale=en_EP&amp;FT=D&amp;CC=CN&amp;NR=106163661A&amp;KC=A","CN106163661.A")</f>
        <v>CN106163661.A</v>
      </c>
      <c r="T188" s="26" t="str">
        <f>HYPERLINK("http://worldwide.espacenet.com/publicationDetails/biblio?DB=EPODOC&amp;adjacent=true&amp;locale=en_EP&amp;FT=D&amp;CC=EA&amp;NR=031119B1&amp;KC=B1","EA031119.B1")</f>
        <v>EA031119.B1</v>
      </c>
    </row>
    <row r="189" spans="1:58" ht="17.100000000000001" customHeight="1" x14ac:dyDescent="0.25">
      <c r="A189" s="16" t="s">
        <v>3470</v>
      </c>
      <c r="B189" s="21" t="s">
        <v>3471</v>
      </c>
      <c r="C189" s="23">
        <v>2.4984672069549601</v>
      </c>
      <c r="D189" s="23">
        <v>1.1374160051345801</v>
      </c>
      <c r="E189" s="23">
        <v>2.84179663658142</v>
      </c>
      <c r="F189" s="21">
        <v>2.84179663658142</v>
      </c>
      <c r="G189" s="23">
        <v>4</v>
      </c>
      <c r="H189" s="24">
        <v>41726</v>
      </c>
      <c r="I189" s="23">
        <v>2</v>
      </c>
      <c r="J189" s="22">
        <v>441209758</v>
      </c>
      <c r="K189" s="21" t="s">
        <v>3472</v>
      </c>
      <c r="L189" s="21" t="s">
        <v>1505</v>
      </c>
      <c r="M189" s="21" t="s">
        <v>2957</v>
      </c>
      <c r="N189" s="21" t="s">
        <v>2977</v>
      </c>
      <c r="O189" s="25" t="str">
        <f>HYPERLINK("http://worldwide.espacenet.com/publicationDetails/biblio?DB=EPODOC&amp;adjacent=true&amp;locale=en_EP&amp;FT=D&amp;CC=EP&amp;NR=3124576A1&amp;KC=A1","EP3124576.A1")</f>
        <v>EP3124576.A1</v>
      </c>
      <c r="P189" s="25" t="str">
        <f>HYPERLINK("http://worldwide.espacenet.com/publicationDetails/biblio?DB=EPODOC&amp;adjacent=true&amp;locale=en_EP&amp;FT=D&amp;CC=EA&amp;NR=201600667A1&amp;KC=A1","EA201600667.A1")</f>
        <v>EA201600667.A1</v>
      </c>
      <c r="Q189" s="26" t="str">
        <f>HYPERLINK("http://worldwide.espacenet.com/publicationDetails/biblio?DB=EPODOC&amp;adjacent=true&amp;locale=en_EP&amp;FT=D&amp;CC=EP&amp;NR=3124576A1&amp;KC=A1","EP3124576.A1")</f>
        <v>EP3124576.A1</v>
      </c>
      <c r="R189" s="26" t="str">
        <f>HYPERLINK("http://worldwide.espacenet.com/publicationDetails/biblio?DB=EPODOC&amp;adjacent=true&amp;locale=en_EP&amp;FT=D&amp;CC=EP&amp;NR=3124576A4&amp;KC=A4","EP3124576.A4")</f>
        <v>EP3124576.A4</v>
      </c>
      <c r="S189" s="26" t="str">
        <f>HYPERLINK("http://worldwide.espacenet.com/publicationDetails/biblio?DB=EPODOC&amp;adjacent=true&amp;locale=en_EP&amp;FT=D&amp;CC=EP&amp;NR=3124576B1&amp;KC=B1","EP3124576.B1")</f>
        <v>EP3124576.B1</v>
      </c>
      <c r="T189" s="26" t="str">
        <f>HYPERLINK("http://worldwide.espacenet.com/publicationDetails/biblio?DB=EPODOC&amp;adjacent=true&amp;locale=en_EP&amp;FT=D&amp;CC=RU&amp;NR=2550354C1&amp;KC=C1","RU2550354.C1")</f>
        <v>RU2550354.C1</v>
      </c>
      <c r="U189" s="26" t="str">
        <f>HYPERLINK("http://worldwide.espacenet.com/publicationDetails/biblio?DB=EPODOC&amp;adjacent=true&amp;locale=en_EP&amp;FT=D&amp;CC=CA&amp;NR=2973639A1&amp;KC=A1","CA2973639.A1")</f>
        <v>CA2973639.A1</v>
      </c>
      <c r="V189" s="26" t="str">
        <f>HYPERLINK("http://worldwide.espacenet.com/publicationDetails/biblio?DB=EPODOC&amp;adjacent=true&amp;locale=en_EP&amp;FT=D&amp;CC=CN&amp;NR=107206365A&amp;KC=A","CN107206365.A")</f>
        <v>CN107206365.A</v>
      </c>
      <c r="W189" s="26" t="str">
        <f>HYPERLINK("http://worldwide.espacenet.com/publicationDetails/biblio?DB=EPODOC&amp;adjacent=true&amp;locale=en_EP&amp;FT=D&amp;CC=CN&amp;NR=107635952A&amp;KC=A","CN107635952.A")</f>
        <v>CN107635952.A</v>
      </c>
      <c r="X189" s="26" t="str">
        <f>HYPERLINK("http://worldwide.espacenet.com/publicationDetails/biblio?DB=EPODOC&amp;adjacent=true&amp;locale=en_EP&amp;FT=D&amp;CC=EA&amp;NR=201791631A1&amp;KC=A1","EA201791631.A1")</f>
        <v>EA201791631.A1</v>
      </c>
      <c r="Y189" s="26" t="str">
        <f>HYPERLINK("http://worldwide.espacenet.com/publicationDetails/biblio?DB=EPODOC&amp;adjacent=true&amp;locale=en_EP&amp;FT=D&amp;CC=EA&amp;NR=201791636A1&amp;KC=A1","EA201791636.A1")</f>
        <v>EA201791636.A1</v>
      </c>
      <c r="Z189" s="26" t="str">
        <f>HYPERLINK("http://worldwide.espacenet.com/publicationDetails/biblio?DB=EPODOC&amp;adjacent=true&amp;locale=en_EP&amp;FT=D&amp;CC=MX&amp;NR=2017009128A&amp;KC=A","MX2017009128.A")</f>
        <v>MX2017009128.A</v>
      </c>
      <c r="AA189" s="26" t="str">
        <f>HYPERLINK("http://worldwide.espacenet.com/publicationDetails/biblio?DB=EPODOC&amp;adjacent=true&amp;locale=en_EP&amp;FT=D&amp;CC=MX&amp;NR=2017009129A&amp;KC=A","MX2017009129.A")</f>
        <v>MX2017009129.A</v>
      </c>
      <c r="AB189" s="26" t="str">
        <f>HYPERLINK("http://worldwide.espacenet.com/publicationDetails/biblio?DB=EPODOC&amp;adjacent=true&amp;locale=en_EP&amp;FT=D&amp;CC=US&amp;NR=10150718B2&amp;KC=B2","US10150718.B2")</f>
        <v>US10150718.B2</v>
      </c>
      <c r="AC189" s="26" t="str">
        <f>HYPERLINK("http://worldwide.espacenet.com/publicationDetails/biblio?DB=EPODOC&amp;adjacent=true&amp;locale=en_EP&amp;FT=D&amp;CC=US&amp;NR=10336673B2&amp;KC=B2","US10336673.B2")</f>
        <v>US10336673.B2</v>
      </c>
      <c r="AD189" s="26" t="str">
        <f>HYPERLINK("http://worldwide.espacenet.com/publicationDetails/biblio?DB=EPODOC&amp;adjacent=true&amp;locale=en_EP&amp;FT=D&amp;CC=US&amp;NR=2018002610A1&amp;KC=A1","US2018002610.A1")</f>
        <v>US2018002610.A1</v>
      </c>
      <c r="AE189" s="26" t="str">
        <f>HYPERLINK("http://worldwide.espacenet.com/publicationDetails/biblio?DB=EPODOC&amp;adjacent=true&amp;locale=en_EP&amp;FT=D&amp;CC=US&amp;NR=2018022673A1&amp;KC=A1","US2018022673.A1")</f>
        <v>US2018022673.A1</v>
      </c>
      <c r="AF189" s="26" t="str">
        <f>HYPERLINK("http://worldwide.espacenet.com/publicationDetails/biblio?DB=EPODOC&amp;adjacent=true&amp;locale=en_EP&amp;FT=D&amp;CC=WO&amp;NR=2016116611A1&amp;KC=A1","WO2016116611.A1")</f>
        <v>WO2016116611.A1</v>
      </c>
      <c r="AG189" s="26" t="str">
        <f>HYPERLINK("http://worldwide.espacenet.com/publicationDetails/biblio?DB=EPODOC&amp;adjacent=true&amp;locale=en_EP&amp;FT=D&amp;CC=WO&amp;NR=2016116612A1&amp;KC=A1","WO2016116612.A1")</f>
        <v>WO2016116612.A1</v>
      </c>
    </row>
    <row r="190" spans="1:58" ht="17.100000000000001" customHeight="1" x14ac:dyDescent="0.25">
      <c r="A190" s="16" t="s">
        <v>3473</v>
      </c>
      <c r="B190" s="21" t="s">
        <v>3474</v>
      </c>
      <c r="C190" s="23">
        <v>0.204487174749374</v>
      </c>
      <c r="D190" s="23">
        <v>2.02375292778015</v>
      </c>
      <c r="E190" s="23">
        <v>0.41383153200149497</v>
      </c>
      <c r="F190" s="21">
        <v>0.41383153200149497</v>
      </c>
      <c r="G190" s="23">
        <v>0</v>
      </c>
      <c r="H190" s="24">
        <v>41863</v>
      </c>
      <c r="I190" s="23">
        <v>2</v>
      </c>
      <c r="J190" s="22">
        <v>443525325</v>
      </c>
      <c r="K190" s="21"/>
      <c r="L190" s="21" t="s">
        <v>1505</v>
      </c>
      <c r="M190" s="21" t="s">
        <v>2957</v>
      </c>
      <c r="N190" s="21" t="s">
        <v>2977</v>
      </c>
      <c r="O190" s="25" t="str">
        <f>HYPERLINK("http://worldwide.espacenet.com/publicationDetails/biblio?DB=EPODOC&amp;adjacent=true&amp;locale=en_EP&amp;FT=D&amp;CC=EP&amp;NR=3190098A2&amp;KC=A2","EP3190098.A2")</f>
        <v>EP3190098.A2</v>
      </c>
      <c r="P190" s="25" t="str">
        <f>HYPERLINK("http://worldwide.espacenet.com/publicationDetails/biblio?DB=EPODOC&amp;adjacent=true&amp;locale=en_EP&amp;FT=D&amp;CC=CA&amp;NR=2958104A1&amp;KC=A1","CA2958104.A1")</f>
        <v>CA2958104.A1</v>
      </c>
      <c r="Q190" s="26" t="str">
        <f>HYPERLINK("http://worldwide.espacenet.com/publicationDetails/biblio?DB=EPODOC&amp;adjacent=true&amp;locale=en_EP&amp;FT=D&amp;CC=CN&amp;NR=107001182A&amp;KC=A","CN107001182.A")</f>
        <v>CN107001182.A</v>
      </c>
      <c r="R190" s="26" t="str">
        <f>HYPERLINK("http://worldwide.espacenet.com/publicationDetails/biblio?DB=EPODOC&amp;adjacent=true&amp;locale=en_EP&amp;FT=D&amp;CC=EA&amp;NR=032256B1&amp;KC=B1","EA032256.B1")</f>
        <v>EA032256.B1</v>
      </c>
      <c r="S190" s="26" t="str">
        <f>HYPERLINK("http://worldwide.espacenet.com/publicationDetails/biblio?DB=EPODOC&amp;adjacent=true&amp;locale=en_EP&amp;FT=D&amp;CC=EA&amp;NR=201700105A1&amp;KC=A1","EA201700105.A1")</f>
        <v>EA201700105.A1</v>
      </c>
      <c r="T190" s="26" t="str">
        <f>HYPERLINK("http://worldwide.espacenet.com/publicationDetails/biblio?DB=EPODOC&amp;adjacent=true&amp;locale=en_EP&amp;FT=D&amp;CC=EP&amp;NR=3190098A2&amp;KC=A2","EP3190098.A2")</f>
        <v>EP3190098.A2</v>
      </c>
    </row>
    <row r="191" spans="1:58" ht="17.100000000000001" customHeight="1" x14ac:dyDescent="0.25">
      <c r="A191" s="16" t="s">
        <v>3475</v>
      </c>
      <c r="B191" s="21" t="s">
        <v>3476</v>
      </c>
      <c r="C191" s="23">
        <v>0.71740275621414196</v>
      </c>
      <c r="D191" s="23">
        <v>1.54546105861664</v>
      </c>
      <c r="E191" s="23">
        <v>1.1087180376052901</v>
      </c>
      <c r="F191" s="21">
        <v>1.1087180376052901</v>
      </c>
      <c r="G191" s="23">
        <v>0</v>
      </c>
      <c r="H191" s="24">
        <v>42438</v>
      </c>
      <c r="I191" s="23">
        <v>3</v>
      </c>
      <c r="J191" s="22">
        <v>483706217</v>
      </c>
      <c r="K191" s="21"/>
      <c r="L191" s="21" t="s">
        <v>3477</v>
      </c>
      <c r="M191" s="21" t="s">
        <v>3077</v>
      </c>
      <c r="N191" s="21" t="s">
        <v>3478</v>
      </c>
      <c r="O191" s="25" t="str">
        <f>HYPERLINK("http://worldwide.espacenet.com/publicationDetails/biblio?DB=EPODOC&amp;adjacent=true&amp;locale=en_EP&amp;FT=D&amp;CC=EP&amp;NR=3426753A1&amp;KC=A1","EP3426753.A1")</f>
        <v>EP3426753.A1</v>
      </c>
      <c r="P191" s="25" t="str">
        <f>HYPERLINK("http://worldwide.espacenet.com/publicationDetails/biblio?DB=EPODOC&amp;adjacent=true&amp;locale=en_EP&amp;FT=D&amp;CC=AU&amp;NR=2016396601A1&amp;KC=A1","AU2016396601.A1")</f>
        <v>AU2016396601.A1</v>
      </c>
      <c r="Q191" s="26" t="str">
        <f>HYPERLINK("http://worldwide.espacenet.com/publicationDetails/biblio?DB=EPODOC&amp;adjacent=true&amp;locale=en_EP&amp;FT=D&amp;CC=BR&amp;NR=112018067668A2&amp;KC=A2","BR112018067668.A2")</f>
        <v>BR112018067668.A2</v>
      </c>
      <c r="R191" s="26" t="str">
        <f>HYPERLINK("http://worldwide.espacenet.com/publicationDetails/biblio?DB=EPODOC&amp;adjacent=true&amp;locale=en_EP&amp;FT=D&amp;CC=CA&amp;NR=3016531A1&amp;KC=A1","CA3016531.A1")</f>
        <v>CA3016531.A1</v>
      </c>
      <c r="S191" s="26" t="str">
        <f>HYPERLINK("http://worldwide.espacenet.com/publicationDetails/biblio?DB=EPODOC&amp;adjacent=true&amp;locale=en_EP&amp;FT=D&amp;CC=CN&amp;NR=108779399A&amp;KC=A","CN108779399.A")</f>
        <v>CN108779399.A</v>
      </c>
      <c r="T191" s="26" t="str">
        <f>HYPERLINK("http://worldwide.espacenet.com/publicationDetails/biblio?DB=EPODOC&amp;adjacent=true&amp;locale=en_EP&amp;FT=D&amp;CC=EA&amp;NR=201891760A1&amp;KC=A1","EA201891760.A1")</f>
        <v>EA201891760.A1</v>
      </c>
    </row>
    <row r="192" spans="1:58" ht="17.100000000000001" customHeight="1" x14ac:dyDescent="0.25">
      <c r="A192" s="16" t="s">
        <v>3479</v>
      </c>
      <c r="B192" s="21" t="s">
        <v>3480</v>
      </c>
      <c r="C192" s="23">
        <v>0.75518190860748302</v>
      </c>
      <c r="D192" s="23">
        <v>1.25017297267914</v>
      </c>
      <c r="E192" s="23">
        <v>0.94410800933837902</v>
      </c>
      <c r="F192" s="21">
        <v>0.94410800933837902</v>
      </c>
      <c r="G192" s="23">
        <v>0</v>
      </c>
      <c r="H192" s="24">
        <v>42438</v>
      </c>
      <c r="I192" s="23">
        <v>1</v>
      </c>
      <c r="J192" s="22">
        <v>483703059</v>
      </c>
      <c r="K192" s="21"/>
      <c r="L192" s="21" t="s">
        <v>3481</v>
      </c>
      <c r="M192" s="21" t="s">
        <v>3077</v>
      </c>
      <c r="N192" s="21" t="s">
        <v>3003</v>
      </c>
      <c r="O192" s="25" t="str">
        <f>HYPERLINK("http://worldwide.espacenet.com/publicationDetails/biblio?DB=EPODOC&amp;adjacent=true&amp;locale=en_EP&amp;FT=D&amp;CC=EP&amp;NR=3426754A1&amp;KC=A1","EP3426754.A1")</f>
        <v>EP3426754.A1</v>
      </c>
      <c r="P192" s="25" t="str">
        <f>HYPERLINK("http://worldwide.espacenet.com/publicationDetails/biblio?DB=EPODOC&amp;adjacent=true&amp;locale=en_EP&amp;FT=D&amp;CC=AU&amp;NR=2017230031A1&amp;KC=A1","AU2017230031.A1")</f>
        <v>AU2017230031.A1</v>
      </c>
      <c r="Q192" s="26" t="str">
        <f>HYPERLINK("http://worldwide.espacenet.com/publicationDetails/biblio?DB=EPODOC&amp;adjacent=true&amp;locale=en_EP&amp;FT=D&amp;CC=BR&amp;NR=112018067640A2&amp;KC=A2","BR112018067640.A2")</f>
        <v>BR112018067640.A2</v>
      </c>
      <c r="R192" s="26" t="str">
        <f>HYPERLINK("http://worldwide.espacenet.com/publicationDetails/biblio?DB=EPODOC&amp;adjacent=true&amp;locale=en_EP&amp;FT=D&amp;CC=CN&amp;NR=109072093A&amp;KC=A","CN109072093.A")</f>
        <v>CN109072093.A</v>
      </c>
      <c r="S192" s="26" t="str">
        <f>HYPERLINK("http://worldwide.espacenet.com/publicationDetails/biblio?DB=EPODOC&amp;adjacent=true&amp;locale=en_EP&amp;FT=D&amp;CC=EP&amp;NR=3426754A1&amp;KC=A1","EP3426754.A1")</f>
        <v>EP3426754.A1</v>
      </c>
      <c r="T192" s="26" t="str">
        <f>HYPERLINK("http://worldwide.espacenet.com/publicationDetails/biblio?DB=EPODOC&amp;adjacent=true&amp;locale=en_EP&amp;FT=D&amp;CC=WO&amp;NR=2017155424A1&amp;KC=A1","WO2017155424.A1")</f>
        <v>WO2017155424.A1</v>
      </c>
      <c r="U192" s="26" t="str">
        <f>HYPERLINK("http://worldwide.espacenet.com/publicationDetails/biblio?DB=EPODOC&amp;adjacent=true&amp;locale=en_EP&amp;FT=D&amp;CC=CA&amp;NR=2014666A1&amp;KC=A1","CA2014666.A1")</f>
        <v>CA2014666.A1</v>
      </c>
      <c r="V192" s="26" t="str">
        <f>HYPERLINK("http://worldwide.espacenet.com/publicationDetails/biblio?DB=EPODOC&amp;adjacent=true&amp;locale=en_EP&amp;FT=D&amp;CC=CA&amp;NR=2014666C&amp;KC=C","CA2014666.C")</f>
        <v>CA2014666.C</v>
      </c>
      <c r="W192" s="26" t="str">
        <f>HYPERLINK("http://worldwide.espacenet.com/publicationDetails/biblio?DB=EPODOC&amp;adjacent=true&amp;locale=en_EP&amp;FT=D&amp;CC=DE&amp;NR=69001644D1&amp;KC=D1","DE69001644.D1")</f>
        <v>DE69001644.D1</v>
      </c>
      <c r="X192" s="26" t="str">
        <f>HYPERLINK("http://worldwide.espacenet.com/publicationDetails/biblio?DB=EPODOC&amp;adjacent=true&amp;locale=en_EP&amp;FT=D&amp;CC=DE&amp;NR=69001644T2&amp;KC=T2","DE69001644.T2")</f>
        <v>DE69001644.T2</v>
      </c>
      <c r="Y192" s="26" t="str">
        <f>HYPERLINK("http://worldwide.espacenet.com/publicationDetails/biblio?DB=EPODOC&amp;adjacent=true&amp;locale=en_EP&amp;FT=D&amp;CC=DK&amp;NR=0405978T3&amp;KC=T3","DK0405978.T3")</f>
        <v>DK0405978.T3</v>
      </c>
      <c r="Z192" s="26" t="str">
        <f>HYPERLINK("http://worldwide.espacenet.com/publicationDetails/biblio?DB=EPODOC&amp;adjacent=true&amp;locale=en_EP&amp;FT=D&amp;CC=EP&amp;NR=0405978A1&amp;KC=A1","EP0405978.A1")</f>
        <v>EP0405978.A1</v>
      </c>
      <c r="AA192" s="26" t="str">
        <f>HYPERLINK("http://worldwide.espacenet.com/publicationDetails/biblio?DB=EPODOC&amp;adjacent=true&amp;locale=en_EP&amp;FT=D&amp;CC=EP&amp;NR=0405978B1&amp;KC=B1","EP0405978.B1")</f>
        <v>EP0405978.B1</v>
      </c>
      <c r="AB192" s="26" t="str">
        <f>HYPERLINK("http://worldwide.espacenet.com/publicationDetails/biblio?DB=EPODOC&amp;adjacent=true&amp;locale=en_EP&amp;FT=D&amp;CC=ES&amp;NR=2040566T3&amp;KC=T3","ES2040566.T3")</f>
        <v>ES2040566.T3</v>
      </c>
      <c r="AC192" s="26" t="str">
        <f>HYPERLINK("http://worldwide.espacenet.com/publicationDetails/biblio?DB=EPODOC&amp;adjacent=true&amp;locale=en_EP&amp;FT=D&amp;CC=JP&amp;NR=3030056B2&amp;KC=B2","JP3030056.B2")</f>
        <v>JP3030056.B2</v>
      </c>
      <c r="AD192" s="26" t="str">
        <f>HYPERLINK("http://worldwide.espacenet.com/publicationDetails/biblio?DB=EPODOC&amp;adjacent=true&amp;locale=en_EP&amp;FT=D&amp;CC=JP&amp;NR=H0369510A&amp;KC=A","JPH0369510.A")</f>
        <v>JPH0369510.A</v>
      </c>
      <c r="AE192" s="26" t="str">
        <f>HYPERLINK("http://worldwide.espacenet.com/publicationDetails/biblio?DB=EPODOC&amp;adjacent=true&amp;locale=en_EP&amp;FT=D&amp;CC=MX&amp;NR=172049B&amp;KC=B","MX172049.B")</f>
        <v>MX172049.B</v>
      </c>
      <c r="AF192" s="26" t="str">
        <f>HYPERLINK("http://worldwide.espacenet.com/publicationDetails/biblio?DB=EPODOC&amp;adjacent=true&amp;locale=en_EP&amp;FT=D&amp;CC=US&amp;NR=5244650A&amp;KC=A","US5244650.A")</f>
        <v>US5244650.A</v>
      </c>
      <c r="AG192" s="26" t="str">
        <f>HYPERLINK("http://worldwide.espacenet.com/publicationDetails/biblio?DB=EPODOC&amp;adjacent=true&amp;locale=en_EP&amp;FT=D&amp;CC=ZA&amp;NR=9002718B&amp;KC=B","ZA9002718.B")</f>
        <v>ZA9002718.B</v>
      </c>
    </row>
    <row r="193" spans="1:50" ht="17.100000000000001" customHeight="1" x14ac:dyDescent="0.25">
      <c r="A193" s="16" t="s">
        <v>3482</v>
      </c>
      <c r="B193" s="21" t="s">
        <v>3483</v>
      </c>
      <c r="C193" s="23">
        <v>1.44808769226074</v>
      </c>
      <c r="D193" s="23">
        <v>0</v>
      </c>
      <c r="E193" s="23">
        <v>0</v>
      </c>
      <c r="F193" s="21">
        <v>0</v>
      </c>
      <c r="G193" s="23">
        <v>5</v>
      </c>
      <c r="H193" s="24">
        <v>28640</v>
      </c>
      <c r="I193" s="23">
        <v>3</v>
      </c>
      <c r="J193" s="22">
        <v>4096569</v>
      </c>
      <c r="K193" s="21" t="s">
        <v>3484</v>
      </c>
      <c r="L193" s="21" t="s">
        <v>3282</v>
      </c>
      <c r="M193" s="21" t="s">
        <v>2942</v>
      </c>
      <c r="N193" s="21" t="s">
        <v>3478</v>
      </c>
      <c r="O193" s="25" t="str">
        <f>HYPERLINK("http://worldwide.espacenet.com/publicationDetails/biblio?DB=EPODOC&amp;adjacent=true&amp;locale=en_EP&amp;FT=D&amp;CC=GB&amp;NR=2023167A&amp;KC=A","GB2023167.A")</f>
        <v>GB2023167.A</v>
      </c>
      <c r="P193" s="25" t="str">
        <f>HYPERLINK("http://worldwide.espacenet.com/publicationDetails/biblio?DB=EPODOC&amp;adjacent=true&amp;locale=en_EP&amp;FT=D&amp;CC=CA&amp;NR=1142118A&amp;KC=A","CA1142118.A")</f>
        <v>CA1142118.A</v>
      </c>
      <c r="Q193" s="26" t="str">
        <f>HYPERLINK("http://worldwide.espacenet.com/publicationDetails/biblio?DB=EPODOC&amp;adjacent=true&amp;locale=en_EP&amp;FT=D&amp;CC=DE&amp;NR=2921601A1&amp;KC=A1","DE2921601.A1")</f>
        <v>DE2921601.A1</v>
      </c>
      <c r="R193" s="26" t="str">
        <f>HYPERLINK("http://worldwide.espacenet.com/publicationDetails/biblio?DB=EPODOC&amp;adjacent=true&amp;locale=en_EP&amp;FT=D&amp;CC=DE&amp;NR=2921601C2&amp;KC=C2","DE2921601.C2")</f>
        <v>DE2921601.C2</v>
      </c>
      <c r="S193" s="26" t="str">
        <f>HYPERLINK("http://worldwide.espacenet.com/publicationDetails/biblio?DB=EPODOC&amp;adjacent=true&amp;locale=en_EP&amp;FT=D&amp;CC=FR&amp;NR=2427375A1&amp;KC=A1","FR2427375.A1")</f>
        <v>FR2427375.A1</v>
      </c>
      <c r="T193" s="26" t="str">
        <f>HYPERLINK("http://worldwide.espacenet.com/publicationDetails/biblio?DB=EPODOC&amp;adjacent=true&amp;locale=en_EP&amp;FT=D&amp;CC=FR&amp;NR=2427375B1&amp;KC=B1","FR2427375.B1")</f>
        <v>FR2427375.B1</v>
      </c>
    </row>
    <row r="194" spans="1:50" ht="17.100000000000001" customHeight="1" x14ac:dyDescent="0.25">
      <c r="A194" s="16" t="s">
        <v>3485</v>
      </c>
      <c r="B194" s="21" t="s">
        <v>3486</v>
      </c>
      <c r="C194" s="23">
        <v>3.4889330863952601</v>
      </c>
      <c r="D194" s="23">
        <v>0</v>
      </c>
      <c r="E194" s="23">
        <v>0</v>
      </c>
      <c r="F194" s="21">
        <v>0</v>
      </c>
      <c r="G194" s="23">
        <v>20</v>
      </c>
      <c r="H194" s="24">
        <v>28663</v>
      </c>
      <c r="I194" s="23">
        <v>3</v>
      </c>
      <c r="J194" s="22">
        <v>704864</v>
      </c>
      <c r="K194" s="21" t="s">
        <v>3487</v>
      </c>
      <c r="L194" s="21" t="s">
        <v>3488</v>
      </c>
      <c r="M194" s="21" t="s">
        <v>2942</v>
      </c>
      <c r="N194" s="21" t="s">
        <v>3013</v>
      </c>
      <c r="O194" s="25" t="str">
        <f>HYPERLINK("http://worldwide.espacenet.com/publicationDetails/biblio?DB=EPODOC&amp;adjacent=true&amp;locale=en_EP&amp;FT=D&amp;CC=GB&amp;NR=2023562A&amp;KC=A","GB2023562.A")</f>
        <v>GB2023562.A</v>
      </c>
      <c r="P194" s="25" t="str">
        <f>HYPERLINK("http://worldwide.espacenet.com/publicationDetails/biblio?DB=EPODOC&amp;adjacent=true&amp;locale=en_EP&amp;FT=D&amp;CC=AT&amp;NR=374770B&amp;KC=B","AT374770.B")</f>
        <v>AT374770.B</v>
      </c>
      <c r="Q194" s="26" t="str">
        <f>HYPERLINK("http://worldwide.espacenet.com/publicationDetails/biblio?DB=EPODOC&amp;adjacent=true&amp;locale=en_EP&amp;FT=D&amp;CC=AT&amp;NR=A438179A&amp;KC=A","ATA438179.A")</f>
        <v>ATA438179.A</v>
      </c>
      <c r="R194" s="26" t="str">
        <f>HYPERLINK("http://worldwide.espacenet.com/publicationDetails/biblio?DB=EPODOC&amp;adjacent=true&amp;locale=en_EP&amp;FT=D&amp;CC=AU&amp;NR=4823379A&amp;KC=A","AU4823379.A")</f>
        <v>AU4823379.A</v>
      </c>
      <c r="S194" s="26" t="str">
        <f>HYPERLINK("http://worldwide.espacenet.com/publicationDetails/biblio?DB=EPODOC&amp;adjacent=true&amp;locale=en_EP&amp;FT=D&amp;CC=AU&amp;NR=531124B2&amp;KC=B2","AU531124.B2")</f>
        <v>AU531124.B2</v>
      </c>
      <c r="T194" s="26" t="str">
        <f>HYPERLINK("http://worldwide.espacenet.com/publicationDetails/biblio?DB=EPODOC&amp;adjacent=true&amp;locale=en_EP&amp;FT=D&amp;CC=CA&amp;NR=1131206A&amp;KC=A","CA1131206.A")</f>
        <v>CA1131206.A</v>
      </c>
    </row>
    <row r="195" spans="1:50" ht="17.100000000000001" customHeight="1" x14ac:dyDescent="0.25">
      <c r="A195" s="16" t="s">
        <v>3489</v>
      </c>
      <c r="B195" s="21" t="s">
        <v>3490</v>
      </c>
      <c r="C195" s="23">
        <v>0.95158749818801902</v>
      </c>
      <c r="D195" s="23">
        <v>0</v>
      </c>
      <c r="E195" s="23">
        <v>0</v>
      </c>
      <c r="F195" s="21">
        <v>0</v>
      </c>
      <c r="G195" s="23">
        <v>5</v>
      </c>
      <c r="H195" s="24">
        <v>38959</v>
      </c>
      <c r="I195" s="23">
        <v>3</v>
      </c>
      <c r="J195" s="22">
        <v>39345784</v>
      </c>
      <c r="K195" s="21" t="s">
        <v>3491</v>
      </c>
      <c r="L195" s="21" t="s">
        <v>961</v>
      </c>
      <c r="M195" s="21" t="s">
        <v>2942</v>
      </c>
      <c r="N195" s="21" t="s">
        <v>3316</v>
      </c>
      <c r="O195" s="25" t="str">
        <f>HYPERLINK("http://worldwide.espacenet.com/publicationDetails/biblio?DB=EPODOC&amp;adjacent=true&amp;locale=en_EP&amp;FT=D&amp;CC=JP&amp;NR=2008056593A&amp;KC=A","JP2008056593.A")</f>
        <v>JP2008056593.A</v>
      </c>
      <c r="P195" s="25" t="str">
        <f>HYPERLINK("http://worldwide.espacenet.com/publicationDetails/biblio?DB=EPODOC&amp;adjacent=true&amp;locale=en_EP&amp;FT=D&amp;CC=CN&amp;NR=101506127A&amp;KC=A","CN101506127.A")</f>
        <v>CN101506127.A</v>
      </c>
      <c r="Q195" s="26" t="str">
        <f>HYPERLINK("http://worldwide.espacenet.com/publicationDetails/biblio?DB=EPODOC&amp;adjacent=true&amp;locale=en_EP&amp;FT=D&amp;CC=JP&amp;NR=2008056593A&amp;KC=A","JP2008056593.A")</f>
        <v>JP2008056593.A</v>
      </c>
      <c r="U195" s="26" t="str">
        <f>HYPERLINK("http://worldwide.espacenet.com/publicationDetails/biblio?DB=EPODOC&amp;adjacent=true&amp;locale=en_EP&amp;FT=D&amp;CC=CZ&amp;NR=319392A3&amp;KC=A3","CZ319392.A3")</f>
        <v>CZ319392.A3</v>
      </c>
      <c r="V195" s="26" t="str">
        <f>HYPERLINK("http://worldwide.espacenet.com/publicationDetails/biblio?DB=EPODOC&amp;adjacent=true&amp;locale=en_EP&amp;FT=D&amp;CC=DE&amp;NR=69212426D1&amp;KC=D1","DE69212426.D1")</f>
        <v>DE69212426.D1</v>
      </c>
      <c r="W195" s="26" t="str">
        <f>HYPERLINK("http://worldwide.espacenet.com/publicationDetails/biblio?DB=EPODOC&amp;adjacent=true&amp;locale=en_EP&amp;FT=D&amp;CC=DE&amp;NR=69212426T2&amp;KC=T2","DE69212426.T2")</f>
        <v>DE69212426.T2</v>
      </c>
      <c r="X195" s="26" t="str">
        <f>HYPERLINK("http://worldwide.espacenet.com/publicationDetails/biblio?DB=EPODOC&amp;adjacent=true&amp;locale=en_EP&amp;FT=D&amp;CC=EP&amp;NR=0539121A1&amp;KC=A1","EP0539121.A1")</f>
        <v>EP0539121.A1</v>
      </c>
      <c r="Y195" s="26" t="str">
        <f>HYPERLINK("http://worldwide.espacenet.com/publicationDetails/biblio?DB=EPODOC&amp;adjacent=true&amp;locale=en_EP&amp;FT=D&amp;CC=EP&amp;NR=0539121B1&amp;KC=B1","EP0539121.B1")</f>
        <v>EP0539121.B1</v>
      </c>
      <c r="Z195" s="26" t="str">
        <f>HYPERLINK("http://worldwide.espacenet.com/publicationDetails/biblio?DB=EPODOC&amp;adjacent=true&amp;locale=en_EP&amp;FT=D&amp;CC=ES&amp;NR=2090529T3&amp;KC=T3","ES2090529.T3")</f>
        <v>ES2090529.T3</v>
      </c>
      <c r="AA195" s="26" t="str">
        <f>HYPERLINK("http://worldwide.espacenet.com/publicationDetails/biblio?DB=EPODOC&amp;adjacent=true&amp;locale=en_EP&amp;FT=D&amp;CC=HU&amp;NR=9203273D0&amp;KC=D0","HU9203273.D0")</f>
        <v>HU9203273.D0</v>
      </c>
      <c r="AB195" s="26" t="str">
        <f>HYPERLINK("http://worldwide.espacenet.com/publicationDetails/biblio?DB=EPODOC&amp;adjacent=true&amp;locale=en_EP&amp;FT=D&amp;CC=HU&amp;NR=T65105A&amp;KC=A","HUT65105.A")</f>
        <v>HUT65105.A</v>
      </c>
      <c r="AC195" s="26" t="str">
        <f>HYPERLINK("http://worldwide.espacenet.com/publicationDetails/biblio?DB=EPODOC&amp;adjacent=true&amp;locale=en_EP&amp;FT=D&amp;CC=JP&amp;NR=H05220323A&amp;KC=A","JPH05220323.A")</f>
        <v>JPH05220323.A</v>
      </c>
      <c r="AD195" s="26" t="str">
        <f>HYPERLINK("http://worldwide.espacenet.com/publicationDetails/biblio?DB=EPODOC&amp;adjacent=true&amp;locale=en_EP&amp;FT=D&amp;CC=JP&amp;NR=H0824814B2&amp;KC=B2","JPH0824814.B2")</f>
        <v>JPH0824814.B2</v>
      </c>
      <c r="AE195" s="26" t="str">
        <f>HYPERLINK("http://worldwide.espacenet.com/publicationDetails/biblio?DB=EPODOC&amp;adjacent=true&amp;locale=en_EP&amp;FT=D&amp;CC=KR&amp;NR=930007489A&amp;KC=A","KR930007489.A")</f>
        <v>KR930007489.A</v>
      </c>
      <c r="AF195" s="26" t="str">
        <f>HYPERLINK("http://worldwide.espacenet.com/publicationDetails/biblio?DB=EPODOC&amp;adjacent=true&amp;locale=en_EP&amp;FT=D&amp;CC=KR&amp;NR=960012561B1&amp;KC=B1","KR960012561.B1")</f>
        <v>KR960012561.B1</v>
      </c>
      <c r="AG195" s="26" t="str">
        <f>HYPERLINK("http://worldwide.espacenet.com/publicationDetails/biblio?DB=EPODOC&amp;adjacent=true&amp;locale=en_EP&amp;FT=D&amp;CC=PL&amp;NR=170883B1&amp;KC=B1","PL170883.B1")</f>
        <v>PL170883.B1</v>
      </c>
      <c r="AH195" s="26" t="str">
        <f>HYPERLINK("http://worldwide.espacenet.com/publicationDetails/biblio?DB=EPODOC&amp;adjacent=true&amp;locale=en_EP&amp;FT=D&amp;CC=PL&amp;NR=296337A1&amp;KC=A1","PL296337.A1")</f>
        <v>PL296337.A1</v>
      </c>
      <c r="AI195" s="26" t="str">
        <f>HYPERLINK("http://worldwide.espacenet.com/publicationDetails/biblio?DB=EPODOC&amp;adjacent=true&amp;locale=en_EP&amp;FT=D&amp;CC=RU&amp;NR=2081679C1&amp;KC=C1","RU2081679.C1")</f>
        <v>RU2081679.C1</v>
      </c>
      <c r="AJ195" s="26" t="str">
        <f>HYPERLINK("http://worldwide.espacenet.com/publicationDetails/biblio?DB=EPODOC&amp;adjacent=true&amp;locale=en_EP&amp;FT=D&amp;CC=SK&amp;NR=319392A3&amp;KC=A3","SK319392.A3")</f>
        <v>SK319392.A3</v>
      </c>
      <c r="AK195" s="26" t="str">
        <f>HYPERLINK("http://worldwide.espacenet.com/publicationDetails/biblio?DB=EPODOC&amp;adjacent=true&amp;locale=en_EP&amp;FT=D&amp;CC=US&amp;NR=5194076A&amp;KC=A","US5194076.A")</f>
        <v>US5194076.A</v>
      </c>
    </row>
    <row r="196" spans="1:50" ht="17.100000000000001" customHeight="1" x14ac:dyDescent="0.25">
      <c r="A196" s="16" t="s">
        <v>3492</v>
      </c>
      <c r="B196" s="21" t="s">
        <v>3493</v>
      </c>
      <c r="C196" s="23">
        <v>1.2821296453476001</v>
      </c>
      <c r="D196" s="23">
        <v>0.25753700733184798</v>
      </c>
      <c r="E196" s="23">
        <v>0.33019584417343101</v>
      </c>
      <c r="F196" s="21">
        <v>0.33019584417343101</v>
      </c>
      <c r="G196" s="23">
        <v>8</v>
      </c>
      <c r="H196" s="24">
        <v>39045</v>
      </c>
      <c r="I196" s="23">
        <v>3</v>
      </c>
      <c r="J196" s="22">
        <v>39438331</v>
      </c>
      <c r="K196" s="21" t="s">
        <v>3494</v>
      </c>
      <c r="L196" s="21" t="s">
        <v>3495</v>
      </c>
      <c r="M196" s="21" t="s">
        <v>2957</v>
      </c>
      <c r="N196" s="21" t="s">
        <v>3478</v>
      </c>
      <c r="O196" s="25" t="str">
        <f>HYPERLINK("http://worldwide.espacenet.com/publicationDetails/biblio?DB=EPODOC&amp;adjacent=true&amp;locale=en_EP&amp;FT=D&amp;CC=JP&amp;NR=2008127542A&amp;KC=A","JP2008127542.A")</f>
        <v>JP2008127542.A</v>
      </c>
      <c r="P196" s="25" t="str">
        <f>HYPERLINK("http://worldwide.espacenet.com/publicationDetails/biblio?DB=EPODOC&amp;adjacent=true&amp;locale=en_EP&amp;FT=D&amp;CC=JP&amp;NR=2008127542A&amp;KC=A","JP2008127542.A")</f>
        <v>JP2008127542.A</v>
      </c>
      <c r="Q196" s="26" t="str">
        <f>HYPERLINK("http://worldwide.espacenet.com/publicationDetails/biblio?DB=EPODOC&amp;adjacent=true&amp;locale=en_EP&amp;FT=D&amp;CC=JP&amp;NR=4846540B2&amp;KC=B2","JP4846540.B2")</f>
        <v>JP4846540.B2</v>
      </c>
    </row>
    <row r="197" spans="1:50" ht="17.100000000000001" customHeight="1" x14ac:dyDescent="0.25">
      <c r="A197" s="16" t="s">
        <v>3496</v>
      </c>
      <c r="B197" s="21" t="s">
        <v>3497</v>
      </c>
      <c r="C197" s="23">
        <v>0.68004763126373302</v>
      </c>
      <c r="D197" s="23">
        <v>0.25753700733184798</v>
      </c>
      <c r="E197" s="23">
        <v>0.17513743042945901</v>
      </c>
      <c r="F197" s="21">
        <v>0.17513743042945901</v>
      </c>
      <c r="G197" s="23">
        <v>3</v>
      </c>
      <c r="H197" s="24">
        <v>39878</v>
      </c>
      <c r="I197" s="23">
        <v>3</v>
      </c>
      <c r="J197" s="22">
        <v>328038374</v>
      </c>
      <c r="K197" s="21" t="s">
        <v>3498</v>
      </c>
      <c r="L197" s="21" t="s">
        <v>3499</v>
      </c>
      <c r="M197" s="21" t="s">
        <v>2957</v>
      </c>
      <c r="N197" s="21" t="s">
        <v>3316</v>
      </c>
      <c r="O197" s="25" t="str">
        <f>HYPERLINK("http://worldwide.espacenet.com/publicationDetails/biblio?DB=EPODOC&amp;adjacent=true&amp;locale=en_EP&amp;FT=D&amp;CC=JP&amp;NR=2010208948A&amp;KC=A","JP2010208948.A")</f>
        <v>JP2010208948.A</v>
      </c>
      <c r="P197" s="25" t="str">
        <f>HYPERLINK("http://worldwide.espacenet.com/publicationDetails/biblio?DB=EPODOC&amp;adjacent=true&amp;locale=en_EP&amp;FT=D&amp;CC=JP&amp;NR=2010208948A&amp;KC=A","JP2010208948.A")</f>
        <v>JP2010208948.A</v>
      </c>
      <c r="Q197" s="26" t="str">
        <f>HYPERLINK("http://worldwide.espacenet.com/publicationDetails/biblio?DB=EPODOC&amp;adjacent=true&amp;locale=en_EP&amp;FT=D&amp;CC=JP&amp;NR=5294928B2&amp;KC=B2","JP5294928.B2")</f>
        <v>JP5294928.B2</v>
      </c>
    </row>
    <row r="198" spans="1:50" ht="17.100000000000001" customHeight="1" x14ac:dyDescent="0.25">
      <c r="A198" s="16" t="s">
        <v>3500</v>
      </c>
      <c r="B198" s="21" t="s">
        <v>3501</v>
      </c>
      <c r="C198" s="23">
        <v>0.71400576829910301</v>
      </c>
      <c r="D198" s="23">
        <v>0</v>
      </c>
      <c r="E198" s="23">
        <v>0</v>
      </c>
      <c r="F198" s="21">
        <v>0</v>
      </c>
      <c r="G198" s="23">
        <v>1</v>
      </c>
      <c r="H198" s="24">
        <v>32472</v>
      </c>
      <c r="I198" s="23">
        <v>1</v>
      </c>
      <c r="J198" s="22">
        <v>35813417</v>
      </c>
      <c r="K198" s="21" t="s">
        <v>3502</v>
      </c>
      <c r="L198" s="21" t="s">
        <v>3503</v>
      </c>
      <c r="M198" s="21" t="s">
        <v>2942</v>
      </c>
      <c r="N198" s="21" t="s">
        <v>3504</v>
      </c>
      <c r="O198" s="25" t="str">
        <f>HYPERLINK("http://worldwide.espacenet.com/publicationDetails/biblio?DB=EPODOC&amp;adjacent=true&amp;locale=en_EP&amp;FT=D&amp;CC=JP&amp;NR=H02144576A&amp;KC=A","JPH02144576.A")</f>
        <v>JPH02144576.A</v>
      </c>
      <c r="P198" s="25" t="str">
        <f>HYPERLINK("http://worldwide.espacenet.com/publicationDetails/biblio?DB=EPODOC&amp;adjacent=true&amp;locale=en_EP&amp;FT=D&amp;CC=JP&amp;NR=H02144576A&amp;KC=A","JPH02144576.A")</f>
        <v>JPH02144576.A</v>
      </c>
      <c r="Q198" s="26" t="str">
        <f>HYPERLINK("http://worldwide.espacenet.com/publicationDetails/biblio?DB=EPODOC&amp;adjacent=true&amp;locale=en_EP&amp;FT=D&amp;CC=JP&amp;NR=H0748122B2&amp;KC=B2","JPH0748122.B2")</f>
        <v>JPH0748122.B2</v>
      </c>
    </row>
    <row r="199" spans="1:50" ht="17.100000000000001" customHeight="1" x14ac:dyDescent="0.25">
      <c r="A199" s="16" t="s">
        <v>3505</v>
      </c>
      <c r="B199" s="21" t="s">
        <v>3506</v>
      </c>
      <c r="C199" s="23">
        <v>0.99785488843917802</v>
      </c>
      <c r="D199" s="23">
        <v>0</v>
      </c>
      <c r="E199" s="23">
        <v>0</v>
      </c>
      <c r="F199" s="21">
        <v>0</v>
      </c>
      <c r="G199" s="23">
        <v>5</v>
      </c>
      <c r="H199" s="24">
        <v>32330</v>
      </c>
      <c r="I199" s="23">
        <v>3</v>
      </c>
      <c r="J199" s="22">
        <v>33293156</v>
      </c>
      <c r="K199" s="21" t="s">
        <v>3507</v>
      </c>
      <c r="L199" s="21" t="s">
        <v>3508</v>
      </c>
      <c r="M199" s="21" t="s">
        <v>2942</v>
      </c>
      <c r="N199" s="21" t="s">
        <v>3509</v>
      </c>
      <c r="O199" s="25" t="str">
        <f>HYPERLINK("http://worldwide.espacenet.com/publicationDetails/biblio?DB=EPODOC&amp;adjacent=true&amp;locale=en_EP&amp;FT=D&amp;CC=JP&amp;NR=H0217482A&amp;KC=A","JPH0217482.A")</f>
        <v>JPH0217482.A</v>
      </c>
      <c r="P199" s="25" t="str">
        <f>HYPERLINK("http://worldwide.espacenet.com/publicationDetails/biblio?DB=EPODOC&amp;adjacent=true&amp;locale=en_EP&amp;FT=D&amp;CC=JP&amp;NR=2656307B2&amp;KC=B2","JP2656307.B2")</f>
        <v>JP2656307.B2</v>
      </c>
      <c r="Q199" s="26" t="str">
        <f>HYPERLINK("http://worldwide.espacenet.com/publicationDetails/biblio?DB=EPODOC&amp;adjacent=true&amp;locale=en_EP&amp;FT=D&amp;CC=JP&amp;NR=H0217482A&amp;KC=A","JPH0217482.A")</f>
        <v>JPH0217482.A</v>
      </c>
    </row>
    <row r="200" spans="1:50" ht="17.100000000000001" customHeight="1" x14ac:dyDescent="0.25">
      <c r="A200" s="16" t="s">
        <v>3510</v>
      </c>
      <c r="B200" s="21" t="s">
        <v>3510</v>
      </c>
      <c r="C200" s="23">
        <v>1.40712630748749</v>
      </c>
      <c r="D200" s="23">
        <v>0</v>
      </c>
      <c r="E200" s="23">
        <v>0</v>
      </c>
      <c r="F200" s="21">
        <v>0</v>
      </c>
      <c r="G200" s="23">
        <v>3</v>
      </c>
      <c r="H200" s="24">
        <v>32337</v>
      </c>
      <c r="I200" s="23">
        <v>2</v>
      </c>
      <c r="J200" s="22">
        <v>33512488</v>
      </c>
      <c r="K200" s="21" t="s">
        <v>3511</v>
      </c>
      <c r="L200" s="21" t="s">
        <v>3512</v>
      </c>
      <c r="M200" s="21" t="s">
        <v>2942</v>
      </c>
      <c r="N200" s="21" t="s">
        <v>3513</v>
      </c>
      <c r="O200" s="25" t="str">
        <f>HYPERLINK("http://worldwide.espacenet.com/publicationDetails/biblio?DB=EPODOC&amp;adjacent=true&amp;locale=en_EP&amp;FT=D&amp;CC=JP&amp;NR=H0223481A&amp;KC=A","JPH0223481.A")</f>
        <v>JPH0223481.A</v>
      </c>
      <c r="P200" s="25" t="str">
        <f>HYPERLINK("http://worldwide.espacenet.com/publicationDetails/biblio?DB=EPODOC&amp;adjacent=true&amp;locale=en_EP&amp;FT=D&amp;CC=JP&amp;NR=H0223481A&amp;KC=A","JPH0223481.A")</f>
        <v>JPH0223481.A</v>
      </c>
      <c r="U200" s="26" t="str">
        <f>HYPERLINK("http://worldwide.espacenet.com/publicationDetails/biblio?DB=EPODOC&amp;adjacent=true&amp;locale=en_EP&amp;FT=D&amp;CC=ES&amp;NR=534244A0&amp;KC=A0","ES534244.A0")</f>
        <v>ES534244.A0</v>
      </c>
      <c r="V200" s="26" t="str">
        <f>HYPERLINK("http://worldwide.espacenet.com/publicationDetails/biblio?DB=EPODOC&amp;adjacent=true&amp;locale=en_EP&amp;FT=D&amp;CC=ES&amp;NR=8702479A1&amp;KC=A1","ES8702479.A1")</f>
        <v>ES8702479.A1</v>
      </c>
      <c r="W200" s="26" t="str">
        <f>HYPERLINK("http://worldwide.espacenet.com/publicationDetails/biblio?DB=EPODOC&amp;adjacent=true&amp;locale=en_EP&amp;FT=D&amp;CC=NO&amp;NR=164841B&amp;KC=B","NO164841.B")</f>
        <v>NO164841.B</v>
      </c>
      <c r="X200" s="26" t="str">
        <f>HYPERLINK("http://worldwide.espacenet.com/publicationDetails/biblio?DB=EPODOC&amp;adjacent=true&amp;locale=en_EP&amp;FT=D&amp;CC=NO&amp;NR=164841C&amp;KC=C","NO164841.C")</f>
        <v>NO164841.C</v>
      </c>
      <c r="Y200" s="26" t="str">
        <f>HYPERLINK("http://worldwide.espacenet.com/publicationDetails/biblio?DB=EPODOC&amp;adjacent=true&amp;locale=en_EP&amp;FT=D&amp;CC=NO&amp;NR=842857L&amp;KC=L","NO842857.L")</f>
        <v>NO842857.L</v>
      </c>
      <c r="Z200" s="26" t="str">
        <f>HYPERLINK("http://worldwide.espacenet.com/publicationDetails/biblio?DB=EPODOC&amp;adjacent=true&amp;locale=en_EP&amp;FT=D&amp;CC=NZ&amp;NR=208878A&amp;KC=A","NZ208878.A")</f>
        <v>NZ208878.A</v>
      </c>
    </row>
    <row r="201" spans="1:50" ht="17.100000000000001" customHeight="1" x14ac:dyDescent="0.25">
      <c r="A201" s="16" t="s">
        <v>3514</v>
      </c>
      <c r="B201" s="21" t="s">
        <v>3514</v>
      </c>
      <c r="C201" s="23">
        <v>0.29834190011024497</v>
      </c>
      <c r="D201" s="23">
        <v>0</v>
      </c>
      <c r="E201" s="23">
        <v>0</v>
      </c>
      <c r="F201" s="21">
        <v>0</v>
      </c>
      <c r="G201" s="23">
        <v>0</v>
      </c>
      <c r="H201" s="24">
        <v>32365</v>
      </c>
      <c r="I201" s="23">
        <v>1</v>
      </c>
      <c r="J201" s="22">
        <v>34231714</v>
      </c>
      <c r="K201" s="21"/>
      <c r="L201" s="21" t="s">
        <v>3512</v>
      </c>
      <c r="M201" s="21" t="s">
        <v>2942</v>
      </c>
      <c r="N201" s="21" t="s">
        <v>3515</v>
      </c>
      <c r="O201" s="25" t="str">
        <f>HYPERLINK("http://worldwide.espacenet.com/publicationDetails/biblio?DB=EPODOC&amp;adjacent=true&amp;locale=en_EP&amp;FT=D&amp;CC=JP&amp;NR=H0249245A&amp;KC=A","JPH0249245.A")</f>
        <v>JPH0249245.A</v>
      </c>
      <c r="P201" s="25" t="str">
        <f>HYPERLINK("http://worldwide.espacenet.com/publicationDetails/biblio?DB=EPODOC&amp;adjacent=true&amp;locale=en_EP&amp;FT=D&amp;CC=JP&amp;NR=H0249245A&amp;KC=A","JPH0249245.A")</f>
        <v>JPH0249245.A</v>
      </c>
    </row>
    <row r="202" spans="1:50" ht="17.100000000000001" customHeight="1" x14ac:dyDescent="0.25">
      <c r="A202" s="16" t="s">
        <v>3516</v>
      </c>
      <c r="B202" s="21" t="s">
        <v>3516</v>
      </c>
      <c r="C202" s="23">
        <v>0.25197774171829201</v>
      </c>
      <c r="D202" s="23">
        <v>0</v>
      </c>
      <c r="E202" s="23">
        <v>0</v>
      </c>
      <c r="F202" s="21">
        <v>0</v>
      </c>
      <c r="G202" s="23">
        <v>1</v>
      </c>
      <c r="H202" s="24">
        <v>32364</v>
      </c>
      <c r="I202" s="23">
        <v>2</v>
      </c>
      <c r="J202" s="22">
        <v>34200995</v>
      </c>
      <c r="K202" s="21" t="s">
        <v>3517</v>
      </c>
      <c r="L202" s="21" t="s">
        <v>3518</v>
      </c>
      <c r="M202" s="21" t="s">
        <v>2942</v>
      </c>
      <c r="N202" s="21" t="s">
        <v>3519</v>
      </c>
      <c r="O202" s="25" t="str">
        <f>HYPERLINK("http://worldwide.espacenet.com/publicationDetails/biblio?DB=EPODOC&amp;adjacent=true&amp;locale=en_EP&amp;FT=D&amp;CC=JP&amp;NR=H0249246A&amp;KC=A","JPH0249246.A")</f>
        <v>JPH0249246.A</v>
      </c>
      <c r="P202" s="25" t="str">
        <f>HYPERLINK("http://worldwide.espacenet.com/publicationDetails/biblio?DB=EPODOC&amp;adjacent=true&amp;locale=en_EP&amp;FT=D&amp;CC=JP&amp;NR=H0249246A&amp;KC=A","JPH0249246.A")</f>
        <v>JPH0249246.A</v>
      </c>
      <c r="U202" s="26" t="str">
        <f>HYPERLINK("http://worldwide.espacenet.com/publicationDetails/biblio?DB=EPODOC&amp;adjacent=true&amp;locale=en_EP&amp;FT=D&amp;CC=CH&amp;NR=610173A5&amp;KC=A5","CH610173.A5")</f>
        <v>CH610173.A5</v>
      </c>
      <c r="V202" s="26" t="str">
        <f>HYPERLINK("http://worldwide.espacenet.com/publicationDetails/biblio?DB=EPODOC&amp;adjacent=true&amp;locale=en_EP&amp;FT=D&amp;CC=DE&amp;NR=2523292A1&amp;KC=A1","DE2523292.A1")</f>
        <v>DE2523292.A1</v>
      </c>
      <c r="W202" s="26" t="str">
        <f>HYPERLINK("http://worldwide.espacenet.com/publicationDetails/biblio?DB=EPODOC&amp;adjacent=true&amp;locale=en_EP&amp;FT=D&amp;CC=DE&amp;NR=2523292B2&amp;KC=B2","DE2523292.B2")</f>
        <v>DE2523292.B2</v>
      </c>
      <c r="X202" s="26" t="str">
        <f>HYPERLINK("http://worldwide.espacenet.com/publicationDetails/biblio?DB=EPODOC&amp;adjacent=true&amp;locale=en_EP&amp;FT=D&amp;CC=DK&amp;NR=155176A&amp;KC=A","DK155176.A")</f>
        <v>DK155176.A</v>
      </c>
      <c r="Y202" s="26" t="str">
        <f>HYPERLINK("http://worldwide.espacenet.com/publicationDetails/biblio?DB=EPODOC&amp;adjacent=true&amp;locale=en_EP&amp;FT=D&amp;CC=FI&amp;NR=63315B&amp;KC=B","FI63315.B")</f>
        <v>FI63315.B</v>
      </c>
      <c r="Z202" s="26" t="str">
        <f>HYPERLINK("http://worldwide.espacenet.com/publicationDetails/biblio?DB=EPODOC&amp;adjacent=true&amp;locale=en_EP&amp;FT=D&amp;CC=FI&amp;NR=63315C&amp;KC=C","FI63315.C")</f>
        <v>FI63315.C</v>
      </c>
      <c r="AA202" s="26" t="str">
        <f>HYPERLINK("http://worldwide.espacenet.com/publicationDetails/biblio?DB=EPODOC&amp;adjacent=true&amp;locale=en_EP&amp;FT=D&amp;CC=FI&amp;NR=761338A&amp;KC=A","FI761338.A")</f>
        <v>FI761338.A</v>
      </c>
      <c r="AB202" s="26" t="str">
        <f>HYPERLINK("http://worldwide.espacenet.com/publicationDetails/biblio?DB=EPODOC&amp;adjacent=true&amp;locale=en_EP&amp;FT=D&amp;CC=FR&amp;NR=2312917A1&amp;KC=A1","FR2312917.A1")</f>
        <v>FR2312917.A1</v>
      </c>
      <c r="AC202" s="26" t="str">
        <f>HYPERLINK("http://worldwide.espacenet.com/publicationDetails/biblio?DB=EPODOC&amp;adjacent=true&amp;locale=en_EP&amp;FT=D&amp;CC=FR&amp;NR=2312917B1&amp;KC=B1","FR2312917.B1")</f>
        <v>FR2312917.B1</v>
      </c>
      <c r="AD202" s="26" t="str">
        <f>HYPERLINK("http://worldwide.espacenet.com/publicationDetails/biblio?DB=EPODOC&amp;adjacent=true&amp;locale=en_EP&amp;FT=D&amp;CC=GB&amp;NR=1511952A&amp;KC=A","GB1511952.A")</f>
        <v>GB1511952.A</v>
      </c>
      <c r="AE202" s="26" t="str">
        <f>HYPERLINK("http://worldwide.espacenet.com/publicationDetails/biblio?DB=EPODOC&amp;adjacent=true&amp;locale=en_EP&amp;FT=D&amp;CC=GR&amp;NR=58251B&amp;KC=B","GR58251.B")</f>
        <v>GR58251.B</v>
      </c>
      <c r="AF202" s="26" t="str">
        <f>HYPERLINK("http://worldwide.espacenet.com/publicationDetails/biblio?DB=EPODOC&amp;adjacent=true&amp;locale=en_EP&amp;FT=D&amp;CC=IL&amp;NR=49304A&amp;KC=A","IL49304.A")</f>
        <v>IL49304.A</v>
      </c>
      <c r="AG202" s="26" t="str">
        <f>HYPERLINK("http://worldwide.espacenet.com/publicationDetails/biblio?DB=EPODOC&amp;adjacent=true&amp;locale=en_EP&amp;FT=D&amp;CC=IL&amp;NR=49304D0&amp;KC=D0","IL49304.D0")</f>
        <v>IL49304.D0</v>
      </c>
      <c r="AH202" s="26" t="str">
        <f>HYPERLINK("http://worldwide.espacenet.com/publicationDetails/biblio?DB=EPODOC&amp;adjacent=true&amp;locale=en_EP&amp;FT=D&amp;CC=IN&amp;NR=144313B&amp;KC=B","IN144313.B")</f>
        <v>IN144313.B</v>
      </c>
      <c r="AI202" s="26" t="str">
        <f>HYPERLINK("http://worldwide.espacenet.com/publicationDetails/biblio?DB=EPODOC&amp;adjacent=true&amp;locale=en_EP&amp;FT=D&amp;CC=IT&amp;NR=1060644B&amp;KC=B","IT1060644.B")</f>
        <v>IT1060644.B</v>
      </c>
      <c r="AJ202" s="26" t="str">
        <f>HYPERLINK("http://worldwide.espacenet.com/publicationDetails/biblio?DB=EPODOC&amp;adjacent=true&amp;locale=en_EP&amp;FT=D&amp;CC=JP&amp;NR=S51143869A&amp;KC=A","JPS51143869.A")</f>
        <v>JPS51143869.A</v>
      </c>
      <c r="AK202" s="26" t="str">
        <f>HYPERLINK("http://worldwide.espacenet.com/publicationDetails/biblio?DB=EPODOC&amp;adjacent=true&amp;locale=en_EP&amp;FT=D&amp;CC=JP&amp;NR=S6237559B2&amp;KC=B2","JPS6237559.B2")</f>
        <v>JPS6237559.B2</v>
      </c>
      <c r="AL202" s="26" t="str">
        <f>HYPERLINK("http://worldwide.espacenet.com/publicationDetails/biblio?DB=EPODOC&amp;adjacent=true&amp;locale=en_EP&amp;FT=D&amp;CC=LU&amp;NR=74504A1&amp;KC=A1","LU74504.A1")</f>
        <v>LU74504.A1</v>
      </c>
      <c r="AM202" s="26" t="str">
        <f>HYPERLINK("http://worldwide.espacenet.com/publicationDetails/biblio?DB=EPODOC&amp;adjacent=true&amp;locale=en_EP&amp;FT=D&amp;CC=NL&amp;NR=170586B&amp;KC=B","NL170586.B")</f>
        <v>NL170586.B</v>
      </c>
      <c r="AN202" s="26" t="str">
        <f>HYPERLINK("http://worldwide.espacenet.com/publicationDetails/biblio?DB=EPODOC&amp;adjacent=true&amp;locale=en_EP&amp;FT=D&amp;CC=NL&amp;NR=170586C&amp;KC=C","NL170586.C")</f>
        <v>NL170586.C</v>
      </c>
      <c r="AO202" s="26" t="str">
        <f>HYPERLINK("http://worldwide.espacenet.com/publicationDetails/biblio?DB=EPODOC&amp;adjacent=true&amp;locale=en_EP&amp;FT=D&amp;CC=NL&amp;NR=7605432A&amp;KC=A","NL7605432.A")</f>
        <v>NL7605432.A</v>
      </c>
      <c r="AP202" s="26" t="str">
        <f>HYPERLINK("http://worldwide.espacenet.com/publicationDetails/biblio?DB=EPODOC&amp;adjacent=true&amp;locale=en_EP&amp;FT=D&amp;CC=NO&amp;NR=761679L&amp;KC=L","NO761679.L")</f>
        <v>NO761679.L</v>
      </c>
      <c r="AQ202" s="26" t="str">
        <f>HYPERLINK("http://worldwide.espacenet.com/publicationDetails/biblio?DB=EPODOC&amp;adjacent=true&amp;locale=en_EP&amp;FT=D&amp;CC=PT&amp;NR=65132A&amp;KC=A","PT65132.A")</f>
        <v>PT65132.A</v>
      </c>
      <c r="AR202" s="26" t="str">
        <f>HYPERLINK("http://worldwide.espacenet.com/publicationDetails/biblio?DB=EPODOC&amp;adjacent=true&amp;locale=en_EP&amp;FT=D&amp;CC=PT&amp;NR=65132B&amp;KC=B","PT65132.B")</f>
        <v>PT65132.B</v>
      </c>
      <c r="AS202" s="26" t="str">
        <f>HYPERLINK("http://worldwide.espacenet.com/publicationDetails/biblio?DB=EPODOC&amp;adjacent=true&amp;locale=en_EP&amp;FT=D&amp;CC=SE&amp;NR=406688B&amp;KC=B","SE406688.B")</f>
        <v>SE406688.B</v>
      </c>
      <c r="AT202" s="26" t="str">
        <f>HYPERLINK("http://worldwide.espacenet.com/publicationDetails/biblio?DB=EPODOC&amp;adjacent=true&amp;locale=en_EP&amp;FT=D&amp;CC=SE&amp;NR=7605914A&amp;KC=A","SE7605914.A")</f>
        <v>SE7605914.A</v>
      </c>
      <c r="AU202" s="26" t="str">
        <f>HYPERLINK("http://worldwide.espacenet.com/publicationDetails/biblio?DB=EPODOC&amp;adjacent=true&amp;locale=en_EP&amp;FT=D&amp;CC=TR&amp;NR=19410A&amp;KC=A","TR19410.A")</f>
        <v>TR19410.A</v>
      </c>
      <c r="AV202" s="26" t="str">
        <f>HYPERLINK("http://worldwide.espacenet.com/publicationDetails/biblio?DB=EPODOC&amp;adjacent=true&amp;locale=en_EP&amp;FT=D&amp;CC=US&amp;NR=4111328A&amp;KC=A","US4111328.A")</f>
        <v>US4111328.A</v>
      </c>
      <c r="AW202" s="26" t="str">
        <f>HYPERLINK("http://worldwide.espacenet.com/publicationDetails/biblio?DB=EPODOC&amp;adjacent=true&amp;locale=en_EP&amp;FT=D&amp;CC=YU&amp;NR=120576A&amp;KC=A","YU120576.A")</f>
        <v>YU120576.A</v>
      </c>
      <c r="AX202" s="26" t="str">
        <f>HYPERLINK("http://worldwide.espacenet.com/publicationDetails/biblio?DB=EPODOC&amp;adjacent=true&amp;locale=en_EP&amp;FT=D&amp;CC=ZA&amp;NR=7601894B&amp;KC=B","ZA7601894.B")</f>
        <v>ZA7601894.B</v>
      </c>
    </row>
    <row r="203" spans="1:50" ht="17.100000000000001" customHeight="1" x14ac:dyDescent="0.25">
      <c r="A203" s="16" t="s">
        <v>3520</v>
      </c>
      <c r="B203" s="21" t="s">
        <v>3521</v>
      </c>
      <c r="C203" s="23">
        <v>0.42211383581161499</v>
      </c>
      <c r="D203" s="23">
        <v>0</v>
      </c>
      <c r="E203" s="23">
        <v>0</v>
      </c>
      <c r="F203" s="21">
        <v>0</v>
      </c>
      <c r="G203" s="23">
        <v>2</v>
      </c>
      <c r="H203" s="24">
        <v>33008</v>
      </c>
      <c r="I203" s="23">
        <v>1</v>
      </c>
      <c r="J203" s="22">
        <v>31505324</v>
      </c>
      <c r="K203" s="21" t="s">
        <v>3522</v>
      </c>
      <c r="L203" s="21" t="s">
        <v>3523</v>
      </c>
      <c r="M203" s="21" t="s">
        <v>2942</v>
      </c>
      <c r="N203" s="21" t="s">
        <v>3524</v>
      </c>
      <c r="O203" s="25" t="str">
        <f>HYPERLINK("http://worldwide.espacenet.com/publicationDetails/biblio?DB=EPODOC&amp;adjacent=true&amp;locale=en_EP&amp;FT=D&amp;CC=JP&amp;NR=H0420665A&amp;KC=A","JPH0420665.A")</f>
        <v>JPH0420665.A</v>
      </c>
      <c r="P203" s="25" t="str">
        <f>HYPERLINK("http://worldwide.espacenet.com/publicationDetails/biblio?DB=EPODOC&amp;adjacent=true&amp;locale=en_EP&amp;FT=D&amp;CC=JP&amp;NR=2527253B2&amp;KC=B2","JP2527253.B2")</f>
        <v>JP2527253.B2</v>
      </c>
      <c r="Q203" s="26" t="str">
        <f>HYPERLINK("http://worldwide.espacenet.com/publicationDetails/biblio?DB=EPODOC&amp;adjacent=true&amp;locale=en_EP&amp;FT=D&amp;CC=JP&amp;NR=H0420665A&amp;KC=A","JPH0420665.A")</f>
        <v>JPH0420665.A</v>
      </c>
    </row>
    <row r="204" spans="1:50" ht="17.100000000000001" customHeight="1" x14ac:dyDescent="0.25">
      <c r="A204" s="16" t="s">
        <v>3525</v>
      </c>
      <c r="B204" s="21" t="s">
        <v>3525</v>
      </c>
      <c r="C204" s="23">
        <v>0.20024718344211601</v>
      </c>
      <c r="D204" s="23">
        <v>0</v>
      </c>
      <c r="E204" s="23">
        <v>0</v>
      </c>
      <c r="F204" s="21">
        <v>0</v>
      </c>
      <c r="G204" s="23">
        <v>0</v>
      </c>
      <c r="H204" s="24">
        <v>33427</v>
      </c>
      <c r="I204" s="23">
        <v>3</v>
      </c>
      <c r="J204" s="22">
        <v>34054000</v>
      </c>
      <c r="K204" s="21"/>
      <c r="L204" s="21" t="s">
        <v>3508</v>
      </c>
      <c r="M204" s="21" t="s">
        <v>2942</v>
      </c>
      <c r="N204" s="21" t="s">
        <v>3526</v>
      </c>
      <c r="O204" s="25" t="str">
        <f>HYPERLINK("http://worldwide.espacenet.com/publicationDetails/biblio?DB=EPODOC&amp;adjacent=true&amp;locale=en_EP&amp;FT=D&amp;CC=JP&amp;NR=H0512024A&amp;KC=A","JPH0512024.A")</f>
        <v>JPH0512024.A</v>
      </c>
      <c r="P204" s="25" t="str">
        <f>HYPERLINK("http://worldwide.espacenet.com/publicationDetails/biblio?DB=EPODOC&amp;adjacent=true&amp;locale=en_EP&amp;FT=D&amp;CC=JP&amp;NR=H0512024A&amp;KC=A","JPH0512024.A")</f>
        <v>JPH0512024.A</v>
      </c>
    </row>
    <row r="205" spans="1:50" ht="17.100000000000001" customHeight="1" x14ac:dyDescent="0.25">
      <c r="A205" s="16" t="s">
        <v>3527</v>
      </c>
      <c r="B205" s="21" t="s">
        <v>3528</v>
      </c>
      <c r="C205" s="23">
        <v>0.18932639062404599</v>
      </c>
      <c r="D205" s="23">
        <v>0</v>
      </c>
      <c r="E205" s="23">
        <v>0</v>
      </c>
      <c r="F205" s="21">
        <v>0</v>
      </c>
      <c r="G205" s="23">
        <v>0</v>
      </c>
      <c r="H205" s="24">
        <v>33809</v>
      </c>
      <c r="I205" s="23">
        <v>2</v>
      </c>
      <c r="J205" s="22">
        <v>34169388</v>
      </c>
      <c r="K205" s="21"/>
      <c r="L205" s="21" t="s">
        <v>3512</v>
      </c>
      <c r="M205" s="21" t="s">
        <v>2942</v>
      </c>
      <c r="N205" s="21" t="s">
        <v>3529</v>
      </c>
      <c r="O205" s="25" t="str">
        <f>HYPERLINK("http://worldwide.espacenet.com/publicationDetails/biblio?DB=EPODOC&amp;adjacent=true&amp;locale=en_EP&amp;FT=D&amp;CC=JP&amp;NR=H0645788A&amp;KC=A","JPH0645788.A")</f>
        <v>JPH0645788.A</v>
      </c>
      <c r="P205" s="25" t="str">
        <f>HYPERLINK("http://worldwide.espacenet.com/publicationDetails/biblio?DB=EPODOC&amp;adjacent=true&amp;locale=en_EP&amp;FT=D&amp;CC=JP&amp;NR=3239450B2&amp;KC=B2","JP3239450.B2")</f>
        <v>JP3239450.B2</v>
      </c>
      <c r="Q205" s="26" t="str">
        <f>HYPERLINK("http://worldwide.espacenet.com/publicationDetails/biblio?DB=EPODOC&amp;adjacent=true&amp;locale=en_EP&amp;FT=D&amp;CC=JP&amp;NR=H0645788A&amp;KC=A","JPH0645788.A")</f>
        <v>JPH0645788.A</v>
      </c>
    </row>
    <row r="206" spans="1:50" ht="17.100000000000001" customHeight="1" x14ac:dyDescent="0.25">
      <c r="A206" s="16" t="s">
        <v>3530</v>
      </c>
      <c r="B206" s="21" t="s">
        <v>3531</v>
      </c>
      <c r="C206" s="23">
        <v>0.22619527578353901</v>
      </c>
      <c r="D206" s="23">
        <v>0</v>
      </c>
      <c r="E206" s="23">
        <v>0</v>
      </c>
      <c r="F206" s="21">
        <v>0</v>
      </c>
      <c r="G206" s="23">
        <v>0</v>
      </c>
      <c r="H206" s="24">
        <v>27529</v>
      </c>
      <c r="I206" s="23">
        <v>2</v>
      </c>
      <c r="J206" s="22">
        <v>27973191</v>
      </c>
      <c r="K206" s="21"/>
      <c r="L206" s="21" t="s">
        <v>3508</v>
      </c>
      <c r="M206" s="21" t="s">
        <v>2942</v>
      </c>
      <c r="N206" s="21" t="s">
        <v>3532</v>
      </c>
      <c r="O206" s="25" t="str">
        <f>HYPERLINK("http://worldwide.espacenet.com/publicationDetails/biblio?DB=EPODOC&amp;adjacent=true&amp;locale=en_EP&amp;FT=D&amp;CC=JP&amp;NR=S51132907A&amp;KC=A","JPS51132907.A")</f>
        <v>JPS51132907.A</v>
      </c>
      <c r="P206" s="25" t="str">
        <f>HYPERLINK("http://worldwide.espacenet.com/publicationDetails/biblio?DB=EPODOC&amp;adjacent=true&amp;locale=en_EP&amp;FT=D&amp;CC=JP&amp;NR=S51132907A&amp;KC=A","JPS51132907.A")</f>
        <v>JPS51132907.A</v>
      </c>
      <c r="Q206" s="26" t="str">
        <f>HYPERLINK("http://worldwide.espacenet.com/publicationDetails/biblio?DB=EPODOC&amp;adjacent=true&amp;locale=en_EP&amp;FT=D&amp;CC=JP&amp;NR=S572222B2&amp;KC=B2","JPS572222.B2")</f>
        <v>JPS572222.B2</v>
      </c>
    </row>
    <row r="207" spans="1:50" ht="17.100000000000001" customHeight="1" x14ac:dyDescent="0.25">
      <c r="A207" s="16" t="s">
        <v>3533</v>
      </c>
      <c r="B207" s="21" t="s">
        <v>3534</v>
      </c>
      <c r="C207" s="23">
        <v>0.205564364790916</v>
      </c>
      <c r="D207" s="23">
        <v>0</v>
      </c>
      <c r="E207" s="23">
        <v>0</v>
      </c>
      <c r="F207" s="21">
        <v>0</v>
      </c>
      <c r="G207" s="23">
        <v>0</v>
      </c>
      <c r="H207" s="24">
        <v>27712</v>
      </c>
      <c r="I207" s="23">
        <v>1</v>
      </c>
      <c r="J207" s="22">
        <v>32066994</v>
      </c>
      <c r="K207" s="21"/>
      <c r="L207" s="21" t="s">
        <v>3535</v>
      </c>
      <c r="M207" s="21" t="s">
        <v>2942</v>
      </c>
      <c r="N207" s="21" t="s">
        <v>3536</v>
      </c>
      <c r="O207" s="25" t="str">
        <f>HYPERLINK("http://worldwide.espacenet.com/publicationDetails/biblio?DB=EPODOC&amp;adjacent=true&amp;locale=en_EP&amp;FT=D&amp;CC=JP&amp;NR=S5261135A&amp;KC=A","JPS5261135.A")</f>
        <v>JPS5261135.A</v>
      </c>
      <c r="P207" s="25" t="str">
        <f>HYPERLINK("http://worldwide.espacenet.com/publicationDetails/biblio?DB=EPODOC&amp;adjacent=true&amp;locale=en_EP&amp;FT=D&amp;CC=JP&amp;NR=S5261135A&amp;KC=A","JPS5261135.A")</f>
        <v>JPS5261135.A</v>
      </c>
      <c r="Q207" s="26" t="str">
        <f>HYPERLINK("http://worldwide.espacenet.com/publicationDetails/biblio?DB=EPODOC&amp;adjacent=true&amp;locale=en_EP&amp;FT=D&amp;CC=JP&amp;NR=S5551440B2&amp;KC=B2","JPS5551440.B2")</f>
        <v>JPS5551440.B2</v>
      </c>
    </row>
    <row r="208" spans="1:50" ht="17.100000000000001" customHeight="1" x14ac:dyDescent="0.25">
      <c r="A208" s="16" t="s">
        <v>3537</v>
      </c>
      <c r="B208" s="21" t="s">
        <v>3538</v>
      </c>
      <c r="C208" s="23">
        <v>0.31248039007186901</v>
      </c>
      <c r="D208" s="23">
        <v>0</v>
      </c>
      <c r="E208" s="23">
        <v>0</v>
      </c>
      <c r="F208" s="21">
        <v>0</v>
      </c>
      <c r="G208" s="23">
        <v>1</v>
      </c>
      <c r="H208" s="24">
        <v>28983</v>
      </c>
      <c r="I208" s="23">
        <v>3</v>
      </c>
      <c r="J208" s="22">
        <v>27899223</v>
      </c>
      <c r="K208" s="21" t="s">
        <v>3539</v>
      </c>
      <c r="L208" s="21" t="s">
        <v>3540</v>
      </c>
      <c r="M208" s="21" t="s">
        <v>2942</v>
      </c>
      <c r="N208" s="21" t="s">
        <v>3541</v>
      </c>
      <c r="O208" s="25" t="str">
        <f>HYPERLINK("http://worldwide.espacenet.com/publicationDetails/biblio?DB=EPODOC&amp;adjacent=true&amp;locale=en_EP&amp;FT=D&amp;CC=JP&amp;NR=S55148082A&amp;KC=A","JPS55148082.A")</f>
        <v>JPS55148082.A</v>
      </c>
      <c r="P208" s="25" t="str">
        <f>HYPERLINK("http://worldwide.espacenet.com/publicationDetails/biblio?DB=EPODOC&amp;adjacent=true&amp;locale=en_EP&amp;FT=D&amp;CC=JP&amp;NR=S55148082A&amp;KC=A","JPS55148082.A")</f>
        <v>JPS55148082.A</v>
      </c>
      <c r="Q208" s="26" t="str">
        <f>HYPERLINK("http://worldwide.espacenet.com/publicationDetails/biblio?DB=EPODOC&amp;adjacent=true&amp;locale=en_EP&amp;FT=D&amp;CC=JP&amp;NR=S574231B2&amp;KC=B2","JPS574231.B2")</f>
        <v>JPS574231.B2</v>
      </c>
    </row>
    <row r="209" spans="1:19" ht="17.100000000000001" customHeight="1" x14ac:dyDescent="0.25">
      <c r="A209" s="16" t="s">
        <v>3542</v>
      </c>
      <c r="B209" s="21" t="s">
        <v>3543</v>
      </c>
      <c r="C209" s="23">
        <v>0.16454493999481201</v>
      </c>
      <c r="D209" s="23">
        <v>0</v>
      </c>
      <c r="E209" s="23">
        <v>0</v>
      </c>
      <c r="F209" s="21">
        <v>0</v>
      </c>
      <c r="G209" s="23">
        <v>1</v>
      </c>
      <c r="H209" s="24">
        <v>29732</v>
      </c>
      <c r="I209" s="23">
        <v>4</v>
      </c>
      <c r="J209" s="22">
        <v>29143057</v>
      </c>
      <c r="K209" s="21" t="s">
        <v>3544</v>
      </c>
      <c r="L209" s="21" t="s">
        <v>3545</v>
      </c>
      <c r="M209" s="21" t="s">
        <v>2942</v>
      </c>
      <c r="N209" s="21" t="s">
        <v>3278</v>
      </c>
      <c r="O209" s="25" t="str">
        <f>HYPERLINK("http://worldwide.espacenet.com/publicationDetails/biblio?DB=EPODOC&amp;adjacent=true&amp;locale=en_EP&amp;FT=D&amp;CC=JP&amp;NR=S57196718A&amp;KC=A","JPS57196718.A")</f>
        <v>JPS57196718.A</v>
      </c>
      <c r="P209" s="25" t="str">
        <f>HYPERLINK("http://worldwide.espacenet.com/publicationDetails/biblio?DB=EPODOC&amp;adjacent=true&amp;locale=en_EP&amp;FT=D&amp;CC=JP&amp;NR=H0249245B2&amp;KC=B2","JPH0249245.B2")</f>
        <v>JPH0249245.B2</v>
      </c>
      <c r="Q209" s="26" t="str">
        <f>HYPERLINK("http://worldwide.espacenet.com/publicationDetails/biblio?DB=EPODOC&amp;adjacent=true&amp;locale=en_EP&amp;FT=D&amp;CC=JP&amp;NR=S57196718A&amp;KC=A","JPS57196718.A")</f>
        <v>JPS57196718.A</v>
      </c>
    </row>
    <row r="210" spans="1:19" ht="17.100000000000001" customHeight="1" x14ac:dyDescent="0.25">
      <c r="A210" s="16" t="s">
        <v>3546</v>
      </c>
      <c r="B210" s="21" t="s">
        <v>3547</v>
      </c>
      <c r="C210" s="23">
        <v>0.422375798225403</v>
      </c>
      <c r="D210" s="23">
        <v>0</v>
      </c>
      <c r="E210" s="23">
        <v>0</v>
      </c>
      <c r="F210" s="21">
        <v>0</v>
      </c>
      <c r="G210" s="23">
        <v>1</v>
      </c>
      <c r="H210" s="24">
        <v>29732</v>
      </c>
      <c r="I210" s="23">
        <v>4</v>
      </c>
      <c r="J210" s="22">
        <v>29143003</v>
      </c>
      <c r="K210" s="21" t="s">
        <v>3548</v>
      </c>
      <c r="L210" s="21" t="s">
        <v>3545</v>
      </c>
      <c r="M210" s="21" t="s">
        <v>2942</v>
      </c>
      <c r="N210" s="21" t="s">
        <v>3278</v>
      </c>
      <c r="O210" s="25" t="str">
        <f>HYPERLINK("http://worldwide.espacenet.com/publicationDetails/biblio?DB=EPODOC&amp;adjacent=true&amp;locale=en_EP&amp;FT=D&amp;CC=JP&amp;NR=S57196719A&amp;KC=A","JPS57196719.A")</f>
        <v>JPS57196719.A</v>
      </c>
      <c r="P210" s="25" t="str">
        <f>HYPERLINK("http://worldwide.espacenet.com/publicationDetails/biblio?DB=EPODOC&amp;adjacent=true&amp;locale=en_EP&amp;FT=D&amp;CC=JP&amp;NR=H0249246B2&amp;KC=B2","JPH0249246.B2")</f>
        <v>JPH0249246.B2</v>
      </c>
      <c r="Q210" s="26" t="str">
        <f>HYPERLINK("http://worldwide.espacenet.com/publicationDetails/biblio?DB=EPODOC&amp;adjacent=true&amp;locale=en_EP&amp;FT=D&amp;CC=JP&amp;NR=S57196719A&amp;KC=A","JPS57196719.A")</f>
        <v>JPS57196719.A</v>
      </c>
    </row>
    <row r="211" spans="1:19" ht="17.100000000000001" customHeight="1" x14ac:dyDescent="0.25">
      <c r="A211" s="16" t="s">
        <v>3549</v>
      </c>
      <c r="B211" s="21" t="s">
        <v>3550</v>
      </c>
      <c r="C211" s="23">
        <v>0.39145708084106401</v>
      </c>
      <c r="D211" s="23">
        <v>0</v>
      </c>
      <c r="E211" s="23">
        <v>0</v>
      </c>
      <c r="F211" s="21">
        <v>0</v>
      </c>
      <c r="G211" s="23">
        <v>3</v>
      </c>
      <c r="H211" s="24">
        <v>29900</v>
      </c>
      <c r="I211" s="23">
        <v>2</v>
      </c>
      <c r="J211" s="22">
        <v>33685080</v>
      </c>
      <c r="K211" s="21" t="s">
        <v>3551</v>
      </c>
      <c r="L211" s="21" t="s">
        <v>3552</v>
      </c>
      <c r="M211" s="21" t="s">
        <v>2942</v>
      </c>
      <c r="N211" s="21" t="s">
        <v>3553</v>
      </c>
      <c r="O211" s="25" t="str">
        <f>HYPERLINK("http://worldwide.espacenet.com/publicationDetails/biblio?DB=EPODOC&amp;adjacent=true&amp;locale=en_EP&amp;FT=D&amp;CC=JP&amp;NR=S5881757A&amp;KC=A","JPS5881757.A")</f>
        <v>JPS5881757.A</v>
      </c>
      <c r="P211" s="25" t="str">
        <f>HYPERLINK("http://worldwide.espacenet.com/publicationDetails/biblio?DB=EPODOC&amp;adjacent=true&amp;locale=en_EP&amp;FT=D&amp;CC=JP&amp;NR=S5881757A&amp;KC=A","JPS5881757.A")</f>
        <v>JPS5881757.A</v>
      </c>
      <c r="Q211" s="26" t="str">
        <f>HYPERLINK("http://worldwide.espacenet.com/publicationDetails/biblio?DB=EPODOC&amp;adjacent=true&amp;locale=en_EP&amp;FT=D&amp;CC=JP&amp;NR=S6053592B2&amp;KC=B2","JPS6053592.B2")</f>
        <v>JPS6053592.B2</v>
      </c>
    </row>
    <row r="212" spans="1:19" ht="17.100000000000001" customHeight="1" x14ac:dyDescent="0.25">
      <c r="A212" s="16" t="s">
        <v>3554</v>
      </c>
      <c r="B212" s="21" t="s">
        <v>3555</v>
      </c>
      <c r="C212" s="23">
        <v>6.1434749513864503E-2</v>
      </c>
      <c r="D212" s="23">
        <v>0</v>
      </c>
      <c r="E212" s="23">
        <v>0</v>
      </c>
      <c r="F212" s="21">
        <v>0</v>
      </c>
      <c r="G212" s="23">
        <v>1</v>
      </c>
      <c r="H212" s="24">
        <v>31054</v>
      </c>
      <c r="I212" s="23">
        <v>2</v>
      </c>
      <c r="J212" s="22">
        <v>24965501</v>
      </c>
      <c r="K212" s="21" t="s">
        <v>3556</v>
      </c>
      <c r="L212" s="21" t="s">
        <v>3557</v>
      </c>
      <c r="M212" s="21" t="s">
        <v>2942</v>
      </c>
      <c r="N212" s="21" t="s">
        <v>3558</v>
      </c>
      <c r="O212" s="25" t="str">
        <f>HYPERLINK("http://worldwide.espacenet.com/publicationDetails/biblio?DB=EPODOC&amp;adjacent=true&amp;locale=en_EP&amp;FT=D&amp;CC=JP&amp;NR=S61162182A&amp;KC=A","JPS61162182.A")</f>
        <v>JPS61162182.A</v>
      </c>
      <c r="P212" s="25" t="str">
        <f>HYPERLINK("http://worldwide.espacenet.com/publicationDetails/biblio?DB=EPODOC&amp;adjacent=true&amp;locale=en_EP&amp;FT=D&amp;CC=JP&amp;NR=H0369510B2&amp;KC=B2","JPH0369510.B2")</f>
        <v>JPH0369510.B2</v>
      </c>
      <c r="Q212" s="26" t="str">
        <f>HYPERLINK("http://worldwide.espacenet.com/publicationDetails/biblio?DB=EPODOC&amp;adjacent=true&amp;locale=en_EP&amp;FT=D&amp;CC=JP&amp;NR=S61162182A&amp;KC=A","JPS61162182.A")</f>
        <v>JPS61162182.A</v>
      </c>
    </row>
    <row r="213" spans="1:19" ht="17.100000000000001" customHeight="1" x14ac:dyDescent="0.25">
      <c r="A213" s="16" t="s">
        <v>3559</v>
      </c>
      <c r="B213" s="21" t="s">
        <v>3559</v>
      </c>
      <c r="C213" s="23">
        <v>0.17942145466804499</v>
      </c>
      <c r="D213" s="23">
        <v>0</v>
      </c>
      <c r="E213" s="23">
        <v>0</v>
      </c>
      <c r="F213" s="21">
        <v>0</v>
      </c>
      <c r="G213" s="23">
        <v>0</v>
      </c>
      <c r="H213" s="24">
        <v>30924</v>
      </c>
      <c r="I213" s="23">
        <v>1</v>
      </c>
      <c r="J213" s="22">
        <v>33663012</v>
      </c>
      <c r="K213" s="21"/>
      <c r="L213" s="21" t="s">
        <v>3560</v>
      </c>
      <c r="M213" s="21" t="s">
        <v>2942</v>
      </c>
      <c r="N213" s="21" t="s">
        <v>3561</v>
      </c>
      <c r="O213" s="25" t="str">
        <f>HYPERLINK("http://worldwide.espacenet.com/publicationDetails/biblio?DB=EPODOC&amp;adjacent=true&amp;locale=en_EP&amp;FT=D&amp;CC=JP&amp;NR=S6158112A&amp;KC=A","JPS6158112.A")</f>
        <v>JPS6158112.A</v>
      </c>
      <c r="P213" s="25" t="str">
        <f>HYPERLINK("http://worldwide.espacenet.com/publicationDetails/biblio?DB=EPODOC&amp;adjacent=true&amp;locale=en_EP&amp;FT=D&amp;CC=JP&amp;NR=S6158112A&amp;KC=A","JPS6158112.A")</f>
        <v>JPS6158112.A</v>
      </c>
    </row>
    <row r="214" spans="1:19" ht="17.100000000000001" customHeight="1" x14ac:dyDescent="0.25">
      <c r="A214" s="16" t="s">
        <v>3562</v>
      </c>
      <c r="B214" s="21" t="s">
        <v>3562</v>
      </c>
      <c r="C214" s="23">
        <v>0.71987557411193803</v>
      </c>
      <c r="D214" s="23">
        <v>0</v>
      </c>
      <c r="E214" s="23">
        <v>0</v>
      </c>
      <c r="F214" s="21">
        <v>0</v>
      </c>
      <c r="G214" s="23">
        <v>2</v>
      </c>
      <c r="H214" s="24">
        <v>31226</v>
      </c>
      <c r="I214" s="23">
        <v>5</v>
      </c>
      <c r="J214" s="22">
        <v>32271013</v>
      </c>
      <c r="K214" s="21" t="s">
        <v>3563</v>
      </c>
      <c r="L214" s="21" t="s">
        <v>3508</v>
      </c>
      <c r="M214" s="21" t="s">
        <v>2942</v>
      </c>
      <c r="N214" s="21" t="s">
        <v>3564</v>
      </c>
      <c r="O214" s="25" t="str">
        <f>HYPERLINK("http://worldwide.espacenet.com/publicationDetails/biblio?DB=EPODOC&amp;adjacent=true&amp;locale=en_EP&amp;FT=D&amp;CC=JP&amp;NR=S624175A&amp;KC=A","JPS624175.A")</f>
        <v>JPS624175.A</v>
      </c>
      <c r="P214" s="25" t="str">
        <f>HYPERLINK("http://worldwide.espacenet.com/publicationDetails/biblio?DB=EPODOC&amp;adjacent=true&amp;locale=en_EP&amp;FT=D&amp;CC=JP&amp;NR=S624175A&amp;KC=A","JPS624175.A")</f>
        <v>JPS624175.A</v>
      </c>
    </row>
    <row r="215" spans="1:19" ht="17.100000000000001" customHeight="1" x14ac:dyDescent="0.25">
      <c r="A215" s="16" t="s">
        <v>3565</v>
      </c>
      <c r="B215" s="21" t="s">
        <v>3565</v>
      </c>
      <c r="C215" s="23">
        <v>0.85391074419021595</v>
      </c>
      <c r="D215" s="23">
        <v>0</v>
      </c>
      <c r="E215" s="23">
        <v>0</v>
      </c>
      <c r="F215" s="21">
        <v>0</v>
      </c>
      <c r="G215" s="23">
        <v>3</v>
      </c>
      <c r="H215" s="24">
        <v>31227</v>
      </c>
      <c r="I215" s="23">
        <v>1</v>
      </c>
      <c r="J215" s="22">
        <v>32361707</v>
      </c>
      <c r="K215" s="21" t="s">
        <v>3566</v>
      </c>
      <c r="L215" s="21" t="s">
        <v>3508</v>
      </c>
      <c r="M215" s="21" t="s">
        <v>2942</v>
      </c>
      <c r="N215" s="21" t="s">
        <v>3567</v>
      </c>
      <c r="O215" s="25" t="str">
        <f>HYPERLINK("http://worldwide.espacenet.com/publicationDetails/biblio?DB=EPODOC&amp;adjacent=true&amp;locale=en_EP&amp;FT=D&amp;CC=JP&amp;NR=S624327A&amp;KC=A","JPS624327.A")</f>
        <v>JPS624327.A</v>
      </c>
      <c r="P215" s="25" t="str">
        <f>HYPERLINK("http://worldwide.espacenet.com/publicationDetails/biblio?DB=EPODOC&amp;adjacent=true&amp;locale=en_EP&amp;FT=D&amp;CC=JP&amp;NR=S624327A&amp;KC=A","JPS624327.A")</f>
        <v>JPS624327.A</v>
      </c>
    </row>
    <row r="216" spans="1:19" ht="17.100000000000001" customHeight="1" x14ac:dyDescent="0.25">
      <c r="A216" s="16" t="s">
        <v>3568</v>
      </c>
      <c r="B216" s="21" t="s">
        <v>3568</v>
      </c>
      <c r="C216" s="23">
        <v>0.52226835489273105</v>
      </c>
      <c r="D216" s="23">
        <v>0</v>
      </c>
      <c r="E216" s="23">
        <v>0</v>
      </c>
      <c r="F216" s="21">
        <v>0</v>
      </c>
      <c r="G216" s="23">
        <v>3</v>
      </c>
      <c r="H216" s="24">
        <v>31226</v>
      </c>
      <c r="I216" s="23">
        <v>3</v>
      </c>
      <c r="J216" s="22">
        <v>32329364</v>
      </c>
      <c r="K216" s="21" t="s">
        <v>3569</v>
      </c>
      <c r="L216" s="21" t="s">
        <v>3570</v>
      </c>
      <c r="M216" s="21" t="s">
        <v>2942</v>
      </c>
      <c r="N216" s="21" t="s">
        <v>3571</v>
      </c>
      <c r="O216" s="25" t="str">
        <f>HYPERLINK("http://worldwide.espacenet.com/publicationDetails/biblio?DB=EPODOC&amp;adjacent=true&amp;locale=en_EP&amp;FT=D&amp;CC=JP&amp;NR=S624438A&amp;KC=A","JPS624438.A")</f>
        <v>JPS624438.A</v>
      </c>
      <c r="P216" s="25" t="str">
        <f>HYPERLINK("http://worldwide.espacenet.com/publicationDetails/biblio?DB=EPODOC&amp;adjacent=true&amp;locale=en_EP&amp;FT=D&amp;CC=JP&amp;NR=S624438A&amp;KC=A","JPS624438.A")</f>
        <v>JPS624438.A</v>
      </c>
    </row>
    <row r="217" spans="1:19" ht="17.100000000000001" customHeight="1" x14ac:dyDescent="0.25">
      <c r="A217" s="16" t="s">
        <v>3572</v>
      </c>
      <c r="B217" s="21" t="s">
        <v>3572</v>
      </c>
      <c r="C217" s="23">
        <v>0.21170091629028301</v>
      </c>
      <c r="D217" s="23">
        <v>0</v>
      </c>
      <c r="E217" s="23">
        <v>0</v>
      </c>
      <c r="F217" s="21">
        <v>0</v>
      </c>
      <c r="G217" s="23">
        <v>0</v>
      </c>
      <c r="H217" s="24">
        <v>31608</v>
      </c>
      <c r="I217" s="23">
        <v>1</v>
      </c>
      <c r="J217" s="22">
        <v>33179463</v>
      </c>
      <c r="K217" s="21"/>
      <c r="L217" s="21" t="s">
        <v>3573</v>
      </c>
      <c r="M217" s="21" t="s">
        <v>2942</v>
      </c>
      <c r="N217" s="21" t="s">
        <v>3567</v>
      </c>
      <c r="O217" s="25" t="str">
        <f>HYPERLINK("http://worldwide.espacenet.com/publicationDetails/biblio?DB=EPODOC&amp;adjacent=true&amp;locale=en_EP&amp;FT=D&amp;CC=JP&amp;NR=S6320877A&amp;KC=A","JPS6320877.A")</f>
        <v>JPS6320877.A</v>
      </c>
      <c r="P217" s="25" t="str">
        <f>HYPERLINK("http://worldwide.espacenet.com/publicationDetails/biblio?DB=EPODOC&amp;adjacent=true&amp;locale=en_EP&amp;FT=D&amp;CC=JP&amp;NR=S6320877A&amp;KC=A","JPS6320877.A")</f>
        <v>JPS6320877.A</v>
      </c>
    </row>
    <row r="218" spans="1:19" ht="17.100000000000001" customHeight="1" x14ac:dyDescent="0.25">
      <c r="A218" s="16" t="s">
        <v>3574</v>
      </c>
      <c r="B218" s="21" t="s">
        <v>3575</v>
      </c>
      <c r="C218" s="23">
        <v>0.173906445503235</v>
      </c>
      <c r="D218" s="23">
        <v>0</v>
      </c>
      <c r="E218" s="23">
        <v>0</v>
      </c>
      <c r="F218" s="21">
        <v>0</v>
      </c>
      <c r="G218" s="23">
        <v>1</v>
      </c>
      <c r="H218" s="24">
        <v>38324</v>
      </c>
      <c r="I218" s="23">
        <v>2</v>
      </c>
      <c r="J218" s="22">
        <v>42877558</v>
      </c>
      <c r="K218" s="21" t="s">
        <v>3576</v>
      </c>
      <c r="L218" s="21" t="s">
        <v>3577</v>
      </c>
      <c r="M218" s="21" t="s">
        <v>2942</v>
      </c>
      <c r="N218" s="21" t="s">
        <v>2982</v>
      </c>
      <c r="O218" s="25" t="str">
        <f>HYPERLINK("http://worldwide.espacenet.com/publicationDetails/biblio?DB=EPODOC&amp;adjacent=true&amp;locale=en_EP&amp;FT=D&amp;CC=RU&amp;NR=2004135451A&amp;KC=A","RU2004135451.A")</f>
        <v>RU2004135451.A</v>
      </c>
      <c r="P218" s="25" t="str">
        <f>HYPERLINK("http://worldwide.espacenet.com/publicationDetails/biblio?DB=EPODOC&amp;adjacent=true&amp;locale=en_EP&amp;FT=D&amp;CC=EA&amp;NR=008568B1&amp;KC=B1","EA008568.B1")</f>
        <v>EA008568.B1</v>
      </c>
      <c r="Q218" s="26" t="str">
        <f>HYPERLINK("http://worldwide.espacenet.com/publicationDetails/biblio?DB=EPODOC&amp;adjacent=true&amp;locale=en_EP&amp;FT=D&amp;CC=EA&amp;NR=200501139A1&amp;KC=A1","EA200501139.A1")</f>
        <v>EA200501139.A1</v>
      </c>
      <c r="R218" s="26" t="str">
        <f>HYPERLINK("http://worldwide.espacenet.com/publicationDetails/biblio?DB=EPODOC&amp;adjacent=true&amp;locale=en_EP&amp;FT=D&amp;CC=RU&amp;NR=2004135451A&amp;KC=A","RU2004135451.A")</f>
        <v>RU2004135451.A</v>
      </c>
      <c r="S218" s="26" t="str">
        <f>HYPERLINK("http://worldwide.espacenet.com/publicationDetails/biblio?DB=EPODOC&amp;adjacent=true&amp;locale=en_EP&amp;FT=D&amp;CC=RU&amp;NR=2304608C2&amp;KC=C2","RU2304608.C2")</f>
        <v>RU2304608.C2</v>
      </c>
    </row>
    <row r="219" spans="1:19" ht="17.100000000000001" customHeight="1" x14ac:dyDescent="0.25">
      <c r="A219" s="16" t="s">
        <v>3578</v>
      </c>
      <c r="B219" s="21" t="s">
        <v>3579</v>
      </c>
      <c r="C219" s="23">
        <v>0.15998683869838701</v>
      </c>
      <c r="D219" s="23">
        <v>0</v>
      </c>
      <c r="E219" s="23">
        <v>0</v>
      </c>
      <c r="F219" s="21">
        <v>0</v>
      </c>
      <c r="G219" s="23">
        <v>0</v>
      </c>
      <c r="H219" s="24">
        <v>39832</v>
      </c>
      <c r="I219" s="23">
        <v>3</v>
      </c>
      <c r="J219" s="22">
        <v>323206538</v>
      </c>
      <c r="K219" s="21"/>
      <c r="L219" s="21" t="s">
        <v>3580</v>
      </c>
      <c r="M219" s="21" t="s">
        <v>2942</v>
      </c>
      <c r="N219" s="21" t="s">
        <v>2951</v>
      </c>
      <c r="O219" s="25" t="str">
        <f>HYPERLINK("http://worldwide.espacenet.com/publicationDetails/biblio?DB=EPODOC&amp;adjacent=true&amp;locale=en_EP&amp;FT=D&amp;CC=RU&amp;NR=2009101606A&amp;KC=A","RU2009101606.A")</f>
        <v>RU2009101606.A</v>
      </c>
      <c r="P219" s="25" t="str">
        <f>HYPERLINK("http://worldwide.espacenet.com/publicationDetails/biblio?DB=EPODOC&amp;adjacent=true&amp;locale=en_EP&amp;FT=D&amp;CC=RU&amp;NR=2009101606A&amp;KC=A","RU2009101606.A")</f>
        <v>RU2009101606.A</v>
      </c>
      <c r="Q219" s="26" t="str">
        <f>HYPERLINK("http://worldwide.espacenet.com/publicationDetails/biblio?DB=EPODOC&amp;adjacent=true&amp;locale=en_EP&amp;FT=D&amp;CC=RU&amp;NR=2478007C2&amp;KC=C2","RU2478007.C2")</f>
        <v>RU2478007.C2</v>
      </c>
    </row>
    <row r="220" spans="1:19" ht="17.100000000000001" customHeight="1" x14ac:dyDescent="0.25">
      <c r="A220" s="16" t="s">
        <v>3581</v>
      </c>
      <c r="B220" s="21" t="s">
        <v>3582</v>
      </c>
      <c r="C220" s="23">
        <v>0.99042910337448098</v>
      </c>
      <c r="D220" s="23">
        <v>0</v>
      </c>
      <c r="E220" s="23">
        <v>0</v>
      </c>
      <c r="F220" s="21">
        <v>0</v>
      </c>
      <c r="G220" s="23">
        <v>4</v>
      </c>
      <c r="H220" s="24">
        <v>40122</v>
      </c>
      <c r="I220" s="23">
        <v>1</v>
      </c>
      <c r="J220" s="22">
        <v>337564390</v>
      </c>
      <c r="K220" s="21" t="s">
        <v>3583</v>
      </c>
      <c r="L220" s="21" t="s">
        <v>53</v>
      </c>
      <c r="M220" s="21" t="s">
        <v>2942</v>
      </c>
      <c r="N220" s="21" t="s">
        <v>3003</v>
      </c>
      <c r="O220" s="25" t="str">
        <f>HYPERLINK("http://worldwide.espacenet.com/publicationDetails/biblio?DB=EPODOC&amp;adjacent=true&amp;locale=en_EP&amp;FT=D&amp;CC=RU&amp;NR=2009140666A&amp;KC=A","RU2009140666.A")</f>
        <v>RU2009140666.A</v>
      </c>
      <c r="P220" s="25" t="str">
        <f>HYPERLINK("http://worldwide.espacenet.com/publicationDetails/biblio?DB=EPODOC&amp;adjacent=true&amp;locale=en_EP&amp;FT=D&amp;CC=RU&amp;NR=2009140666A&amp;KC=A","RU2009140666.A")</f>
        <v>RU2009140666.A</v>
      </c>
      <c r="Q220" s="26" t="str">
        <f>HYPERLINK("http://worldwide.espacenet.com/publicationDetails/biblio?DB=EPODOC&amp;adjacent=true&amp;locale=en_EP&amp;FT=D&amp;CC=RU&amp;NR=2425091C1&amp;KC=C1","RU2425091.C1")</f>
        <v>RU2425091.C1</v>
      </c>
    </row>
    <row r="221" spans="1:19" ht="17.100000000000001" customHeight="1" x14ac:dyDescent="0.25">
      <c r="A221" s="16" t="s">
        <v>3584</v>
      </c>
      <c r="B221" s="21" t="s">
        <v>3584</v>
      </c>
      <c r="C221" s="23">
        <v>0.15370512008667001</v>
      </c>
      <c r="D221" s="23">
        <v>0</v>
      </c>
      <c r="E221" s="23">
        <v>0</v>
      </c>
      <c r="F221" s="21">
        <v>0</v>
      </c>
      <c r="G221" s="23">
        <v>1</v>
      </c>
      <c r="H221" s="24">
        <v>33694</v>
      </c>
      <c r="I221" s="23">
        <v>2</v>
      </c>
      <c r="J221" s="22">
        <v>44932514</v>
      </c>
      <c r="K221" s="21" t="s">
        <v>3585</v>
      </c>
      <c r="L221" s="21" t="s">
        <v>3586</v>
      </c>
      <c r="M221" s="21" t="s">
        <v>2942</v>
      </c>
      <c r="N221" s="21" t="s">
        <v>2982</v>
      </c>
      <c r="O221" s="25" t="str">
        <f>HYPERLINK("http://worldwide.espacenet.com/publicationDetails/biblio?DB=EPODOC&amp;adjacent=true&amp;locale=en_EP&amp;FT=D&amp;CC=RU&amp;NR=2019290C1&amp;KC=C1","RU2019290.C1")</f>
        <v>RU2019290.C1</v>
      </c>
      <c r="P221" s="25" t="str">
        <f>HYPERLINK("http://worldwide.espacenet.com/publicationDetails/biblio?DB=EPODOC&amp;adjacent=true&amp;locale=en_EP&amp;FT=D&amp;CC=RU&amp;NR=2019290C1&amp;KC=C1","RU2019290.C1")</f>
        <v>RU2019290.C1</v>
      </c>
    </row>
    <row r="222" spans="1:19" ht="17.100000000000001" customHeight="1" x14ac:dyDescent="0.25">
      <c r="A222" s="16" t="s">
        <v>3587</v>
      </c>
      <c r="B222" s="21" t="s">
        <v>3587</v>
      </c>
      <c r="C222" s="23">
        <v>0.12411858141422299</v>
      </c>
      <c r="D222" s="23">
        <v>0</v>
      </c>
      <c r="E222" s="23">
        <v>0</v>
      </c>
      <c r="F222" s="21">
        <v>0</v>
      </c>
      <c r="G222" s="23">
        <v>1</v>
      </c>
      <c r="H222" s="24">
        <v>35164</v>
      </c>
      <c r="I222" s="23">
        <v>3</v>
      </c>
      <c r="J222" s="22">
        <v>42675160</v>
      </c>
      <c r="K222" s="21" t="s">
        <v>3588</v>
      </c>
      <c r="L222" s="21" t="s">
        <v>3589</v>
      </c>
      <c r="M222" s="21" t="s">
        <v>2942</v>
      </c>
      <c r="N222" s="21" t="s">
        <v>2951</v>
      </c>
      <c r="O222" s="25" t="str">
        <f>HYPERLINK("http://worldwide.espacenet.com/publicationDetails/biblio?DB=EPODOC&amp;adjacent=true&amp;locale=en_EP&amp;FT=D&amp;CC=RU&amp;NR=2098173C1&amp;KC=C1","RU2098173.C1")</f>
        <v>RU2098173.C1</v>
      </c>
      <c r="P222" s="25" t="str">
        <f>HYPERLINK("http://worldwide.espacenet.com/publicationDetails/biblio?DB=EPODOC&amp;adjacent=true&amp;locale=en_EP&amp;FT=D&amp;CC=RU&amp;NR=2098173C1&amp;KC=C1","RU2098173.C1")</f>
        <v>RU2098173.C1</v>
      </c>
    </row>
    <row r="223" spans="1:19" ht="17.100000000000001" customHeight="1" x14ac:dyDescent="0.25">
      <c r="A223" s="16" t="s">
        <v>3590</v>
      </c>
      <c r="B223" s="21" t="s">
        <v>3590</v>
      </c>
      <c r="C223" s="23">
        <v>0.14020571112632799</v>
      </c>
      <c r="D223" s="23">
        <v>0</v>
      </c>
      <c r="E223" s="23">
        <v>0</v>
      </c>
      <c r="F223" s="21">
        <v>0</v>
      </c>
      <c r="G223" s="23">
        <v>1</v>
      </c>
      <c r="H223" s="24">
        <v>34984</v>
      </c>
      <c r="I223" s="23">
        <v>1</v>
      </c>
      <c r="J223" s="22">
        <v>42667346</v>
      </c>
      <c r="K223" s="21" t="s">
        <v>3591</v>
      </c>
      <c r="L223" s="21" t="s">
        <v>3592</v>
      </c>
      <c r="M223" s="21" t="s">
        <v>2942</v>
      </c>
      <c r="N223" s="21" t="s">
        <v>3003</v>
      </c>
      <c r="O223" s="25" t="str">
        <f>HYPERLINK("http://worldwide.espacenet.com/publicationDetails/biblio?DB=EPODOC&amp;adjacent=true&amp;locale=en_EP&amp;FT=D&amp;CC=RU&amp;NR=2103322C1&amp;KC=C1","RU2103322.C1")</f>
        <v>RU2103322.C1</v>
      </c>
      <c r="P223" s="25" t="str">
        <f>HYPERLINK("http://worldwide.espacenet.com/publicationDetails/biblio?DB=EPODOC&amp;adjacent=true&amp;locale=en_EP&amp;FT=D&amp;CC=RU&amp;NR=2103322C1&amp;KC=C1","RU2103322.C1")</f>
        <v>RU2103322.C1</v>
      </c>
    </row>
    <row r="224" spans="1:19" ht="17.100000000000001" customHeight="1" x14ac:dyDescent="0.25">
      <c r="A224" s="16" t="s">
        <v>3593</v>
      </c>
      <c r="B224" s="21" t="s">
        <v>3593</v>
      </c>
      <c r="C224" s="23">
        <v>0.15448164939880399</v>
      </c>
      <c r="D224" s="23">
        <v>0</v>
      </c>
      <c r="E224" s="23">
        <v>0</v>
      </c>
      <c r="F224" s="21">
        <v>0</v>
      </c>
      <c r="G224" s="23">
        <v>1</v>
      </c>
      <c r="H224" s="24">
        <v>35415</v>
      </c>
      <c r="I224" s="23">
        <v>1</v>
      </c>
      <c r="J224" s="22">
        <v>42686157</v>
      </c>
      <c r="K224" s="21" t="s">
        <v>3594</v>
      </c>
      <c r="L224" s="21" t="s">
        <v>3592</v>
      </c>
      <c r="M224" s="21" t="s">
        <v>2942</v>
      </c>
      <c r="N224" s="21" t="s">
        <v>2943</v>
      </c>
      <c r="O224" s="25" t="str">
        <f>HYPERLINK("http://worldwide.espacenet.com/publicationDetails/biblio?DB=EPODOC&amp;adjacent=true&amp;locale=en_EP&amp;FT=D&amp;CC=RU&amp;NR=2114811C1&amp;KC=C1","RU2114811.C1")</f>
        <v>RU2114811.C1</v>
      </c>
      <c r="P224" s="25" t="str">
        <f>HYPERLINK("http://worldwide.espacenet.com/publicationDetails/biblio?DB=EPODOC&amp;adjacent=true&amp;locale=en_EP&amp;FT=D&amp;CC=RU&amp;NR=2114811C1&amp;KC=C1","RU2114811.C1")</f>
        <v>RU2114811.C1</v>
      </c>
    </row>
    <row r="225" spans="1:35" ht="17.100000000000001" customHeight="1" x14ac:dyDescent="0.25">
      <c r="A225" s="16" t="s">
        <v>3595</v>
      </c>
      <c r="B225" s="21" t="s">
        <v>3595</v>
      </c>
      <c r="C225" s="23">
        <v>0.28098031878471402</v>
      </c>
      <c r="D225" s="23">
        <v>0</v>
      </c>
      <c r="E225" s="23">
        <v>0</v>
      </c>
      <c r="F225" s="21">
        <v>0</v>
      </c>
      <c r="G225" s="23">
        <v>2</v>
      </c>
      <c r="H225" s="24">
        <v>36706</v>
      </c>
      <c r="I225" s="23">
        <v>1</v>
      </c>
      <c r="J225" s="22">
        <v>42747045</v>
      </c>
      <c r="K225" s="21" t="s">
        <v>3596</v>
      </c>
      <c r="L225" s="21" t="s">
        <v>3597</v>
      </c>
      <c r="M225" s="21" t="s">
        <v>2942</v>
      </c>
      <c r="N225" s="21" t="s">
        <v>3003</v>
      </c>
      <c r="O225" s="25" t="str">
        <f>HYPERLINK("http://worldwide.espacenet.com/publicationDetails/biblio?DB=EPODOC&amp;adjacent=true&amp;locale=en_EP&amp;FT=D&amp;CC=RU&amp;NR=2163623C1&amp;KC=C1","RU2163623.C1")</f>
        <v>RU2163623.C1</v>
      </c>
      <c r="P225" s="25" t="str">
        <f>HYPERLINK("http://worldwide.espacenet.com/publicationDetails/biblio?DB=EPODOC&amp;adjacent=true&amp;locale=en_EP&amp;FT=D&amp;CC=RU&amp;NR=2163623C1&amp;KC=C1","RU2163623.C1")</f>
        <v>RU2163623.C1</v>
      </c>
    </row>
    <row r="226" spans="1:35" ht="17.100000000000001" customHeight="1" x14ac:dyDescent="0.25">
      <c r="A226" s="16" t="s">
        <v>3598</v>
      </c>
      <c r="B226" s="21" t="s">
        <v>3598</v>
      </c>
      <c r="C226" s="23">
        <v>0.46333560347557101</v>
      </c>
      <c r="D226" s="23">
        <v>0</v>
      </c>
      <c r="E226" s="23">
        <v>0</v>
      </c>
      <c r="F226" s="21">
        <v>0</v>
      </c>
      <c r="G226" s="23">
        <v>3</v>
      </c>
      <c r="H226" s="24">
        <v>37137</v>
      </c>
      <c r="I226" s="23">
        <v>2</v>
      </c>
      <c r="J226" s="22">
        <v>42774873</v>
      </c>
      <c r="K226" s="21" t="s">
        <v>3599</v>
      </c>
      <c r="L226" s="21" t="s">
        <v>3600</v>
      </c>
      <c r="M226" s="21" t="s">
        <v>2942</v>
      </c>
      <c r="N226" s="21" t="s">
        <v>2982</v>
      </c>
      <c r="O226" s="25" t="str">
        <f>HYPERLINK("http://worldwide.espacenet.com/publicationDetails/biblio?DB=EPODOC&amp;adjacent=true&amp;locale=en_EP&amp;FT=D&amp;CC=RU&amp;NR=2208624C2&amp;KC=C2","RU2208624.C2")</f>
        <v>RU2208624.C2</v>
      </c>
      <c r="P226" s="25" t="str">
        <f>HYPERLINK("http://worldwide.espacenet.com/publicationDetails/biblio?DB=EPODOC&amp;adjacent=true&amp;locale=en_EP&amp;FT=D&amp;CC=RU&amp;NR=2208624C2&amp;KC=C2","RU2208624.C2")</f>
        <v>RU2208624.C2</v>
      </c>
    </row>
    <row r="227" spans="1:35" ht="17.100000000000001" customHeight="1" x14ac:dyDescent="0.25">
      <c r="A227" s="16" t="s">
        <v>3601</v>
      </c>
      <c r="B227" s="21" t="s">
        <v>3601</v>
      </c>
      <c r="C227" s="23">
        <v>0.148189231753349</v>
      </c>
      <c r="D227" s="23">
        <v>0</v>
      </c>
      <c r="E227" s="23">
        <v>0</v>
      </c>
      <c r="F227" s="21">
        <v>0</v>
      </c>
      <c r="G227" s="23">
        <v>0</v>
      </c>
      <c r="H227" s="24">
        <v>37264</v>
      </c>
      <c r="I227" s="23">
        <v>1</v>
      </c>
      <c r="J227" s="22">
        <v>42783781</v>
      </c>
      <c r="K227" s="21"/>
      <c r="L227" s="21" t="s">
        <v>3602</v>
      </c>
      <c r="M227" s="21" t="s">
        <v>2942</v>
      </c>
      <c r="N227" s="21" t="s">
        <v>2943</v>
      </c>
      <c r="O227" s="25" t="str">
        <f>HYPERLINK("http://worldwide.espacenet.com/publicationDetails/biblio?DB=EPODOC&amp;adjacent=true&amp;locale=en_EP&amp;FT=D&amp;CC=RU&amp;NR=2209811C1&amp;KC=C1","RU2209811.C1")</f>
        <v>RU2209811.C1</v>
      </c>
      <c r="P227" s="25" t="str">
        <f>HYPERLINK("http://worldwide.espacenet.com/publicationDetails/biblio?DB=EPODOC&amp;adjacent=true&amp;locale=en_EP&amp;FT=D&amp;CC=RU&amp;NR=2209811C1&amp;KC=C1","RU2209811.C1")</f>
        <v>RU2209811.C1</v>
      </c>
      <c r="U227" s="26" t="str">
        <f>HYPERLINK("http://worldwide.espacenet.com/publicationDetails/biblio?DB=EPODOC&amp;adjacent=true&amp;locale=en_EP&amp;FT=D&amp;CC=EP&amp;NR=3190098A4&amp;KC=A4","EP3190098.A4")</f>
        <v>EP3190098.A4</v>
      </c>
      <c r="V227" s="26" t="str">
        <f>HYPERLINK("http://worldwide.espacenet.com/publicationDetails/biblio?DB=EPODOC&amp;adjacent=true&amp;locale=en_EP&amp;FT=D&amp;CC=RU&amp;NR=2558955C1&amp;KC=C1","RU2558955.C1")</f>
        <v>RU2558955.C1</v>
      </c>
      <c r="W227" s="26" t="str">
        <f>HYPERLINK("http://worldwide.espacenet.com/publicationDetails/biblio?DB=EPODOC&amp;adjacent=true&amp;locale=en_EP&amp;FT=D&amp;CC=US&amp;NR=2017233311A1&amp;KC=A1","US2017233311.A1")</f>
        <v>US2017233311.A1</v>
      </c>
      <c r="X227" s="26" t="str">
        <f>HYPERLINK("http://worldwide.espacenet.com/publicationDetails/biblio?DB=EPODOC&amp;adjacent=true&amp;locale=en_EP&amp;FT=D&amp;CC=WO&amp;NR=2016024883A2&amp;KC=A2","WO2016024883.A2")</f>
        <v>WO2016024883.A2</v>
      </c>
      <c r="Y227" s="26" t="str">
        <f>HYPERLINK("http://worldwide.espacenet.com/publicationDetails/biblio?DB=EPODOC&amp;adjacent=true&amp;locale=en_EP&amp;FT=D&amp;CC=WO&amp;NR=2016024883A3&amp;KC=A3","WO2016024883.A3")</f>
        <v>WO2016024883.A3</v>
      </c>
    </row>
    <row r="228" spans="1:35" ht="17.100000000000001" customHeight="1" x14ac:dyDescent="0.25">
      <c r="A228" s="16" t="s">
        <v>3603</v>
      </c>
      <c r="B228" s="21" t="s">
        <v>3603</v>
      </c>
      <c r="C228" s="23">
        <v>0.15077793598174999</v>
      </c>
      <c r="D228" s="23">
        <v>0</v>
      </c>
      <c r="E228" s="23">
        <v>0</v>
      </c>
      <c r="F228" s="21">
        <v>0</v>
      </c>
      <c r="G228" s="23">
        <v>1</v>
      </c>
      <c r="H228" s="24">
        <v>37894</v>
      </c>
      <c r="I228" s="23">
        <v>3</v>
      </c>
      <c r="J228" s="22">
        <v>42837601</v>
      </c>
      <c r="K228" s="21" t="s">
        <v>3576</v>
      </c>
      <c r="L228" s="21" t="s">
        <v>3604</v>
      </c>
      <c r="M228" s="21" t="s">
        <v>2942</v>
      </c>
      <c r="N228" s="21" t="s">
        <v>2951</v>
      </c>
      <c r="O228" s="25" t="str">
        <f>HYPERLINK("http://worldwide.espacenet.com/publicationDetails/biblio?DB=EPODOC&amp;adjacent=true&amp;locale=en_EP&amp;FT=D&amp;CC=RU&amp;NR=2238298C1&amp;KC=C1","RU2238298.C1")</f>
        <v>RU2238298.C1</v>
      </c>
      <c r="P228" s="25" t="str">
        <f>HYPERLINK("http://worldwide.espacenet.com/publicationDetails/biblio?DB=EPODOC&amp;adjacent=true&amp;locale=en_EP&amp;FT=D&amp;CC=RU&amp;NR=2238298C1&amp;KC=C1","RU2238298.C1")</f>
        <v>RU2238298.C1</v>
      </c>
    </row>
    <row r="229" spans="1:35" ht="17.100000000000001" customHeight="1" x14ac:dyDescent="0.25">
      <c r="A229" s="16" t="s">
        <v>3605</v>
      </c>
      <c r="B229" s="21" t="s">
        <v>3605</v>
      </c>
      <c r="C229" s="23">
        <v>0.15556281805038499</v>
      </c>
      <c r="D229" s="23">
        <v>0</v>
      </c>
      <c r="E229" s="23">
        <v>0</v>
      </c>
      <c r="F229" s="21">
        <v>0</v>
      </c>
      <c r="G229" s="23">
        <v>1</v>
      </c>
      <c r="H229" s="24">
        <v>38523</v>
      </c>
      <c r="I229" s="23">
        <v>2</v>
      </c>
      <c r="J229" s="22">
        <v>42899639</v>
      </c>
      <c r="K229" s="21" t="s">
        <v>3606</v>
      </c>
      <c r="L229" s="21" t="s">
        <v>3607</v>
      </c>
      <c r="M229" s="21" t="s">
        <v>2942</v>
      </c>
      <c r="N229" s="21" t="s">
        <v>2982</v>
      </c>
      <c r="O229" s="25" t="str">
        <f>HYPERLINK("http://worldwide.espacenet.com/publicationDetails/biblio?DB=EPODOC&amp;adjacent=true&amp;locale=en_EP&amp;FT=D&amp;CC=RU&amp;NR=2284343C1&amp;KC=C1","RU2284343.C1")</f>
        <v>RU2284343.C1</v>
      </c>
      <c r="P229" s="25" t="str">
        <f>HYPERLINK("http://worldwide.espacenet.com/publicationDetails/biblio?DB=EPODOC&amp;adjacent=true&amp;locale=en_EP&amp;FT=D&amp;CC=RU&amp;NR=2284343C1&amp;KC=C1","RU2284343.C1")</f>
        <v>RU2284343.C1</v>
      </c>
    </row>
    <row r="230" spans="1:35" ht="17.100000000000001" customHeight="1" x14ac:dyDescent="0.25">
      <c r="A230" s="16" t="s">
        <v>3608</v>
      </c>
      <c r="B230" s="21" t="s">
        <v>3608</v>
      </c>
      <c r="C230" s="23">
        <v>1.1357164382934599</v>
      </c>
      <c r="D230" s="23">
        <v>0</v>
      </c>
      <c r="E230" s="23">
        <v>0</v>
      </c>
      <c r="F230" s="21">
        <v>0</v>
      </c>
      <c r="G230" s="23">
        <v>5</v>
      </c>
      <c r="H230" s="24">
        <v>40122</v>
      </c>
      <c r="I230" s="23">
        <v>1</v>
      </c>
      <c r="J230" s="22">
        <v>337563334</v>
      </c>
      <c r="K230" s="21" t="s">
        <v>3609</v>
      </c>
      <c r="L230" s="21" t="s">
        <v>53</v>
      </c>
      <c r="M230" s="21" t="s">
        <v>2942</v>
      </c>
      <c r="N230" s="21" t="s">
        <v>3003</v>
      </c>
      <c r="O230" s="25" t="str">
        <f>HYPERLINK("http://worldwide.espacenet.com/publicationDetails/biblio?DB=EPODOC&amp;adjacent=true&amp;locale=en_EP&amp;FT=D&amp;CC=RU&amp;NR=2417249C1&amp;KC=C1","RU2417249.C1")</f>
        <v>RU2417249.C1</v>
      </c>
      <c r="P230" s="25" t="str">
        <f>HYPERLINK("http://worldwide.espacenet.com/publicationDetails/biblio?DB=EPODOC&amp;adjacent=true&amp;locale=en_EP&amp;FT=D&amp;CC=RU&amp;NR=2417249C1&amp;KC=C1","RU2417249.C1")</f>
        <v>RU2417249.C1</v>
      </c>
    </row>
    <row r="231" spans="1:35" ht="17.100000000000001" customHeight="1" x14ac:dyDescent="0.25">
      <c r="A231" s="16" t="s">
        <v>3610</v>
      </c>
      <c r="B231" s="21" t="s">
        <v>3610</v>
      </c>
      <c r="C231" s="23">
        <v>1.30866599082947</v>
      </c>
      <c r="D231" s="23">
        <v>7.1420997381210299E-2</v>
      </c>
      <c r="E231" s="23">
        <v>9.3466229736805004E-2</v>
      </c>
      <c r="F231" s="21">
        <v>9.3466229736805004E-2</v>
      </c>
      <c r="G231" s="23">
        <v>4</v>
      </c>
      <c r="H231" s="24">
        <v>40367</v>
      </c>
      <c r="I231" s="23">
        <v>3</v>
      </c>
      <c r="J231" s="22">
        <v>338111842</v>
      </c>
      <c r="K231" s="21" t="s">
        <v>3611</v>
      </c>
      <c r="L231" s="21" t="s">
        <v>3612</v>
      </c>
      <c r="M231" s="21" t="s">
        <v>2957</v>
      </c>
      <c r="N231" s="21" t="s">
        <v>2951</v>
      </c>
      <c r="O231" s="25" t="str">
        <f>HYPERLINK("http://worldwide.espacenet.com/publicationDetails/biblio?DB=EPODOC&amp;adjacent=true&amp;locale=en_EP&amp;FT=D&amp;CC=RU&amp;NR=2429910C1&amp;KC=C1","RU2429910.C1")</f>
        <v>RU2429910.C1</v>
      </c>
      <c r="P231" s="25" t="str">
        <f>HYPERLINK("http://worldwide.espacenet.com/publicationDetails/biblio?DB=EPODOC&amp;adjacent=true&amp;locale=en_EP&amp;FT=D&amp;CC=RU&amp;NR=2429910C1&amp;KC=C1","RU2429910.C1")</f>
        <v>RU2429910.C1</v>
      </c>
    </row>
    <row r="232" spans="1:35" ht="17.100000000000001" customHeight="1" x14ac:dyDescent="0.25">
      <c r="A232" s="16" t="s">
        <v>3613</v>
      </c>
      <c r="B232" s="21" t="s">
        <v>3613</v>
      </c>
      <c r="C232" s="23">
        <v>0.18168936669826499</v>
      </c>
      <c r="D232" s="23">
        <v>7.1420997381210299E-2</v>
      </c>
      <c r="E232" s="23">
        <v>1.2976435944438E-2</v>
      </c>
      <c r="F232" s="21">
        <v>1.2976435944438E-2</v>
      </c>
      <c r="G232" s="23">
        <v>0</v>
      </c>
      <c r="H232" s="24">
        <v>40946</v>
      </c>
      <c r="I232" s="23">
        <v>3</v>
      </c>
      <c r="J232" s="22">
        <v>410360144</v>
      </c>
      <c r="K232" s="21"/>
      <c r="L232" s="21" t="s">
        <v>3614</v>
      </c>
      <c r="M232" s="21" t="s">
        <v>2957</v>
      </c>
      <c r="N232" s="21" t="s">
        <v>2951</v>
      </c>
      <c r="O232" s="25" t="str">
        <f>HYPERLINK("http://worldwide.espacenet.com/publicationDetails/biblio?DB=EPODOC&amp;adjacent=true&amp;locale=en_EP&amp;FT=D&amp;CC=RU&amp;NR=2477656C1&amp;KC=C1","RU2477656.C1")</f>
        <v>RU2477656.C1</v>
      </c>
      <c r="P232" s="25" t="str">
        <f>HYPERLINK("http://worldwide.espacenet.com/publicationDetails/biblio?DB=EPODOC&amp;adjacent=true&amp;locale=en_EP&amp;FT=D&amp;CC=RU&amp;NR=2477656C1&amp;KC=C1","RU2477656.C1")</f>
        <v>RU2477656.C1</v>
      </c>
    </row>
    <row r="233" spans="1:35" ht="17.100000000000001" customHeight="1" x14ac:dyDescent="0.25">
      <c r="A233" s="16" t="s">
        <v>3615</v>
      </c>
      <c r="B233" s="21" t="s">
        <v>3615</v>
      </c>
      <c r="C233" s="23">
        <v>0.19801786541938801</v>
      </c>
      <c r="D233" s="23">
        <v>7.1420997381210299E-2</v>
      </c>
      <c r="E233" s="23">
        <v>1.4142633415758599E-2</v>
      </c>
      <c r="F233" s="21">
        <v>1.4142633415758599E-2</v>
      </c>
      <c r="G233" s="23">
        <v>0</v>
      </c>
      <c r="H233" s="24">
        <v>41681</v>
      </c>
      <c r="I233" s="23">
        <v>3</v>
      </c>
      <c r="J233" s="22">
        <v>441202877</v>
      </c>
      <c r="K233" s="21"/>
      <c r="L233" s="21" t="s">
        <v>3614</v>
      </c>
      <c r="M233" s="21" t="s">
        <v>2957</v>
      </c>
      <c r="N233" s="21" t="s">
        <v>3616</v>
      </c>
      <c r="O233" s="25" t="str">
        <f>HYPERLINK("http://worldwide.espacenet.com/publicationDetails/biblio?DB=EPODOC&amp;adjacent=true&amp;locale=en_EP&amp;FT=D&amp;CC=RU&amp;NR=2544510C1&amp;KC=C1","RU2544510.C1")</f>
        <v>RU2544510.C1</v>
      </c>
      <c r="P233" s="25" t="str">
        <f>HYPERLINK("http://worldwide.espacenet.com/publicationDetails/biblio?DB=EPODOC&amp;adjacent=true&amp;locale=en_EP&amp;FT=D&amp;CC=RU&amp;NR=2544510C1&amp;KC=C1","RU2544510.C1")</f>
        <v>RU2544510.C1</v>
      </c>
    </row>
    <row r="234" spans="1:35" ht="17.100000000000001" customHeight="1" x14ac:dyDescent="0.25">
      <c r="A234" s="16" t="s">
        <v>3617</v>
      </c>
      <c r="B234" s="21" t="s">
        <v>3617</v>
      </c>
      <c r="C234" s="23">
        <v>0.99132657051086404</v>
      </c>
      <c r="D234" s="23">
        <v>0</v>
      </c>
      <c r="E234" s="23">
        <v>0</v>
      </c>
      <c r="F234" s="21">
        <v>0</v>
      </c>
      <c r="G234" s="23">
        <v>1</v>
      </c>
      <c r="H234" s="24">
        <v>41877</v>
      </c>
      <c r="I234" s="23">
        <v>1</v>
      </c>
      <c r="J234" s="22">
        <v>446425970</v>
      </c>
      <c r="K234" s="21" t="s">
        <v>3618</v>
      </c>
      <c r="L234" s="21" t="s">
        <v>3612</v>
      </c>
      <c r="M234" s="21" t="s">
        <v>2942</v>
      </c>
      <c r="N234" s="21" t="s">
        <v>3003</v>
      </c>
      <c r="O234" s="25" t="str">
        <f>HYPERLINK("http://worldwide.espacenet.com/publicationDetails/biblio?DB=EPODOC&amp;adjacent=true&amp;locale=en_EP&amp;FT=D&amp;CC=RU&amp;NR=2567534C1&amp;KC=C1","RU2567534.C1")</f>
        <v>RU2567534.C1</v>
      </c>
      <c r="P234" s="25" t="str">
        <f>HYPERLINK("http://worldwide.espacenet.com/publicationDetails/biblio?DB=EPODOC&amp;adjacent=true&amp;locale=en_EP&amp;FT=D&amp;CC=RU&amp;NR=2567534C1&amp;KC=C1","RU2567534.C1")</f>
        <v>RU2567534.C1</v>
      </c>
    </row>
    <row r="235" spans="1:35" ht="17.100000000000001" customHeight="1" x14ac:dyDescent="0.25">
      <c r="A235" s="16" t="s">
        <v>3619</v>
      </c>
      <c r="B235" s="21" t="s">
        <v>3619</v>
      </c>
      <c r="C235" s="23">
        <v>1.34508681297302</v>
      </c>
      <c r="D235" s="23">
        <v>0</v>
      </c>
      <c r="E235" s="23">
        <v>0</v>
      </c>
      <c r="F235" s="21">
        <v>0</v>
      </c>
      <c r="G235" s="23">
        <v>1</v>
      </c>
      <c r="H235" s="24">
        <v>42142</v>
      </c>
      <c r="I235" s="23">
        <v>2</v>
      </c>
      <c r="J235" s="22">
        <v>468280660</v>
      </c>
      <c r="K235" s="21" t="s">
        <v>3620</v>
      </c>
      <c r="L235" s="21" t="s">
        <v>3621</v>
      </c>
      <c r="M235" s="21" t="s">
        <v>2942</v>
      </c>
      <c r="N235" s="21" t="s">
        <v>2958</v>
      </c>
      <c r="O235" s="25" t="str">
        <f>HYPERLINK("http://worldwide.espacenet.com/publicationDetails/biblio?DB=EPODOC&amp;adjacent=true&amp;locale=en_EP&amp;FT=D&amp;CC=RU&amp;NR=2594564C1&amp;KC=C1","RU2594564.C1")</f>
        <v>RU2594564.C1</v>
      </c>
      <c r="P235" s="25" t="str">
        <f>HYPERLINK("http://worldwide.espacenet.com/publicationDetails/biblio?DB=EPODOC&amp;adjacent=true&amp;locale=en_EP&amp;FT=D&amp;CC=RU&amp;NR=2594564C1&amp;KC=C1","RU2594564.C1")</f>
        <v>RU2594564.C1</v>
      </c>
    </row>
    <row r="236" spans="1:35" ht="17.100000000000001" customHeight="1" x14ac:dyDescent="0.25">
      <c r="A236" s="16" t="s">
        <v>3622</v>
      </c>
      <c r="B236" s="21" t="s">
        <v>3622</v>
      </c>
      <c r="C236" s="23">
        <v>0.215932041406631</v>
      </c>
      <c r="D236" s="23">
        <v>7.1420997381210299E-2</v>
      </c>
      <c r="E236" s="23">
        <v>1.5422081574797601E-2</v>
      </c>
      <c r="F236" s="21">
        <v>1.5422081574797601E-2</v>
      </c>
      <c r="G236" s="23">
        <v>0</v>
      </c>
      <c r="H236" s="24">
        <v>42347</v>
      </c>
      <c r="I236" s="23">
        <v>2</v>
      </c>
      <c r="J236" s="22">
        <v>477343824</v>
      </c>
      <c r="K236" s="21"/>
      <c r="L236" s="21" t="s">
        <v>3621</v>
      </c>
      <c r="M236" s="21" t="s">
        <v>2957</v>
      </c>
      <c r="N236" s="21" t="s">
        <v>2977</v>
      </c>
      <c r="O236" s="25" t="str">
        <f>HYPERLINK("http://worldwide.espacenet.com/publicationDetails/biblio?DB=EPODOC&amp;adjacent=true&amp;locale=en_EP&amp;FT=D&amp;CC=RU&amp;NR=2610277C1&amp;KC=C1","RU2610277.C1")</f>
        <v>RU2610277.C1</v>
      </c>
      <c r="P236" s="25" t="str">
        <f>HYPERLINK("http://worldwide.espacenet.com/publicationDetails/biblio?DB=EPODOC&amp;adjacent=true&amp;locale=en_EP&amp;FT=D&amp;CC=RU&amp;NR=2610277C1&amp;KC=C1","RU2610277.C1")</f>
        <v>RU2610277.C1</v>
      </c>
    </row>
    <row r="237" spans="1:35" ht="17.100000000000001" customHeight="1" x14ac:dyDescent="0.25">
      <c r="A237" s="16" t="s">
        <v>3623</v>
      </c>
      <c r="B237" s="21" t="s">
        <v>3623</v>
      </c>
      <c r="C237" s="23">
        <v>2.3962547779083301</v>
      </c>
      <c r="D237" s="23">
        <v>7.1420997381210299E-2</v>
      </c>
      <c r="E237" s="23">
        <v>0.17114290595054599</v>
      </c>
      <c r="F237" s="21">
        <v>0.17114290595054599</v>
      </c>
      <c r="G237" s="23">
        <v>1</v>
      </c>
      <c r="H237" s="24">
        <v>42748</v>
      </c>
      <c r="I237" s="23">
        <v>2</v>
      </c>
      <c r="J237" s="22">
        <v>496677795</v>
      </c>
      <c r="K237" s="21" t="s">
        <v>3624</v>
      </c>
      <c r="L237" s="21" t="s">
        <v>3625</v>
      </c>
      <c r="M237" s="21" t="s">
        <v>2957</v>
      </c>
      <c r="N237" s="21" t="s">
        <v>2982</v>
      </c>
      <c r="O237" s="25" t="str">
        <f>HYPERLINK("http://worldwide.espacenet.com/publicationDetails/biblio?DB=EPODOC&amp;adjacent=true&amp;locale=en_EP&amp;FT=D&amp;CC=RU&amp;NR=2658832C1&amp;KC=C1","RU2658832.C1")</f>
        <v>RU2658832.C1</v>
      </c>
      <c r="P237" s="25" t="str">
        <f>HYPERLINK("http://worldwide.espacenet.com/publicationDetails/biblio?DB=EPODOC&amp;adjacent=true&amp;locale=en_EP&amp;FT=D&amp;CC=RU&amp;NR=2658832C1&amp;KC=C1","RU2658832.C1")</f>
        <v>RU2658832.C1</v>
      </c>
    </row>
    <row r="238" spans="1:35" ht="17.100000000000001" customHeight="1" x14ac:dyDescent="0.25">
      <c r="A238" s="16" t="s">
        <v>3626</v>
      </c>
      <c r="B238" s="21" t="s">
        <v>3626</v>
      </c>
      <c r="C238" s="23">
        <v>0.99706774950027499</v>
      </c>
      <c r="D238" s="23">
        <v>7.1420997381210299E-2</v>
      </c>
      <c r="E238" s="23">
        <v>7.1211576461792006E-2</v>
      </c>
      <c r="F238" s="21">
        <v>7.1211576461792006E-2</v>
      </c>
      <c r="G238" s="23">
        <v>0</v>
      </c>
      <c r="H238" s="24">
        <v>42640</v>
      </c>
      <c r="I238" s="23">
        <v>3</v>
      </c>
      <c r="J238" s="22">
        <v>502883522</v>
      </c>
      <c r="K238" s="21"/>
      <c r="L238" s="21" t="s">
        <v>3625</v>
      </c>
      <c r="M238" s="21" t="s">
        <v>2957</v>
      </c>
      <c r="N238" s="21" t="s">
        <v>3355</v>
      </c>
      <c r="O238" s="25" t="str">
        <f>HYPERLINK("http://worldwide.espacenet.com/publicationDetails/biblio?DB=EPODOC&amp;adjacent=true&amp;locale=en_EP&amp;FT=D&amp;CC=RU&amp;NR=2671568C1&amp;KC=C1","RU2671568.C1")</f>
        <v>RU2671568.C1</v>
      </c>
      <c r="P238" s="25" t="str">
        <f>HYPERLINK("http://worldwide.espacenet.com/publicationDetails/biblio?DB=EPODOC&amp;adjacent=true&amp;locale=en_EP&amp;FT=D&amp;CC=RU&amp;NR=2671568C1&amp;KC=C1","RU2671568.C1")</f>
        <v>RU2671568.C1</v>
      </c>
    </row>
    <row r="239" spans="1:35" ht="17.100000000000001" customHeight="1" x14ac:dyDescent="0.25">
      <c r="A239" s="16" t="s">
        <v>3627</v>
      </c>
      <c r="B239" s="21" t="s">
        <v>3628</v>
      </c>
      <c r="C239" s="23">
        <v>0.12891358137130701</v>
      </c>
      <c r="D239" s="23">
        <v>0</v>
      </c>
      <c r="E239" s="23">
        <v>0</v>
      </c>
      <c r="F239" s="21">
        <v>0</v>
      </c>
      <c r="G239" s="23">
        <v>0</v>
      </c>
      <c r="H239" s="24">
        <v>34529</v>
      </c>
      <c r="I239" s="23">
        <v>1</v>
      </c>
      <c r="J239" s="22">
        <v>42649554</v>
      </c>
      <c r="K239" s="21"/>
      <c r="L239" s="21" t="s">
        <v>3629</v>
      </c>
      <c r="M239" s="21" t="s">
        <v>2942</v>
      </c>
      <c r="N239" s="21" t="s">
        <v>3003</v>
      </c>
      <c r="O239" s="25" t="str">
        <f>HYPERLINK("http://worldwide.espacenet.com/publicationDetails/biblio?DB=EPODOC&amp;adjacent=true&amp;locale=en_EP&amp;FT=D&amp;CC=RU&amp;NR=94024425A&amp;KC=A","RU94024425.A")</f>
        <v>RU94024425.A</v>
      </c>
      <c r="P239" s="25" t="str">
        <f>HYPERLINK("http://worldwide.espacenet.com/publicationDetails/biblio?DB=EPODOC&amp;adjacent=true&amp;locale=en_EP&amp;FT=D&amp;CC=RU&amp;NR=2087522C1&amp;KC=C1","RU2087522.C1")</f>
        <v>RU2087522.C1</v>
      </c>
      <c r="Q239" s="26" t="str">
        <f>HYPERLINK("http://worldwide.espacenet.com/publicationDetails/biblio?DB=EPODOC&amp;adjacent=true&amp;locale=en_EP&amp;FT=D&amp;CC=RU&amp;NR=94024425A&amp;KC=A","RU94024425.A")</f>
        <v>RU94024425.A</v>
      </c>
    </row>
    <row r="240" spans="1:35" ht="17.100000000000001" customHeight="1" x14ac:dyDescent="0.25">
      <c r="A240" s="16" t="s">
        <v>3630</v>
      </c>
      <c r="B240" s="21" t="s">
        <v>3631</v>
      </c>
      <c r="C240" s="23">
        <v>3.6002790927886998</v>
      </c>
      <c r="D240" s="23">
        <v>1</v>
      </c>
      <c r="E240" s="23">
        <v>3.6002790927886998</v>
      </c>
      <c r="F240" s="21">
        <v>3.6002790927886998</v>
      </c>
      <c r="G240" s="23">
        <v>33</v>
      </c>
      <c r="H240" s="24">
        <v>38926</v>
      </c>
      <c r="I240" s="23">
        <v>4</v>
      </c>
      <c r="J240" s="22">
        <v>53655378</v>
      </c>
      <c r="K240" s="21" t="s">
        <v>3632</v>
      </c>
      <c r="L240" s="21" t="s">
        <v>2941</v>
      </c>
      <c r="M240" s="21" t="s">
        <v>2957</v>
      </c>
      <c r="N240" s="21" t="s">
        <v>3398</v>
      </c>
      <c r="O240" s="25" t="str">
        <f>HYPERLINK("http://worldwide.espacenet.com/publicationDetails/biblio?DB=EPODOC&amp;adjacent=true&amp;locale=en_EP&amp;FT=D&amp;CC=US&amp;NR=2008027259A1&amp;KC=A1","US2008027259.A1")</f>
        <v>US2008027259.A1</v>
      </c>
      <c r="P240" s="25" t="str">
        <f>HYPERLINK("http://worldwide.espacenet.com/publicationDetails/biblio?DB=EPODOC&amp;adjacent=true&amp;locale=en_EP&amp;FT=D&amp;CC=US&amp;NR=2008027259A1&amp;KC=A1","US2008027259.A1")</f>
        <v>US2008027259.A1</v>
      </c>
      <c r="Q240" s="26" t="str">
        <f>HYPERLINK("http://worldwide.espacenet.com/publicationDetails/biblio?DB=EPODOC&amp;adjacent=true&amp;locale=en_EP&amp;FT=D&amp;CC=US&amp;NR=2011190114A1&amp;KC=A1","US2011190114.A1")</f>
        <v>US2011190114.A1</v>
      </c>
      <c r="R240" s="26" t="str">
        <f>HYPERLINK("http://worldwide.espacenet.com/publicationDetails/biblio?DB=EPODOC&amp;adjacent=true&amp;locale=en_EP&amp;FT=D&amp;CC=US&amp;NR=2011237826A1&amp;KC=A1","US2011237826.A1")</f>
        <v>US2011237826.A1</v>
      </c>
      <c r="S240" s="26" t="str">
        <f>HYPERLINK("http://worldwide.espacenet.com/publicationDetails/biblio?DB=EPODOC&amp;adjacent=true&amp;locale=en_EP&amp;FT=D&amp;CC=US&amp;NR=2012269718A1&amp;KC=A1","US2012269718.A1")</f>
        <v>US2012269718.A1</v>
      </c>
      <c r="T240" s="26" t="str">
        <f>HYPERLINK("http://worldwide.espacenet.com/publicationDetails/biblio?DB=EPODOC&amp;adjacent=true&amp;locale=en_EP&amp;FT=D&amp;CC=US&amp;NR=7959899B2&amp;KC=B2","US7959899.B2")</f>
        <v>US7959899.B2</v>
      </c>
      <c r="U240" s="26" t="str">
        <f>HYPERLINK("http://worldwide.espacenet.com/publicationDetails/biblio?DB=EPODOC&amp;adjacent=true&amp;locale=en_EP&amp;FT=D&amp;CC=CA&amp;NR=3006031A1&amp;KC=A1","CA3006031.A1")</f>
        <v>CA3006031.A1</v>
      </c>
      <c r="V240" s="26" t="str">
        <f>HYPERLINK("http://worldwide.espacenet.com/publicationDetails/biblio?DB=EPODOC&amp;adjacent=true&amp;locale=en_EP&amp;FT=D&amp;CC=CN&amp;NR=108290801A&amp;KC=A","CN108290801.A")</f>
        <v>CN108290801.A</v>
      </c>
      <c r="W240" s="26" t="str">
        <f>HYPERLINK("http://worldwide.espacenet.com/publicationDetails/biblio?DB=EPODOC&amp;adjacent=true&amp;locale=en_EP&amp;FT=D&amp;CC=CN&amp;NR=108290802A&amp;KC=A","CN108290802.A")</f>
        <v>CN108290802.A</v>
      </c>
      <c r="X240" s="26" t="str">
        <f>HYPERLINK("http://worldwide.espacenet.com/publicationDetails/biblio?DB=EPODOC&amp;adjacent=true&amp;locale=en_EP&amp;FT=D&amp;CC=CN&amp;NR=108290803A&amp;KC=A","CN108290803.A")</f>
        <v>CN108290803.A</v>
      </c>
      <c r="Y240" s="26" t="str">
        <f>HYPERLINK("http://worldwide.espacenet.com/publicationDetails/biblio?DB=EPODOC&amp;adjacent=true&amp;locale=en_EP&amp;FT=D&amp;CC=EA&amp;NR=201891328A1&amp;KC=A1","EA201891328.A1")</f>
        <v>EA201891328.A1</v>
      </c>
      <c r="Z240" s="26" t="str">
        <f>HYPERLINK("http://worldwide.espacenet.com/publicationDetails/biblio?DB=EPODOC&amp;adjacent=true&amp;locale=en_EP&amp;FT=D&amp;CC=EA&amp;NR=201891329A1&amp;KC=A1","EA201891329.A1")</f>
        <v>EA201891329.A1</v>
      </c>
      <c r="AA240" s="26" t="str">
        <f>HYPERLINK("http://worldwide.espacenet.com/publicationDetails/biblio?DB=EPODOC&amp;adjacent=true&amp;locale=en_EP&amp;FT=D&amp;CC=EA&amp;NR=201891330A1&amp;KC=A1","EA201891330.A1")</f>
        <v>EA201891330.A1</v>
      </c>
      <c r="AB240" s="26" t="str">
        <f>HYPERLINK("http://worldwide.espacenet.com/publicationDetails/biblio?DB=EPODOC&amp;adjacent=true&amp;locale=en_EP&amp;FT=D&amp;CC=MX&amp;NR=2018006166A&amp;KC=A","MX2018006166.A")</f>
        <v>MX2018006166.A</v>
      </c>
      <c r="AC240" s="26" t="str">
        <f>HYPERLINK("http://worldwide.espacenet.com/publicationDetails/biblio?DB=EPODOC&amp;adjacent=true&amp;locale=en_EP&amp;FT=D&amp;CC=MX&amp;NR=2018006167A&amp;KC=A","MX2018006167.A")</f>
        <v>MX2018006167.A</v>
      </c>
      <c r="AD240" s="26" t="str">
        <f>HYPERLINK("http://worldwide.espacenet.com/publicationDetails/biblio?DB=EPODOC&amp;adjacent=true&amp;locale=en_EP&amp;FT=D&amp;CC=MX&amp;NR=2018006170A&amp;KC=A","MX2018006170.A")</f>
        <v>MX2018006170.A</v>
      </c>
      <c r="AE240" s="26" t="str">
        <f>HYPERLINK("http://worldwide.espacenet.com/publicationDetails/biblio?DB=EPODOC&amp;adjacent=true&amp;locale=en_EP&amp;FT=D&amp;CC=US&amp;NR=2018304240A1&amp;KC=A1","US2018304240.A1")</f>
        <v>US2018304240.A1</v>
      </c>
      <c r="AF240" s="26" t="str">
        <f>HYPERLINK("http://worldwide.espacenet.com/publicationDetails/biblio?DB=EPODOC&amp;adjacent=true&amp;locale=en_EP&amp;FT=D&amp;CC=US&amp;NR=2019076830A1&amp;KC=A1","US2019076830.A1")</f>
        <v>US2019076830.A1</v>
      </c>
      <c r="AG240" s="26" t="str">
        <f>HYPERLINK("http://worldwide.espacenet.com/publicationDetails/biblio?DB=EPODOC&amp;adjacent=true&amp;locale=en_EP&amp;FT=D&amp;CC=WO&amp;NR=2017093335A1&amp;KC=A1","WO2017093335.A1")</f>
        <v>WO2017093335.A1</v>
      </c>
      <c r="AH240" s="26" t="str">
        <f>HYPERLINK("http://worldwide.espacenet.com/publicationDetails/biblio?DB=EPODOC&amp;adjacent=true&amp;locale=en_EP&amp;FT=D&amp;CC=WO&amp;NR=2017093338A1&amp;KC=A1","WO2017093338.A1")</f>
        <v>WO2017093338.A1</v>
      </c>
      <c r="AI240" s="26" t="str">
        <f>HYPERLINK("http://worldwide.espacenet.com/publicationDetails/biblio?DB=EPODOC&amp;adjacent=true&amp;locale=en_EP&amp;FT=D&amp;CC=WO&amp;NR=2017093342A1&amp;KC=A1","WO2017093342.A1")</f>
        <v>WO2017093342.A1</v>
      </c>
    </row>
    <row r="241" spans="1:20" ht="17.100000000000001" customHeight="1" x14ac:dyDescent="0.25">
      <c r="A241" s="16" t="s">
        <v>3633</v>
      </c>
      <c r="B241" s="21" t="s">
        <v>3634</v>
      </c>
      <c r="C241" s="23">
        <v>1.63663995265961</v>
      </c>
      <c r="D241" s="23">
        <v>1.6507329940795901</v>
      </c>
      <c r="E241" s="23">
        <v>2.7016556262970002</v>
      </c>
      <c r="F241" s="21">
        <v>2.7016556262970002</v>
      </c>
      <c r="G241" s="23">
        <v>8</v>
      </c>
      <c r="H241" s="24">
        <v>39504</v>
      </c>
      <c r="I241" s="23">
        <v>2</v>
      </c>
      <c r="J241" s="22">
        <v>266850025</v>
      </c>
      <c r="K241" s="21" t="s">
        <v>3635</v>
      </c>
      <c r="L241" s="21" t="s">
        <v>3636</v>
      </c>
      <c r="M241" s="21" t="s">
        <v>2957</v>
      </c>
      <c r="N241" s="21" t="s">
        <v>2977</v>
      </c>
      <c r="O241" s="25" t="str">
        <f>HYPERLINK("http://worldwide.espacenet.com/publicationDetails/biblio?DB=EPODOC&amp;adjacent=true&amp;locale=en_EP&amp;FT=D&amp;CC=US&amp;NR=2009211943A1&amp;KC=A1","US2009211943.A1")</f>
        <v>US2009211943.A1</v>
      </c>
      <c r="P241" s="25" t="str">
        <f>HYPERLINK("http://worldwide.espacenet.com/publicationDetails/biblio?DB=EPODOC&amp;adjacent=true&amp;locale=en_EP&amp;FT=D&amp;CC=CN&amp;NR=101952397A&amp;KC=A","CN101952397.A")</f>
        <v>CN101952397.A</v>
      </c>
      <c r="Q241" s="26" t="str">
        <f>HYPERLINK("http://worldwide.espacenet.com/publicationDetails/biblio?DB=EPODOC&amp;adjacent=true&amp;locale=en_EP&amp;FT=D&amp;CC=CN&amp;NR=101952397B&amp;KC=B","CN101952397.B")</f>
        <v>CN101952397.B</v>
      </c>
      <c r="R241" s="26" t="str">
        <f>HYPERLINK("http://worldwide.espacenet.com/publicationDetails/biblio?DB=EPODOC&amp;adjacent=true&amp;locale=en_EP&amp;FT=D&amp;CC=US&amp;NR=2009211943A1&amp;KC=A1","US2009211943.A1")</f>
        <v>US2009211943.A1</v>
      </c>
      <c r="S241" s="26" t="str">
        <f>HYPERLINK("http://worldwide.espacenet.com/publicationDetails/biblio?DB=EPODOC&amp;adjacent=true&amp;locale=en_EP&amp;FT=D&amp;CC=US&amp;NR=8143466B2&amp;KC=B2","US8143466.B2")</f>
        <v>US8143466.B2</v>
      </c>
      <c r="T241" s="26" t="str">
        <f>HYPERLINK("http://worldwide.espacenet.com/publicationDetails/biblio?DB=EPODOC&amp;adjacent=true&amp;locale=en_EP&amp;FT=D&amp;CC=WO&amp;NR=2009108655A2&amp;KC=A2","WO2009108655.A2")</f>
        <v>WO2009108655.A2</v>
      </c>
    </row>
    <row r="242" spans="1:20" ht="17.100000000000001" customHeight="1" x14ac:dyDescent="0.25">
      <c r="A242" s="16" t="s">
        <v>3637</v>
      </c>
      <c r="B242" s="21" t="s">
        <v>3638</v>
      </c>
      <c r="C242" s="23">
        <v>1.3388203382492101</v>
      </c>
      <c r="D242" s="23">
        <v>1</v>
      </c>
      <c r="E242" s="23">
        <v>1.3388203382492101</v>
      </c>
      <c r="F242" s="21">
        <v>1.3388203382492101</v>
      </c>
      <c r="G242" s="23">
        <v>9</v>
      </c>
      <c r="H242" s="24">
        <v>39654</v>
      </c>
      <c r="I242" s="23">
        <v>3</v>
      </c>
      <c r="J242" s="22">
        <v>274354380</v>
      </c>
      <c r="K242" s="21" t="s">
        <v>3639</v>
      </c>
      <c r="L242" s="21" t="s">
        <v>3640</v>
      </c>
      <c r="M242" s="21" t="s">
        <v>2957</v>
      </c>
      <c r="N242" s="21" t="s">
        <v>2951</v>
      </c>
      <c r="O242" s="25" t="str">
        <f>HYPERLINK("http://worldwide.espacenet.com/publicationDetails/biblio?DB=EPODOC&amp;adjacent=true&amp;locale=en_EP&amp;FT=D&amp;CC=US&amp;NR=2010041932A1&amp;KC=A1","US2010041932.A1")</f>
        <v>US2010041932.A1</v>
      </c>
      <c r="P242" s="25" t="str">
        <f>HYPERLINK("http://worldwide.espacenet.com/publicationDetails/biblio?DB=EPODOC&amp;adjacent=true&amp;locale=en_EP&amp;FT=D&amp;CC=AU&amp;NR=2009273843A1&amp;KC=A1","AU2009273843.A1")</f>
        <v>AU2009273843.A1</v>
      </c>
      <c r="Q242" s="26" t="str">
        <f>HYPERLINK("http://worldwide.espacenet.com/publicationDetails/biblio?DB=EPODOC&amp;adjacent=true&amp;locale=en_EP&amp;FT=D&amp;CC=CA&amp;NR=2731837A1&amp;KC=A1","CA2731837.A1")</f>
        <v>CA2731837.A1</v>
      </c>
      <c r="R242" s="26" t="str">
        <f>HYPERLINK("http://worldwide.espacenet.com/publicationDetails/biblio?DB=EPODOC&amp;adjacent=true&amp;locale=en_EP&amp;FT=D&amp;CC=CN&amp;NR=102131579A&amp;KC=A","CN102131579.A")</f>
        <v>CN102131579.A</v>
      </c>
      <c r="S242" s="26" t="str">
        <f>HYPERLINK("http://worldwide.espacenet.com/publicationDetails/biblio?DB=EPODOC&amp;adjacent=true&amp;locale=en_EP&amp;FT=D&amp;CC=EP&amp;NR=2313193A2&amp;KC=A2","EP2313193.A2")</f>
        <v>EP2313193.A2</v>
      </c>
      <c r="T242" s="26" t="str">
        <f>HYPERLINK("http://worldwide.espacenet.com/publicationDetails/biblio?DB=EPODOC&amp;adjacent=true&amp;locale=en_EP&amp;FT=D&amp;CC=RU&amp;NR=2011106922A&amp;KC=A","RU2011106922.A")</f>
        <v>RU2011106922.A</v>
      </c>
    </row>
    <row r="243" spans="1:20" ht="17.100000000000001" customHeight="1" x14ac:dyDescent="0.25">
      <c r="A243" s="16" t="s">
        <v>3641</v>
      </c>
      <c r="B243" s="21" t="s">
        <v>3642</v>
      </c>
      <c r="C243" s="23">
        <v>4.1196217536926296</v>
      </c>
      <c r="D243" s="23">
        <v>1.2737740278244001</v>
      </c>
      <c r="E243" s="23">
        <v>5.2474670410156303</v>
      </c>
      <c r="F243" s="21">
        <v>5.2474670410156303</v>
      </c>
      <c r="G243" s="23">
        <v>29</v>
      </c>
      <c r="H243" s="24">
        <v>38876</v>
      </c>
      <c r="I243" s="23">
        <v>8</v>
      </c>
      <c r="J243" s="22">
        <v>53265188</v>
      </c>
      <c r="K243" s="21" t="s">
        <v>3643</v>
      </c>
      <c r="L243" s="21" t="s">
        <v>3261</v>
      </c>
      <c r="M243" s="21" t="s">
        <v>2957</v>
      </c>
      <c r="N243" s="21" t="s">
        <v>3644</v>
      </c>
      <c r="O243" s="25" t="str">
        <f>HYPERLINK("http://worldwide.espacenet.com/publicationDetails/biblio?DB=EPODOC&amp;adjacent=true&amp;locale=en_EP&amp;FT=D&amp;CC=US&amp;NR=2010121122A1&amp;KC=A1","US2010121122.A1")</f>
        <v>US2010121122.A1</v>
      </c>
      <c r="P243" s="25" t="str">
        <f>HYPERLINK("http://worldwide.espacenet.com/publicationDetails/biblio?DB=EPODOC&amp;adjacent=true&amp;locale=en_EP&amp;FT=D&amp;CC=AU&amp;NR=2007258049A1&amp;KC=A1","AU2007258049.A1")</f>
        <v>AU2007258049.A1</v>
      </c>
      <c r="Q243" s="26" t="str">
        <f>HYPERLINK("http://worldwide.espacenet.com/publicationDetails/biblio?DB=EPODOC&amp;adjacent=true&amp;locale=en_EP&amp;FT=D&amp;CC=AU&amp;NR=2007258049B2&amp;KC=B2","AU2007258049.B2")</f>
        <v>AU2007258049.B2</v>
      </c>
      <c r="R243" s="26" t="str">
        <f>HYPERLINK("http://worldwide.espacenet.com/publicationDetails/biblio?DB=EPODOC&amp;adjacent=true&amp;locale=en_EP&amp;FT=D&amp;CC=CA&amp;NR=2653928A1&amp;KC=A1","CA2653928.A1")</f>
        <v>CA2653928.A1</v>
      </c>
      <c r="S243" s="26" t="str">
        <f>HYPERLINK("http://worldwide.espacenet.com/publicationDetails/biblio?DB=EPODOC&amp;adjacent=true&amp;locale=en_EP&amp;FT=D&amp;CC=CA&amp;NR=2653928C&amp;KC=C","CA2653928.C")</f>
        <v>CA2653928.C</v>
      </c>
      <c r="T243" s="26" t="str">
        <f>HYPERLINK("http://worldwide.espacenet.com/publicationDetails/biblio?DB=EPODOC&amp;adjacent=true&amp;locale=en_EP&amp;FT=D&amp;CC=CN&amp;NR=101489932A&amp;KC=A","CN101489932.A")</f>
        <v>CN101489932.A</v>
      </c>
    </row>
    <row r="244" spans="1:20" ht="17.100000000000001" customHeight="1" x14ac:dyDescent="0.25">
      <c r="A244" s="16" t="s">
        <v>3645</v>
      </c>
      <c r="B244" s="21" t="s">
        <v>3646</v>
      </c>
      <c r="C244" s="23">
        <v>3.0969791412353498</v>
      </c>
      <c r="D244" s="23">
        <v>1</v>
      </c>
      <c r="E244" s="23">
        <v>3.0969791412353498</v>
      </c>
      <c r="F244" s="21">
        <v>3.0969791412353498</v>
      </c>
      <c r="G244" s="23">
        <v>28</v>
      </c>
      <c r="H244" s="24">
        <v>39381</v>
      </c>
      <c r="I244" s="23">
        <v>5</v>
      </c>
      <c r="J244" s="22">
        <v>55173108</v>
      </c>
      <c r="K244" s="21" t="s">
        <v>3647</v>
      </c>
      <c r="L244" s="21" t="s">
        <v>2941</v>
      </c>
      <c r="M244" s="21" t="s">
        <v>2957</v>
      </c>
      <c r="N244" s="21" t="s">
        <v>3648</v>
      </c>
      <c r="O244" s="25" t="str">
        <f>HYPERLINK("http://worldwide.espacenet.com/publicationDetails/biblio?DB=EPODOC&amp;adjacent=true&amp;locale=en_EP&amp;FT=D&amp;CC=US&amp;NR=2010298598A1&amp;KC=A1","US2010298598.A1")</f>
        <v>US2010298598.A1</v>
      </c>
      <c r="P244" s="25" t="str">
        <f>HYPERLINK("http://worldwide.espacenet.com/publicationDetails/biblio?DB=EPODOC&amp;adjacent=true&amp;locale=en_EP&amp;FT=D&amp;CC=US&amp;NR=2010298598A1&amp;KC=A1","US2010298598.A1")</f>
        <v>US2010298598.A1</v>
      </c>
      <c r="Q244" s="26" t="str">
        <f>HYPERLINK("http://worldwide.espacenet.com/publicationDetails/biblio?DB=EPODOC&amp;adjacent=true&amp;locale=en_EP&amp;FT=D&amp;CC=US&amp;NR=2013157840A1&amp;KC=A1","US2013157840.A1")</f>
        <v>US2013157840.A1</v>
      </c>
      <c r="R244" s="26" t="str">
        <f>HYPERLINK("http://worldwide.espacenet.com/publicationDetails/biblio?DB=EPODOC&amp;adjacent=true&amp;locale=en_EP&amp;FT=D&amp;CC=US&amp;NR=8398955B2&amp;KC=B2","US8398955.B2")</f>
        <v>US8398955.B2</v>
      </c>
      <c r="S244" s="26" t="str">
        <f>HYPERLINK("http://worldwide.espacenet.com/publicationDetails/biblio?DB=EPODOC&amp;adjacent=true&amp;locale=en_EP&amp;FT=D&amp;CC=US&amp;NR=9321043B2&amp;KC=B2","US9321043.B2")</f>
        <v>US9321043.B2</v>
      </c>
      <c r="T244" s="26" t="str">
        <f>HYPERLINK("http://worldwide.espacenet.com/publicationDetails/biblio?DB=EPODOC&amp;adjacent=true&amp;locale=en_EP&amp;FT=D&amp;CC=WO&amp;NR=2009055216A2&amp;KC=A2","WO2009055216.A2")</f>
        <v>WO2009055216.A2</v>
      </c>
    </row>
    <row r="245" spans="1:20" ht="17.100000000000001" customHeight="1" x14ac:dyDescent="0.25">
      <c r="A245" s="16" t="s">
        <v>3649</v>
      </c>
      <c r="B245" s="21" t="s">
        <v>3650</v>
      </c>
      <c r="C245" s="23">
        <v>0.58630681037902799</v>
      </c>
      <c r="D245" s="23">
        <v>1</v>
      </c>
      <c r="E245" s="23">
        <v>0.58630681037902799</v>
      </c>
      <c r="F245" s="21">
        <v>0.58630681037902799</v>
      </c>
      <c r="G245" s="23">
        <v>4</v>
      </c>
      <c r="H245" s="24">
        <v>40035</v>
      </c>
      <c r="I245" s="23">
        <v>4</v>
      </c>
      <c r="J245" s="22">
        <v>332058591</v>
      </c>
      <c r="K245" s="21" t="s">
        <v>3651</v>
      </c>
      <c r="L245" s="21" t="s">
        <v>3652</v>
      </c>
      <c r="M245" s="21" t="s">
        <v>2957</v>
      </c>
      <c r="N245" s="21" t="s">
        <v>3347</v>
      </c>
      <c r="O245" s="25" t="str">
        <f>HYPERLINK("http://worldwide.espacenet.com/publicationDetails/biblio?DB=EPODOC&amp;adjacent=true&amp;locale=en_EP&amp;FT=D&amp;CC=US&amp;NR=2011036756A1&amp;KC=A1","US2011036756.A1")</f>
        <v>US2011036756.A1</v>
      </c>
      <c r="P245" s="25" t="str">
        <f>HYPERLINK("http://worldwide.espacenet.com/publicationDetails/biblio?DB=EPODOC&amp;adjacent=true&amp;locale=en_EP&amp;FT=D&amp;CC=US&amp;NR=2011036756A1&amp;KC=A1","US2011036756.A1")</f>
        <v>US2011036756.A1</v>
      </c>
      <c r="Q245" s="26" t="str">
        <f>HYPERLINK("http://worldwide.espacenet.com/publicationDetails/biblio?DB=EPODOC&amp;adjacent=true&amp;locale=en_EP&amp;FT=D&amp;CC=US&amp;NR=2015065338A1&amp;KC=A1","US2015065338.A1")</f>
        <v>US2015065338.A1</v>
      </c>
      <c r="R245" s="26" t="str">
        <f>HYPERLINK("http://worldwide.espacenet.com/publicationDetails/biblio?DB=EPODOC&amp;adjacent=true&amp;locale=en_EP&amp;FT=D&amp;CC=US&amp;NR=2018029024A1&amp;KC=A1","US2018029024.A1")</f>
        <v>US2018029024.A1</v>
      </c>
      <c r="S245" s="26" t="str">
        <f>HYPERLINK("http://worldwide.espacenet.com/publicationDetails/biblio?DB=EPODOC&amp;adjacent=true&amp;locale=en_EP&amp;FT=D&amp;CC=US&amp;NR=8906971B2&amp;KC=B2","US8906971.B2")</f>
        <v>US8906971.B2</v>
      </c>
    </row>
    <row r="246" spans="1:20" ht="17.100000000000001" customHeight="1" x14ac:dyDescent="0.25">
      <c r="A246" s="16" t="s">
        <v>3653</v>
      </c>
      <c r="B246" s="21" t="s">
        <v>3654</v>
      </c>
      <c r="C246" s="23">
        <v>3.1062543392181401</v>
      </c>
      <c r="D246" s="23">
        <v>1.8070479631423999</v>
      </c>
      <c r="E246" s="23">
        <v>5.6131505966186497</v>
      </c>
      <c r="F246" s="21">
        <v>5.6131505966186497</v>
      </c>
      <c r="G246" s="23">
        <v>14</v>
      </c>
      <c r="H246" s="24">
        <v>40158</v>
      </c>
      <c r="I246" s="23">
        <v>3</v>
      </c>
      <c r="J246" s="22">
        <v>329771467</v>
      </c>
      <c r="K246" s="21" t="s">
        <v>3655</v>
      </c>
      <c r="L246" s="21" t="s">
        <v>2941</v>
      </c>
      <c r="M246" s="21" t="s">
        <v>2957</v>
      </c>
      <c r="N246" s="21" t="s">
        <v>2951</v>
      </c>
      <c r="O246" s="25" t="str">
        <f>HYPERLINK("http://worldwide.espacenet.com/publicationDetails/biblio?DB=EPODOC&amp;adjacent=true&amp;locale=en_EP&amp;FT=D&amp;CC=US&amp;NR=2011152594A1&amp;KC=A1","US2011152594.A1")</f>
        <v>US2011152594.A1</v>
      </c>
      <c r="P246" s="25" t="str">
        <f>HYPERLINK("http://worldwide.espacenet.com/publicationDetails/biblio?DB=EPODOC&amp;adjacent=true&amp;locale=en_EP&amp;FT=D&amp;CC=CA&amp;NR=2781892A1&amp;KC=A1","CA2781892.A1")</f>
        <v>CA2781892.A1</v>
      </c>
      <c r="Q246" s="26" t="str">
        <f>HYPERLINK("http://worldwide.espacenet.com/publicationDetails/biblio?DB=EPODOC&amp;adjacent=true&amp;locale=en_EP&amp;FT=D&amp;CC=CA&amp;NR=2781892C&amp;KC=C","CA2781892.C")</f>
        <v>CA2781892.C</v>
      </c>
      <c r="R246" s="26" t="str">
        <f>HYPERLINK("http://worldwide.espacenet.com/publicationDetails/biblio?DB=EPODOC&amp;adjacent=true&amp;locale=en_EP&amp;FT=D&amp;CC=CN&amp;NR=102725379A&amp;KC=A","CN102725379.A")</f>
        <v>CN102725379.A</v>
      </c>
      <c r="S246" s="26" t="str">
        <f>HYPERLINK("http://worldwide.espacenet.com/publicationDetails/biblio?DB=EPODOC&amp;adjacent=true&amp;locale=en_EP&amp;FT=D&amp;CC=CN&amp;NR=102725379B&amp;KC=B","CN102725379.B")</f>
        <v>CN102725379.B</v>
      </c>
      <c r="T246" s="26" t="str">
        <f>HYPERLINK("http://worldwide.espacenet.com/publicationDetails/biblio?DB=EPODOC&amp;adjacent=true&amp;locale=en_EP&amp;FT=D&amp;CC=IN&amp;NR=4844DEN2012A&amp;KC=A","IN4844DEN2012.A")</f>
        <v>IN4844DEN2012.A</v>
      </c>
    </row>
    <row r="247" spans="1:20" ht="17.100000000000001" customHeight="1" x14ac:dyDescent="0.25">
      <c r="A247" s="16" t="s">
        <v>3656</v>
      </c>
      <c r="B247" s="21" t="s">
        <v>3657</v>
      </c>
      <c r="C247" s="23">
        <v>2.13420486450195</v>
      </c>
      <c r="D247" s="23">
        <v>1.7780100107193</v>
      </c>
      <c r="E247" s="23">
        <v>3.79463768005371</v>
      </c>
      <c r="F247" s="21">
        <v>3.79463768005371</v>
      </c>
      <c r="G247" s="23">
        <v>6</v>
      </c>
      <c r="H247" s="24">
        <v>40897</v>
      </c>
      <c r="I247" s="23">
        <v>2</v>
      </c>
      <c r="J247" s="22">
        <v>379190377</v>
      </c>
      <c r="K247" s="21" t="s">
        <v>3658</v>
      </c>
      <c r="L247" s="21" t="s">
        <v>3659</v>
      </c>
      <c r="M247" s="21" t="s">
        <v>2957</v>
      </c>
      <c r="N247" s="21" t="s">
        <v>2958</v>
      </c>
      <c r="O247" s="25" t="str">
        <f>HYPERLINK("http://worldwide.espacenet.com/publicationDetails/biblio?DB=EPODOC&amp;adjacent=true&amp;locale=en_EP&amp;FT=D&amp;CC=US&amp;NR=2013158323A1&amp;KC=A1","US2013158323.A1")</f>
        <v>US2013158323.A1</v>
      </c>
      <c r="P247" s="25" t="str">
        <f>HYPERLINK("http://worldwide.espacenet.com/publicationDetails/biblio?DB=EPODOC&amp;adjacent=true&amp;locale=en_EP&amp;FT=D&amp;CC=CN&amp;NR=104053504A&amp;KC=A","CN104053504.A")</f>
        <v>CN104053504.A</v>
      </c>
      <c r="Q247" s="26" t="str">
        <f>HYPERLINK("http://worldwide.espacenet.com/publicationDetails/biblio?DB=EPODOC&amp;adjacent=true&amp;locale=en_EP&amp;FT=D&amp;CC=CN&amp;NR=104053504B&amp;KC=B","CN104053504.B")</f>
        <v>CN104053504.B</v>
      </c>
      <c r="R247" s="26" t="str">
        <f>HYPERLINK("http://worldwide.espacenet.com/publicationDetails/biblio?DB=EPODOC&amp;adjacent=true&amp;locale=en_EP&amp;FT=D&amp;CC=EP&amp;NR=2794101A1&amp;KC=A1","EP2794101.A1")</f>
        <v>EP2794101.A1</v>
      </c>
      <c r="S247" s="26" t="str">
        <f>HYPERLINK("http://worldwide.espacenet.com/publicationDetails/biblio?DB=EPODOC&amp;adjacent=true&amp;locale=en_EP&amp;FT=D&amp;CC=IN&amp;NR=4591DEN2014A&amp;KC=A","IN4591DEN2014.A")</f>
        <v>IN4591DEN2014.A</v>
      </c>
      <c r="T247" s="26" t="str">
        <f>HYPERLINK("http://worldwide.espacenet.com/publicationDetails/biblio?DB=EPODOC&amp;adjacent=true&amp;locale=en_EP&amp;FT=D&amp;CC=KR&amp;NR=20140113963A&amp;KC=A","KR20140113963.A")</f>
        <v>KR20140113963.A</v>
      </c>
    </row>
    <row r="248" spans="1:20" ht="17.100000000000001" customHeight="1" x14ac:dyDescent="0.25">
      <c r="A248" s="16" t="s">
        <v>3660</v>
      </c>
      <c r="B248" s="21" t="s">
        <v>3661</v>
      </c>
      <c r="C248" s="23">
        <v>5.9396162033081099</v>
      </c>
      <c r="D248" s="23">
        <v>1.8549779653549201</v>
      </c>
      <c r="E248" s="23">
        <v>11.0178575515747</v>
      </c>
      <c r="F248" s="21">
        <v>11.0178575515747</v>
      </c>
      <c r="G248" s="23">
        <v>15</v>
      </c>
      <c r="H248" s="24">
        <v>41102</v>
      </c>
      <c r="I248" s="23">
        <v>4</v>
      </c>
      <c r="J248" s="22">
        <v>414091545</v>
      </c>
      <c r="K248" s="21" t="s">
        <v>3662</v>
      </c>
      <c r="L248" s="21" t="s">
        <v>2981</v>
      </c>
      <c r="M248" s="21" t="s">
        <v>2957</v>
      </c>
      <c r="N248" s="21" t="s">
        <v>3398</v>
      </c>
      <c r="O248" s="25" t="str">
        <f>HYPERLINK("http://worldwide.espacenet.com/publicationDetails/biblio?DB=EPODOC&amp;adjacent=true&amp;locale=en_EP&amp;FT=D&amp;CC=US&amp;NR=2014018592A1&amp;KC=A1","US2014018592.A1")</f>
        <v>US2014018592.A1</v>
      </c>
      <c r="P248" s="25" t="str">
        <f>HYPERLINK("http://worldwide.espacenet.com/publicationDetails/biblio?DB=EPODOC&amp;adjacent=true&amp;locale=en_EP&amp;FT=D&amp;CC=AU&amp;NR=2013206818A1&amp;KC=A1","AU2013206818.A1")</f>
        <v>AU2013206818.A1</v>
      </c>
      <c r="Q248" s="26" t="str">
        <f>HYPERLINK("http://worldwide.espacenet.com/publicationDetails/biblio?DB=EPODOC&amp;adjacent=true&amp;locale=en_EP&amp;FT=D&amp;CC=AU&amp;NR=2013206818B2&amp;KC=B2","AU2013206818.B2")</f>
        <v>AU2013206818.B2</v>
      </c>
      <c r="R248" s="26" t="str">
        <f>HYPERLINK("http://worldwide.espacenet.com/publicationDetails/biblio?DB=EPODOC&amp;adjacent=true&amp;locale=en_EP&amp;FT=D&amp;CC=BR&amp;NR=102013017946A2&amp;KC=A2","BR102013017946.A2")</f>
        <v>BR102013017946.A2</v>
      </c>
      <c r="S248" s="26" t="str">
        <f>HYPERLINK("http://worldwide.espacenet.com/publicationDetails/biblio?DB=EPODOC&amp;adjacent=true&amp;locale=en_EP&amp;FT=D&amp;CC=CN&amp;NR=103537315A&amp;KC=A","CN103537315.A")</f>
        <v>CN103537315.A</v>
      </c>
      <c r="T248" s="26" t="str">
        <f>HYPERLINK("http://worldwide.espacenet.com/publicationDetails/biblio?DB=EPODOC&amp;adjacent=true&amp;locale=en_EP&amp;FT=D&amp;CC=CN&amp;NR=103537315B&amp;KC=B","CN103537315.B")</f>
        <v>CN103537315.B</v>
      </c>
    </row>
    <row r="249" spans="1:20" ht="17.100000000000001" customHeight="1" x14ac:dyDescent="0.25">
      <c r="A249" s="16" t="s">
        <v>3663</v>
      </c>
      <c r="B249" s="21" t="s">
        <v>3664</v>
      </c>
      <c r="C249" s="23">
        <v>6.5274901390075701</v>
      </c>
      <c r="D249" s="23">
        <v>1</v>
      </c>
      <c r="E249" s="23">
        <v>6.5274901390075701</v>
      </c>
      <c r="F249" s="21">
        <v>6.5274901390075701</v>
      </c>
      <c r="G249" s="23">
        <v>12</v>
      </c>
      <c r="H249" s="24">
        <v>41628</v>
      </c>
      <c r="I249" s="23">
        <v>2</v>
      </c>
      <c r="J249" s="22">
        <v>424840981</v>
      </c>
      <c r="K249" s="21" t="s">
        <v>3665</v>
      </c>
      <c r="L249" s="21" t="s">
        <v>2941</v>
      </c>
      <c r="M249" s="21" t="s">
        <v>2957</v>
      </c>
      <c r="N249" s="21" t="s">
        <v>2977</v>
      </c>
      <c r="O249" s="25" t="str">
        <f>HYPERLINK("http://worldwide.espacenet.com/publicationDetails/biblio?DB=EPODOC&amp;adjacent=true&amp;locale=en_EP&amp;FT=D&amp;CC=US&amp;NR=2015175498A1&amp;KC=A1","US2015175498.A1")</f>
        <v>US2015175498.A1</v>
      </c>
      <c r="P249" s="25" t="str">
        <f>HYPERLINK("http://worldwide.espacenet.com/publicationDetails/biblio?DB=EPODOC&amp;adjacent=true&amp;locale=en_EP&amp;FT=D&amp;CC=US&amp;NR=2015175498A1&amp;KC=A1","US2015175498.A1")</f>
        <v>US2015175498.A1</v>
      </c>
      <c r="Q249" s="26" t="str">
        <f>HYPERLINK("http://worldwide.espacenet.com/publicationDetails/biblio?DB=EPODOC&amp;adjacent=true&amp;locale=en_EP&amp;FT=D&amp;CC=US&amp;NR=2015175499A1&amp;KC=A1","US2015175499.A1")</f>
        <v>US2015175499.A1</v>
      </c>
      <c r="R249" s="26" t="str">
        <f>HYPERLINK("http://worldwide.espacenet.com/publicationDetails/biblio?DB=EPODOC&amp;adjacent=true&amp;locale=en_EP&amp;FT=D&amp;CC=US&amp;NR=2015175501A1&amp;KC=A1","US2015175501.A1")</f>
        <v>US2015175501.A1</v>
      </c>
      <c r="S249" s="26" t="str">
        <f>HYPERLINK("http://worldwide.espacenet.com/publicationDetails/biblio?DB=EPODOC&amp;adjacent=true&amp;locale=en_EP&amp;FT=D&amp;CC=US&amp;NR=9783460B2&amp;KC=B2","US9783460.B2")</f>
        <v>US9783460.B2</v>
      </c>
      <c r="T249" s="26" t="str">
        <f>HYPERLINK("http://worldwide.espacenet.com/publicationDetails/biblio?DB=EPODOC&amp;adjacent=true&amp;locale=en_EP&amp;FT=D&amp;CC=US&amp;NR=9790139B2&amp;KC=B2","US9790139.B2")</f>
        <v>US9790139.B2</v>
      </c>
    </row>
    <row r="250" spans="1:20" ht="17.100000000000001" customHeight="1" x14ac:dyDescent="0.25">
      <c r="A250" s="16" t="s">
        <v>3666</v>
      </c>
      <c r="B250" s="21" t="s">
        <v>3667</v>
      </c>
      <c r="C250" s="23">
        <v>0.78954744338989302</v>
      </c>
      <c r="D250" s="23">
        <v>1.73641705513</v>
      </c>
      <c r="E250" s="23">
        <v>1.37098360061646</v>
      </c>
      <c r="F250" s="21">
        <v>1.37098360061646</v>
      </c>
      <c r="G250" s="23">
        <v>1</v>
      </c>
      <c r="H250" s="24">
        <v>41716</v>
      </c>
      <c r="I250" s="23">
        <v>4</v>
      </c>
      <c r="J250" s="22">
        <v>444779675</v>
      </c>
      <c r="K250" s="21" t="s">
        <v>3668</v>
      </c>
      <c r="L250" s="21" t="s">
        <v>3669</v>
      </c>
      <c r="M250" s="21" t="s">
        <v>2957</v>
      </c>
      <c r="N250" s="21" t="s">
        <v>3670</v>
      </c>
      <c r="O250" s="25" t="str">
        <f>HYPERLINK("http://worldwide.espacenet.com/publicationDetails/biblio?DB=EPODOC&amp;adjacent=true&amp;locale=en_EP&amp;FT=D&amp;CC=US&amp;NR=2015265996A1&amp;KC=A1","US2015265996.A1")</f>
        <v>US2015265996.A1</v>
      </c>
      <c r="P250" s="25" t="str">
        <f>HYPERLINK("http://worldwide.espacenet.com/publicationDetails/biblio?DB=EPODOC&amp;adjacent=true&amp;locale=en_EP&amp;FT=D&amp;CC=CN&amp;NR=106163628A&amp;KC=A","CN106163628.A")</f>
        <v>CN106163628.A</v>
      </c>
      <c r="Q250" s="26" t="str">
        <f>HYPERLINK("http://worldwide.espacenet.com/publicationDetails/biblio?DB=EPODOC&amp;adjacent=true&amp;locale=en_EP&amp;FT=D&amp;CC=CN&amp;NR=106163628B&amp;KC=B","CN106163628.B")</f>
        <v>CN106163628.B</v>
      </c>
      <c r="R250" s="26" t="str">
        <f>HYPERLINK("http://worldwide.espacenet.com/publicationDetails/biblio?DB=EPODOC&amp;adjacent=true&amp;locale=en_EP&amp;FT=D&amp;CC=KR&amp;NR=101928159B1&amp;KC=B1","KR101928159.B1")</f>
        <v>KR101928159.B1</v>
      </c>
      <c r="S250" s="26" t="str">
        <f>HYPERLINK("http://worldwide.espacenet.com/publicationDetails/biblio?DB=EPODOC&amp;adjacent=true&amp;locale=en_EP&amp;FT=D&amp;CC=KR&amp;NR=20160126061A&amp;KC=A","KR20160126061.A")</f>
        <v>KR20160126061.A</v>
      </c>
      <c r="T250" s="26" t="str">
        <f>HYPERLINK("http://worldwide.espacenet.com/publicationDetails/biblio?DB=EPODOC&amp;adjacent=true&amp;locale=en_EP&amp;FT=D&amp;CC=TW&amp;NR=201536680A&amp;KC=A","TW201536680.A")</f>
        <v>TW201536680.A</v>
      </c>
    </row>
    <row r="251" spans="1:20" ht="17.100000000000001" customHeight="1" x14ac:dyDescent="0.25">
      <c r="A251" s="16" t="s">
        <v>3671</v>
      </c>
      <c r="B251" s="21" t="s">
        <v>3672</v>
      </c>
      <c r="C251" s="23">
        <v>0.43670254945754999</v>
      </c>
      <c r="D251" s="23">
        <v>1</v>
      </c>
      <c r="E251" s="23">
        <v>0.43670254945754999</v>
      </c>
      <c r="F251" s="21">
        <v>0.43670254945754999</v>
      </c>
      <c r="G251" s="23">
        <v>1</v>
      </c>
      <c r="H251" s="24">
        <v>41999</v>
      </c>
      <c r="I251" s="23">
        <v>3</v>
      </c>
      <c r="J251" s="22">
        <v>457555625</v>
      </c>
      <c r="K251" s="21" t="s">
        <v>3673</v>
      </c>
      <c r="L251" s="21" t="s">
        <v>3640</v>
      </c>
      <c r="M251" s="21" t="s">
        <v>2957</v>
      </c>
      <c r="N251" s="21" t="s">
        <v>3478</v>
      </c>
      <c r="O251" s="25" t="str">
        <f>HYPERLINK("http://worldwide.espacenet.com/publicationDetails/biblio?DB=EPODOC&amp;adjacent=true&amp;locale=en_EP&amp;FT=D&amp;CC=US&amp;NR=2016186074A1&amp;KC=A1","US2016186074.A1")</f>
        <v>US2016186074.A1</v>
      </c>
      <c r="P251" s="25" t="str">
        <f>HYPERLINK("http://worldwide.espacenet.com/publicationDetails/biblio?DB=EPODOC&amp;adjacent=true&amp;locale=en_EP&amp;FT=D&amp;CC=US&amp;NR=2016186074A1&amp;KC=A1","US2016186074.A1")</f>
        <v>US2016186074.A1</v>
      </c>
      <c r="Q251" s="26" t="str">
        <f>HYPERLINK("http://worldwide.espacenet.com/publicationDetails/biblio?DB=EPODOC&amp;adjacent=true&amp;locale=en_EP&amp;FT=D&amp;CC=US&amp;NR=9732283B2&amp;KC=B2","US9732283.B2")</f>
        <v>US9732283.B2</v>
      </c>
    </row>
    <row r="252" spans="1:20" ht="17.100000000000001" customHeight="1" x14ac:dyDescent="0.25">
      <c r="A252" s="16" t="s">
        <v>3674</v>
      </c>
      <c r="B252" s="21" t="s">
        <v>3675</v>
      </c>
      <c r="C252" s="23">
        <v>0.541928350925446</v>
      </c>
      <c r="D252" s="23">
        <v>0.69999998807907104</v>
      </c>
      <c r="E252" s="23">
        <v>0.37934982776641801</v>
      </c>
      <c r="F252" s="21">
        <v>0.37934982776641801</v>
      </c>
      <c r="G252" s="23">
        <v>0</v>
      </c>
      <c r="H252" s="24">
        <v>42410</v>
      </c>
      <c r="I252" s="23">
        <v>4</v>
      </c>
      <c r="J252" s="22">
        <v>482350093</v>
      </c>
      <c r="K252" s="21"/>
      <c r="L252" s="21" t="s">
        <v>3676</v>
      </c>
      <c r="M252" s="21" t="s">
        <v>3077</v>
      </c>
      <c r="N252" s="21" t="s">
        <v>3347</v>
      </c>
      <c r="O252" s="25" t="str">
        <f>HYPERLINK("http://worldwide.espacenet.com/publicationDetails/biblio?DB=EPODOC&amp;adjacent=true&amp;locale=en_EP&amp;FT=D&amp;CC=US&amp;NR=2017226427A1&amp;KC=A1","US2017226427.A1")</f>
        <v>US2017226427.A1</v>
      </c>
      <c r="P252" s="25" t="str">
        <f>HYPERLINK("http://worldwide.espacenet.com/publicationDetails/biblio?DB=EPODOC&amp;adjacent=true&amp;locale=en_EP&amp;FT=D&amp;CC=US&amp;NR=2017226427A1&amp;KC=A1","US2017226427.A1")</f>
        <v>US2017226427.A1</v>
      </c>
      <c r="Q252" s="26" t="str">
        <f>HYPERLINK("http://worldwide.espacenet.com/publicationDetails/biblio?DB=EPODOC&amp;adjacent=true&amp;locale=en_EP&amp;FT=D&amp;CC=WO&amp;NR=2017139491A1&amp;KC=A1","WO2017139491.A1")</f>
        <v>WO2017139491.A1</v>
      </c>
    </row>
    <row r="253" spans="1:20" ht="17.100000000000001" customHeight="1" x14ac:dyDescent="0.25">
      <c r="A253" s="16" t="s">
        <v>3677</v>
      </c>
      <c r="B253" s="21" t="s">
        <v>3678</v>
      </c>
      <c r="C253" s="23">
        <v>1.17362356185913</v>
      </c>
      <c r="D253" s="23">
        <v>1.1441470384597801</v>
      </c>
      <c r="E253" s="23">
        <v>1.3427978754043599</v>
      </c>
      <c r="F253" s="21">
        <v>1.3427978754043599</v>
      </c>
      <c r="G253" s="23">
        <v>0</v>
      </c>
      <c r="H253" s="24">
        <v>42433</v>
      </c>
      <c r="I253" s="23">
        <v>3</v>
      </c>
      <c r="J253" s="22">
        <v>483396065</v>
      </c>
      <c r="K253" s="21"/>
      <c r="L253" s="21" t="s">
        <v>3402</v>
      </c>
      <c r="M253" s="21" t="s">
        <v>3077</v>
      </c>
      <c r="N253" s="21" t="s">
        <v>3270</v>
      </c>
      <c r="O253" s="25" t="str">
        <f>HYPERLINK("http://worldwide.espacenet.com/publicationDetails/biblio?DB=EPODOC&amp;adjacent=true&amp;locale=en_EP&amp;FT=D&amp;CC=US&amp;NR=2017252732A1&amp;KC=A1","US2017252732.A1")</f>
        <v>US2017252732.A1</v>
      </c>
      <c r="P253" s="25" t="str">
        <f>HYPERLINK("http://worldwide.espacenet.com/publicationDetails/biblio?DB=EPODOC&amp;adjacent=true&amp;locale=en_EP&amp;FT=D&amp;CC=CN&amp;NR=108698029A&amp;KC=A","CN108698029.A")</f>
        <v>CN108698029.A</v>
      </c>
      <c r="Q253" s="26" t="str">
        <f>HYPERLINK("http://worldwide.espacenet.com/publicationDetails/biblio?DB=EPODOC&amp;adjacent=true&amp;locale=en_EP&amp;FT=D&amp;CC=US&amp;NR=2017252732A1&amp;KC=A1","US2017252732.A1")</f>
        <v>US2017252732.A1</v>
      </c>
      <c r="R253" s="26" t="str">
        <f>HYPERLINK("http://worldwide.espacenet.com/publicationDetails/biblio?DB=EPODOC&amp;adjacent=true&amp;locale=en_EP&amp;FT=D&amp;CC=WO&amp;NR=2017151875A1&amp;KC=A1","WO2017151875.A1")</f>
        <v>WO2017151875.A1</v>
      </c>
    </row>
    <row r="254" spans="1:20" ht="17.100000000000001" customHeight="1" x14ac:dyDescent="0.25">
      <c r="A254" s="16" t="s">
        <v>3679</v>
      </c>
      <c r="B254" s="21" t="s">
        <v>3680</v>
      </c>
      <c r="C254" s="23">
        <v>1.17362356185913</v>
      </c>
      <c r="D254" s="23">
        <v>1.1441470384597801</v>
      </c>
      <c r="E254" s="23">
        <v>1.3427978754043599</v>
      </c>
      <c r="F254" s="21">
        <v>1.3427978754043599</v>
      </c>
      <c r="G254" s="23">
        <v>0</v>
      </c>
      <c r="H254" s="24">
        <v>42433</v>
      </c>
      <c r="I254" s="23">
        <v>3</v>
      </c>
      <c r="J254" s="22">
        <v>483398275</v>
      </c>
      <c r="K254" s="21"/>
      <c r="L254" s="21" t="s">
        <v>3402</v>
      </c>
      <c r="M254" s="21" t="s">
        <v>3077</v>
      </c>
      <c r="N254" s="21" t="s">
        <v>3270</v>
      </c>
      <c r="O254" s="25" t="str">
        <f>HYPERLINK("http://worldwide.espacenet.com/publicationDetails/biblio?DB=EPODOC&amp;adjacent=true&amp;locale=en_EP&amp;FT=D&amp;CC=US&amp;NR=2017252733A1&amp;KC=A1","US2017252733.A1")</f>
        <v>US2017252733.A1</v>
      </c>
      <c r="P254" s="25" t="str">
        <f>HYPERLINK("http://worldwide.espacenet.com/publicationDetails/biblio?DB=EPODOC&amp;adjacent=true&amp;locale=en_EP&amp;FT=D&amp;CC=CN&amp;NR=108698030A&amp;KC=A","CN108698030.A")</f>
        <v>CN108698030.A</v>
      </c>
      <c r="Q254" s="26" t="str">
        <f>HYPERLINK("http://worldwide.espacenet.com/publicationDetails/biblio?DB=EPODOC&amp;adjacent=true&amp;locale=en_EP&amp;FT=D&amp;CC=US&amp;NR=2017252733A1&amp;KC=A1","US2017252733.A1")</f>
        <v>US2017252733.A1</v>
      </c>
      <c r="R254" s="26" t="str">
        <f>HYPERLINK("http://worldwide.espacenet.com/publicationDetails/biblio?DB=EPODOC&amp;adjacent=true&amp;locale=en_EP&amp;FT=D&amp;CC=WO&amp;NR=2017151845A1&amp;KC=A1","WO2017151845.A1")</f>
        <v>WO2017151845.A1</v>
      </c>
    </row>
    <row r="255" spans="1:20" ht="17.100000000000001" customHeight="1" x14ac:dyDescent="0.25">
      <c r="A255" s="16" t="s">
        <v>3681</v>
      </c>
      <c r="B255" s="21" t="s">
        <v>3682</v>
      </c>
      <c r="C255" s="23">
        <v>1.17362356185913</v>
      </c>
      <c r="D255" s="23">
        <v>1.1441470384597801</v>
      </c>
      <c r="E255" s="23">
        <v>1.3427978754043599</v>
      </c>
      <c r="F255" s="21">
        <v>1.3427978754043599</v>
      </c>
      <c r="G255" s="23">
        <v>0</v>
      </c>
      <c r="H255" s="24">
        <v>42433</v>
      </c>
      <c r="I255" s="23">
        <v>3</v>
      </c>
      <c r="J255" s="22">
        <v>483392981</v>
      </c>
      <c r="K255" s="21"/>
      <c r="L255" s="21" t="s">
        <v>3402</v>
      </c>
      <c r="M255" s="21" t="s">
        <v>3077</v>
      </c>
      <c r="N255" s="21" t="s">
        <v>3270</v>
      </c>
      <c r="O255" s="25" t="str">
        <f>HYPERLINK("http://worldwide.espacenet.com/publicationDetails/biblio?DB=EPODOC&amp;adjacent=true&amp;locale=en_EP&amp;FT=D&amp;CC=US&amp;NR=2017252734A1&amp;KC=A1","US2017252734.A1")</f>
        <v>US2017252734.A1</v>
      </c>
      <c r="P255" s="25" t="str">
        <f>HYPERLINK("http://worldwide.espacenet.com/publicationDetails/biblio?DB=EPODOC&amp;adjacent=true&amp;locale=en_EP&amp;FT=D&amp;CC=CN&amp;NR=108698031A&amp;KC=A","CN108698031.A")</f>
        <v>CN108698031.A</v>
      </c>
      <c r="Q255" s="26" t="str">
        <f>HYPERLINK("http://worldwide.espacenet.com/publicationDetails/biblio?DB=EPODOC&amp;adjacent=true&amp;locale=en_EP&amp;FT=D&amp;CC=US&amp;NR=2017252734A1&amp;KC=A1","US2017252734.A1")</f>
        <v>US2017252734.A1</v>
      </c>
      <c r="R255" s="26" t="str">
        <f>HYPERLINK("http://worldwide.espacenet.com/publicationDetails/biblio?DB=EPODOC&amp;adjacent=true&amp;locale=en_EP&amp;FT=D&amp;CC=WO&amp;NR=2017151864A1&amp;KC=A1","WO2017151864.A1")</f>
        <v>WO2017151864.A1</v>
      </c>
    </row>
    <row r="256" spans="1:20" ht="17.100000000000001" customHeight="1" x14ac:dyDescent="0.25">
      <c r="A256" s="16" t="s">
        <v>3683</v>
      </c>
      <c r="B256" s="21" t="s">
        <v>3684</v>
      </c>
      <c r="C256" s="23">
        <v>1.17362356185913</v>
      </c>
      <c r="D256" s="23">
        <v>3.1222450733184801</v>
      </c>
      <c r="E256" s="23">
        <v>3.6643404960632302</v>
      </c>
      <c r="F256" s="21">
        <v>3.6643404960632302</v>
      </c>
      <c r="G256" s="23">
        <v>0</v>
      </c>
      <c r="H256" s="24">
        <v>42515</v>
      </c>
      <c r="I256" s="23">
        <v>4</v>
      </c>
      <c r="J256" s="22">
        <v>486746808</v>
      </c>
      <c r="K256" s="21"/>
      <c r="L256" s="21" t="s">
        <v>3402</v>
      </c>
      <c r="M256" s="21" t="s">
        <v>2957</v>
      </c>
      <c r="N256" s="21" t="s">
        <v>3685</v>
      </c>
      <c r="O256" s="25" t="str">
        <f>HYPERLINK("http://worldwide.espacenet.com/publicationDetails/biblio?DB=EPODOC&amp;adjacent=true&amp;locale=en_EP&amp;FT=D&amp;CC=US&amp;NR=2017341064A1&amp;KC=A1","US2017341064.A1")</f>
        <v>US2017341064.A1</v>
      </c>
      <c r="P256" s="25" t="str">
        <f>HYPERLINK("http://worldwide.espacenet.com/publicationDetails/biblio?DB=EPODOC&amp;adjacent=true&amp;locale=en_EP&amp;FT=D&amp;CC=CN&amp;NR=108602052A&amp;KC=A","CN108602052.A")</f>
        <v>CN108602052.A</v>
      </c>
      <c r="Q256" s="26" t="str">
        <f>HYPERLINK("http://worldwide.espacenet.com/publicationDetails/biblio?DB=EPODOC&amp;adjacent=true&amp;locale=en_EP&amp;FT=D&amp;CC=US&amp;NR=10159964B2&amp;KC=B2","US10159964.B2")</f>
        <v>US10159964.B2</v>
      </c>
      <c r="R256" s="26" t="str">
        <f>HYPERLINK("http://worldwide.espacenet.com/publicationDetails/biblio?DB=EPODOC&amp;adjacent=true&amp;locale=en_EP&amp;FT=D&amp;CC=US&amp;NR=2017341064A1&amp;KC=A1","US2017341064.A1")</f>
        <v>US2017341064.A1</v>
      </c>
      <c r="S256" s="26" t="str">
        <f>HYPERLINK("http://worldwide.espacenet.com/publicationDetails/biblio?DB=EPODOC&amp;adjacent=true&amp;locale=en_EP&amp;FT=D&amp;CC=US&amp;NR=2019105642A1&amp;KC=A1","US2019105642.A1")</f>
        <v>US2019105642.A1</v>
      </c>
      <c r="T256" s="26" t="str">
        <f>HYPERLINK("http://worldwide.espacenet.com/publicationDetails/biblio?DB=EPODOC&amp;adjacent=true&amp;locale=en_EP&amp;FT=D&amp;CC=WO&amp;NR=2017204993A1&amp;KC=A1","WO2017204993.A1")</f>
        <v>WO2017204993.A1</v>
      </c>
    </row>
    <row r="257" spans="1:23" ht="17.100000000000001" customHeight="1" x14ac:dyDescent="0.25">
      <c r="A257" s="16" t="s">
        <v>3686</v>
      </c>
      <c r="B257" s="21" t="s">
        <v>3687</v>
      </c>
      <c r="C257" s="23">
        <v>4.1492967605590803</v>
      </c>
      <c r="D257" s="23">
        <v>1.7130429744720499</v>
      </c>
      <c r="E257" s="23">
        <v>7.1079235076904297</v>
      </c>
      <c r="F257" s="21">
        <v>7.1079235076904297</v>
      </c>
      <c r="G257" s="23">
        <v>3</v>
      </c>
      <c r="H257" s="24">
        <v>42026</v>
      </c>
      <c r="I257" s="23">
        <v>3</v>
      </c>
      <c r="J257" s="22">
        <v>448608939</v>
      </c>
      <c r="K257" s="21" t="s">
        <v>3688</v>
      </c>
      <c r="L257" s="21" t="s">
        <v>3689</v>
      </c>
      <c r="M257" s="21" t="s">
        <v>2957</v>
      </c>
      <c r="N257" s="21" t="s">
        <v>2951</v>
      </c>
      <c r="O257" s="25" t="str">
        <f>HYPERLINK("http://worldwide.espacenet.com/publicationDetails/biblio?DB=EPODOC&amp;adjacent=true&amp;locale=en_EP&amp;FT=D&amp;CC=US&amp;NR=2018002610A1&amp;KC=A1","US2018002610.A1")</f>
        <v>US2018002610.A1</v>
      </c>
      <c r="P257" s="25" t="str">
        <f>HYPERLINK("http://worldwide.espacenet.com/publicationDetails/biblio?DB=EPODOC&amp;adjacent=true&amp;locale=en_EP&amp;FT=D&amp;CC=AU&amp;NR=2016208485A1&amp;KC=A1","AU2016208485.A1")</f>
        <v>AU2016208485.A1</v>
      </c>
      <c r="Q257" s="26" t="str">
        <f>HYPERLINK("http://worldwide.espacenet.com/publicationDetails/biblio?DB=EPODOC&amp;adjacent=true&amp;locale=en_EP&amp;FT=D&amp;CC=AU&amp;NR=2016208486A1&amp;KC=A1","AU2016208486.A1")</f>
        <v>AU2016208486.A1</v>
      </c>
      <c r="R257" s="26" t="str">
        <f>HYPERLINK("http://worldwide.espacenet.com/publicationDetails/biblio?DB=EPODOC&amp;adjacent=true&amp;locale=en_EP&amp;FT=D&amp;CC=BR&amp;NR=112017014356A2&amp;KC=A2","BR112017014356.A2")</f>
        <v>BR112017014356.A2</v>
      </c>
      <c r="S257" s="26" t="str">
        <f>HYPERLINK("http://worldwide.espacenet.com/publicationDetails/biblio?DB=EPODOC&amp;adjacent=true&amp;locale=en_EP&amp;FT=D&amp;CC=BR&amp;NR=112017015408A2&amp;KC=A2","BR112017015408.A2")</f>
        <v>BR112017015408.A2</v>
      </c>
      <c r="T257" s="26" t="str">
        <f>HYPERLINK("http://worldwide.espacenet.com/publicationDetails/biblio?DB=EPODOC&amp;adjacent=true&amp;locale=en_EP&amp;FT=D&amp;CC=CA&amp;NR=2973638A1&amp;KC=A1","CA2973638.A1")</f>
        <v>CA2973638.A1</v>
      </c>
    </row>
    <row r="258" spans="1:23" ht="17.100000000000001" customHeight="1" x14ac:dyDescent="0.25">
      <c r="A258" s="16" t="s">
        <v>3690</v>
      </c>
      <c r="B258" s="21" t="s">
        <v>3691</v>
      </c>
      <c r="C258" s="23">
        <v>0.198641672730446</v>
      </c>
      <c r="D258" s="23">
        <v>1.45543396472931</v>
      </c>
      <c r="E258" s="23">
        <v>0.28910982608795199</v>
      </c>
      <c r="F258" s="21">
        <v>0.28910982608795199</v>
      </c>
      <c r="G258" s="23">
        <v>0</v>
      </c>
      <c r="H258" s="24">
        <v>42094</v>
      </c>
      <c r="I258" s="23">
        <v>3</v>
      </c>
      <c r="J258" s="22">
        <v>448313071</v>
      </c>
      <c r="K258" s="21"/>
      <c r="L258" s="21" t="s">
        <v>2941</v>
      </c>
      <c r="M258" s="21" t="s">
        <v>2957</v>
      </c>
      <c r="N258" s="21" t="s">
        <v>2951</v>
      </c>
      <c r="O258" s="25" t="str">
        <f>HYPERLINK("http://worldwide.espacenet.com/publicationDetails/biblio?DB=EPODOC&amp;adjacent=true&amp;locale=en_EP&amp;FT=D&amp;CC=US&amp;NR=2018044260A1&amp;KC=A1","US2018044260.A1")</f>
        <v>US2018044260.A1</v>
      </c>
      <c r="P258" s="25" t="str">
        <f>HYPERLINK("http://worldwide.espacenet.com/publicationDetails/biblio?DB=EPODOC&amp;adjacent=true&amp;locale=en_EP&amp;FT=D&amp;CC=CN&amp;NR=107428628A&amp;KC=A","CN107428628.A")</f>
        <v>CN107428628.A</v>
      </c>
      <c r="Q258" s="26" t="str">
        <f>HYPERLINK("http://worldwide.espacenet.com/publicationDetails/biblio?DB=EPODOC&amp;adjacent=true&amp;locale=en_EP&amp;FT=D&amp;CC=SG&amp;NR=11201707462TA&amp;KC=A","SG11201707462T.A")</f>
        <v>SG11201707462T.A</v>
      </c>
      <c r="R258" s="26" t="str">
        <f>HYPERLINK("http://worldwide.espacenet.com/publicationDetails/biblio?DB=EPODOC&amp;adjacent=true&amp;locale=en_EP&amp;FT=D&amp;CC=US&amp;NR=10059638B2&amp;KC=B2","US10059638.B2")</f>
        <v>US10059638.B2</v>
      </c>
      <c r="S258" s="26" t="str">
        <f>HYPERLINK("http://worldwide.espacenet.com/publicationDetails/biblio?DB=EPODOC&amp;adjacent=true&amp;locale=en_EP&amp;FT=D&amp;CC=US&amp;NR=2018044260A1&amp;KC=A1","US2018044260.A1")</f>
        <v>US2018044260.A1</v>
      </c>
      <c r="T258" s="26" t="str">
        <f>HYPERLINK("http://worldwide.espacenet.com/publicationDetails/biblio?DB=EPODOC&amp;adjacent=true&amp;locale=en_EP&amp;FT=D&amp;CC=WO&amp;NR=2016160081A1&amp;KC=A1","WO2016160081.A1")</f>
        <v>WO2016160081.A1</v>
      </c>
    </row>
    <row r="259" spans="1:23" ht="17.100000000000001" customHeight="1" x14ac:dyDescent="0.25">
      <c r="A259" s="16" t="s">
        <v>3692</v>
      </c>
      <c r="B259" s="21" t="s">
        <v>3693</v>
      </c>
      <c r="C259" s="23">
        <v>1.1804016828537001</v>
      </c>
      <c r="D259" s="23">
        <v>2.8222448825836199</v>
      </c>
      <c r="E259" s="23">
        <v>3.3313825130462602</v>
      </c>
      <c r="F259" s="21">
        <v>3.3313825130462602</v>
      </c>
      <c r="G259" s="23">
        <v>0</v>
      </c>
      <c r="H259" s="24">
        <v>42695</v>
      </c>
      <c r="I259" s="23">
        <v>2</v>
      </c>
      <c r="J259" s="22">
        <v>487236499</v>
      </c>
      <c r="K259" s="21"/>
      <c r="L259" s="21" t="s">
        <v>3694</v>
      </c>
      <c r="M259" s="21" t="s">
        <v>3077</v>
      </c>
      <c r="N259" s="21" t="s">
        <v>3695</v>
      </c>
      <c r="O259" s="25" t="str">
        <f>HYPERLINK("http://worldwide.espacenet.com/publicationDetails/biblio?DB=EPODOC&amp;adjacent=true&amp;locale=en_EP&amp;FT=D&amp;CC=US&amp;NR=2018155638A1&amp;KC=A1","US2018155638.A1")</f>
        <v>US2018155638.A1</v>
      </c>
      <c r="P259" s="25" t="str">
        <f>HYPERLINK("http://worldwide.espacenet.com/publicationDetails/biblio?DB=EPODOC&amp;adjacent=true&amp;locale=en_EP&amp;FT=D&amp;CC=US&amp;NR=2018155638A1&amp;KC=A1","US2018155638.A1")</f>
        <v>US2018155638.A1</v>
      </c>
      <c r="Q259" s="26" t="str">
        <f>HYPERLINK("http://worldwide.espacenet.com/publicationDetails/biblio?DB=EPODOC&amp;adjacent=true&amp;locale=en_EP&amp;FT=D&amp;CC=WO&amp;NR=2018094336A1&amp;KC=A1","WO2018094336.A1")</f>
        <v>WO2018094336.A1</v>
      </c>
    </row>
    <row r="260" spans="1:23" ht="17.100000000000001" customHeight="1" x14ac:dyDescent="0.25">
      <c r="A260" s="16" t="s">
        <v>3696</v>
      </c>
      <c r="B260" s="21" t="s">
        <v>3696</v>
      </c>
      <c r="C260" s="23">
        <v>1.1804016828537001</v>
      </c>
      <c r="D260" s="23">
        <v>0.69999998807907104</v>
      </c>
      <c r="E260" s="23">
        <v>0.82628118991851796</v>
      </c>
      <c r="F260" s="21">
        <v>0.82628118991851796</v>
      </c>
      <c r="G260" s="23">
        <v>0</v>
      </c>
      <c r="H260" s="24">
        <v>42695</v>
      </c>
      <c r="I260" s="23">
        <v>2</v>
      </c>
      <c r="J260" s="22">
        <v>487236499</v>
      </c>
      <c r="K260" s="21"/>
      <c r="L260" s="21" t="s">
        <v>3694</v>
      </c>
      <c r="M260" s="21" t="s">
        <v>3077</v>
      </c>
      <c r="N260" s="21" t="s">
        <v>2977</v>
      </c>
      <c r="O260" s="25" t="str">
        <f>HYPERLINK("http://worldwide.espacenet.com/publicationDetails/biblio?DB=EPODOC&amp;adjacent=true&amp;locale=en_EP&amp;FT=D&amp;CC=US&amp;NR=2018155642A1&amp;KC=A1","US2018155642.A1")</f>
        <v>US2018155642.A1</v>
      </c>
      <c r="P260" s="25" t="str">
        <f>HYPERLINK("http://worldwide.espacenet.com/publicationDetails/biblio?DB=EPODOC&amp;adjacent=true&amp;locale=en_EP&amp;FT=D&amp;CC=US&amp;NR=2018155642A1&amp;KC=A1","US2018155642.A1")</f>
        <v>US2018155642.A1</v>
      </c>
    </row>
    <row r="261" spans="1:23" ht="17.100000000000001" customHeight="1" x14ac:dyDescent="0.25">
      <c r="A261" s="16" t="s">
        <v>3697</v>
      </c>
      <c r="B261" s="21" t="s">
        <v>3698</v>
      </c>
      <c r="C261" s="23">
        <v>1.3325995206832899</v>
      </c>
      <c r="D261" s="23">
        <v>2.8222448825836199</v>
      </c>
      <c r="E261" s="23">
        <v>3.7609221935272199</v>
      </c>
      <c r="F261" s="21">
        <v>3.7609221935272199</v>
      </c>
      <c r="G261" s="23">
        <v>0</v>
      </c>
      <c r="H261" s="24">
        <v>42821</v>
      </c>
      <c r="I261" s="23">
        <v>2</v>
      </c>
      <c r="J261" s="22">
        <v>492401081</v>
      </c>
      <c r="K261" s="21"/>
      <c r="L261" s="21" t="s">
        <v>2941</v>
      </c>
      <c r="M261" s="21" t="s">
        <v>3077</v>
      </c>
      <c r="N261" s="21" t="s">
        <v>2958</v>
      </c>
      <c r="O261" s="25" t="str">
        <f>HYPERLINK("http://worldwide.espacenet.com/publicationDetails/biblio?DB=EPODOC&amp;adjacent=true&amp;locale=en_EP&amp;FT=D&amp;CC=US&amp;NR=2018273442A1&amp;KC=A1","US2018273442.A1")</f>
        <v>US2018273442.A1</v>
      </c>
      <c r="P261" s="25" t="str">
        <f>HYPERLINK("http://worldwide.espacenet.com/publicationDetails/biblio?DB=EPODOC&amp;adjacent=true&amp;locale=en_EP&amp;FT=D&amp;CC=US&amp;NR=2018273442A1&amp;KC=A1","US2018273442.A1")</f>
        <v>US2018273442.A1</v>
      </c>
      <c r="Q261" s="26" t="str">
        <f>HYPERLINK("http://worldwide.espacenet.com/publicationDetails/biblio?DB=EPODOC&amp;adjacent=true&amp;locale=en_EP&amp;FT=D&amp;CC=WO&amp;NR=2018182948A1&amp;KC=A1","WO2018182948.A1")</f>
        <v>WO2018182948.A1</v>
      </c>
    </row>
    <row r="262" spans="1:23" ht="17.100000000000001" customHeight="1" x14ac:dyDescent="0.25">
      <c r="A262" s="16" t="s">
        <v>3699</v>
      </c>
      <c r="B262" s="21" t="s">
        <v>3700</v>
      </c>
      <c r="C262" s="23">
        <v>0.724437296390533</v>
      </c>
      <c r="D262" s="23">
        <v>1.36644494533539</v>
      </c>
      <c r="E262" s="23">
        <v>0.98990368843078602</v>
      </c>
      <c r="F262" s="21">
        <v>0.98990368843078602</v>
      </c>
      <c r="G262" s="23">
        <v>0</v>
      </c>
      <c r="H262" s="24">
        <v>42338</v>
      </c>
      <c r="I262" s="23">
        <v>3</v>
      </c>
      <c r="J262" s="22">
        <v>472003532</v>
      </c>
      <c r="K262" s="21"/>
      <c r="L262" s="21" t="s">
        <v>3689</v>
      </c>
      <c r="M262" s="21" t="s">
        <v>3077</v>
      </c>
      <c r="N262" s="21" t="s">
        <v>2951</v>
      </c>
      <c r="O262" s="25" t="str">
        <f>HYPERLINK("http://worldwide.espacenet.com/publicationDetails/biblio?DB=EPODOC&amp;adjacent=true&amp;locale=en_EP&amp;FT=D&amp;CC=US&amp;NR=2018304240A1&amp;KC=A1","US2018304240.A1")</f>
        <v>US2018304240.A1</v>
      </c>
      <c r="P262" s="25" t="str">
        <f>HYPERLINK("http://worldwide.espacenet.com/publicationDetails/biblio?DB=EPODOC&amp;adjacent=true&amp;locale=en_EP&amp;FT=D&amp;CC=BR&amp;NR=112018010896A2&amp;KC=A2","BR112018010896.A2")</f>
        <v>BR112018010896.A2</v>
      </c>
      <c r="Q262" s="26" t="str">
        <f>HYPERLINK("http://worldwide.espacenet.com/publicationDetails/biblio?DB=EPODOC&amp;adjacent=true&amp;locale=en_EP&amp;FT=D&amp;CC=BR&amp;NR=112018010901A2&amp;KC=A2","BR112018010901.A2")</f>
        <v>BR112018010901.A2</v>
      </c>
      <c r="R262" s="26" t="str">
        <f>HYPERLINK("http://worldwide.espacenet.com/publicationDetails/biblio?DB=EPODOC&amp;adjacent=true&amp;locale=en_EP&amp;FT=D&amp;CC=BR&amp;NR=112018010929A2&amp;KC=A2","BR112018010929.A2")</f>
        <v>BR112018010929.A2</v>
      </c>
      <c r="S262" s="26" t="str">
        <f>HYPERLINK("http://worldwide.espacenet.com/publicationDetails/biblio?DB=EPODOC&amp;adjacent=true&amp;locale=en_EP&amp;FT=D&amp;CC=CA&amp;NR=3006021A1&amp;KC=A1","CA3006021.A1")</f>
        <v>CA3006021.A1</v>
      </c>
      <c r="T262" s="26" t="str">
        <f>HYPERLINK("http://worldwide.espacenet.com/publicationDetails/biblio?DB=EPODOC&amp;adjacent=true&amp;locale=en_EP&amp;FT=D&amp;CC=CA&amp;NR=3006025A1&amp;KC=A1","CA3006025.A1")</f>
        <v>CA3006025.A1</v>
      </c>
    </row>
    <row r="263" spans="1:23" ht="17.100000000000001" customHeight="1" x14ac:dyDescent="0.25">
      <c r="A263" s="16" t="s">
        <v>3701</v>
      </c>
      <c r="B263" s="21" t="s">
        <v>3702</v>
      </c>
      <c r="C263" s="23">
        <v>1.17362356185913</v>
      </c>
      <c r="D263" s="23">
        <v>2.8222448825836199</v>
      </c>
      <c r="E263" s="23">
        <v>3.3122529983520499</v>
      </c>
      <c r="F263" s="21">
        <v>3.3122529983520499</v>
      </c>
      <c r="G263" s="23">
        <v>0</v>
      </c>
      <c r="H263" s="24">
        <v>42515</v>
      </c>
      <c r="I263" s="23">
        <v>3</v>
      </c>
      <c r="J263" s="22">
        <v>486745677</v>
      </c>
      <c r="K263" s="21"/>
      <c r="L263" s="21" t="s">
        <v>3402</v>
      </c>
      <c r="M263" s="21" t="s">
        <v>3077</v>
      </c>
      <c r="N263" s="21" t="s">
        <v>3270</v>
      </c>
      <c r="O263" s="25" t="str">
        <f>HYPERLINK("http://worldwide.espacenet.com/publicationDetails/biblio?DB=EPODOC&amp;adjacent=true&amp;locale=en_EP&amp;FT=D&amp;CC=US&amp;NR=2018361368A1&amp;KC=A1","US2018361368.A1")</f>
        <v>US2018361368.A1</v>
      </c>
      <c r="P263" s="25" t="str">
        <f>HYPERLINK("http://worldwide.espacenet.com/publicationDetails/biblio?DB=EPODOC&amp;adjacent=true&amp;locale=en_EP&amp;FT=D&amp;CC=CN&amp;NR=108602054A&amp;KC=A","CN108602054.A")</f>
        <v>CN108602054.A</v>
      </c>
      <c r="Q263" s="26" t="str">
        <f>HYPERLINK("http://worldwide.espacenet.com/publicationDetails/biblio?DB=EPODOC&amp;adjacent=true&amp;locale=en_EP&amp;FT=D&amp;CC=US&amp;NR=2018361368A1&amp;KC=A1","US2018361368.A1")</f>
        <v>US2018361368.A1</v>
      </c>
      <c r="R263" s="26" t="str">
        <f>HYPERLINK("http://worldwide.espacenet.com/publicationDetails/biblio?DB=EPODOC&amp;adjacent=true&amp;locale=en_EP&amp;FT=D&amp;CC=WO&amp;NR=2017205243A1&amp;KC=A1","WO2017205243.A1")</f>
        <v>WO2017205243.A1</v>
      </c>
    </row>
    <row r="264" spans="1:23" ht="17.100000000000001" customHeight="1" x14ac:dyDescent="0.25">
      <c r="A264" s="16" t="s">
        <v>3703</v>
      </c>
      <c r="B264" s="21" t="s">
        <v>3704</v>
      </c>
      <c r="C264" s="23">
        <v>1.17362356185913</v>
      </c>
      <c r="D264" s="23">
        <v>2.8222448825836199</v>
      </c>
      <c r="E264" s="23">
        <v>3.3122529983520499</v>
      </c>
      <c r="F264" s="21">
        <v>3.3122529983520499</v>
      </c>
      <c r="G264" s="23">
        <v>0</v>
      </c>
      <c r="H264" s="24">
        <v>42515</v>
      </c>
      <c r="I264" s="23">
        <v>3</v>
      </c>
      <c r="J264" s="22">
        <v>486745984</v>
      </c>
      <c r="K264" s="21"/>
      <c r="L264" s="21" t="s">
        <v>3402</v>
      </c>
      <c r="M264" s="21" t="s">
        <v>3077</v>
      </c>
      <c r="N264" s="21" t="s">
        <v>3270</v>
      </c>
      <c r="O264" s="25" t="str">
        <f>HYPERLINK("http://worldwide.espacenet.com/publicationDetails/biblio?DB=EPODOC&amp;adjacent=true&amp;locale=en_EP&amp;FT=D&amp;CC=US&amp;NR=2019091671A1&amp;KC=A1","US2019091671.A1")</f>
        <v>US2019091671.A1</v>
      </c>
      <c r="P264" s="25" t="str">
        <f>HYPERLINK("http://worldwide.espacenet.com/publicationDetails/biblio?DB=EPODOC&amp;adjacent=true&amp;locale=en_EP&amp;FT=D&amp;CC=CN&amp;NR=108472635A&amp;KC=A","CN108472635.A")</f>
        <v>CN108472635.A</v>
      </c>
      <c r="Q264" s="26" t="str">
        <f>HYPERLINK("http://worldwide.espacenet.com/publicationDetails/biblio?DB=EPODOC&amp;adjacent=true&amp;locale=en_EP&amp;FT=D&amp;CC=US&amp;NR=2019091671A1&amp;KC=A1","US2019091671.A1")</f>
        <v>US2019091671.A1</v>
      </c>
      <c r="R264" s="26" t="str">
        <f>HYPERLINK("http://worldwide.espacenet.com/publicationDetails/biblio?DB=EPODOC&amp;adjacent=true&amp;locale=en_EP&amp;FT=D&amp;CC=WO&amp;NR=2017205112A1&amp;KC=A1","WO2017205112.A1")</f>
        <v>WO2017205112.A1</v>
      </c>
    </row>
    <row r="265" spans="1:23" ht="17.100000000000001" customHeight="1" x14ac:dyDescent="0.25">
      <c r="A265" s="16" t="s">
        <v>3705</v>
      </c>
      <c r="B265" s="21" t="s">
        <v>3706</v>
      </c>
      <c r="C265" s="23">
        <v>1.17362356185913</v>
      </c>
      <c r="D265" s="23">
        <v>2.8222448825836199</v>
      </c>
      <c r="E265" s="23">
        <v>3.3122529983520499</v>
      </c>
      <c r="F265" s="21">
        <v>3.3122529983520499</v>
      </c>
      <c r="G265" s="23">
        <v>0</v>
      </c>
      <c r="H265" s="24">
        <v>42515</v>
      </c>
      <c r="I265" s="23">
        <v>3</v>
      </c>
      <c r="J265" s="22">
        <v>486746887</v>
      </c>
      <c r="K265" s="21"/>
      <c r="L265" s="21" t="s">
        <v>3402</v>
      </c>
      <c r="M265" s="21" t="s">
        <v>3077</v>
      </c>
      <c r="N265" s="21" t="s">
        <v>3270</v>
      </c>
      <c r="O265" s="25" t="str">
        <f>HYPERLINK("http://worldwide.espacenet.com/publicationDetails/biblio?DB=EPODOC&amp;adjacent=true&amp;locale=en_EP&amp;FT=D&amp;CC=US&amp;NR=2019091672A1&amp;KC=A1","US2019091672.A1")</f>
        <v>US2019091672.A1</v>
      </c>
      <c r="P265" s="25" t="str">
        <f>HYPERLINK("http://worldwide.espacenet.com/publicationDetails/biblio?DB=EPODOC&amp;adjacent=true&amp;locale=en_EP&amp;FT=D&amp;CC=CN&amp;NR=108495711A&amp;KC=A","CN108495711.A")</f>
        <v>CN108495711.A</v>
      </c>
      <c r="Q265" s="26" t="str">
        <f>HYPERLINK("http://worldwide.espacenet.com/publicationDetails/biblio?DB=EPODOC&amp;adjacent=true&amp;locale=en_EP&amp;FT=D&amp;CC=US&amp;NR=2019091672A1&amp;KC=A1","US2019091672.A1")</f>
        <v>US2019091672.A1</v>
      </c>
      <c r="R265" s="26" t="str">
        <f>HYPERLINK("http://worldwide.espacenet.com/publicationDetails/biblio?DB=EPODOC&amp;adjacent=true&amp;locale=en_EP&amp;FT=D&amp;CC=WO&amp;NR=2017205023A1&amp;KC=A1","WO2017205023.A1")</f>
        <v>WO2017205023.A1</v>
      </c>
    </row>
    <row r="266" spans="1:23" ht="17.100000000000001" customHeight="1" x14ac:dyDescent="0.25">
      <c r="A266" s="16" t="s">
        <v>3707</v>
      </c>
      <c r="B266" s="21" t="s">
        <v>3708</v>
      </c>
      <c r="C266" s="23">
        <v>1.79162538051605</v>
      </c>
      <c r="D266" s="23">
        <v>0</v>
      </c>
      <c r="E266" s="23">
        <v>0</v>
      </c>
      <c r="F266" s="21">
        <v>0</v>
      </c>
      <c r="G266" s="23">
        <v>5</v>
      </c>
      <c r="H266" s="24">
        <v>26721</v>
      </c>
      <c r="I266" s="23">
        <v>3</v>
      </c>
      <c r="J266" s="22">
        <v>2185471</v>
      </c>
      <c r="K266" s="21" t="s">
        <v>3709</v>
      </c>
      <c r="L266" s="21" t="s">
        <v>3710</v>
      </c>
      <c r="M266" s="21" t="s">
        <v>2942</v>
      </c>
      <c r="N266" s="21" t="s">
        <v>3711</v>
      </c>
      <c r="O266" s="25" t="str">
        <f>HYPERLINK("http://worldwide.espacenet.com/publicationDetails/biblio?DB=EPODOC&amp;adjacent=true&amp;locale=en_EP&amp;FT=D&amp;CC=US&amp;NR=3954452A&amp;KC=A","US3954452.A")</f>
        <v>US3954452.A</v>
      </c>
      <c r="P266" s="25" t="str">
        <f>HYPERLINK("http://worldwide.espacenet.com/publicationDetails/biblio?DB=EPODOC&amp;adjacent=true&amp;locale=en_EP&amp;FT=D&amp;CC=AU&amp;NR=473591B2&amp;KC=B2","AU473591.B2")</f>
        <v>AU473591.B2</v>
      </c>
      <c r="Q266" s="26" t="str">
        <f>HYPERLINK("http://worldwide.espacenet.com/publicationDetails/biblio?DB=EPODOC&amp;adjacent=true&amp;locale=en_EP&amp;FT=D&amp;CC=AU&amp;NR=6602174A&amp;KC=A","AU6602174.A")</f>
        <v>AU6602174.A</v>
      </c>
      <c r="R266" s="26" t="str">
        <f>HYPERLINK("http://worldwide.espacenet.com/publicationDetails/biblio?DB=EPODOC&amp;adjacent=true&amp;locale=en_EP&amp;FT=D&amp;CC=BE&amp;NR=811536A&amp;KC=A","BE811536.A")</f>
        <v>BE811536.A</v>
      </c>
      <c r="S266" s="26" t="str">
        <f>HYPERLINK("http://worldwide.espacenet.com/publicationDetails/biblio?DB=EPODOC&amp;adjacent=true&amp;locale=en_EP&amp;FT=D&amp;CC=CA&amp;NR=1033577A&amp;KC=A","CA1033577.A")</f>
        <v>CA1033577.A</v>
      </c>
      <c r="T266" s="26" t="str">
        <f>HYPERLINK("http://worldwide.espacenet.com/publicationDetails/biblio?DB=EPODOC&amp;adjacent=true&amp;locale=en_EP&amp;FT=D&amp;CC=DE&amp;NR=2408695A1&amp;KC=A1","DE2408695.A1")</f>
        <v>DE2408695.A1</v>
      </c>
    </row>
    <row r="267" spans="1:23" ht="17.100000000000001" customHeight="1" x14ac:dyDescent="0.25">
      <c r="A267" s="16" t="s">
        <v>3712</v>
      </c>
      <c r="B267" s="21" t="s">
        <v>3712</v>
      </c>
      <c r="C267" s="23">
        <v>2.5175466537475599</v>
      </c>
      <c r="D267" s="23">
        <v>0</v>
      </c>
      <c r="E267" s="23">
        <v>0</v>
      </c>
      <c r="F267" s="21">
        <v>0</v>
      </c>
      <c r="G267" s="23">
        <v>37</v>
      </c>
      <c r="H267" s="24">
        <v>27190</v>
      </c>
      <c r="I267" s="23">
        <v>1</v>
      </c>
      <c r="J267" s="22">
        <v>51194875</v>
      </c>
      <c r="K267" s="21" t="s">
        <v>3713</v>
      </c>
      <c r="L267" s="21" t="s">
        <v>2941</v>
      </c>
      <c r="M267" s="21" t="s">
        <v>2942</v>
      </c>
      <c r="N267" s="21" t="s">
        <v>3003</v>
      </c>
      <c r="O267" s="25" t="str">
        <f>HYPERLINK("http://worldwide.espacenet.com/publicationDetails/biblio?DB=EPODOC&amp;adjacent=true&amp;locale=en_EP&amp;FT=D&amp;CC=US&amp;NR=3965205A&amp;KC=A","US3965205.A")</f>
        <v>US3965205.A</v>
      </c>
      <c r="P267" s="25" t="str">
        <f>HYPERLINK("http://worldwide.espacenet.com/publicationDetails/biblio?DB=EPODOC&amp;adjacent=true&amp;locale=en_EP&amp;FT=D&amp;CC=US&amp;NR=3965205A&amp;KC=A","US3965205.A")</f>
        <v>US3965205.A</v>
      </c>
      <c r="U267" s="26" t="str">
        <f>HYPERLINK("http://worldwide.espacenet.com/publicationDetails/biblio?DB=EPODOC&amp;adjacent=true&amp;locale=en_EP&amp;FT=D&amp;CC=WO&amp;NR=2017155431A1&amp;KC=A1","WO2017155431.A1")</f>
        <v>WO2017155431.A1</v>
      </c>
    </row>
    <row r="268" spans="1:23" ht="17.100000000000001" customHeight="1" x14ac:dyDescent="0.25">
      <c r="A268" s="16" t="s">
        <v>3714</v>
      </c>
      <c r="B268" s="21" t="s">
        <v>3715</v>
      </c>
      <c r="C268" s="23">
        <v>6.1027722358703604</v>
      </c>
      <c r="D268" s="23">
        <v>0</v>
      </c>
      <c r="E268" s="23">
        <v>0</v>
      </c>
      <c r="F268" s="21">
        <v>0</v>
      </c>
      <c r="G268" s="23">
        <v>46</v>
      </c>
      <c r="H268" s="24">
        <v>27540</v>
      </c>
      <c r="I268" s="23">
        <v>2</v>
      </c>
      <c r="J268" s="22">
        <v>646980</v>
      </c>
      <c r="K268" s="21" t="s">
        <v>3716</v>
      </c>
      <c r="L268" s="21" t="s">
        <v>3717</v>
      </c>
      <c r="M268" s="21" t="s">
        <v>2942</v>
      </c>
      <c r="N268" s="21" t="s">
        <v>3718</v>
      </c>
      <c r="O268" s="25" t="str">
        <f>HYPERLINK("http://worldwide.espacenet.com/publicationDetails/biblio?DB=EPODOC&amp;adjacent=true&amp;locale=en_EP&amp;FT=D&amp;CC=US&amp;NR=4111328A&amp;KC=A","US4111328.A")</f>
        <v>US4111328.A</v>
      </c>
      <c r="P268" s="25" t="str">
        <f>HYPERLINK("http://worldwide.espacenet.com/publicationDetails/biblio?DB=EPODOC&amp;adjacent=true&amp;locale=en_EP&amp;FT=D&amp;CC=AT&amp;NR=367947B&amp;KC=B","AT367947.B")</f>
        <v>AT367947.B</v>
      </c>
      <c r="Q268" s="26" t="str">
        <f>HYPERLINK("http://worldwide.espacenet.com/publicationDetails/biblio?DB=EPODOC&amp;adjacent=true&amp;locale=en_EP&amp;FT=D&amp;CC=AT&amp;NR=A250876A&amp;KC=A","ATA250876.A")</f>
        <v>ATA250876.A</v>
      </c>
      <c r="R268" s="26" t="str">
        <f>HYPERLINK("http://worldwide.espacenet.com/publicationDetails/biblio?DB=EPODOC&amp;adjacent=true&amp;locale=en_EP&amp;FT=D&amp;CC=AU&amp;NR=1253276A&amp;KC=A","AU1253276.A")</f>
        <v>AU1253276.A</v>
      </c>
      <c r="S268" s="26" t="str">
        <f>HYPERLINK("http://worldwide.espacenet.com/publicationDetails/biblio?DB=EPODOC&amp;adjacent=true&amp;locale=en_EP&amp;FT=D&amp;CC=BE&amp;NR=842274A&amp;KC=A","BE842274.A")</f>
        <v>BE842274.A</v>
      </c>
      <c r="T268" s="26" t="str">
        <f>HYPERLINK("http://worldwide.espacenet.com/publicationDetails/biblio?DB=EPODOC&amp;adjacent=true&amp;locale=en_EP&amp;FT=D&amp;CC=CA&amp;NR=1041926A&amp;KC=A","CA1041926.A")</f>
        <v>CA1041926.A</v>
      </c>
      <c r="U268" s="26" t="str">
        <f>HYPERLINK("http://worldwide.espacenet.com/publicationDetails/biblio?DB=EPODOC&amp;adjacent=true&amp;locale=en_EP&amp;FT=D&amp;CC=EP&amp;NR=3426753A1&amp;KC=A1","EP3426753.A1")</f>
        <v>EP3426753.A1</v>
      </c>
      <c r="V268" s="26" t="str">
        <f>HYPERLINK("http://worldwide.espacenet.com/publicationDetails/biblio?DB=EPODOC&amp;adjacent=true&amp;locale=en_EP&amp;FT=D&amp;CC=JP&amp;NR=2019512574A&amp;KC=A","JP2019512574.A")</f>
        <v>JP2019512574.A</v>
      </c>
      <c r="W268" s="26" t="str">
        <f>HYPERLINK("http://worldwide.espacenet.com/publicationDetails/biblio?DB=EPODOC&amp;adjacent=true&amp;locale=en_EP&amp;FT=D&amp;CC=WO&amp;NR=2017155425A1&amp;KC=A1","WO2017155425.A1")</f>
        <v>WO2017155425.A1</v>
      </c>
    </row>
    <row r="269" spans="1:23" ht="17.100000000000001" customHeight="1" x14ac:dyDescent="0.25">
      <c r="A269" s="16" t="s">
        <v>3719</v>
      </c>
      <c r="B269" s="21" t="s">
        <v>3720</v>
      </c>
      <c r="C269" s="23">
        <v>1.5980585813522299</v>
      </c>
      <c r="D269" s="23">
        <v>0</v>
      </c>
      <c r="E269" s="23">
        <v>0</v>
      </c>
      <c r="F269" s="21">
        <v>0</v>
      </c>
      <c r="G269" s="23">
        <v>10</v>
      </c>
      <c r="H269" s="24">
        <v>28635</v>
      </c>
      <c r="I269" s="23">
        <v>2</v>
      </c>
      <c r="J269" s="22">
        <v>4096781</v>
      </c>
      <c r="K269" s="21" t="s">
        <v>3721</v>
      </c>
      <c r="L269" s="21" t="s">
        <v>3282</v>
      </c>
      <c r="M269" s="21" t="s">
        <v>2942</v>
      </c>
      <c r="N269" s="21" t="s">
        <v>2982</v>
      </c>
      <c r="O269" s="25" t="str">
        <f>HYPERLINK("http://worldwide.espacenet.com/publicationDetails/biblio?DB=EPODOC&amp;adjacent=true&amp;locale=en_EP&amp;FT=D&amp;CC=US&amp;NR=4244807A&amp;KC=A","US4244807.A")</f>
        <v>US4244807.A</v>
      </c>
      <c r="P269" s="25" t="str">
        <f>HYPERLINK("http://worldwide.espacenet.com/publicationDetails/biblio?DB=EPODOC&amp;adjacent=true&amp;locale=en_EP&amp;FT=D&amp;CC=CA&amp;NR=1138364A&amp;KC=A","CA1138364.A")</f>
        <v>CA1138364.A</v>
      </c>
      <c r="Q269" s="26" t="str">
        <f>HYPERLINK("http://worldwide.espacenet.com/publicationDetails/biblio?DB=EPODOC&amp;adjacent=true&amp;locale=en_EP&amp;FT=D&amp;CC=DE&amp;NR=2920956A1&amp;KC=A1","DE2920956.A1")</f>
        <v>DE2920956.A1</v>
      </c>
      <c r="R269" s="26" t="str">
        <f>HYPERLINK("http://worldwide.espacenet.com/publicationDetails/biblio?DB=EPODOC&amp;adjacent=true&amp;locale=en_EP&amp;FT=D&amp;CC=DE&amp;NR=2920956C2&amp;KC=C2","DE2920956.C2")</f>
        <v>DE2920956.C2</v>
      </c>
      <c r="S269" s="26" t="str">
        <f>HYPERLINK("http://worldwide.espacenet.com/publicationDetails/biblio?DB=EPODOC&amp;adjacent=true&amp;locale=en_EP&amp;FT=D&amp;CC=FR&amp;NR=2426729A1&amp;KC=A1","FR2426729.A1")</f>
        <v>FR2426729.A1</v>
      </c>
      <c r="T269" s="26" t="str">
        <f>HYPERLINK("http://worldwide.espacenet.com/publicationDetails/biblio?DB=EPODOC&amp;adjacent=true&amp;locale=en_EP&amp;FT=D&amp;CC=FR&amp;NR=2426729B1&amp;KC=B1","FR2426729.B1")</f>
        <v>FR2426729.B1</v>
      </c>
    </row>
    <row r="270" spans="1:23" ht="17.100000000000001" customHeight="1" x14ac:dyDescent="0.25">
      <c r="A270" s="16" t="s">
        <v>3722</v>
      </c>
      <c r="B270" s="21" t="s">
        <v>3722</v>
      </c>
      <c r="C270" s="23">
        <v>6.5229182243347203</v>
      </c>
      <c r="D270" s="23">
        <v>0</v>
      </c>
      <c r="E270" s="23">
        <v>0</v>
      </c>
      <c r="F270" s="21">
        <v>0</v>
      </c>
      <c r="G270" s="23">
        <v>61</v>
      </c>
      <c r="H270" s="24">
        <v>28598</v>
      </c>
      <c r="I270" s="23">
        <v>2</v>
      </c>
      <c r="J270" s="22">
        <v>2831013</v>
      </c>
      <c r="K270" s="21" t="s">
        <v>3723</v>
      </c>
      <c r="L270" s="21" t="s">
        <v>2330</v>
      </c>
      <c r="M270" s="21" t="s">
        <v>2942</v>
      </c>
      <c r="N270" s="21" t="s">
        <v>2958</v>
      </c>
      <c r="O270" s="25" t="str">
        <f>HYPERLINK("http://worldwide.espacenet.com/publicationDetails/biblio?DB=EPODOC&amp;adjacent=true&amp;locale=en_EP&amp;FT=D&amp;CC=US&amp;NR=4268420A&amp;KC=A","US4268420.A")</f>
        <v>US4268420.A</v>
      </c>
      <c r="P270" s="25" t="str">
        <f>HYPERLINK("http://worldwide.espacenet.com/publicationDetails/biblio?DB=EPODOC&amp;adjacent=true&amp;locale=en_EP&amp;FT=D&amp;CC=US&amp;NR=4268420A&amp;KC=A","US4268420.A")</f>
        <v>US4268420.A</v>
      </c>
    </row>
    <row r="271" spans="1:23" ht="17.100000000000001" customHeight="1" x14ac:dyDescent="0.25">
      <c r="A271" s="16" t="s">
        <v>3724</v>
      </c>
      <c r="B271" s="21" t="s">
        <v>3724</v>
      </c>
      <c r="C271" s="23">
        <v>3.2371668815612802</v>
      </c>
      <c r="D271" s="23">
        <v>0</v>
      </c>
      <c r="E271" s="23">
        <v>0</v>
      </c>
      <c r="F271" s="21">
        <v>0</v>
      </c>
      <c r="G271" s="23">
        <v>22</v>
      </c>
      <c r="H271" s="24">
        <v>28598</v>
      </c>
      <c r="I271" s="23">
        <v>2</v>
      </c>
      <c r="J271" s="22">
        <v>2831013</v>
      </c>
      <c r="K271" s="21" t="s">
        <v>3725</v>
      </c>
      <c r="L271" s="21" t="s">
        <v>2330</v>
      </c>
      <c r="M271" s="21" t="s">
        <v>2942</v>
      </c>
      <c r="N271" s="21" t="s">
        <v>2958</v>
      </c>
      <c r="O271" s="25" t="str">
        <f>HYPERLINK("http://worldwide.espacenet.com/publicationDetails/biblio?DB=EPODOC&amp;adjacent=true&amp;locale=en_EP&amp;FT=D&amp;CC=US&amp;NR=4292457A&amp;KC=A","US4292457.A")</f>
        <v>US4292457.A</v>
      </c>
      <c r="P271" s="25" t="str">
        <f>HYPERLINK("http://worldwide.espacenet.com/publicationDetails/biblio?DB=EPODOC&amp;adjacent=true&amp;locale=en_EP&amp;FT=D&amp;CC=US&amp;NR=4292457A&amp;KC=A","US4292457.A")</f>
        <v>US4292457.A</v>
      </c>
    </row>
    <row r="272" spans="1:23" ht="17.100000000000001" customHeight="1" x14ac:dyDescent="0.25">
      <c r="A272" s="16" t="s">
        <v>3726</v>
      </c>
      <c r="B272" s="21" t="s">
        <v>3726</v>
      </c>
      <c r="C272" s="23">
        <v>2.0809586048126198</v>
      </c>
      <c r="D272" s="23">
        <v>0</v>
      </c>
      <c r="E272" s="23">
        <v>0</v>
      </c>
      <c r="F272" s="21">
        <v>0</v>
      </c>
      <c r="G272" s="23">
        <v>19</v>
      </c>
      <c r="H272" s="24">
        <v>28598</v>
      </c>
      <c r="I272" s="23">
        <v>2</v>
      </c>
      <c r="J272" s="22">
        <v>2831013</v>
      </c>
      <c r="K272" s="21" t="s">
        <v>3727</v>
      </c>
      <c r="L272" s="21" t="s">
        <v>2330</v>
      </c>
      <c r="M272" s="21" t="s">
        <v>2942</v>
      </c>
      <c r="N272" s="21" t="s">
        <v>2958</v>
      </c>
      <c r="O272" s="25" t="str">
        <f>HYPERLINK("http://worldwide.espacenet.com/publicationDetails/biblio?DB=EPODOC&amp;adjacent=true&amp;locale=en_EP&amp;FT=D&amp;CC=US&amp;NR=4292458A&amp;KC=A","US4292458.A")</f>
        <v>US4292458.A</v>
      </c>
      <c r="P272" s="25" t="str">
        <f>HYPERLINK("http://worldwide.espacenet.com/publicationDetails/biblio?DB=EPODOC&amp;adjacent=true&amp;locale=en_EP&amp;FT=D&amp;CC=US&amp;NR=4292458A&amp;KC=A","US4292458.A")</f>
        <v>US4292458.A</v>
      </c>
    </row>
    <row r="273" spans="1:20" ht="17.100000000000001" customHeight="1" x14ac:dyDescent="0.25">
      <c r="A273" s="16" t="s">
        <v>3728</v>
      </c>
      <c r="B273" s="21" t="s">
        <v>3728</v>
      </c>
      <c r="C273" s="23">
        <v>1.42779016494751</v>
      </c>
      <c r="D273" s="23">
        <v>0</v>
      </c>
      <c r="E273" s="23">
        <v>0</v>
      </c>
      <c r="F273" s="21">
        <v>0</v>
      </c>
      <c r="G273" s="23">
        <v>12</v>
      </c>
      <c r="H273" s="24">
        <v>29643</v>
      </c>
      <c r="I273" s="23">
        <v>4</v>
      </c>
      <c r="J273" s="22">
        <v>48912477</v>
      </c>
      <c r="K273" s="21" t="s">
        <v>3729</v>
      </c>
      <c r="L273" s="21" t="s">
        <v>2330</v>
      </c>
      <c r="M273" s="21" t="s">
        <v>2942</v>
      </c>
      <c r="N273" s="21" t="s">
        <v>3398</v>
      </c>
      <c r="O273" s="25" t="str">
        <f>HYPERLINK("http://worldwide.espacenet.com/publicationDetails/biblio?DB=EPODOC&amp;adjacent=true&amp;locale=en_EP&amp;FT=D&amp;CC=US&amp;NR=4323481A&amp;KC=A","US4323481.A")</f>
        <v>US4323481.A</v>
      </c>
      <c r="P273" s="25" t="str">
        <f>HYPERLINK("http://worldwide.espacenet.com/publicationDetails/biblio?DB=EPODOC&amp;adjacent=true&amp;locale=en_EP&amp;FT=D&amp;CC=US&amp;NR=4323481A&amp;KC=A","US4323481.A")</f>
        <v>US4323481.A</v>
      </c>
    </row>
    <row r="274" spans="1:20" ht="17.100000000000001" customHeight="1" x14ac:dyDescent="0.25">
      <c r="A274" s="16" t="s">
        <v>3730</v>
      </c>
      <c r="B274" s="21" t="s">
        <v>3730</v>
      </c>
      <c r="C274" s="23">
        <v>4.1621122360229501</v>
      </c>
      <c r="D274" s="23">
        <v>0</v>
      </c>
      <c r="E274" s="23">
        <v>0</v>
      </c>
      <c r="F274" s="21">
        <v>0</v>
      </c>
      <c r="G274" s="23">
        <v>35</v>
      </c>
      <c r="H274" s="24">
        <v>29039</v>
      </c>
      <c r="I274" s="23">
        <v>2</v>
      </c>
      <c r="J274" s="22">
        <v>2831013</v>
      </c>
      <c r="K274" s="21" t="s">
        <v>3731</v>
      </c>
      <c r="L274" s="21" t="s">
        <v>2330</v>
      </c>
      <c r="M274" s="21" t="s">
        <v>2942</v>
      </c>
      <c r="N274" s="21" t="s">
        <v>2958</v>
      </c>
      <c r="O274" s="25" t="str">
        <f>HYPERLINK("http://worldwide.espacenet.com/publicationDetails/biblio?DB=EPODOC&amp;adjacent=true&amp;locale=en_EP&amp;FT=D&amp;CC=US&amp;NR=4327236A&amp;KC=A","US4327236.A")</f>
        <v>US4327236.A</v>
      </c>
      <c r="P274" s="25" t="str">
        <f>HYPERLINK("http://worldwide.espacenet.com/publicationDetails/biblio?DB=EPODOC&amp;adjacent=true&amp;locale=en_EP&amp;FT=D&amp;CC=US&amp;NR=4327236A&amp;KC=A","US4327236.A")</f>
        <v>US4327236.A</v>
      </c>
    </row>
    <row r="275" spans="1:20" ht="17.100000000000001" customHeight="1" x14ac:dyDescent="0.25">
      <c r="A275" s="16" t="s">
        <v>3732</v>
      </c>
      <c r="B275" s="21" t="s">
        <v>3732</v>
      </c>
      <c r="C275" s="23">
        <v>4.3676557540893599</v>
      </c>
      <c r="D275" s="23">
        <v>0</v>
      </c>
      <c r="E275" s="23">
        <v>0</v>
      </c>
      <c r="F275" s="21">
        <v>0</v>
      </c>
      <c r="G275" s="23">
        <v>41</v>
      </c>
      <c r="H275" s="24">
        <v>30222</v>
      </c>
      <c r="I275" s="23">
        <v>2</v>
      </c>
      <c r="J275" s="22">
        <v>50791510</v>
      </c>
      <c r="K275" s="21" t="s">
        <v>3733</v>
      </c>
      <c r="L275" s="21" t="s">
        <v>2941</v>
      </c>
      <c r="M275" s="21" t="s">
        <v>2942</v>
      </c>
      <c r="N275" s="21" t="s">
        <v>2977</v>
      </c>
      <c r="O275" s="25" t="str">
        <f>HYPERLINK("http://worldwide.espacenet.com/publicationDetails/biblio?DB=EPODOC&amp;adjacent=true&amp;locale=en_EP&amp;FT=D&amp;CC=US&amp;NR=4404414A&amp;KC=A","US4404414.A")</f>
        <v>US4404414.A</v>
      </c>
      <c r="P275" s="25" t="str">
        <f>HYPERLINK("http://worldwide.espacenet.com/publicationDetails/biblio?DB=EPODOC&amp;adjacent=true&amp;locale=en_EP&amp;FT=D&amp;CC=US&amp;NR=4404414A&amp;KC=A","US4404414.A")</f>
        <v>US4404414.A</v>
      </c>
    </row>
    <row r="276" spans="1:20" ht="17.100000000000001" customHeight="1" x14ac:dyDescent="0.25">
      <c r="A276" s="16" t="s">
        <v>3734</v>
      </c>
      <c r="B276" s="21" t="s">
        <v>3734</v>
      </c>
      <c r="C276" s="23">
        <v>2.2095408439636199</v>
      </c>
      <c r="D276" s="23">
        <v>0</v>
      </c>
      <c r="E276" s="23">
        <v>0</v>
      </c>
      <c r="F276" s="21">
        <v>0</v>
      </c>
      <c r="G276" s="23">
        <v>35</v>
      </c>
      <c r="H276" s="24">
        <v>29990</v>
      </c>
      <c r="I276" s="23">
        <v>2</v>
      </c>
      <c r="J276" s="22">
        <v>1582870</v>
      </c>
      <c r="K276" s="21" t="s">
        <v>3735</v>
      </c>
      <c r="L276" s="21" t="s">
        <v>2941</v>
      </c>
      <c r="M276" s="21" t="s">
        <v>2942</v>
      </c>
      <c r="N276" s="21" t="s">
        <v>2958</v>
      </c>
      <c r="O276" s="25" t="str">
        <f>HYPERLINK("http://worldwide.espacenet.com/publicationDetails/biblio?DB=EPODOC&amp;adjacent=true&amp;locale=en_EP&amp;FT=D&amp;CC=US&amp;NR=4522929A&amp;KC=A","US4522929.A")</f>
        <v>US4522929.A</v>
      </c>
      <c r="P276" s="25" t="str">
        <f>HYPERLINK("http://worldwide.espacenet.com/publicationDetails/biblio?DB=EPODOC&amp;adjacent=true&amp;locale=en_EP&amp;FT=D&amp;CC=US&amp;NR=4522929A&amp;KC=A","US4522929.A")</f>
        <v>US4522929.A</v>
      </c>
    </row>
    <row r="277" spans="1:20" ht="17.100000000000001" customHeight="1" x14ac:dyDescent="0.25">
      <c r="A277" s="16" t="s">
        <v>3736</v>
      </c>
      <c r="B277" s="21" t="s">
        <v>3737</v>
      </c>
      <c r="C277" s="23">
        <v>0.79366630315780595</v>
      </c>
      <c r="D277" s="23">
        <v>0</v>
      </c>
      <c r="E277" s="23">
        <v>0</v>
      </c>
      <c r="F277" s="21">
        <v>0</v>
      </c>
      <c r="G277" s="23">
        <v>6</v>
      </c>
      <c r="H277" s="24">
        <v>30662</v>
      </c>
      <c r="I277" s="23">
        <v>1</v>
      </c>
      <c r="J277" s="22">
        <v>10784112</v>
      </c>
      <c r="K277" s="21" t="s">
        <v>3738</v>
      </c>
      <c r="L277" s="21" t="s">
        <v>3739</v>
      </c>
      <c r="M277" s="21" t="s">
        <v>2942</v>
      </c>
      <c r="N277" s="21" t="s">
        <v>3740</v>
      </c>
      <c r="O277" s="25" t="str">
        <f>HYPERLINK("http://worldwide.espacenet.com/publicationDetails/biblio?DB=EPODOC&amp;adjacent=true&amp;locale=en_EP&amp;FT=D&amp;CC=US&amp;NR=4572993A&amp;KC=A","US4572993.A")</f>
        <v>US4572993.A</v>
      </c>
      <c r="P277" s="25" t="str">
        <f>HYPERLINK("http://worldwide.espacenet.com/publicationDetails/biblio?DB=EPODOC&amp;adjacent=true&amp;locale=en_EP&amp;FT=D&amp;CC=DE&amp;NR=3445346A1&amp;KC=A1","DE3445346.A1")</f>
        <v>DE3445346.A1</v>
      </c>
      <c r="Q277" s="26" t="str">
        <f>HYPERLINK("http://worldwide.espacenet.com/publicationDetails/biblio?DB=EPODOC&amp;adjacent=true&amp;locale=en_EP&amp;FT=D&amp;CC=DE&amp;NR=3445346C2&amp;KC=C2","DE3445346.C2")</f>
        <v>DE3445346.C2</v>
      </c>
      <c r="R277" s="26" t="str">
        <f>HYPERLINK("http://worldwide.espacenet.com/publicationDetails/biblio?DB=EPODOC&amp;adjacent=true&amp;locale=en_EP&amp;FT=D&amp;CC=DK&amp;NR=166245C&amp;KC=C","DK166245.C")</f>
        <v>DK166245.C</v>
      </c>
      <c r="S277" s="26" t="str">
        <f>HYPERLINK("http://worldwide.espacenet.com/publicationDetails/biblio?DB=EPODOC&amp;adjacent=true&amp;locale=en_EP&amp;FT=D&amp;CC=DK&amp;NR=592084A&amp;KC=A","DK592084.A")</f>
        <v>DK592084.A</v>
      </c>
      <c r="T277" s="26" t="str">
        <f>HYPERLINK("http://worldwide.espacenet.com/publicationDetails/biblio?DB=EPODOC&amp;adjacent=true&amp;locale=en_EP&amp;FT=D&amp;CC=DK&amp;NR=592084D0&amp;KC=D0","DK592084.D0")</f>
        <v>DK592084.D0</v>
      </c>
    </row>
    <row r="278" spans="1:20" ht="17.100000000000001" customHeight="1" x14ac:dyDescent="0.25">
      <c r="A278" s="16" t="s">
        <v>3741</v>
      </c>
      <c r="B278" s="21" t="s">
        <v>3742</v>
      </c>
      <c r="C278" s="23">
        <v>2.8443017005920401</v>
      </c>
      <c r="D278" s="23">
        <v>0</v>
      </c>
      <c r="E278" s="23">
        <v>0</v>
      </c>
      <c r="F278" s="21">
        <v>0</v>
      </c>
      <c r="G278" s="23">
        <v>33</v>
      </c>
      <c r="H278" s="24">
        <v>31210</v>
      </c>
      <c r="I278" s="23">
        <v>3</v>
      </c>
      <c r="J278" s="22">
        <v>2037256</v>
      </c>
      <c r="K278" s="21" t="s">
        <v>3743</v>
      </c>
      <c r="L278" s="21" t="s">
        <v>2941</v>
      </c>
      <c r="M278" s="21" t="s">
        <v>2942</v>
      </c>
      <c r="N278" s="21" t="s">
        <v>2951</v>
      </c>
      <c r="O278" s="25" t="str">
        <f>HYPERLINK("http://worldwide.espacenet.com/publicationDetails/biblio?DB=EPODOC&amp;adjacent=true&amp;locale=en_EP&amp;FT=D&amp;CC=US&amp;NR=4590321A&amp;KC=A","US4590321.A")</f>
        <v>US4590321.A</v>
      </c>
      <c r="P278" s="25" t="str">
        <f>HYPERLINK("http://worldwide.espacenet.com/publicationDetails/biblio?DB=EPODOC&amp;adjacent=true&amp;locale=en_EP&amp;FT=D&amp;CC=JP&amp;NR=S61285287A&amp;KC=A","JPS61285287.A")</f>
        <v>JPS61285287.A</v>
      </c>
      <c r="Q278" s="26" t="str">
        <f>HYPERLINK("http://worldwide.espacenet.com/publicationDetails/biblio?DB=EPODOC&amp;adjacent=true&amp;locale=en_EP&amp;FT=D&amp;CC=US&amp;NR=4590321A&amp;KC=A","US4590321.A")</f>
        <v>US4590321.A</v>
      </c>
      <c r="R278" s="26" t="str">
        <f>HYPERLINK("http://worldwide.espacenet.com/publicationDetails/biblio?DB=EPODOC&amp;adjacent=true&amp;locale=en_EP&amp;FT=D&amp;CC=ZA&amp;NR=8602537B&amp;KC=B","ZA8602537.B")</f>
        <v>ZA8602537.B</v>
      </c>
    </row>
    <row r="279" spans="1:20" ht="17.100000000000001" customHeight="1" x14ac:dyDescent="0.25">
      <c r="A279" s="16" t="s">
        <v>3744</v>
      </c>
      <c r="B279" s="21" t="s">
        <v>3745</v>
      </c>
      <c r="C279" s="23">
        <v>19.754270553588899</v>
      </c>
      <c r="D279" s="23">
        <v>0</v>
      </c>
      <c r="E279" s="23">
        <v>0</v>
      </c>
      <c r="F279" s="21">
        <v>0</v>
      </c>
      <c r="G279" s="23">
        <v>140</v>
      </c>
      <c r="H279" s="24">
        <v>28663</v>
      </c>
      <c r="I279" s="23">
        <v>4</v>
      </c>
      <c r="J279" s="22">
        <v>501760</v>
      </c>
      <c r="K279" s="21" t="s">
        <v>3746</v>
      </c>
      <c r="L279" s="21" t="s">
        <v>3488</v>
      </c>
      <c r="M279" s="21" t="s">
        <v>2942</v>
      </c>
      <c r="N279" s="21" t="s">
        <v>3278</v>
      </c>
      <c r="O279" s="25" t="str">
        <f>HYPERLINK("http://worldwide.espacenet.com/publicationDetails/biblio?DB=EPODOC&amp;adjacent=true&amp;locale=en_EP&amp;FT=D&amp;CC=US&amp;NR=4656016A&amp;KC=A","US4656016.A")</f>
        <v>US4656016.A</v>
      </c>
      <c r="P279" s="25" t="str">
        <f>HYPERLINK("http://worldwide.espacenet.com/publicationDetails/biblio?DB=EPODOC&amp;adjacent=true&amp;locale=en_EP&amp;FT=D&amp;CC=AR&amp;NR=225417A1&amp;KC=A1","AR225417.A1")</f>
        <v>AR225417.A1</v>
      </c>
      <c r="Q279" s="26" t="str">
        <f>HYPERLINK("http://worldwide.espacenet.com/publicationDetails/biblio?DB=EPODOC&amp;adjacent=true&amp;locale=en_EP&amp;FT=D&amp;CC=AT&amp;NR=381483B&amp;KC=B","AT381483.B")</f>
        <v>AT381483.B</v>
      </c>
      <c r="R279" s="26" t="str">
        <f>HYPERLINK("http://worldwide.espacenet.com/publicationDetails/biblio?DB=EPODOC&amp;adjacent=true&amp;locale=en_EP&amp;FT=D&amp;CC=AT&amp;NR=A438279A&amp;KC=A","ATA438279.A")</f>
        <v>ATA438279.A</v>
      </c>
      <c r="S279" s="26" t="str">
        <f>HYPERLINK("http://worldwide.espacenet.com/publicationDetails/biblio?DB=EPODOC&amp;adjacent=true&amp;locale=en_EP&amp;FT=D&amp;CC=AU&amp;NR=4787479A&amp;KC=A","AU4787479.A")</f>
        <v>AU4787479.A</v>
      </c>
      <c r="T279" s="26" t="str">
        <f>HYPERLINK("http://worldwide.espacenet.com/publicationDetails/biblio?DB=EPODOC&amp;adjacent=true&amp;locale=en_EP&amp;FT=D&amp;CC=AU&amp;NR=531123B2&amp;KC=B2","AU531123.B2")</f>
        <v>AU531123.B2</v>
      </c>
    </row>
    <row r="280" spans="1:20" ht="17.100000000000001" customHeight="1" x14ac:dyDescent="0.25">
      <c r="A280" s="16" t="s">
        <v>3747</v>
      </c>
      <c r="B280" s="21" t="s">
        <v>3747</v>
      </c>
      <c r="C280" s="23">
        <v>0.99931561946868896</v>
      </c>
      <c r="D280" s="23">
        <v>0</v>
      </c>
      <c r="E280" s="23">
        <v>0</v>
      </c>
      <c r="F280" s="21">
        <v>0</v>
      </c>
      <c r="G280" s="23">
        <v>14</v>
      </c>
      <c r="H280" s="24">
        <v>29990</v>
      </c>
      <c r="I280" s="23">
        <v>2</v>
      </c>
      <c r="J280" s="22">
        <v>1582870</v>
      </c>
      <c r="K280" s="21" t="s">
        <v>3748</v>
      </c>
      <c r="L280" s="21" t="s">
        <v>2941</v>
      </c>
      <c r="M280" s="21" t="s">
        <v>2942</v>
      </c>
      <c r="N280" s="21" t="s">
        <v>2958</v>
      </c>
      <c r="O280" s="25" t="str">
        <f>HYPERLINK("http://worldwide.espacenet.com/publicationDetails/biblio?DB=EPODOC&amp;adjacent=true&amp;locale=en_EP&amp;FT=D&amp;CC=US&amp;NR=4663492A&amp;KC=A","US4663492.A")</f>
        <v>US4663492.A</v>
      </c>
      <c r="P280" s="25" t="str">
        <f>HYPERLINK("http://worldwide.espacenet.com/publicationDetails/biblio?DB=EPODOC&amp;adjacent=true&amp;locale=en_EP&amp;FT=D&amp;CC=US&amp;NR=4663492A&amp;KC=A","US4663492.A")</f>
        <v>US4663492.A</v>
      </c>
    </row>
    <row r="281" spans="1:20" ht="17.100000000000001" customHeight="1" x14ac:dyDescent="0.25">
      <c r="A281" s="16" t="s">
        <v>3749</v>
      </c>
      <c r="B281" s="21" t="s">
        <v>3750</v>
      </c>
      <c r="C281" s="23">
        <v>2.9194102287292498</v>
      </c>
      <c r="D281" s="23">
        <v>0</v>
      </c>
      <c r="E281" s="23">
        <v>0</v>
      </c>
      <c r="F281" s="21">
        <v>0</v>
      </c>
      <c r="G281" s="23">
        <v>19</v>
      </c>
      <c r="H281" s="24">
        <v>30075</v>
      </c>
      <c r="I281" s="23">
        <v>5</v>
      </c>
      <c r="J281" s="22">
        <v>1459016</v>
      </c>
      <c r="K281" s="21" t="s">
        <v>3751</v>
      </c>
      <c r="L281" s="21" t="s">
        <v>3752</v>
      </c>
      <c r="M281" s="21" t="s">
        <v>2942</v>
      </c>
      <c r="N281" s="21" t="s">
        <v>3339</v>
      </c>
      <c r="O281" s="25" t="str">
        <f>HYPERLINK("http://worldwide.espacenet.com/publicationDetails/biblio?DB=EPODOC&amp;adjacent=true&amp;locale=en_EP&amp;FT=D&amp;CC=US&amp;NR=4698449A&amp;KC=A","US4698449.A")</f>
        <v>US4698449.A</v>
      </c>
      <c r="P281" s="25" t="str">
        <f>HYPERLINK("http://worldwide.espacenet.com/publicationDetails/biblio?DB=EPODOC&amp;adjacent=true&amp;locale=en_EP&amp;FT=D&amp;CC=AU&amp;NR=1418583A&amp;KC=A","AU1418583.A")</f>
        <v>AU1418583.A</v>
      </c>
      <c r="Q281" s="26" t="str">
        <f>HYPERLINK("http://worldwide.espacenet.com/publicationDetails/biblio?DB=EPODOC&amp;adjacent=true&amp;locale=en_EP&amp;FT=D&amp;CC=AU&amp;NR=562665B2&amp;KC=B2","AU562665.B2")</f>
        <v>AU562665.B2</v>
      </c>
      <c r="R281" s="26" t="str">
        <f>HYPERLINK("http://worldwide.espacenet.com/publicationDetails/biblio?DB=EPODOC&amp;adjacent=true&amp;locale=en_EP&amp;FT=D&amp;CC=CA&amp;NR=1210749A&amp;KC=A","CA1210749.A")</f>
        <v>CA1210749.A</v>
      </c>
      <c r="S281" s="26" t="str">
        <f>HYPERLINK("http://worldwide.espacenet.com/publicationDetails/biblio?DB=EPODOC&amp;adjacent=true&amp;locale=en_EP&amp;FT=D&amp;CC=DE&amp;NR=3316320A1&amp;KC=A1","DE3316320.A1")</f>
        <v>DE3316320.A1</v>
      </c>
      <c r="T281" s="26" t="str">
        <f>HYPERLINK("http://worldwide.espacenet.com/publicationDetails/biblio?DB=EPODOC&amp;adjacent=true&amp;locale=en_EP&amp;FT=D&amp;CC=DE&amp;NR=3316320C2&amp;KC=C2","DE3316320.C2")</f>
        <v>DE3316320.C2</v>
      </c>
    </row>
    <row r="282" spans="1:20" ht="17.100000000000001" customHeight="1" x14ac:dyDescent="0.25">
      <c r="A282" s="16" t="s">
        <v>3753</v>
      </c>
      <c r="B282" s="21" t="s">
        <v>3753</v>
      </c>
      <c r="C282" s="23">
        <v>0.38945785164833102</v>
      </c>
      <c r="D282" s="23">
        <v>0</v>
      </c>
      <c r="E282" s="23">
        <v>0</v>
      </c>
      <c r="F282" s="21">
        <v>0</v>
      </c>
      <c r="G282" s="23">
        <v>4</v>
      </c>
      <c r="H282" s="24">
        <v>31225</v>
      </c>
      <c r="I282" s="23">
        <v>3</v>
      </c>
      <c r="J282" s="22">
        <v>514124</v>
      </c>
      <c r="K282" s="21" t="s">
        <v>3754</v>
      </c>
      <c r="L282" s="21" t="s">
        <v>2941</v>
      </c>
      <c r="M282" s="21" t="s">
        <v>2942</v>
      </c>
      <c r="N282" s="21" t="s">
        <v>3013</v>
      </c>
      <c r="O282" s="25" t="str">
        <f>HYPERLINK("http://worldwide.espacenet.com/publicationDetails/biblio?DB=EPODOC&amp;adjacent=true&amp;locale=en_EP&amp;FT=D&amp;CC=US&amp;NR=4709114A&amp;KC=A","US4709114.A")</f>
        <v>US4709114.A</v>
      </c>
      <c r="P282" s="25" t="str">
        <f>HYPERLINK("http://worldwide.espacenet.com/publicationDetails/biblio?DB=EPODOC&amp;adjacent=true&amp;locale=en_EP&amp;FT=D&amp;CC=US&amp;NR=4709114A&amp;KC=A","US4709114.A")</f>
        <v>US4709114.A</v>
      </c>
    </row>
    <row r="283" spans="1:20" ht="17.100000000000001" customHeight="1" x14ac:dyDescent="0.25">
      <c r="A283" s="16" t="s">
        <v>3755</v>
      </c>
      <c r="B283" s="21" t="s">
        <v>3756</v>
      </c>
      <c r="C283" s="23">
        <v>5.1541566848754901</v>
      </c>
      <c r="D283" s="23">
        <v>0</v>
      </c>
      <c r="E283" s="23">
        <v>0</v>
      </c>
      <c r="F283" s="21">
        <v>0</v>
      </c>
      <c r="G283" s="23">
        <v>39</v>
      </c>
      <c r="H283" s="24">
        <v>29384</v>
      </c>
      <c r="I283" s="23">
        <v>4</v>
      </c>
      <c r="J283" s="22">
        <v>2249321</v>
      </c>
      <c r="K283" s="21" t="s">
        <v>3757</v>
      </c>
      <c r="L283" s="21" t="s">
        <v>3758</v>
      </c>
      <c r="M283" s="21" t="s">
        <v>2942</v>
      </c>
      <c r="N283" s="21" t="s">
        <v>3759</v>
      </c>
      <c r="O283" s="25" t="str">
        <f>HYPERLINK("http://worldwide.espacenet.com/publicationDetails/biblio?DB=EPODOC&amp;adjacent=true&amp;locale=en_EP&amp;FT=D&amp;CC=US&amp;NR=4741891A&amp;KC=A","US4741891.A")</f>
        <v>US4741891.A</v>
      </c>
      <c r="P283" s="25" t="str">
        <f>HYPERLINK("http://worldwide.espacenet.com/publicationDetails/biblio?DB=EPODOC&amp;adjacent=true&amp;locale=en_EP&amp;FT=D&amp;CC=AU&amp;NR=542052B2&amp;KC=B2","AU542052.B2")</f>
        <v>AU542052.B2</v>
      </c>
      <c r="Q283" s="26" t="str">
        <f>HYPERLINK("http://worldwide.espacenet.com/publicationDetails/biblio?DB=EPODOC&amp;adjacent=true&amp;locale=en_EP&amp;FT=D&amp;CC=AU&amp;NR=7131481A&amp;KC=A","AU7131481.A")</f>
        <v>AU7131481.A</v>
      </c>
      <c r="R283" s="26" t="str">
        <f>HYPERLINK("http://worldwide.espacenet.com/publicationDetails/biblio?DB=EPODOC&amp;adjacent=true&amp;locale=en_EP&amp;FT=D&amp;CC=GB&amp;NR=2077709A&amp;KC=A","GB2077709.A")</f>
        <v>GB2077709.A</v>
      </c>
      <c r="S283" s="26" t="str">
        <f>HYPERLINK("http://worldwide.espacenet.com/publicationDetails/biblio?DB=EPODOC&amp;adjacent=true&amp;locale=en_EP&amp;FT=D&amp;CC=GB&amp;NR=2077709B&amp;KC=B","GB2077709.B")</f>
        <v>GB2077709.B</v>
      </c>
      <c r="T283" s="26" t="str">
        <f>HYPERLINK("http://worldwide.espacenet.com/publicationDetails/biblio?DB=EPODOC&amp;adjacent=true&amp;locale=en_EP&amp;FT=D&amp;CC=NZ&amp;NR=197291A&amp;KC=A","NZ197291.A")</f>
        <v>NZ197291.A</v>
      </c>
    </row>
    <row r="284" spans="1:20" ht="17.100000000000001" customHeight="1" x14ac:dyDescent="0.25">
      <c r="A284" s="16" t="s">
        <v>3760</v>
      </c>
      <c r="B284" s="21" t="s">
        <v>3761</v>
      </c>
      <c r="C284" s="23">
        <v>0.69311451911926303</v>
      </c>
      <c r="D284" s="23">
        <v>0</v>
      </c>
      <c r="E284" s="23">
        <v>0</v>
      </c>
      <c r="F284" s="21">
        <v>0</v>
      </c>
      <c r="G284" s="23">
        <v>10</v>
      </c>
      <c r="H284" s="24">
        <v>32126</v>
      </c>
      <c r="I284" s="23">
        <v>2</v>
      </c>
      <c r="J284" s="22">
        <v>1637558</v>
      </c>
      <c r="K284" s="21" t="s">
        <v>3762</v>
      </c>
      <c r="L284" s="21" t="s">
        <v>2941</v>
      </c>
      <c r="M284" s="21" t="s">
        <v>2942</v>
      </c>
      <c r="N284" s="21" t="s">
        <v>2977</v>
      </c>
      <c r="O284" s="25" t="str">
        <f>HYPERLINK("http://worldwide.espacenet.com/publicationDetails/biblio?DB=EPODOC&amp;adjacent=true&amp;locale=en_EP&amp;FT=D&amp;CC=US&amp;NR=4814535A&amp;KC=A","US4814535.A")</f>
        <v>US4814535.A</v>
      </c>
      <c r="P284" s="25" t="str">
        <f>HYPERLINK("http://worldwide.espacenet.com/publicationDetails/biblio?DB=EPODOC&amp;adjacent=true&amp;locale=en_EP&amp;FT=D&amp;CC=AU&amp;NR=2697688A&amp;KC=A","AU2697688.A")</f>
        <v>AU2697688.A</v>
      </c>
      <c r="Q284" s="26" t="str">
        <f>HYPERLINK("http://worldwide.espacenet.com/publicationDetails/biblio?DB=EPODOC&amp;adjacent=true&amp;locale=en_EP&amp;FT=D&amp;CC=AU&amp;NR=617730B2&amp;KC=B2","AU617730.B2")</f>
        <v>AU617730.B2</v>
      </c>
      <c r="R284" s="26" t="str">
        <f>HYPERLINK("http://worldwide.espacenet.com/publicationDetails/biblio?DB=EPODOC&amp;adjacent=true&amp;locale=en_EP&amp;FT=D&amp;CC=DD&amp;NR=283415A5&amp;KC=A5","DD283415.A5")</f>
        <v>DD283415.A5</v>
      </c>
      <c r="S284" s="26" t="str">
        <f>HYPERLINK("http://worldwide.espacenet.com/publicationDetails/biblio?DB=EPODOC&amp;adjacent=true&amp;locale=en_EP&amp;FT=D&amp;CC=NZ&amp;NR=227218A&amp;KC=A","NZ227218.A")</f>
        <v>NZ227218.A</v>
      </c>
      <c r="T284" s="26" t="str">
        <f>HYPERLINK("http://worldwide.espacenet.com/publicationDetails/biblio?DB=EPODOC&amp;adjacent=true&amp;locale=en_EP&amp;FT=D&amp;CC=US&amp;NR=4814535A&amp;KC=A","US4814535.A")</f>
        <v>US4814535.A</v>
      </c>
    </row>
    <row r="285" spans="1:20" ht="17.100000000000001" customHeight="1" x14ac:dyDescent="0.25">
      <c r="A285" s="16" t="s">
        <v>3763</v>
      </c>
      <c r="B285" s="21" t="s">
        <v>3764</v>
      </c>
      <c r="C285" s="23">
        <v>0.92556184530258201</v>
      </c>
      <c r="D285" s="23">
        <v>0</v>
      </c>
      <c r="E285" s="23">
        <v>0</v>
      </c>
      <c r="F285" s="21">
        <v>0</v>
      </c>
      <c r="G285" s="23">
        <v>10</v>
      </c>
      <c r="H285" s="24">
        <v>32126</v>
      </c>
      <c r="I285" s="23">
        <v>2</v>
      </c>
      <c r="J285" s="22">
        <v>516936</v>
      </c>
      <c r="K285" s="21" t="s">
        <v>3765</v>
      </c>
      <c r="L285" s="21" t="s">
        <v>2941</v>
      </c>
      <c r="M285" s="21" t="s">
        <v>2942</v>
      </c>
      <c r="N285" s="21" t="s">
        <v>2977</v>
      </c>
      <c r="O285" s="25" t="str">
        <f>HYPERLINK("http://worldwide.espacenet.com/publicationDetails/biblio?DB=EPODOC&amp;adjacent=true&amp;locale=en_EP&amp;FT=D&amp;CC=US&amp;NR=4814536A&amp;KC=A","US4814536.A")</f>
        <v>US4814536.A</v>
      </c>
      <c r="P285" s="25" t="str">
        <f>HYPERLINK("http://worldwide.espacenet.com/publicationDetails/biblio?DB=EPODOC&amp;adjacent=true&amp;locale=en_EP&amp;FT=D&amp;CC=AR&amp;NR=240055A1&amp;KC=A1","AR240055.A1")</f>
        <v>AR240055.A1</v>
      </c>
      <c r="Q285" s="26" t="str">
        <f>HYPERLINK("http://worldwide.espacenet.com/publicationDetails/biblio?DB=EPODOC&amp;adjacent=true&amp;locale=en_EP&amp;FT=D&amp;CC=AU&amp;NR=2697588A&amp;KC=A","AU2697588.A")</f>
        <v>AU2697588.A</v>
      </c>
      <c r="R285" s="26" t="str">
        <f>HYPERLINK("http://worldwide.espacenet.com/publicationDetails/biblio?DB=EPODOC&amp;adjacent=true&amp;locale=en_EP&amp;FT=D&amp;CC=AU&amp;NR=618044B2&amp;KC=B2","AU618044.B2")</f>
        <v>AU618044.B2</v>
      </c>
      <c r="S285" s="26" t="str">
        <f>HYPERLINK("http://worldwide.espacenet.com/publicationDetails/biblio?DB=EPODOC&amp;adjacent=true&amp;locale=en_EP&amp;FT=D&amp;CC=DD&amp;NR=289554A5&amp;KC=A5","DD289554.A5")</f>
        <v>DD289554.A5</v>
      </c>
      <c r="T285" s="26" t="str">
        <f>HYPERLINK("http://worldwide.espacenet.com/publicationDetails/biblio?DB=EPODOC&amp;adjacent=true&amp;locale=en_EP&amp;FT=D&amp;CC=NZ&amp;NR=227217A&amp;KC=A","NZ227217.A")</f>
        <v>NZ227217.A</v>
      </c>
    </row>
    <row r="286" spans="1:20" ht="17.100000000000001" customHeight="1" x14ac:dyDescent="0.25">
      <c r="A286" s="16" t="s">
        <v>3766</v>
      </c>
      <c r="B286" s="21" t="s">
        <v>3767</v>
      </c>
      <c r="C286" s="23">
        <v>2.0010902881622301</v>
      </c>
      <c r="D286" s="23">
        <v>0</v>
      </c>
      <c r="E286" s="23">
        <v>0</v>
      </c>
      <c r="F286" s="21">
        <v>0</v>
      </c>
      <c r="G286" s="23">
        <v>28</v>
      </c>
      <c r="H286" s="24">
        <v>32119</v>
      </c>
      <c r="I286" s="23">
        <v>3</v>
      </c>
      <c r="J286" s="22">
        <v>2101769</v>
      </c>
      <c r="K286" s="21" t="s">
        <v>3768</v>
      </c>
      <c r="L286" s="21" t="s">
        <v>2941</v>
      </c>
      <c r="M286" s="21" t="s">
        <v>2942</v>
      </c>
      <c r="N286" s="21" t="s">
        <v>3355</v>
      </c>
      <c r="O286" s="25" t="str">
        <f>HYPERLINK("http://worldwide.espacenet.com/publicationDetails/biblio?DB=EPODOC&amp;adjacent=true&amp;locale=en_EP&amp;FT=D&amp;CC=US&amp;NR=4854939A&amp;KC=A","US4854939.A")</f>
        <v>US4854939.A</v>
      </c>
      <c r="P286" s="25" t="str">
        <f>HYPERLINK("http://worldwide.espacenet.com/publicationDetails/biblio?DB=EPODOC&amp;adjacent=true&amp;locale=en_EP&amp;FT=D&amp;CC=US&amp;NR=4854939A&amp;KC=A","US4854939.A")</f>
        <v>US4854939.A</v>
      </c>
      <c r="Q286" s="26" t="str">
        <f>HYPERLINK("http://worldwide.espacenet.com/publicationDetails/biblio?DB=EPODOC&amp;adjacent=true&amp;locale=en_EP&amp;FT=D&amp;CC=US&amp;NR=5001292A&amp;KC=A","US5001292.A")</f>
        <v>US5001292.A</v>
      </c>
    </row>
    <row r="287" spans="1:20" ht="17.100000000000001" customHeight="1" x14ac:dyDescent="0.25">
      <c r="A287" s="16" t="s">
        <v>3769</v>
      </c>
      <c r="B287" s="21" t="s">
        <v>3769</v>
      </c>
      <c r="C287" s="23">
        <v>1.1434395313262899</v>
      </c>
      <c r="D287" s="23">
        <v>0</v>
      </c>
      <c r="E287" s="23">
        <v>0</v>
      </c>
      <c r="F287" s="21">
        <v>0</v>
      </c>
      <c r="G287" s="23">
        <v>13</v>
      </c>
      <c r="H287" s="24">
        <v>32119</v>
      </c>
      <c r="I287" s="23">
        <v>2</v>
      </c>
      <c r="J287" s="22">
        <v>11084997</v>
      </c>
      <c r="K287" s="21" t="s">
        <v>3770</v>
      </c>
      <c r="L287" s="21" t="s">
        <v>2941</v>
      </c>
      <c r="M287" s="21" t="s">
        <v>2942</v>
      </c>
      <c r="N287" s="21" t="s">
        <v>3328</v>
      </c>
      <c r="O287" s="25" t="str">
        <f>HYPERLINK("http://worldwide.espacenet.com/publicationDetails/biblio?DB=EPODOC&amp;adjacent=true&amp;locale=en_EP&amp;FT=D&amp;CC=US&amp;NR=4885421A&amp;KC=A","US4885421.A")</f>
        <v>US4885421.A</v>
      </c>
      <c r="P287" s="25" t="str">
        <f>HYPERLINK("http://worldwide.espacenet.com/publicationDetails/biblio?DB=EPODOC&amp;adjacent=true&amp;locale=en_EP&amp;FT=D&amp;CC=US&amp;NR=4885421A&amp;KC=A","US4885421.A")</f>
        <v>US4885421.A</v>
      </c>
    </row>
    <row r="288" spans="1:20" ht="17.100000000000001" customHeight="1" x14ac:dyDescent="0.25">
      <c r="A288" s="16" t="s">
        <v>3771</v>
      </c>
      <c r="B288" s="21" t="s">
        <v>3771</v>
      </c>
      <c r="C288" s="23">
        <v>0.21713237464427901</v>
      </c>
      <c r="D288" s="23">
        <v>0</v>
      </c>
      <c r="E288" s="23">
        <v>0</v>
      </c>
      <c r="F288" s="21">
        <v>0</v>
      </c>
      <c r="G288" s="23">
        <v>3</v>
      </c>
      <c r="H288" s="24">
        <v>32265</v>
      </c>
      <c r="I288" s="23">
        <v>3</v>
      </c>
      <c r="J288" s="22">
        <v>1775887</v>
      </c>
      <c r="K288" s="21" t="s">
        <v>3772</v>
      </c>
      <c r="L288" s="21" t="s">
        <v>2941</v>
      </c>
      <c r="M288" s="21" t="s">
        <v>2942</v>
      </c>
      <c r="N288" s="21" t="s">
        <v>3355</v>
      </c>
      <c r="O288" s="25" t="str">
        <f>HYPERLINK("http://worldwide.espacenet.com/publicationDetails/biblio?DB=EPODOC&amp;adjacent=true&amp;locale=en_EP&amp;FT=D&amp;CC=US&amp;NR=4957709A&amp;KC=A","US4957709.A")</f>
        <v>US4957709.A</v>
      </c>
      <c r="P288" s="25" t="str">
        <f>HYPERLINK("http://worldwide.espacenet.com/publicationDetails/biblio?DB=EPODOC&amp;adjacent=true&amp;locale=en_EP&amp;FT=D&amp;CC=US&amp;NR=4957709A&amp;KC=A","US4957709.A")</f>
        <v>US4957709.A</v>
      </c>
    </row>
    <row r="289" spans="1:20" ht="17.100000000000001" customHeight="1" x14ac:dyDescent="0.25">
      <c r="A289" s="16" t="s">
        <v>3773</v>
      </c>
      <c r="B289" s="21" t="s">
        <v>3773</v>
      </c>
      <c r="C289" s="23">
        <v>0.72505581378936801</v>
      </c>
      <c r="D289" s="23">
        <v>0</v>
      </c>
      <c r="E289" s="23">
        <v>0</v>
      </c>
      <c r="F289" s="21">
        <v>0</v>
      </c>
      <c r="G289" s="23">
        <v>11</v>
      </c>
      <c r="H289" s="24">
        <v>33198</v>
      </c>
      <c r="I289" s="23">
        <v>3</v>
      </c>
      <c r="J289" s="22">
        <v>52247120</v>
      </c>
      <c r="K289" s="21" t="s">
        <v>3774</v>
      </c>
      <c r="L289" s="21" t="s">
        <v>2941</v>
      </c>
      <c r="M289" s="21" t="s">
        <v>2942</v>
      </c>
      <c r="N289" s="21" t="s">
        <v>3355</v>
      </c>
      <c r="O289" s="25" t="str">
        <f>HYPERLINK("http://worldwide.espacenet.com/publicationDetails/biblio?DB=EPODOC&amp;adjacent=true&amp;locale=en_EP&amp;FT=D&amp;CC=US&amp;NR=5095159A&amp;KC=A","US5095159.A")</f>
        <v>US5095159.A</v>
      </c>
      <c r="P289" s="25" t="str">
        <f>HYPERLINK("http://worldwide.espacenet.com/publicationDetails/biblio?DB=EPODOC&amp;adjacent=true&amp;locale=en_EP&amp;FT=D&amp;CC=US&amp;NR=5095159A&amp;KC=A","US5095159.A")</f>
        <v>US5095159.A</v>
      </c>
    </row>
    <row r="290" spans="1:20" ht="17.100000000000001" customHeight="1" x14ac:dyDescent="0.25">
      <c r="A290" s="16" t="s">
        <v>3775</v>
      </c>
      <c r="B290" s="21" t="s">
        <v>3775</v>
      </c>
      <c r="C290" s="23">
        <v>0.51785117387771595</v>
      </c>
      <c r="D290" s="23">
        <v>0</v>
      </c>
      <c r="E290" s="23">
        <v>0</v>
      </c>
      <c r="F290" s="21">
        <v>0</v>
      </c>
      <c r="G290" s="23">
        <v>9</v>
      </c>
      <c r="H290" s="24">
        <v>32622</v>
      </c>
      <c r="I290" s="23">
        <v>3</v>
      </c>
      <c r="J290" s="22">
        <v>1740644</v>
      </c>
      <c r="K290" s="21" t="s">
        <v>3776</v>
      </c>
      <c r="L290" s="21" t="s">
        <v>2941</v>
      </c>
      <c r="M290" s="21" t="s">
        <v>2942</v>
      </c>
      <c r="N290" s="21" t="s">
        <v>3355</v>
      </c>
      <c r="O290" s="25" t="str">
        <f>HYPERLINK("http://worldwide.espacenet.com/publicationDetails/biblio?DB=EPODOC&amp;adjacent=true&amp;locale=en_EP&amp;FT=D&amp;CC=US&amp;NR=5167937A&amp;KC=A","US5167937.A")</f>
        <v>US5167937.A</v>
      </c>
      <c r="P290" s="25" t="str">
        <f>HYPERLINK("http://worldwide.espacenet.com/publicationDetails/biblio?DB=EPODOC&amp;adjacent=true&amp;locale=en_EP&amp;FT=D&amp;CC=US&amp;NR=5167937A&amp;KC=A","US5167937.A")</f>
        <v>US5167937.A</v>
      </c>
    </row>
    <row r="291" spans="1:20" ht="17.100000000000001" customHeight="1" x14ac:dyDescent="0.25">
      <c r="A291" s="16" t="s">
        <v>3777</v>
      </c>
      <c r="B291" s="21" t="s">
        <v>3777</v>
      </c>
      <c r="C291" s="23">
        <v>2.0458104610443102</v>
      </c>
      <c r="D291" s="23">
        <v>0</v>
      </c>
      <c r="E291" s="23">
        <v>0</v>
      </c>
      <c r="F291" s="21">
        <v>0</v>
      </c>
      <c r="G291" s="23">
        <v>27</v>
      </c>
      <c r="H291" s="24">
        <v>31441</v>
      </c>
      <c r="I291" s="23">
        <v>4</v>
      </c>
      <c r="J291" s="22">
        <v>2210241</v>
      </c>
      <c r="K291" s="21" t="s">
        <v>3778</v>
      </c>
      <c r="L291" s="21" t="s">
        <v>3261</v>
      </c>
      <c r="M291" s="21" t="s">
        <v>2942</v>
      </c>
      <c r="N291" s="21" t="s">
        <v>3398</v>
      </c>
      <c r="O291" s="25" t="str">
        <f>HYPERLINK("http://worldwide.espacenet.com/publicationDetails/biblio?DB=EPODOC&amp;adjacent=true&amp;locale=en_EP&amp;FT=D&amp;CC=US&amp;NR=5202014A&amp;KC=A","US5202014.A")</f>
        <v>US5202014.A</v>
      </c>
      <c r="P291" s="25" t="str">
        <f>HYPERLINK("http://worldwide.espacenet.com/publicationDetails/biblio?DB=EPODOC&amp;adjacent=true&amp;locale=en_EP&amp;FT=D&amp;CC=US&amp;NR=5202014A&amp;KC=A","US5202014.A")</f>
        <v>US5202014.A</v>
      </c>
    </row>
    <row r="292" spans="1:20" ht="17.100000000000001" customHeight="1" x14ac:dyDescent="0.25">
      <c r="A292" s="16" t="s">
        <v>3779</v>
      </c>
      <c r="B292" s="21" t="s">
        <v>3780</v>
      </c>
      <c r="C292" s="23">
        <v>1.2009847164154099</v>
      </c>
      <c r="D292" s="23">
        <v>0</v>
      </c>
      <c r="E292" s="23">
        <v>0</v>
      </c>
      <c r="F292" s="21">
        <v>0</v>
      </c>
      <c r="G292" s="23">
        <v>12</v>
      </c>
      <c r="H292" s="24">
        <v>33060</v>
      </c>
      <c r="I292" s="23">
        <v>4</v>
      </c>
      <c r="J292" s="22">
        <v>1205738</v>
      </c>
      <c r="K292" s="21" t="s">
        <v>3781</v>
      </c>
      <c r="L292" s="21" t="s">
        <v>3782</v>
      </c>
      <c r="M292" s="21" t="s">
        <v>2942</v>
      </c>
      <c r="N292" s="21" t="s">
        <v>3398</v>
      </c>
      <c r="O292" s="25" t="str">
        <f>HYPERLINK("http://worldwide.espacenet.com/publicationDetails/biblio?DB=EPODOC&amp;adjacent=true&amp;locale=en_EP&amp;FT=D&amp;CC=US&amp;NR=5407654A&amp;KC=A","US5407654.A")</f>
        <v>US5407654.A</v>
      </c>
      <c r="P292" s="25" t="str">
        <f>HYPERLINK("http://worldwide.espacenet.com/publicationDetails/biblio?DB=EPODOC&amp;adjacent=true&amp;locale=en_EP&amp;FT=D&amp;CC=US&amp;NR=5407654A&amp;KC=A","US5407654.A")</f>
        <v>US5407654.A</v>
      </c>
      <c r="Q292" s="26" t="str">
        <f>HYPERLINK("http://worldwide.espacenet.com/publicationDetails/biblio?DB=EPODOC&amp;adjacent=true&amp;locale=en_EP&amp;FT=D&amp;CC=US&amp;NR=5578195A&amp;KC=A","US5578195.A")</f>
        <v>US5578195.A</v>
      </c>
      <c r="R292" s="26" t="str">
        <f>HYPERLINK("http://worldwide.espacenet.com/publicationDetails/biblio?DB=EPODOC&amp;adjacent=true&amp;locale=en_EP&amp;FT=D&amp;CC=US&amp;NR=5696043A&amp;KC=A","US5696043.A")</f>
        <v>US5696043.A</v>
      </c>
      <c r="S292" s="26" t="str">
        <f>HYPERLINK("http://worldwide.espacenet.com/publicationDetails/biblio?DB=EPODOC&amp;adjacent=true&amp;locale=en_EP&amp;FT=D&amp;CC=US&amp;NR=5711869A&amp;KC=A","US5711869.A")</f>
        <v>US5711869.A</v>
      </c>
    </row>
    <row r="293" spans="1:20" ht="17.100000000000001" customHeight="1" x14ac:dyDescent="0.25">
      <c r="A293" s="16" t="s">
        <v>3783</v>
      </c>
      <c r="B293" s="21" t="s">
        <v>3784</v>
      </c>
      <c r="C293" s="23">
        <v>0.33924704790115401</v>
      </c>
      <c r="D293" s="23">
        <v>0</v>
      </c>
      <c r="E293" s="23">
        <v>0</v>
      </c>
      <c r="F293" s="21">
        <v>0</v>
      </c>
      <c r="G293" s="23">
        <v>6</v>
      </c>
      <c r="H293" s="24">
        <v>35361</v>
      </c>
      <c r="I293" s="23">
        <v>2</v>
      </c>
      <c r="J293" s="22">
        <v>48694418</v>
      </c>
      <c r="K293" s="21" t="s">
        <v>3785</v>
      </c>
      <c r="L293" s="21" t="s">
        <v>3402</v>
      </c>
      <c r="M293" s="21" t="s">
        <v>2942</v>
      </c>
      <c r="N293" s="21" t="s">
        <v>2982</v>
      </c>
      <c r="O293" s="25" t="str">
        <f>HYPERLINK("http://worldwide.espacenet.com/publicationDetails/biblio?DB=EPODOC&amp;adjacent=true&amp;locale=en_EP&amp;FT=D&amp;CC=US&amp;NR=5880051A&amp;KC=A","US5880051.A")</f>
        <v>US5880051.A</v>
      </c>
      <c r="P293" s="25" t="str">
        <f>HYPERLINK("http://worldwide.espacenet.com/publicationDetails/biblio?DB=EPODOC&amp;adjacent=true&amp;locale=en_EP&amp;FT=D&amp;CC=US&amp;NR=5880051A&amp;KC=A","US5880051.A")</f>
        <v>US5880051.A</v>
      </c>
      <c r="Q293" s="26" t="str">
        <f>HYPERLINK("http://worldwide.espacenet.com/publicationDetails/biblio?DB=EPODOC&amp;adjacent=true&amp;locale=en_EP&amp;FT=D&amp;CC=US&amp;NR=6066251A&amp;KC=A","US6066251.A")</f>
        <v>US6066251.A</v>
      </c>
    </row>
    <row r="294" spans="1:20" ht="17.100000000000001" customHeight="1" x14ac:dyDescent="0.25">
      <c r="A294" s="16" t="s">
        <v>3786</v>
      </c>
      <c r="B294" s="21" t="s">
        <v>3787</v>
      </c>
      <c r="C294" s="23">
        <v>0.16174159944057501</v>
      </c>
      <c r="D294" s="23">
        <v>0</v>
      </c>
      <c r="E294" s="23">
        <v>0</v>
      </c>
      <c r="F294" s="21">
        <v>0</v>
      </c>
      <c r="G294" s="23">
        <v>2</v>
      </c>
      <c r="H294" s="24">
        <v>35642</v>
      </c>
      <c r="I294" s="23">
        <v>2</v>
      </c>
      <c r="J294" s="22">
        <v>42048482</v>
      </c>
      <c r="K294" s="21" t="s">
        <v>3788</v>
      </c>
      <c r="L294" s="21" t="s">
        <v>3789</v>
      </c>
      <c r="M294" s="21" t="s">
        <v>2942</v>
      </c>
      <c r="N294" s="21" t="s">
        <v>2982</v>
      </c>
      <c r="O294" s="25" t="str">
        <f>HYPERLINK("http://worldwide.espacenet.com/publicationDetails/biblio?DB=EPODOC&amp;adjacent=true&amp;locale=en_EP&amp;FT=D&amp;CC=US&amp;NR=6207605B1&amp;KC=B1","US6207605.B1")</f>
        <v>US6207605.B1</v>
      </c>
      <c r="P294" s="25" t="str">
        <f>HYPERLINK("http://worldwide.espacenet.com/publicationDetails/biblio?DB=EPODOC&amp;adjacent=true&amp;locale=en_EP&amp;FT=D&amp;CC=NO&amp;NR=305308B1&amp;KC=B1","NO305308.B1")</f>
        <v>NO305308.B1</v>
      </c>
      <c r="Q294" s="26" t="str">
        <f>HYPERLINK("http://worldwide.espacenet.com/publicationDetails/biblio?DB=EPODOC&amp;adjacent=true&amp;locale=en_EP&amp;FT=D&amp;CC=NO&amp;NR=973534D0&amp;KC=D0","NO973534.D0")</f>
        <v>NO973534.D0</v>
      </c>
      <c r="R294" s="26" t="str">
        <f>HYPERLINK("http://worldwide.espacenet.com/publicationDetails/biblio?DB=EPODOC&amp;adjacent=true&amp;locale=en_EP&amp;FT=D&amp;CC=NO&amp;NR=973534L&amp;KC=L","NO973534.L")</f>
        <v>NO973534.L</v>
      </c>
      <c r="S294" s="26" t="str">
        <f>HYPERLINK("http://worldwide.espacenet.com/publicationDetails/biblio?DB=EPODOC&amp;adjacent=true&amp;locale=en_EP&amp;FT=D&amp;CC=US&amp;NR=6207605B1&amp;KC=B1","US6207605.B1")</f>
        <v>US6207605.B1</v>
      </c>
    </row>
    <row r="295" spans="1:20" ht="17.100000000000001" customHeight="1" x14ac:dyDescent="0.25">
      <c r="A295" s="16" t="s">
        <v>3790</v>
      </c>
      <c r="B295" s="21" t="s">
        <v>3791</v>
      </c>
      <c r="C295" s="23">
        <v>0.99068617820739702</v>
      </c>
      <c r="D295" s="23">
        <v>1</v>
      </c>
      <c r="E295" s="23">
        <v>0.99068617820739702</v>
      </c>
      <c r="F295" s="21">
        <v>0.99068617820739702</v>
      </c>
      <c r="G295" s="23">
        <v>5</v>
      </c>
      <c r="H295" s="24">
        <v>41243</v>
      </c>
      <c r="I295" s="23">
        <v>3</v>
      </c>
      <c r="J295" s="22">
        <v>411826986</v>
      </c>
      <c r="K295" s="21" t="s">
        <v>3792</v>
      </c>
      <c r="L295" s="21" t="s">
        <v>3402</v>
      </c>
      <c r="M295" s="21" t="s">
        <v>2957</v>
      </c>
      <c r="N295" s="21" t="s">
        <v>3793</v>
      </c>
      <c r="O295" s="25" t="str">
        <f>HYPERLINK("http://worldwide.espacenet.com/publicationDetails/biblio?DB=EPODOC&amp;adjacent=true&amp;locale=en_EP&amp;FT=D&amp;CC=US&amp;NR=8569557B1&amp;KC=B1","US8569557.B1")</f>
        <v>US8569557.B1</v>
      </c>
      <c r="P295" s="25" t="str">
        <f>HYPERLINK("http://worldwide.espacenet.com/publicationDetails/biblio?DB=EPODOC&amp;adjacent=true&amp;locale=en_EP&amp;FT=D&amp;CC=US&amp;NR=2014206918A1&amp;KC=A1","US2014206918.A1")</f>
        <v>US2014206918.A1</v>
      </c>
      <c r="Q295" s="26" t="str">
        <f>HYPERLINK("http://worldwide.espacenet.com/publicationDetails/biblio?DB=EPODOC&amp;adjacent=true&amp;locale=en_EP&amp;FT=D&amp;CC=US&amp;NR=8569557B1&amp;KC=B1","US8569557.B1")</f>
        <v>US8569557.B1</v>
      </c>
      <c r="R295" s="26" t="str">
        <f>HYPERLINK("http://worldwide.espacenet.com/publicationDetails/biblio?DB=EPODOC&amp;adjacent=true&amp;locale=en_EP&amp;FT=D&amp;CC=US&amp;NR=8696886B1&amp;KC=B1","US8696886.B1")</f>
        <v>US8696886.B1</v>
      </c>
      <c r="S295" s="26" t="str">
        <f>HYPERLINK("http://worldwide.espacenet.com/publicationDetails/biblio?DB=EPODOC&amp;adjacent=true&amp;locale=en_EP&amp;FT=D&amp;CC=US&amp;NR=8933287B2&amp;KC=B2","US8933287.B2")</f>
        <v>US8933287.B2</v>
      </c>
    </row>
    <row r="296" spans="1:20" ht="17.100000000000001" customHeight="1" x14ac:dyDescent="0.25">
      <c r="A296" s="16" t="s">
        <v>3794</v>
      </c>
      <c r="B296" s="21" t="s">
        <v>3795</v>
      </c>
      <c r="C296" s="23">
        <v>1.00581002235413</v>
      </c>
      <c r="D296" s="23">
        <v>1</v>
      </c>
      <c r="E296" s="23">
        <v>1.00581002235413</v>
      </c>
      <c r="F296" s="21">
        <v>1.00581002235413</v>
      </c>
      <c r="G296" s="23">
        <v>5</v>
      </c>
      <c r="H296" s="24">
        <v>41243</v>
      </c>
      <c r="I296" s="23">
        <v>3</v>
      </c>
      <c r="J296" s="22">
        <v>411826988</v>
      </c>
      <c r="K296" s="21" t="s">
        <v>3796</v>
      </c>
      <c r="L296" s="21" t="s">
        <v>3402</v>
      </c>
      <c r="M296" s="21" t="s">
        <v>2957</v>
      </c>
      <c r="N296" s="21" t="s">
        <v>3793</v>
      </c>
      <c r="O296" s="25" t="str">
        <f>HYPERLINK("http://worldwide.espacenet.com/publicationDetails/biblio?DB=EPODOC&amp;adjacent=true&amp;locale=en_EP&amp;FT=D&amp;CC=US&amp;NR=8569558B1&amp;KC=B1","US8569558.B1")</f>
        <v>US8569558.B1</v>
      </c>
      <c r="P296" s="25" t="str">
        <f>HYPERLINK("http://worldwide.espacenet.com/publicationDetails/biblio?DB=EPODOC&amp;adjacent=true&amp;locale=en_EP&amp;FT=D&amp;CC=US&amp;NR=2014206919A1&amp;KC=A1","US2014206919.A1")</f>
        <v>US2014206919.A1</v>
      </c>
      <c r="Q296" s="26" t="str">
        <f>HYPERLINK("http://worldwide.espacenet.com/publicationDetails/biblio?DB=EPODOC&amp;adjacent=true&amp;locale=en_EP&amp;FT=D&amp;CC=US&amp;NR=8569558B1&amp;KC=B1","US8569558.B1")</f>
        <v>US8569558.B1</v>
      </c>
      <c r="R296" s="26" t="str">
        <f>HYPERLINK("http://worldwide.espacenet.com/publicationDetails/biblio?DB=EPODOC&amp;adjacent=true&amp;locale=en_EP&amp;FT=D&amp;CC=US&amp;NR=8697927B1&amp;KC=B1","US8697927.B1")</f>
        <v>US8697927.B1</v>
      </c>
      <c r="S296" s="26" t="str">
        <f>HYPERLINK("http://worldwide.espacenet.com/publicationDetails/biblio?DB=EPODOC&amp;adjacent=true&amp;locale=en_EP&amp;FT=D&amp;CC=US&amp;NR=8916738B2&amp;KC=B2","US8916738.B2")</f>
        <v>US8916738.B2</v>
      </c>
    </row>
    <row r="297" spans="1:20" ht="17.100000000000001" customHeight="1" x14ac:dyDescent="0.25">
      <c r="A297" s="16" t="s">
        <v>3797</v>
      </c>
      <c r="B297" s="21" t="s">
        <v>3798</v>
      </c>
      <c r="C297" s="23">
        <v>0.31672480702400202</v>
      </c>
      <c r="D297" s="23">
        <v>0</v>
      </c>
      <c r="E297" s="23">
        <v>0</v>
      </c>
      <c r="F297" s="21">
        <v>0</v>
      </c>
      <c r="G297" s="23">
        <v>2</v>
      </c>
      <c r="H297" s="24">
        <v>37368</v>
      </c>
      <c r="I297" s="23">
        <v>1</v>
      </c>
      <c r="J297" s="22">
        <v>2539107</v>
      </c>
      <c r="K297" s="21" t="s">
        <v>3799</v>
      </c>
      <c r="L297" s="21" t="s">
        <v>3800</v>
      </c>
      <c r="M297" s="21" t="s">
        <v>2942</v>
      </c>
      <c r="N297" s="21" t="s">
        <v>3801</v>
      </c>
      <c r="O297" s="25" t="str">
        <f>HYPERLINK("http://worldwide.espacenet.com/publicationDetails/biblio?DB=EPODOC&amp;adjacent=true&amp;locale=en_EP&amp;FT=D&amp;CC=WO&amp;NR=03089135A1&amp;KC=A1","WO03089135.A1")</f>
        <v>WO03089135.A1</v>
      </c>
      <c r="P297" s="25" t="str">
        <f>HYPERLINK("http://worldwide.espacenet.com/publicationDetails/biblio?DB=EPODOC&amp;adjacent=true&amp;locale=en_EP&amp;FT=D&amp;CC=AU&amp;NR=2002306421A1&amp;KC=A1","AU2002306421.A1")</f>
        <v>AU2002306421.A1</v>
      </c>
      <c r="Q297" s="26" t="str">
        <f>HYPERLINK("http://worldwide.espacenet.com/publicationDetails/biblio?DB=EPODOC&amp;adjacent=true&amp;locale=en_EP&amp;FT=D&amp;CC=AU&amp;NR=2002306421A8&amp;KC=A8","AU2002306421.A8")</f>
        <v>AU2002306421.A8</v>
      </c>
      <c r="R297" s="26" t="str">
        <f>HYPERLINK("http://worldwide.espacenet.com/publicationDetails/biblio?DB=EPODOC&amp;adjacent=true&amp;locale=en_EP&amp;FT=D&amp;CC=WO&amp;NR=03089135A1&amp;KC=A1","WO03089135.A1")</f>
        <v>WO03089135.A1</v>
      </c>
    </row>
    <row r="298" spans="1:20" ht="17.100000000000001" customHeight="1" x14ac:dyDescent="0.25">
      <c r="A298" s="16" t="s">
        <v>3802</v>
      </c>
      <c r="B298" s="21" t="s">
        <v>3803</v>
      </c>
      <c r="C298" s="23">
        <v>0.74180108308792103</v>
      </c>
      <c r="D298" s="23">
        <v>2.8297369480133101</v>
      </c>
      <c r="E298" s="23">
        <v>2.0991020202636701</v>
      </c>
      <c r="F298" s="21">
        <v>2.0991020202636701</v>
      </c>
      <c r="G298" s="23">
        <v>1</v>
      </c>
      <c r="H298" s="24">
        <v>42488</v>
      </c>
      <c r="I298" s="23">
        <v>3</v>
      </c>
      <c r="J298" s="22">
        <v>485641273</v>
      </c>
      <c r="K298" s="21" t="s">
        <v>3804</v>
      </c>
      <c r="L298" s="21" t="s">
        <v>3789</v>
      </c>
      <c r="M298" s="21" t="s">
        <v>2957</v>
      </c>
      <c r="N298" s="21" t="s">
        <v>3316</v>
      </c>
      <c r="O298" s="25" t="str">
        <f>HYPERLINK("http://worldwide.espacenet.com/publicationDetails/biblio?DB=EPODOC&amp;adjacent=true&amp;locale=en_EP&amp;FT=D&amp;CC=WO&amp;NR=2017187873A1&amp;KC=A1","WO2017187873.A1")</f>
        <v>WO2017187873.A1</v>
      </c>
      <c r="P298" s="25" t="str">
        <f>HYPERLINK("http://worldwide.espacenet.com/publicationDetails/biblio?DB=EPODOC&amp;adjacent=true&amp;locale=en_EP&amp;FT=D&amp;CC=CN&amp;NR=109071377A&amp;KC=A","CN109071377.A")</f>
        <v>CN109071377.A</v>
      </c>
      <c r="Q298" s="26" t="str">
        <f>HYPERLINK("http://worldwide.espacenet.com/publicationDetails/biblio?DB=EPODOC&amp;adjacent=true&amp;locale=en_EP&amp;FT=D&amp;CC=JP&amp;NR=WO2017187873A1&amp;KC=A1","JPWO2017187873.A1")</f>
        <v>JPWO2017187873.A1</v>
      </c>
      <c r="R298" s="26" t="str">
        <f>HYPERLINK("http://worldwide.espacenet.com/publicationDetails/biblio?DB=EPODOC&amp;adjacent=true&amp;locale=en_EP&amp;FT=D&amp;CC=TW&amp;NR=201739509A&amp;KC=A","TW201739509.A")</f>
        <v>TW201739509.A</v>
      </c>
      <c r="S298" s="26" t="str">
        <f>HYPERLINK("http://worldwide.espacenet.com/publicationDetails/biblio?DB=EPODOC&amp;adjacent=true&amp;locale=en_EP&amp;FT=D&amp;CC=TW&amp;NR=I625163B&amp;KC=B","TWI625163.B")</f>
        <v>TWI625163.B</v>
      </c>
      <c r="T298" s="26" t="str">
        <f>HYPERLINK("http://worldwide.espacenet.com/publicationDetails/biblio?DB=EPODOC&amp;adjacent=true&amp;locale=en_EP&amp;FT=D&amp;CC=WO&amp;NR=2017187873A1&amp;KC=A1","WO2017187873.A1")</f>
        <v>WO2017187873.A1</v>
      </c>
    </row>
    <row r="299" spans="1:20" ht="39.75" customHeight="1" x14ac:dyDescent="0.25">
      <c r="A299" s="16" t="s">
        <v>3805</v>
      </c>
      <c r="B299" s="21" t="s">
        <v>3806</v>
      </c>
      <c r="C299" s="23">
        <v>1.1804016828537001</v>
      </c>
      <c r="D299" s="23">
        <v>2.8222448825836199</v>
      </c>
      <c r="E299" s="23">
        <v>3.3313825130462602</v>
      </c>
      <c r="F299" s="21">
        <v>3.3313825130462602</v>
      </c>
      <c r="G299" s="23">
        <v>0</v>
      </c>
      <c r="H299" s="24">
        <v>42695</v>
      </c>
      <c r="I299" s="23">
        <v>1</v>
      </c>
      <c r="J299" s="22">
        <v>487236499</v>
      </c>
      <c r="K299" s="21"/>
      <c r="L299" s="21" t="s">
        <v>3694</v>
      </c>
      <c r="M299" s="21" t="s">
        <v>3077</v>
      </c>
      <c r="N299" s="21" t="s">
        <v>3003</v>
      </c>
      <c r="O299" s="25" t="str">
        <f>HYPERLINK("http://worldwide.espacenet.com/publicationDetails/biblio?DB=EPODOC&amp;adjacent=true&amp;locale=en_EP&amp;FT=D&amp;CC=WO&amp;NR=2018094353A1&amp;KC=A1","WO2018094353.A1")</f>
        <v>WO2018094353.A1</v>
      </c>
      <c r="P299" s="25" t="str">
        <f>HYPERLINK("http://worldwide.espacenet.com/publicationDetails/biblio?DB=EPODOC&amp;adjacent=true&amp;locale=en_EP&amp;FT=D&amp;CC=WO&amp;NR=2018094353A1&amp;KC=A1","WO2018094353.A1")</f>
        <v>WO2018094353.A1</v>
      </c>
      <c r="Q299" s="26" t="str">
        <f>HYPERLINK("http://worldwide.espacenet.com/publicationDetails/biblio?DB=EPODOC&amp;adjacent=true&amp;locale=en_EP&amp;FT=D&amp;CC=WO&amp;NR=2018094353A9&amp;KC=A9","WO2018094353.A9")</f>
        <v>WO2018094353.A9</v>
      </c>
    </row>
    <row r="300" spans="1:20" x14ac:dyDescent="0.25">
      <c r="B300" s="21"/>
      <c r="C300" s="23"/>
      <c r="D300" s="23"/>
      <c r="E300" s="23"/>
      <c r="F300" s="21"/>
      <c r="G300" s="23"/>
      <c r="H300" s="24"/>
      <c r="I300" s="23"/>
      <c r="K300" s="21"/>
      <c r="L300" s="21"/>
      <c r="M300" s="21"/>
      <c r="N300" s="21"/>
      <c r="P300" s="21"/>
    </row>
  </sheetData>
  <conditionalFormatting sqref="E3:F300">
    <cfRule type="dataBar" priority="1">
      <dataBar>
        <cfvo type="min"/>
        <cfvo type="max"/>
        <color rgb="FFFFAD09"/>
      </dataBar>
    </cfRule>
  </conditionalFormatting>
  <conditionalFormatting sqref="D3:D300">
    <cfRule type="dataBar" priority="2">
      <dataBar>
        <cfvo type="min"/>
        <cfvo type="max"/>
        <color rgb="FF5DCC5B"/>
      </dataBar>
    </cfRule>
  </conditionalFormatting>
  <conditionalFormatting sqref="I3:I300 G3:G300">
    <cfRule type="dataBar" priority="3">
      <dataBar>
        <cfvo type="min"/>
        <cfvo type="max"/>
        <color rgb="FF1F77B4"/>
      </dataBar>
    </cfRule>
  </conditionalFormatting>
  <conditionalFormatting sqref="C3:C300">
    <cfRule type="dataBar" priority="4">
      <dataBar>
        <cfvo type="min"/>
        <cfvo type="max"/>
        <color rgb="FF5292D1"/>
      </dataBar>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6"/>
  <sheetViews>
    <sheetView workbookViewId="0"/>
  </sheetViews>
  <sheetFormatPr defaultRowHeight="24.95" customHeight="1" x14ac:dyDescent="0.25"/>
  <cols>
    <col min="1" max="1" width="29.5703125" customWidth="1"/>
    <col min="2" max="2" width="39" customWidth="1"/>
    <col min="3" max="3" width="23" customWidth="1"/>
    <col min="4" max="9" width="39" customWidth="1"/>
  </cols>
  <sheetData>
    <row r="1" spans="1:10" ht="24.95" customHeight="1" x14ac:dyDescent="0.25">
      <c r="A1" s="1" t="s">
        <v>2</v>
      </c>
      <c r="B1" s="1" t="s">
        <v>2920</v>
      </c>
      <c r="C1" s="27" t="s">
        <v>2921</v>
      </c>
      <c r="D1" s="1" t="s">
        <v>3</v>
      </c>
      <c r="E1" s="1" t="s">
        <v>4</v>
      </c>
      <c r="F1" s="28" t="s">
        <v>5</v>
      </c>
      <c r="G1" s="1" t="s">
        <v>6</v>
      </c>
      <c r="H1" s="1" t="s">
        <v>7</v>
      </c>
      <c r="I1" s="1" t="s">
        <v>8</v>
      </c>
      <c r="J1" s="1" t="s">
        <v>2517</v>
      </c>
    </row>
    <row r="2" spans="1:10" ht="159.94999999999999" customHeight="1" x14ac:dyDescent="0.25">
      <c r="A2" s="2" t="s">
        <v>71</v>
      </c>
      <c r="B2" s="2" t="s">
        <v>69</v>
      </c>
      <c r="C2" s="2" t="s">
        <v>70</v>
      </c>
      <c r="D2" s="2" t="s">
        <v>72</v>
      </c>
      <c r="E2" s="2" t="s">
        <v>73</v>
      </c>
      <c r="F2" s="2" t="s">
        <v>74</v>
      </c>
      <c r="G2" s="2" t="s">
        <v>75</v>
      </c>
      <c r="H2" s="2" t="s">
        <v>76</v>
      </c>
      <c r="I2" s="2" t="s">
        <v>77</v>
      </c>
      <c r="J2">
        <v>1</v>
      </c>
    </row>
    <row r="3" spans="1:10" ht="159.94999999999999" customHeight="1" x14ac:dyDescent="0.25">
      <c r="A3" s="2" t="s">
        <v>1219</v>
      </c>
      <c r="B3" s="2" t="s">
        <v>1217</v>
      </c>
      <c r="C3" s="2" t="s">
        <v>1218</v>
      </c>
      <c r="D3" s="2" t="s">
        <v>1220</v>
      </c>
      <c r="E3" s="2" t="s">
        <v>1221</v>
      </c>
      <c r="F3" s="2" t="s">
        <v>1222</v>
      </c>
      <c r="G3" s="2" t="s">
        <v>1223</v>
      </c>
      <c r="H3" s="2" t="s">
        <v>48</v>
      </c>
      <c r="I3" s="2" t="s">
        <v>1224</v>
      </c>
      <c r="J3">
        <v>0</v>
      </c>
    </row>
    <row r="4" spans="1:10" ht="159.94999999999999" customHeight="1" x14ac:dyDescent="0.25">
      <c r="A4" s="2" t="s">
        <v>1322</v>
      </c>
      <c r="B4" s="2" t="s">
        <v>1320</v>
      </c>
      <c r="C4" s="2" t="s">
        <v>1321</v>
      </c>
      <c r="D4" s="2" t="s">
        <v>1323</v>
      </c>
      <c r="E4" s="2" t="s">
        <v>1324</v>
      </c>
      <c r="F4" s="2" t="s">
        <v>1325</v>
      </c>
      <c r="G4" s="2" t="s">
        <v>1326</v>
      </c>
      <c r="H4" s="2" t="s">
        <v>697</v>
      </c>
      <c r="I4" s="2" t="s">
        <v>1327</v>
      </c>
      <c r="J4">
        <v>0</v>
      </c>
    </row>
    <row r="5" spans="1:10" ht="159.94999999999999" customHeight="1" x14ac:dyDescent="0.25">
      <c r="A5" s="2" t="s">
        <v>1330</v>
      </c>
      <c r="B5" s="2" t="s">
        <v>1328</v>
      </c>
      <c r="C5" s="2" t="s">
        <v>1329</v>
      </c>
      <c r="D5" s="2" t="s">
        <v>1331</v>
      </c>
      <c r="E5" s="2" t="s">
        <v>1332</v>
      </c>
      <c r="F5" s="2" t="s">
        <v>1333</v>
      </c>
      <c r="G5" s="2" t="s">
        <v>1334</v>
      </c>
      <c r="H5" s="2" t="s">
        <v>56</v>
      </c>
      <c r="I5" s="2" t="s">
        <v>1335</v>
      </c>
      <c r="J5">
        <v>0</v>
      </c>
    </row>
    <row r="6" spans="1:10" ht="24.95" customHeight="1" x14ac:dyDescent="0.25">
      <c r="A6" s="2" t="s">
        <v>1294</v>
      </c>
      <c r="B6" s="2" t="s">
        <v>1292</v>
      </c>
      <c r="C6" s="2" t="s">
        <v>1293</v>
      </c>
      <c r="D6" s="2" t="s">
        <v>1295</v>
      </c>
      <c r="E6" s="2" t="s">
        <v>1296</v>
      </c>
      <c r="F6" s="2" t="s">
        <v>1297</v>
      </c>
      <c r="G6" s="2" t="s">
        <v>1298</v>
      </c>
      <c r="H6" s="2" t="s">
        <v>1299</v>
      </c>
      <c r="I6" s="2" t="s">
        <v>1300</v>
      </c>
      <c r="J6">
        <v>0</v>
      </c>
    </row>
    <row r="7" spans="1:10" ht="24.95" customHeight="1" x14ac:dyDescent="0.25">
      <c r="A7" s="2" t="s">
        <v>1174</v>
      </c>
      <c r="B7" s="2" t="s">
        <v>1172</v>
      </c>
      <c r="C7" s="2" t="s">
        <v>1173</v>
      </c>
      <c r="D7" s="2" t="s">
        <v>1175</v>
      </c>
      <c r="E7" s="2" t="s">
        <v>13</v>
      </c>
      <c r="F7" s="2" t="s">
        <v>1176</v>
      </c>
      <c r="G7" s="2" t="s">
        <v>1177</v>
      </c>
      <c r="H7" s="2" t="s">
        <v>999</v>
      </c>
      <c r="I7" s="2" t="s">
        <v>1178</v>
      </c>
      <c r="J7">
        <v>0</v>
      </c>
    </row>
    <row r="8" spans="1:10" ht="24.95" customHeight="1" x14ac:dyDescent="0.25">
      <c r="A8" s="2" t="s">
        <v>1129</v>
      </c>
      <c r="B8" s="2" t="s">
        <v>1127</v>
      </c>
      <c r="C8" s="2" t="s">
        <v>1128</v>
      </c>
      <c r="D8" s="2" t="s">
        <v>1130</v>
      </c>
      <c r="E8" s="2" t="s">
        <v>145</v>
      </c>
      <c r="F8" s="2" t="s">
        <v>1131</v>
      </c>
      <c r="G8" s="2" t="s">
        <v>1132</v>
      </c>
      <c r="H8" s="2" t="s">
        <v>1133</v>
      </c>
      <c r="I8" s="2" t="s">
        <v>1134</v>
      </c>
      <c r="J8">
        <v>0</v>
      </c>
    </row>
    <row r="9" spans="1:10" ht="159.94999999999999" customHeight="1" x14ac:dyDescent="0.25">
      <c r="A9" s="2" t="s">
        <v>1123</v>
      </c>
      <c r="B9" s="2" t="s">
        <v>1121</v>
      </c>
      <c r="C9" s="2" t="s">
        <v>1122</v>
      </c>
      <c r="D9" s="2" t="s">
        <v>1117</v>
      </c>
      <c r="E9" s="2" t="s">
        <v>13</v>
      </c>
      <c r="F9" s="2" t="s">
        <v>1124</v>
      </c>
      <c r="G9" s="2" t="s">
        <v>1125</v>
      </c>
      <c r="H9" s="2" t="s">
        <v>725</v>
      </c>
      <c r="I9" s="2" t="s">
        <v>1126</v>
      </c>
      <c r="J9">
        <v>0</v>
      </c>
    </row>
    <row r="10" spans="1:10" ht="24.95" customHeight="1" x14ac:dyDescent="0.25">
      <c r="A10" s="2" t="s">
        <v>1116</v>
      </c>
      <c r="B10" s="2" t="s">
        <v>1114</v>
      </c>
      <c r="C10" s="2" t="s">
        <v>1115</v>
      </c>
      <c r="D10" s="2" t="s">
        <v>1117</v>
      </c>
      <c r="E10" s="2" t="s">
        <v>13</v>
      </c>
      <c r="F10" s="2" t="s">
        <v>1118</v>
      </c>
      <c r="G10" s="2" t="s">
        <v>1119</v>
      </c>
      <c r="H10" s="2" t="s">
        <v>265</v>
      </c>
      <c r="I10" s="2" t="s">
        <v>1120</v>
      </c>
      <c r="J10">
        <v>0</v>
      </c>
    </row>
    <row r="11" spans="1:10" ht="24.95" customHeight="1" x14ac:dyDescent="0.25">
      <c r="A11" s="2" t="s">
        <v>1137</v>
      </c>
      <c r="B11" s="2" t="s">
        <v>1135</v>
      </c>
      <c r="C11" s="2" t="s">
        <v>1136</v>
      </c>
      <c r="D11" s="2" t="s">
        <v>1138</v>
      </c>
      <c r="E11" s="2" t="s">
        <v>1139</v>
      </c>
      <c r="F11" s="2" t="s">
        <v>1140</v>
      </c>
      <c r="G11" s="2" t="s">
        <v>1141</v>
      </c>
      <c r="H11" s="2" t="s">
        <v>92</v>
      </c>
      <c r="I11" s="2" t="s">
        <v>1142</v>
      </c>
      <c r="J11">
        <v>0</v>
      </c>
    </row>
    <row r="12" spans="1:10" ht="159.94999999999999" customHeight="1" x14ac:dyDescent="0.25">
      <c r="A12" s="2" t="s">
        <v>1092</v>
      </c>
      <c r="B12" s="2" t="s">
        <v>1090</v>
      </c>
      <c r="C12" s="2" t="s">
        <v>1091</v>
      </c>
      <c r="D12" s="2" t="s">
        <v>1093</v>
      </c>
      <c r="E12" s="2" t="s">
        <v>1070</v>
      </c>
      <c r="F12" s="2" t="s">
        <v>1094</v>
      </c>
      <c r="G12" s="2" t="s">
        <v>1095</v>
      </c>
      <c r="H12" s="2" t="s">
        <v>39</v>
      </c>
      <c r="I12" s="2" t="s">
        <v>1096</v>
      </c>
      <c r="J12">
        <v>0</v>
      </c>
    </row>
    <row r="13" spans="1:10" ht="24.95" customHeight="1" x14ac:dyDescent="0.25">
      <c r="A13" s="2" t="s">
        <v>43</v>
      </c>
      <c r="B13" s="2" t="s">
        <v>41</v>
      </c>
      <c r="C13" s="2" t="s">
        <v>42</v>
      </c>
      <c r="D13" s="2" t="s">
        <v>44</v>
      </c>
      <c r="E13" s="2" t="s">
        <v>45</v>
      </c>
      <c r="F13" s="2" t="s">
        <v>46</v>
      </c>
      <c r="G13" s="2" t="s">
        <v>47</v>
      </c>
      <c r="H13" s="2" t="s">
        <v>48</v>
      </c>
      <c r="I13" s="2" t="s">
        <v>49</v>
      </c>
      <c r="J13">
        <v>1</v>
      </c>
    </row>
    <row r="14" spans="1:10" ht="24.95" customHeight="1" x14ac:dyDescent="0.25">
      <c r="A14" s="2" t="s">
        <v>34</v>
      </c>
      <c r="B14" s="2" t="s">
        <v>32</v>
      </c>
      <c r="C14" s="2" t="s">
        <v>33</v>
      </c>
      <c r="D14" s="2" t="s">
        <v>35</v>
      </c>
      <c r="E14" s="2" t="s">
        <v>36</v>
      </c>
      <c r="F14" s="2" t="s">
        <v>37</v>
      </c>
      <c r="G14" s="2" t="s">
        <v>38</v>
      </c>
      <c r="H14" s="2" t="s">
        <v>39</v>
      </c>
      <c r="I14" s="2" t="s">
        <v>40</v>
      </c>
      <c r="J14">
        <v>0</v>
      </c>
    </row>
    <row r="15" spans="1:10" ht="24.95" customHeight="1" x14ac:dyDescent="0.25">
      <c r="A15" s="2" t="s">
        <v>80</v>
      </c>
      <c r="B15" s="2" t="s">
        <v>78</v>
      </c>
      <c r="C15" s="2" t="s">
        <v>79</v>
      </c>
      <c r="D15" s="2" t="s">
        <v>81</v>
      </c>
      <c r="E15" s="2" t="s">
        <v>45</v>
      </c>
      <c r="F15" s="2" t="s">
        <v>82</v>
      </c>
      <c r="G15" s="2" t="s">
        <v>83</v>
      </c>
      <c r="H15" s="2" t="s">
        <v>76</v>
      </c>
      <c r="I15" s="2" t="s">
        <v>84</v>
      </c>
      <c r="J15">
        <v>1</v>
      </c>
    </row>
    <row r="16" spans="1:10" ht="24.95" customHeight="1" x14ac:dyDescent="0.25">
      <c r="A16" s="2" t="s">
        <v>737</v>
      </c>
      <c r="B16" s="2" t="s">
        <v>735</v>
      </c>
      <c r="C16" s="2" t="s">
        <v>736</v>
      </c>
      <c r="D16" s="2" t="s">
        <v>738</v>
      </c>
      <c r="E16" s="2" t="s">
        <v>739</v>
      </c>
      <c r="F16" s="2" t="s">
        <v>740</v>
      </c>
      <c r="G16" s="2" t="s">
        <v>741</v>
      </c>
      <c r="H16" s="2" t="s">
        <v>120</v>
      </c>
      <c r="I16" s="2" t="s">
        <v>742</v>
      </c>
      <c r="J16">
        <v>1</v>
      </c>
    </row>
    <row r="17" spans="1:10" ht="159.94999999999999" customHeight="1" x14ac:dyDescent="0.25">
      <c r="A17" s="2" t="s">
        <v>432</v>
      </c>
      <c r="B17" s="2" t="s">
        <v>430</v>
      </c>
      <c r="C17" s="2" t="s">
        <v>431</v>
      </c>
      <c r="D17" s="2" t="s">
        <v>433</v>
      </c>
      <c r="E17" s="2" t="s">
        <v>327</v>
      </c>
      <c r="F17" s="2" t="s">
        <v>434</v>
      </c>
      <c r="G17" s="2" t="s">
        <v>435</v>
      </c>
      <c r="H17" s="2" t="s">
        <v>120</v>
      </c>
      <c r="I17" s="2" t="s">
        <v>436</v>
      </c>
      <c r="J17">
        <v>1</v>
      </c>
    </row>
    <row r="18" spans="1:10" ht="24.95" customHeight="1" x14ac:dyDescent="0.25">
      <c r="A18" s="2" t="s">
        <v>325</v>
      </c>
      <c r="B18" s="2" t="s">
        <v>323</v>
      </c>
      <c r="C18" s="2" t="s">
        <v>324</v>
      </c>
      <c r="D18" s="2" t="s">
        <v>326</v>
      </c>
      <c r="E18" s="2" t="s">
        <v>327</v>
      </c>
      <c r="F18" s="2" t="s">
        <v>328</v>
      </c>
      <c r="G18" s="2" t="s">
        <v>329</v>
      </c>
      <c r="H18" s="2" t="s">
        <v>97</v>
      </c>
      <c r="I18" s="2" t="s">
        <v>330</v>
      </c>
      <c r="J18">
        <v>1</v>
      </c>
    </row>
    <row r="19" spans="1:10" ht="24.95" customHeight="1" x14ac:dyDescent="0.25">
      <c r="A19" s="2" t="s">
        <v>283</v>
      </c>
      <c r="B19" s="2" t="s">
        <v>281</v>
      </c>
      <c r="C19" s="2" t="s">
        <v>282</v>
      </c>
      <c r="D19" s="2" t="s">
        <v>284</v>
      </c>
      <c r="E19" s="2" t="s">
        <v>285</v>
      </c>
      <c r="F19" s="2" t="s">
        <v>286</v>
      </c>
      <c r="G19" s="2" t="s">
        <v>287</v>
      </c>
      <c r="H19" s="2" t="s">
        <v>97</v>
      </c>
      <c r="I19" s="2" t="s">
        <v>288</v>
      </c>
      <c r="J19">
        <v>1</v>
      </c>
    </row>
    <row r="20" spans="1:10" ht="24.95" customHeight="1" x14ac:dyDescent="0.25">
      <c r="A20" s="2" t="s">
        <v>924</v>
      </c>
      <c r="B20" s="2" t="s">
        <v>923</v>
      </c>
      <c r="C20" s="2" t="s">
        <v>441</v>
      </c>
      <c r="D20" s="2" t="s">
        <v>925</v>
      </c>
      <c r="E20" s="2" t="s">
        <v>273</v>
      </c>
      <c r="F20" s="2" t="s">
        <v>926</v>
      </c>
      <c r="G20" s="2" t="s">
        <v>55</v>
      </c>
      <c r="H20" s="2" t="s">
        <v>921</v>
      </c>
      <c r="I20" s="2" t="s">
        <v>927</v>
      </c>
      <c r="J20">
        <v>1</v>
      </c>
    </row>
    <row r="21" spans="1:10" ht="24.95" customHeight="1" x14ac:dyDescent="0.25">
      <c r="A21" s="2" t="s">
        <v>887</v>
      </c>
      <c r="B21" s="2" t="s">
        <v>886</v>
      </c>
      <c r="C21" s="2" t="s">
        <v>441</v>
      </c>
      <c r="D21" s="2" t="s">
        <v>888</v>
      </c>
      <c r="E21" s="2" t="s">
        <v>889</v>
      </c>
      <c r="F21" s="2" t="s">
        <v>890</v>
      </c>
      <c r="G21" s="2" t="s">
        <v>15</v>
      </c>
      <c r="H21" s="2" t="s">
        <v>891</v>
      </c>
      <c r="I21" s="2" t="s">
        <v>892</v>
      </c>
      <c r="J21">
        <v>0</v>
      </c>
    </row>
    <row r="22" spans="1:10" ht="159.94999999999999" customHeight="1" x14ac:dyDescent="0.25">
      <c r="A22" s="2" t="s">
        <v>871</v>
      </c>
      <c r="B22" s="2" t="s">
        <v>870</v>
      </c>
      <c r="C22" s="2" t="s">
        <v>441</v>
      </c>
      <c r="D22" s="2" t="s">
        <v>872</v>
      </c>
      <c r="E22" s="2" t="s">
        <v>273</v>
      </c>
      <c r="F22" s="2" t="s">
        <v>873</v>
      </c>
      <c r="G22" s="2" t="s">
        <v>55</v>
      </c>
      <c r="H22" s="2" t="s">
        <v>22</v>
      </c>
      <c r="I22" s="2" t="s">
        <v>874</v>
      </c>
      <c r="J22">
        <v>1</v>
      </c>
    </row>
    <row r="23" spans="1:10" ht="24.95" customHeight="1" x14ac:dyDescent="0.25">
      <c r="A23" s="2" t="s">
        <v>829</v>
      </c>
      <c r="B23" s="2" t="s">
        <v>828</v>
      </c>
      <c r="C23" s="2" t="s">
        <v>441</v>
      </c>
      <c r="D23" s="2" t="s">
        <v>830</v>
      </c>
      <c r="E23" s="2" t="s">
        <v>831</v>
      </c>
      <c r="F23" s="2" t="s">
        <v>832</v>
      </c>
      <c r="G23" s="2" t="s">
        <v>15</v>
      </c>
      <c r="H23" s="2" t="s">
        <v>76</v>
      </c>
      <c r="I23" s="2" t="s">
        <v>833</v>
      </c>
      <c r="J23">
        <v>0</v>
      </c>
    </row>
    <row r="24" spans="1:10" ht="24.95" customHeight="1" x14ac:dyDescent="0.25">
      <c r="A24" s="2" t="s">
        <v>815</v>
      </c>
      <c r="B24" s="2" t="s">
        <v>814</v>
      </c>
      <c r="C24" s="2" t="s">
        <v>441</v>
      </c>
      <c r="D24" s="2" t="s">
        <v>816</v>
      </c>
      <c r="E24" s="2" t="s">
        <v>273</v>
      </c>
      <c r="F24" s="2" t="s">
        <v>817</v>
      </c>
      <c r="G24" s="2" t="s">
        <v>55</v>
      </c>
      <c r="H24" s="2" t="s">
        <v>92</v>
      </c>
      <c r="I24" s="2" t="s">
        <v>818</v>
      </c>
      <c r="J24">
        <v>1</v>
      </c>
    </row>
    <row r="25" spans="1:10" ht="24.95" customHeight="1" x14ac:dyDescent="0.25">
      <c r="A25" s="2" t="s">
        <v>881</v>
      </c>
      <c r="B25" s="2" t="s">
        <v>881</v>
      </c>
      <c r="C25" s="2" t="s">
        <v>10</v>
      </c>
      <c r="D25" s="2" t="s">
        <v>882</v>
      </c>
      <c r="E25" s="2" t="s">
        <v>883</v>
      </c>
      <c r="F25" s="2" t="s">
        <v>884</v>
      </c>
      <c r="G25" s="2" t="s">
        <v>15</v>
      </c>
      <c r="H25" s="2" t="s">
        <v>56</v>
      </c>
      <c r="I25" s="2" t="s">
        <v>885</v>
      </c>
      <c r="J25">
        <v>0</v>
      </c>
    </row>
    <row r="26" spans="1:10" ht="24.95" customHeight="1" x14ac:dyDescent="0.25">
      <c r="A26" s="2" t="s">
        <v>876</v>
      </c>
      <c r="B26" s="2" t="s">
        <v>875</v>
      </c>
      <c r="C26" s="2" t="s">
        <v>441</v>
      </c>
      <c r="D26" s="2" t="s">
        <v>877</v>
      </c>
      <c r="E26" s="2" t="s">
        <v>878</v>
      </c>
      <c r="F26" s="2" t="s">
        <v>879</v>
      </c>
      <c r="G26" s="2" t="s">
        <v>55</v>
      </c>
      <c r="H26" s="2" t="s">
        <v>56</v>
      </c>
      <c r="I26" s="2" t="s">
        <v>880</v>
      </c>
      <c r="J26">
        <v>1</v>
      </c>
    </row>
    <row r="27" spans="1:10" ht="24.95" customHeight="1" x14ac:dyDescent="0.25">
      <c r="A27" s="2" t="s">
        <v>844</v>
      </c>
      <c r="B27" s="2" t="s">
        <v>843</v>
      </c>
      <c r="C27" s="2" t="s">
        <v>441</v>
      </c>
      <c r="D27" s="2" t="s">
        <v>836</v>
      </c>
      <c r="E27" s="2" t="s">
        <v>174</v>
      </c>
      <c r="F27" s="2" t="s">
        <v>845</v>
      </c>
      <c r="G27" s="2" t="s">
        <v>55</v>
      </c>
      <c r="H27" s="2" t="s">
        <v>120</v>
      </c>
      <c r="I27" s="2" t="s">
        <v>846</v>
      </c>
      <c r="J27">
        <v>1</v>
      </c>
    </row>
    <row r="28" spans="1:10" ht="24.95" customHeight="1" x14ac:dyDescent="0.25">
      <c r="A28" s="2" t="s">
        <v>835</v>
      </c>
      <c r="B28" s="2" t="s">
        <v>834</v>
      </c>
      <c r="C28" s="2" t="s">
        <v>441</v>
      </c>
      <c r="D28" s="2" t="s">
        <v>836</v>
      </c>
      <c r="E28" s="2" t="s">
        <v>174</v>
      </c>
      <c r="F28" s="2" t="s">
        <v>837</v>
      </c>
      <c r="G28" s="2" t="s">
        <v>55</v>
      </c>
      <c r="H28" s="2" t="s">
        <v>265</v>
      </c>
      <c r="I28" s="2" t="s">
        <v>838</v>
      </c>
      <c r="J28">
        <v>1</v>
      </c>
    </row>
    <row r="29" spans="1:10" ht="24.95" customHeight="1" x14ac:dyDescent="0.25">
      <c r="A29" s="2" t="s">
        <v>840</v>
      </c>
      <c r="B29" s="2" t="s">
        <v>839</v>
      </c>
      <c r="C29" s="2" t="s">
        <v>441</v>
      </c>
      <c r="D29" s="2" t="s">
        <v>836</v>
      </c>
      <c r="E29" s="2" t="s">
        <v>174</v>
      </c>
      <c r="F29" s="2" t="s">
        <v>841</v>
      </c>
      <c r="G29" s="2" t="s">
        <v>55</v>
      </c>
      <c r="H29" s="2" t="s">
        <v>265</v>
      </c>
      <c r="I29" s="2" t="s">
        <v>842</v>
      </c>
      <c r="J29">
        <v>1</v>
      </c>
    </row>
    <row r="30" spans="1:10" ht="24.95" customHeight="1" x14ac:dyDescent="0.25">
      <c r="A30" s="2" t="s">
        <v>854</v>
      </c>
      <c r="B30" s="2" t="s">
        <v>853</v>
      </c>
      <c r="C30" s="2" t="s">
        <v>441</v>
      </c>
      <c r="D30" s="2" t="s">
        <v>836</v>
      </c>
      <c r="E30" s="2" t="s">
        <v>174</v>
      </c>
      <c r="F30" s="2" t="s">
        <v>837</v>
      </c>
      <c r="G30" s="2" t="s">
        <v>55</v>
      </c>
      <c r="H30" s="2" t="s">
        <v>265</v>
      </c>
      <c r="I30" s="2" t="s">
        <v>855</v>
      </c>
      <c r="J30">
        <v>1</v>
      </c>
    </row>
    <row r="31" spans="1:10" ht="24.95" customHeight="1" x14ac:dyDescent="0.25">
      <c r="A31" s="2" t="s">
        <v>850</v>
      </c>
      <c r="B31" s="2" t="s">
        <v>849</v>
      </c>
      <c r="C31" s="2" t="s">
        <v>441</v>
      </c>
      <c r="D31" s="2" t="s">
        <v>836</v>
      </c>
      <c r="E31" s="2" t="s">
        <v>174</v>
      </c>
      <c r="F31" s="2" t="s">
        <v>851</v>
      </c>
      <c r="G31" s="2" t="s">
        <v>55</v>
      </c>
      <c r="H31" s="2" t="s">
        <v>97</v>
      </c>
      <c r="I31" s="2" t="s">
        <v>852</v>
      </c>
      <c r="J31">
        <v>1</v>
      </c>
    </row>
    <row r="32" spans="1:10" ht="24.95" customHeight="1" x14ac:dyDescent="0.25">
      <c r="A32" s="2" t="s">
        <v>856</v>
      </c>
      <c r="B32" s="2" t="s">
        <v>856</v>
      </c>
      <c r="C32" s="2" t="s">
        <v>10</v>
      </c>
      <c r="D32" s="2" t="s">
        <v>836</v>
      </c>
      <c r="E32" s="2" t="s">
        <v>174</v>
      </c>
      <c r="F32" s="2" t="s">
        <v>857</v>
      </c>
      <c r="G32" s="2" t="s">
        <v>15</v>
      </c>
      <c r="H32" s="2" t="s">
        <v>265</v>
      </c>
      <c r="I32" s="2" t="s">
        <v>858</v>
      </c>
      <c r="J32">
        <v>0</v>
      </c>
    </row>
    <row r="33" spans="1:10" ht="24.95" customHeight="1" x14ac:dyDescent="0.25">
      <c r="A33" s="2" t="s">
        <v>847</v>
      </c>
      <c r="B33" s="2" t="s">
        <v>847</v>
      </c>
      <c r="C33" s="2" t="s">
        <v>10</v>
      </c>
      <c r="D33" s="2" t="s">
        <v>836</v>
      </c>
      <c r="E33" s="2" t="s">
        <v>174</v>
      </c>
      <c r="F33" s="2" t="s">
        <v>845</v>
      </c>
      <c r="G33" s="2" t="s">
        <v>15</v>
      </c>
      <c r="H33" s="2" t="s">
        <v>97</v>
      </c>
      <c r="I33" s="2" t="s">
        <v>848</v>
      </c>
      <c r="J33">
        <v>0</v>
      </c>
    </row>
    <row r="34" spans="1:10" ht="24.95" customHeight="1" x14ac:dyDescent="0.25">
      <c r="A34" s="2" t="s">
        <v>821</v>
      </c>
      <c r="B34" s="2" t="s">
        <v>819</v>
      </c>
      <c r="C34" s="2" t="s">
        <v>820</v>
      </c>
      <c r="D34" s="2" t="s">
        <v>822</v>
      </c>
      <c r="E34" s="2" t="s">
        <v>823</v>
      </c>
      <c r="F34" s="2" t="s">
        <v>824</v>
      </c>
      <c r="G34" s="2" t="s">
        <v>825</v>
      </c>
      <c r="H34" s="2" t="s">
        <v>826</v>
      </c>
      <c r="I34" s="2" t="s">
        <v>827</v>
      </c>
      <c r="J34">
        <v>1</v>
      </c>
    </row>
    <row r="35" spans="1:10" ht="24.95" customHeight="1" x14ac:dyDescent="0.25">
      <c r="A35" s="2" t="s">
        <v>804</v>
      </c>
      <c r="B35" s="2" t="s">
        <v>803</v>
      </c>
      <c r="C35" s="2" t="s">
        <v>441</v>
      </c>
      <c r="D35" s="2" t="s">
        <v>800</v>
      </c>
      <c r="E35" s="2" t="s">
        <v>174</v>
      </c>
      <c r="F35" s="2" t="s">
        <v>805</v>
      </c>
      <c r="G35" s="2" t="s">
        <v>55</v>
      </c>
      <c r="H35" s="2" t="s">
        <v>97</v>
      </c>
      <c r="I35" s="2" t="s">
        <v>806</v>
      </c>
      <c r="J35">
        <v>1</v>
      </c>
    </row>
    <row r="36" spans="1:10" ht="24.95" customHeight="1" x14ac:dyDescent="0.25">
      <c r="A36" s="2" t="s">
        <v>799</v>
      </c>
      <c r="B36" s="2" t="s">
        <v>798</v>
      </c>
      <c r="C36" s="2" t="s">
        <v>441</v>
      </c>
      <c r="D36" s="2" t="s">
        <v>800</v>
      </c>
      <c r="E36" s="2" t="s">
        <v>174</v>
      </c>
      <c r="F36" s="2" t="s">
        <v>801</v>
      </c>
      <c r="G36" s="2" t="s">
        <v>55</v>
      </c>
      <c r="H36" s="2" t="s">
        <v>661</v>
      </c>
      <c r="I36" s="2" t="s">
        <v>802</v>
      </c>
      <c r="J36">
        <v>1</v>
      </c>
    </row>
    <row r="37" spans="1:10" ht="24.95" customHeight="1" x14ac:dyDescent="0.25">
      <c r="A37" s="2" t="s">
        <v>760</v>
      </c>
      <c r="B37" s="2" t="s">
        <v>760</v>
      </c>
      <c r="C37" s="2" t="s">
        <v>10</v>
      </c>
      <c r="D37" s="2" t="s">
        <v>761</v>
      </c>
      <c r="E37" s="2" t="s">
        <v>762</v>
      </c>
      <c r="F37" s="2" t="s">
        <v>763</v>
      </c>
      <c r="G37" s="2" t="s">
        <v>15</v>
      </c>
      <c r="H37" s="2" t="s">
        <v>661</v>
      </c>
      <c r="I37" s="2" t="s">
        <v>764</v>
      </c>
      <c r="J37">
        <v>0</v>
      </c>
    </row>
    <row r="38" spans="1:10" ht="24.95" customHeight="1" x14ac:dyDescent="0.25">
      <c r="A38" s="2" t="s">
        <v>794</v>
      </c>
      <c r="B38" s="2" t="s">
        <v>793</v>
      </c>
      <c r="C38" s="2" t="s">
        <v>441</v>
      </c>
      <c r="D38" s="2" t="s">
        <v>795</v>
      </c>
      <c r="E38" s="2" t="s">
        <v>273</v>
      </c>
      <c r="F38" s="2" t="s">
        <v>796</v>
      </c>
      <c r="G38" s="2" t="s">
        <v>55</v>
      </c>
      <c r="H38" s="2" t="s">
        <v>39</v>
      </c>
      <c r="I38" s="2" t="s">
        <v>797</v>
      </c>
      <c r="J38">
        <v>1</v>
      </c>
    </row>
    <row r="39" spans="1:10" ht="24.95" customHeight="1" x14ac:dyDescent="0.25">
      <c r="A39" s="2" t="s">
        <v>723</v>
      </c>
      <c r="B39" s="2" t="s">
        <v>722</v>
      </c>
      <c r="C39" s="2" t="s">
        <v>441</v>
      </c>
      <c r="D39" s="2" t="s">
        <v>724</v>
      </c>
      <c r="E39" s="2" t="s">
        <v>273</v>
      </c>
      <c r="F39" s="2" t="s">
        <v>424</v>
      </c>
      <c r="G39" s="2" t="s">
        <v>55</v>
      </c>
      <c r="H39" s="2" t="s">
        <v>725</v>
      </c>
      <c r="I39" s="2" t="s">
        <v>726</v>
      </c>
      <c r="J39">
        <v>1</v>
      </c>
    </row>
    <row r="40" spans="1:10" ht="24.95" customHeight="1" x14ac:dyDescent="0.25">
      <c r="A40" s="2" t="s">
        <v>789</v>
      </c>
      <c r="B40" s="2" t="s">
        <v>789</v>
      </c>
      <c r="C40" s="2" t="s">
        <v>10</v>
      </c>
      <c r="D40" s="2" t="s">
        <v>790</v>
      </c>
      <c r="E40" s="2" t="s">
        <v>174</v>
      </c>
      <c r="F40" s="2" t="s">
        <v>791</v>
      </c>
      <c r="G40" s="2" t="s">
        <v>15</v>
      </c>
      <c r="H40" s="2" t="s">
        <v>661</v>
      </c>
      <c r="I40" s="2" t="s">
        <v>792</v>
      </c>
      <c r="J40">
        <v>0</v>
      </c>
    </row>
    <row r="41" spans="1:10" ht="24.95" customHeight="1" x14ac:dyDescent="0.25">
      <c r="A41" s="2" t="s">
        <v>786</v>
      </c>
      <c r="B41" s="2" t="s">
        <v>786</v>
      </c>
      <c r="C41" s="2" t="s">
        <v>10</v>
      </c>
      <c r="D41" s="2" t="s">
        <v>783</v>
      </c>
      <c r="E41" s="2" t="s">
        <v>174</v>
      </c>
      <c r="F41" s="2" t="s">
        <v>787</v>
      </c>
      <c r="G41" s="2" t="s">
        <v>15</v>
      </c>
      <c r="H41" s="2" t="s">
        <v>56</v>
      </c>
      <c r="I41" s="2" t="s">
        <v>788</v>
      </c>
      <c r="J41">
        <v>0</v>
      </c>
    </row>
    <row r="42" spans="1:10" ht="24.95" customHeight="1" x14ac:dyDescent="0.25">
      <c r="A42" s="2" t="s">
        <v>782</v>
      </c>
      <c r="B42" s="2" t="s">
        <v>781</v>
      </c>
      <c r="C42" s="2" t="s">
        <v>441</v>
      </c>
      <c r="D42" s="2" t="s">
        <v>783</v>
      </c>
      <c r="E42" s="2" t="s">
        <v>174</v>
      </c>
      <c r="F42" s="2" t="s">
        <v>784</v>
      </c>
      <c r="G42" s="2" t="s">
        <v>55</v>
      </c>
      <c r="H42" s="2" t="s">
        <v>265</v>
      </c>
      <c r="I42" s="2" t="s">
        <v>785</v>
      </c>
      <c r="J42">
        <v>1</v>
      </c>
    </row>
    <row r="43" spans="1:10" ht="24.95" customHeight="1" x14ac:dyDescent="0.25">
      <c r="A43" s="2" t="s">
        <v>719</v>
      </c>
      <c r="B43" s="2" t="s">
        <v>718</v>
      </c>
      <c r="C43" s="2" t="s">
        <v>441</v>
      </c>
      <c r="D43" s="2" t="s">
        <v>715</v>
      </c>
      <c r="E43" s="2" t="s">
        <v>506</v>
      </c>
      <c r="F43" s="2" t="s">
        <v>720</v>
      </c>
      <c r="G43" s="2" t="s">
        <v>55</v>
      </c>
      <c r="H43" s="2" t="s">
        <v>120</v>
      </c>
      <c r="I43" s="2" t="s">
        <v>721</v>
      </c>
      <c r="J43">
        <v>1</v>
      </c>
    </row>
    <row r="44" spans="1:10" ht="24.95" customHeight="1" x14ac:dyDescent="0.25">
      <c r="A44" s="2" t="s">
        <v>714</v>
      </c>
      <c r="B44" s="2" t="s">
        <v>713</v>
      </c>
      <c r="C44" s="2" t="s">
        <v>441</v>
      </c>
      <c r="D44" s="2" t="s">
        <v>715</v>
      </c>
      <c r="E44" s="2" t="s">
        <v>506</v>
      </c>
      <c r="F44" s="2" t="s">
        <v>716</v>
      </c>
      <c r="G44" s="2" t="s">
        <v>55</v>
      </c>
      <c r="H44" s="2" t="s">
        <v>39</v>
      </c>
      <c r="I44" s="2" t="s">
        <v>717</v>
      </c>
      <c r="J44">
        <v>1</v>
      </c>
    </row>
    <row r="45" spans="1:10" ht="24.95" customHeight="1" x14ac:dyDescent="0.25">
      <c r="A45" s="2" t="s">
        <v>756</v>
      </c>
      <c r="B45" s="2" t="s">
        <v>755</v>
      </c>
      <c r="C45" s="2" t="s">
        <v>441</v>
      </c>
      <c r="D45" s="2" t="s">
        <v>757</v>
      </c>
      <c r="E45" s="2" t="s">
        <v>174</v>
      </c>
      <c r="F45" s="2" t="s">
        <v>758</v>
      </c>
      <c r="G45" s="2" t="s">
        <v>55</v>
      </c>
      <c r="H45" s="2" t="s">
        <v>120</v>
      </c>
      <c r="I45" s="2" t="s">
        <v>759</v>
      </c>
      <c r="J45">
        <v>1</v>
      </c>
    </row>
    <row r="46" spans="1:10" ht="24.95" customHeight="1" x14ac:dyDescent="0.25">
      <c r="A46" s="2" t="s">
        <v>700</v>
      </c>
      <c r="B46" s="2" t="s">
        <v>699</v>
      </c>
      <c r="C46" s="2" t="s">
        <v>441</v>
      </c>
      <c r="D46" s="2" t="s">
        <v>701</v>
      </c>
      <c r="E46" s="2" t="s">
        <v>702</v>
      </c>
      <c r="F46" s="2" t="s">
        <v>703</v>
      </c>
      <c r="G46" s="2" t="s">
        <v>55</v>
      </c>
      <c r="H46" s="2" t="s">
        <v>265</v>
      </c>
      <c r="I46" s="2" t="s">
        <v>704</v>
      </c>
      <c r="J46">
        <v>1</v>
      </c>
    </row>
    <row r="47" spans="1:10" ht="24.95" customHeight="1" x14ac:dyDescent="0.25">
      <c r="A47" s="2" t="s">
        <v>488</v>
      </c>
      <c r="B47" s="2" t="s">
        <v>487</v>
      </c>
      <c r="C47" s="2" t="s">
        <v>441</v>
      </c>
      <c r="D47" s="2" t="s">
        <v>124</v>
      </c>
      <c r="E47" s="2" t="s">
        <v>489</v>
      </c>
      <c r="F47" s="2" t="s">
        <v>490</v>
      </c>
      <c r="G47" s="2" t="s">
        <v>55</v>
      </c>
      <c r="H47" s="2" t="s">
        <v>97</v>
      </c>
      <c r="I47" s="2" t="s">
        <v>491</v>
      </c>
      <c r="J47">
        <v>1</v>
      </c>
    </row>
    <row r="48" spans="1:10" ht="24.95" customHeight="1" x14ac:dyDescent="0.25">
      <c r="A48" s="2" t="s">
        <v>709</v>
      </c>
      <c r="B48" s="2" t="s">
        <v>708</v>
      </c>
      <c r="C48" s="2" t="s">
        <v>441</v>
      </c>
      <c r="D48" s="2" t="s">
        <v>710</v>
      </c>
      <c r="E48" s="2" t="s">
        <v>506</v>
      </c>
      <c r="F48" s="2" t="s">
        <v>711</v>
      </c>
      <c r="G48" s="2" t="s">
        <v>55</v>
      </c>
      <c r="H48" s="2" t="s">
        <v>39</v>
      </c>
      <c r="I48" s="2" t="s">
        <v>712</v>
      </c>
      <c r="J48">
        <v>1</v>
      </c>
    </row>
    <row r="49" spans="1:10" ht="24.95" customHeight="1" x14ac:dyDescent="0.25">
      <c r="A49" s="2" t="s">
        <v>694</v>
      </c>
      <c r="B49" s="2" t="s">
        <v>693</v>
      </c>
      <c r="C49" s="2" t="s">
        <v>441</v>
      </c>
      <c r="D49" s="2" t="s">
        <v>695</v>
      </c>
      <c r="E49" s="2" t="s">
        <v>506</v>
      </c>
      <c r="F49" s="2" t="s">
        <v>696</v>
      </c>
      <c r="G49" s="2" t="s">
        <v>55</v>
      </c>
      <c r="H49" s="2" t="s">
        <v>697</v>
      </c>
      <c r="I49" s="2" t="s">
        <v>698</v>
      </c>
      <c r="J49">
        <v>1</v>
      </c>
    </row>
    <row r="50" spans="1:10" ht="24.95" customHeight="1" x14ac:dyDescent="0.25">
      <c r="A50" s="2" t="s">
        <v>681</v>
      </c>
      <c r="B50" s="2" t="s">
        <v>680</v>
      </c>
      <c r="C50" s="2" t="s">
        <v>441</v>
      </c>
      <c r="D50" s="2" t="s">
        <v>682</v>
      </c>
      <c r="E50" s="2" t="s">
        <v>174</v>
      </c>
      <c r="F50" s="2" t="s">
        <v>683</v>
      </c>
      <c r="G50" s="2" t="s">
        <v>55</v>
      </c>
      <c r="H50" s="2" t="s">
        <v>97</v>
      </c>
      <c r="I50" s="2" t="s">
        <v>684</v>
      </c>
      <c r="J50">
        <v>1</v>
      </c>
    </row>
    <row r="51" spans="1:10" ht="24.95" customHeight="1" x14ac:dyDescent="0.25">
      <c r="A51" s="2" t="s">
        <v>676</v>
      </c>
      <c r="B51" s="2" t="s">
        <v>676</v>
      </c>
      <c r="C51" s="2" t="s">
        <v>10</v>
      </c>
      <c r="D51" s="2" t="s">
        <v>677</v>
      </c>
      <c r="E51" s="2" t="s">
        <v>678</v>
      </c>
      <c r="F51" s="2" t="s">
        <v>225</v>
      </c>
      <c r="G51" s="2" t="s">
        <v>15</v>
      </c>
      <c r="H51" s="2" t="s">
        <v>265</v>
      </c>
      <c r="I51" s="2" t="s">
        <v>679</v>
      </c>
      <c r="J51">
        <v>0</v>
      </c>
    </row>
    <row r="52" spans="1:10" ht="24.95" customHeight="1" x14ac:dyDescent="0.25">
      <c r="A52" s="2" t="s">
        <v>672</v>
      </c>
      <c r="B52" s="2" t="s">
        <v>671</v>
      </c>
      <c r="C52" s="2" t="s">
        <v>441</v>
      </c>
      <c r="D52" s="2" t="s">
        <v>673</v>
      </c>
      <c r="E52" s="2" t="s">
        <v>174</v>
      </c>
      <c r="F52" s="2" t="s">
        <v>674</v>
      </c>
      <c r="G52" s="2" t="s">
        <v>55</v>
      </c>
      <c r="H52" s="2" t="s">
        <v>97</v>
      </c>
      <c r="I52" s="2" t="s">
        <v>675</v>
      </c>
      <c r="J52">
        <v>1</v>
      </c>
    </row>
    <row r="53" spans="1:10" ht="24.95" customHeight="1" x14ac:dyDescent="0.25">
      <c r="A53" s="2" t="s">
        <v>659</v>
      </c>
      <c r="B53" s="2" t="s">
        <v>658</v>
      </c>
      <c r="C53" s="2" t="s">
        <v>441</v>
      </c>
      <c r="D53" s="2" t="s">
        <v>660</v>
      </c>
      <c r="E53" s="2" t="s">
        <v>500</v>
      </c>
      <c r="F53" s="2" t="s">
        <v>209</v>
      </c>
      <c r="G53" s="2" t="s">
        <v>55</v>
      </c>
      <c r="H53" s="2" t="s">
        <v>661</v>
      </c>
      <c r="I53" s="2" t="s">
        <v>662</v>
      </c>
      <c r="J53">
        <v>1</v>
      </c>
    </row>
    <row r="54" spans="1:10" ht="24.95" customHeight="1" x14ac:dyDescent="0.25">
      <c r="A54" s="2" t="s">
        <v>654</v>
      </c>
      <c r="B54" s="2" t="s">
        <v>653</v>
      </c>
      <c r="C54" s="2" t="s">
        <v>441</v>
      </c>
      <c r="D54" s="2" t="s">
        <v>655</v>
      </c>
      <c r="E54" s="2" t="s">
        <v>500</v>
      </c>
      <c r="F54" s="2" t="s">
        <v>656</v>
      </c>
      <c r="G54" s="2" t="s">
        <v>55</v>
      </c>
      <c r="H54" s="2" t="s">
        <v>97</v>
      </c>
      <c r="I54" s="2" t="s">
        <v>657</v>
      </c>
      <c r="J54">
        <v>1</v>
      </c>
    </row>
    <row r="55" spans="1:10" ht="24.95" customHeight="1" x14ac:dyDescent="0.25">
      <c r="A55" s="2" t="s">
        <v>644</v>
      </c>
      <c r="B55" s="2" t="s">
        <v>643</v>
      </c>
      <c r="C55" s="2" t="s">
        <v>441</v>
      </c>
      <c r="D55" s="2" t="s">
        <v>640</v>
      </c>
      <c r="E55" s="2" t="s">
        <v>174</v>
      </c>
      <c r="F55" s="2" t="s">
        <v>641</v>
      </c>
      <c r="G55" s="2" t="s">
        <v>55</v>
      </c>
      <c r="H55" s="2" t="s">
        <v>265</v>
      </c>
      <c r="I55" s="2" t="s">
        <v>645</v>
      </c>
      <c r="J55">
        <v>1</v>
      </c>
    </row>
    <row r="56" spans="1:10" ht="24.95" customHeight="1" x14ac:dyDescent="0.25">
      <c r="A56" s="2" t="s">
        <v>639</v>
      </c>
      <c r="B56" s="2" t="s">
        <v>638</v>
      </c>
      <c r="C56" s="2" t="s">
        <v>441</v>
      </c>
      <c r="D56" s="2" t="s">
        <v>640</v>
      </c>
      <c r="E56" s="2" t="s">
        <v>174</v>
      </c>
      <c r="F56" s="2" t="s">
        <v>641</v>
      </c>
      <c r="G56" s="2" t="s">
        <v>55</v>
      </c>
      <c r="H56" s="2" t="s">
        <v>265</v>
      </c>
      <c r="I56" s="2" t="s">
        <v>642</v>
      </c>
      <c r="J56">
        <v>1</v>
      </c>
    </row>
    <row r="57" spans="1:10" ht="24.95" customHeight="1" x14ac:dyDescent="0.25">
      <c r="A57" s="2" t="s">
        <v>635</v>
      </c>
      <c r="B57" s="2" t="s">
        <v>634</v>
      </c>
      <c r="C57" s="2" t="s">
        <v>441</v>
      </c>
      <c r="D57" s="2" t="s">
        <v>623</v>
      </c>
      <c r="E57" s="2" t="s">
        <v>624</v>
      </c>
      <c r="F57" s="2" t="s">
        <v>636</v>
      </c>
      <c r="G57" s="2" t="s">
        <v>55</v>
      </c>
      <c r="H57" s="2" t="s">
        <v>97</v>
      </c>
      <c r="I57" s="2" t="s">
        <v>637</v>
      </c>
      <c r="J57">
        <v>1</v>
      </c>
    </row>
    <row r="58" spans="1:10" ht="24.95" customHeight="1" x14ac:dyDescent="0.25">
      <c r="A58" s="2" t="s">
        <v>622</v>
      </c>
      <c r="B58" s="2" t="s">
        <v>621</v>
      </c>
      <c r="C58" s="2" t="s">
        <v>441</v>
      </c>
      <c r="D58" s="2" t="s">
        <v>623</v>
      </c>
      <c r="E58" s="2" t="s">
        <v>624</v>
      </c>
      <c r="F58" s="2" t="s">
        <v>625</v>
      </c>
      <c r="G58" s="2" t="s">
        <v>55</v>
      </c>
      <c r="H58" s="2" t="s">
        <v>265</v>
      </c>
      <c r="I58" s="2" t="s">
        <v>626</v>
      </c>
      <c r="J58">
        <v>1</v>
      </c>
    </row>
    <row r="59" spans="1:10" ht="24.95" customHeight="1" x14ac:dyDescent="0.25">
      <c r="A59" s="2" t="s">
        <v>602</v>
      </c>
      <c r="B59" s="2" t="s">
        <v>601</v>
      </c>
      <c r="C59" s="2" t="s">
        <v>441</v>
      </c>
      <c r="D59" s="2" t="s">
        <v>567</v>
      </c>
      <c r="E59" s="2" t="s">
        <v>174</v>
      </c>
      <c r="F59" s="2" t="s">
        <v>603</v>
      </c>
      <c r="G59" s="2" t="s">
        <v>55</v>
      </c>
      <c r="H59" s="2" t="s">
        <v>97</v>
      </c>
      <c r="I59" s="2" t="s">
        <v>604</v>
      </c>
      <c r="J59">
        <v>1</v>
      </c>
    </row>
    <row r="60" spans="1:10" ht="24.95" customHeight="1" x14ac:dyDescent="0.25">
      <c r="A60" s="2" t="s">
        <v>618</v>
      </c>
      <c r="B60" s="2" t="s">
        <v>618</v>
      </c>
      <c r="C60" s="2" t="s">
        <v>10</v>
      </c>
      <c r="D60" s="2" t="s">
        <v>567</v>
      </c>
      <c r="E60" s="2" t="s">
        <v>174</v>
      </c>
      <c r="F60" s="2" t="s">
        <v>619</v>
      </c>
      <c r="G60" s="2" t="s">
        <v>15</v>
      </c>
      <c r="H60" s="2" t="s">
        <v>265</v>
      </c>
      <c r="I60" s="2" t="s">
        <v>620</v>
      </c>
      <c r="J60">
        <v>0</v>
      </c>
    </row>
    <row r="61" spans="1:10" ht="24.95" customHeight="1" x14ac:dyDescent="0.25">
      <c r="A61" s="2" t="s">
        <v>615</v>
      </c>
      <c r="B61" s="2" t="s">
        <v>615</v>
      </c>
      <c r="C61" s="2" t="s">
        <v>10</v>
      </c>
      <c r="D61" s="2" t="s">
        <v>567</v>
      </c>
      <c r="E61" s="2" t="s">
        <v>174</v>
      </c>
      <c r="F61" s="2" t="s">
        <v>616</v>
      </c>
      <c r="G61" s="2" t="s">
        <v>15</v>
      </c>
      <c r="H61" s="2" t="s">
        <v>97</v>
      </c>
      <c r="I61" s="2" t="s">
        <v>617</v>
      </c>
      <c r="J61">
        <v>0</v>
      </c>
    </row>
    <row r="62" spans="1:10" ht="24.95" customHeight="1" x14ac:dyDescent="0.25">
      <c r="A62" s="2" t="s">
        <v>594</v>
      </c>
      <c r="B62" s="2" t="s">
        <v>593</v>
      </c>
      <c r="C62" s="2" t="s">
        <v>441</v>
      </c>
      <c r="D62" s="2" t="s">
        <v>567</v>
      </c>
      <c r="E62" s="2" t="s">
        <v>174</v>
      </c>
      <c r="F62" s="2" t="s">
        <v>595</v>
      </c>
      <c r="G62" s="2" t="s">
        <v>55</v>
      </c>
      <c r="H62" s="2" t="s">
        <v>97</v>
      </c>
      <c r="I62" s="2" t="s">
        <v>596</v>
      </c>
      <c r="J62">
        <v>1</v>
      </c>
    </row>
    <row r="63" spans="1:10" ht="24.95" customHeight="1" x14ac:dyDescent="0.25">
      <c r="A63" s="2" t="s">
        <v>587</v>
      </c>
      <c r="B63" s="2" t="s">
        <v>586</v>
      </c>
      <c r="C63" s="2" t="s">
        <v>441</v>
      </c>
      <c r="D63" s="2" t="s">
        <v>567</v>
      </c>
      <c r="E63" s="2" t="s">
        <v>174</v>
      </c>
      <c r="F63" s="2" t="s">
        <v>588</v>
      </c>
      <c r="G63" s="2" t="s">
        <v>55</v>
      </c>
      <c r="H63" s="2" t="s">
        <v>265</v>
      </c>
      <c r="I63" s="2" t="s">
        <v>589</v>
      </c>
      <c r="J63">
        <v>1</v>
      </c>
    </row>
    <row r="64" spans="1:10" ht="24.95" customHeight="1" x14ac:dyDescent="0.25">
      <c r="A64" s="2" t="s">
        <v>609</v>
      </c>
      <c r="B64" s="2" t="s">
        <v>608</v>
      </c>
      <c r="C64" s="2" t="s">
        <v>441</v>
      </c>
      <c r="D64" s="2" t="s">
        <v>567</v>
      </c>
      <c r="E64" s="2" t="s">
        <v>174</v>
      </c>
      <c r="F64" s="2" t="s">
        <v>580</v>
      </c>
      <c r="G64" s="2" t="s">
        <v>55</v>
      </c>
      <c r="H64" s="2" t="s">
        <v>97</v>
      </c>
      <c r="I64" s="2" t="s">
        <v>610</v>
      </c>
      <c r="J64">
        <v>1</v>
      </c>
    </row>
    <row r="65" spans="1:10" ht="24.95" customHeight="1" x14ac:dyDescent="0.25">
      <c r="A65" s="2" t="s">
        <v>606</v>
      </c>
      <c r="B65" s="2" t="s">
        <v>605</v>
      </c>
      <c r="C65" s="2" t="s">
        <v>441</v>
      </c>
      <c r="D65" s="2" t="s">
        <v>567</v>
      </c>
      <c r="E65" s="2" t="s">
        <v>174</v>
      </c>
      <c r="F65" s="2" t="s">
        <v>380</v>
      </c>
      <c r="G65" s="2" t="s">
        <v>55</v>
      </c>
      <c r="H65" s="2" t="s">
        <v>265</v>
      </c>
      <c r="I65" s="2" t="s">
        <v>607</v>
      </c>
      <c r="J65">
        <v>1</v>
      </c>
    </row>
    <row r="66" spans="1:10" ht="24.95" customHeight="1" x14ac:dyDescent="0.25">
      <c r="A66" s="2" t="s">
        <v>591</v>
      </c>
      <c r="B66" s="2" t="s">
        <v>590</v>
      </c>
      <c r="C66" s="2" t="s">
        <v>441</v>
      </c>
      <c r="D66" s="2" t="s">
        <v>567</v>
      </c>
      <c r="E66" s="2" t="s">
        <v>174</v>
      </c>
      <c r="F66" s="2" t="s">
        <v>350</v>
      </c>
      <c r="G66" s="2" t="s">
        <v>55</v>
      </c>
      <c r="H66" s="2" t="s">
        <v>97</v>
      </c>
      <c r="I66" s="2" t="s">
        <v>592</v>
      </c>
      <c r="J66">
        <v>1</v>
      </c>
    </row>
    <row r="67" spans="1:10" ht="24.95" customHeight="1" x14ac:dyDescent="0.25">
      <c r="A67" s="2" t="s">
        <v>579</v>
      </c>
      <c r="B67" s="2" t="s">
        <v>578</v>
      </c>
      <c r="C67" s="2" t="s">
        <v>441</v>
      </c>
      <c r="D67" s="2" t="s">
        <v>567</v>
      </c>
      <c r="E67" s="2" t="s">
        <v>174</v>
      </c>
      <c r="F67" s="2" t="s">
        <v>580</v>
      </c>
      <c r="G67" s="2" t="s">
        <v>55</v>
      </c>
      <c r="H67" s="2" t="s">
        <v>265</v>
      </c>
      <c r="I67" s="2" t="s">
        <v>581</v>
      </c>
      <c r="J67">
        <v>1</v>
      </c>
    </row>
    <row r="68" spans="1:10" ht="24.95" customHeight="1" x14ac:dyDescent="0.25">
      <c r="A68" s="2" t="s">
        <v>573</v>
      </c>
      <c r="B68" s="2" t="s">
        <v>573</v>
      </c>
      <c r="C68" s="2" t="s">
        <v>10</v>
      </c>
      <c r="D68" s="2" t="s">
        <v>567</v>
      </c>
      <c r="E68" s="2" t="s">
        <v>174</v>
      </c>
      <c r="F68" s="2" t="s">
        <v>380</v>
      </c>
      <c r="G68" s="2" t="s">
        <v>15</v>
      </c>
      <c r="H68" s="2" t="s">
        <v>97</v>
      </c>
      <c r="I68" s="2" t="s">
        <v>574</v>
      </c>
      <c r="J68">
        <v>0</v>
      </c>
    </row>
    <row r="69" spans="1:10" ht="24.95" customHeight="1" x14ac:dyDescent="0.25">
      <c r="A69" s="2" t="s">
        <v>612</v>
      </c>
      <c r="B69" s="2" t="s">
        <v>611</v>
      </c>
      <c r="C69" s="2" t="s">
        <v>441</v>
      </c>
      <c r="D69" s="2" t="s">
        <v>567</v>
      </c>
      <c r="E69" s="2" t="s">
        <v>174</v>
      </c>
      <c r="F69" s="2" t="s">
        <v>613</v>
      </c>
      <c r="G69" s="2" t="s">
        <v>55</v>
      </c>
      <c r="H69" s="2" t="s">
        <v>97</v>
      </c>
      <c r="I69" s="2" t="s">
        <v>614</v>
      </c>
      <c r="J69">
        <v>1</v>
      </c>
    </row>
    <row r="70" spans="1:10" ht="24.95" customHeight="1" x14ac:dyDescent="0.25">
      <c r="A70" s="2" t="s">
        <v>571</v>
      </c>
      <c r="B70" s="2" t="s">
        <v>570</v>
      </c>
      <c r="C70" s="2" t="s">
        <v>441</v>
      </c>
      <c r="D70" s="2" t="s">
        <v>567</v>
      </c>
      <c r="E70" s="2" t="s">
        <v>174</v>
      </c>
      <c r="F70" s="2" t="s">
        <v>424</v>
      </c>
      <c r="G70" s="2" t="s">
        <v>55</v>
      </c>
      <c r="H70" s="2" t="s">
        <v>265</v>
      </c>
      <c r="I70" s="2" t="s">
        <v>572</v>
      </c>
      <c r="J70">
        <v>1</v>
      </c>
    </row>
    <row r="71" spans="1:10" ht="24.95" customHeight="1" x14ac:dyDescent="0.25">
      <c r="A71" s="2" t="s">
        <v>583</v>
      </c>
      <c r="B71" s="2" t="s">
        <v>582</v>
      </c>
      <c r="C71" s="2" t="s">
        <v>441</v>
      </c>
      <c r="D71" s="2" t="s">
        <v>567</v>
      </c>
      <c r="E71" s="2" t="s">
        <v>174</v>
      </c>
      <c r="F71" s="2" t="s">
        <v>584</v>
      </c>
      <c r="G71" s="2" t="s">
        <v>55</v>
      </c>
      <c r="H71" s="2" t="s">
        <v>97</v>
      </c>
      <c r="I71" s="2" t="s">
        <v>585</v>
      </c>
      <c r="J71">
        <v>1</v>
      </c>
    </row>
    <row r="72" spans="1:10" ht="24.95" customHeight="1" x14ac:dyDescent="0.25">
      <c r="A72" s="2" t="s">
        <v>575</v>
      </c>
      <c r="B72" s="2" t="s">
        <v>575</v>
      </c>
      <c r="C72" s="2" t="s">
        <v>10</v>
      </c>
      <c r="D72" s="2" t="s">
        <v>567</v>
      </c>
      <c r="E72" s="2" t="s">
        <v>174</v>
      </c>
      <c r="F72" s="2" t="s">
        <v>576</v>
      </c>
      <c r="G72" s="2" t="s">
        <v>15</v>
      </c>
      <c r="H72" s="2" t="s">
        <v>265</v>
      </c>
      <c r="I72" s="2" t="s">
        <v>577</v>
      </c>
      <c r="J72">
        <v>0</v>
      </c>
    </row>
    <row r="73" spans="1:10" ht="24.95" customHeight="1" x14ac:dyDescent="0.25">
      <c r="A73" s="2" t="s">
        <v>598</v>
      </c>
      <c r="B73" s="2" t="s">
        <v>597</v>
      </c>
      <c r="C73" s="2" t="s">
        <v>441</v>
      </c>
      <c r="D73" s="2" t="s">
        <v>567</v>
      </c>
      <c r="E73" s="2" t="s">
        <v>174</v>
      </c>
      <c r="F73" s="2" t="s">
        <v>599</v>
      </c>
      <c r="G73" s="2" t="s">
        <v>55</v>
      </c>
      <c r="H73" s="2" t="s">
        <v>97</v>
      </c>
      <c r="I73" s="2" t="s">
        <v>600</v>
      </c>
      <c r="J73">
        <v>1</v>
      </c>
    </row>
    <row r="74" spans="1:10" ht="24.95" customHeight="1" x14ac:dyDescent="0.25">
      <c r="A74" s="2" t="s">
        <v>566</v>
      </c>
      <c r="B74" s="2" t="s">
        <v>566</v>
      </c>
      <c r="C74" s="2" t="s">
        <v>10</v>
      </c>
      <c r="D74" s="2" t="s">
        <v>567</v>
      </c>
      <c r="E74" s="2" t="s">
        <v>174</v>
      </c>
      <c r="F74" s="2" t="s">
        <v>568</v>
      </c>
      <c r="G74" s="2" t="s">
        <v>55</v>
      </c>
      <c r="H74" s="2" t="s">
        <v>97</v>
      </c>
      <c r="I74" s="2" t="s">
        <v>569</v>
      </c>
      <c r="J74">
        <v>1</v>
      </c>
    </row>
    <row r="75" spans="1:10" ht="24.95" customHeight="1" x14ac:dyDescent="0.25">
      <c r="A75" s="2" t="s">
        <v>548</v>
      </c>
      <c r="B75" s="2" t="s">
        <v>547</v>
      </c>
      <c r="C75" s="2" t="s">
        <v>441</v>
      </c>
      <c r="D75" s="2" t="s">
        <v>549</v>
      </c>
      <c r="E75" s="2" t="s">
        <v>526</v>
      </c>
      <c r="F75" s="2" t="s">
        <v>550</v>
      </c>
      <c r="G75" s="2" t="s">
        <v>55</v>
      </c>
      <c r="H75" s="2" t="s">
        <v>97</v>
      </c>
      <c r="I75" s="2" t="s">
        <v>551</v>
      </c>
      <c r="J75">
        <v>1</v>
      </c>
    </row>
    <row r="76" spans="1:10" ht="24.95" customHeight="1" x14ac:dyDescent="0.25">
      <c r="A76" s="2" t="s">
        <v>543</v>
      </c>
      <c r="B76" s="2" t="s">
        <v>542</v>
      </c>
      <c r="C76" s="2" t="s">
        <v>441</v>
      </c>
      <c r="D76" s="2" t="s">
        <v>544</v>
      </c>
      <c r="E76" s="2" t="s">
        <v>526</v>
      </c>
      <c r="F76" s="2" t="s">
        <v>545</v>
      </c>
      <c r="G76" s="2" t="s">
        <v>55</v>
      </c>
      <c r="H76" s="2" t="s">
        <v>120</v>
      </c>
      <c r="I76" s="2" t="s">
        <v>546</v>
      </c>
      <c r="J76">
        <v>1</v>
      </c>
    </row>
    <row r="77" spans="1:10" ht="24.95" customHeight="1" x14ac:dyDescent="0.25">
      <c r="A77" s="2" t="s">
        <v>537</v>
      </c>
      <c r="B77" s="2" t="s">
        <v>536</v>
      </c>
      <c r="C77" s="2" t="s">
        <v>441</v>
      </c>
      <c r="D77" s="2" t="s">
        <v>538</v>
      </c>
      <c r="E77" s="2" t="s">
        <v>539</v>
      </c>
      <c r="F77" s="2" t="s">
        <v>540</v>
      </c>
      <c r="G77" s="2" t="s">
        <v>55</v>
      </c>
      <c r="H77" s="2" t="s">
        <v>39</v>
      </c>
      <c r="I77" s="2" t="s">
        <v>541</v>
      </c>
      <c r="J77">
        <v>1</v>
      </c>
    </row>
    <row r="78" spans="1:10" ht="24.95" customHeight="1" x14ac:dyDescent="0.25">
      <c r="A78" s="2" t="s">
        <v>524</v>
      </c>
      <c r="B78" s="2" t="s">
        <v>523</v>
      </c>
      <c r="C78" s="2" t="s">
        <v>441</v>
      </c>
      <c r="D78" s="2" t="s">
        <v>525</v>
      </c>
      <c r="E78" s="2" t="s">
        <v>526</v>
      </c>
      <c r="F78" s="2" t="s">
        <v>372</v>
      </c>
      <c r="G78" s="2" t="s">
        <v>55</v>
      </c>
      <c r="H78" s="2" t="s">
        <v>97</v>
      </c>
      <c r="I78" s="2" t="s">
        <v>527</v>
      </c>
      <c r="J78">
        <v>1</v>
      </c>
    </row>
    <row r="79" spans="1:10" ht="24.95" customHeight="1" x14ac:dyDescent="0.25">
      <c r="A79" s="2" t="s">
        <v>515</v>
      </c>
      <c r="B79" s="2" t="s">
        <v>514</v>
      </c>
      <c r="C79" s="2" t="s">
        <v>441</v>
      </c>
      <c r="D79" s="2" t="s">
        <v>516</v>
      </c>
      <c r="E79" s="2" t="s">
        <v>174</v>
      </c>
      <c r="F79" s="2" t="s">
        <v>517</v>
      </c>
      <c r="G79" s="2" t="s">
        <v>55</v>
      </c>
      <c r="H79" s="2" t="s">
        <v>265</v>
      </c>
      <c r="I79" s="2" t="s">
        <v>518</v>
      </c>
      <c r="J79">
        <v>1</v>
      </c>
    </row>
    <row r="80" spans="1:10" ht="24.95" customHeight="1" x14ac:dyDescent="0.25">
      <c r="A80" s="2" t="s">
        <v>504</v>
      </c>
      <c r="B80" s="2" t="s">
        <v>503</v>
      </c>
      <c r="C80" s="2" t="s">
        <v>441</v>
      </c>
      <c r="D80" s="2" t="s">
        <v>505</v>
      </c>
      <c r="E80" s="2" t="s">
        <v>506</v>
      </c>
      <c r="F80" s="2" t="s">
        <v>507</v>
      </c>
      <c r="G80" s="2" t="s">
        <v>55</v>
      </c>
      <c r="H80" s="2" t="s">
        <v>97</v>
      </c>
      <c r="I80" s="2" t="s">
        <v>508</v>
      </c>
      <c r="J80">
        <v>1</v>
      </c>
    </row>
    <row r="81" spans="1:10" ht="24.95" customHeight="1" x14ac:dyDescent="0.25">
      <c r="A81" s="2" t="s">
        <v>509</v>
      </c>
      <c r="B81" s="2" t="s">
        <v>509</v>
      </c>
      <c r="C81" s="2" t="s">
        <v>10</v>
      </c>
      <c r="D81" s="2" t="s">
        <v>510</v>
      </c>
      <c r="E81" s="2" t="s">
        <v>511</v>
      </c>
      <c r="F81" s="2" t="s">
        <v>512</v>
      </c>
      <c r="G81" s="2" t="s">
        <v>55</v>
      </c>
      <c r="H81" s="2" t="s">
        <v>97</v>
      </c>
      <c r="I81" s="2" t="s">
        <v>513</v>
      </c>
      <c r="J81">
        <v>1</v>
      </c>
    </row>
    <row r="82" spans="1:10" ht="24.95" customHeight="1" x14ac:dyDescent="0.25">
      <c r="A82" s="2" t="s">
        <v>498</v>
      </c>
      <c r="B82" s="2" t="s">
        <v>498</v>
      </c>
      <c r="C82" s="2" t="s">
        <v>10</v>
      </c>
      <c r="D82" s="2" t="s">
        <v>499</v>
      </c>
      <c r="E82" s="2" t="s">
        <v>500</v>
      </c>
      <c r="F82" s="2" t="s">
        <v>501</v>
      </c>
      <c r="G82" s="2" t="s">
        <v>15</v>
      </c>
      <c r="H82" s="2" t="s">
        <v>97</v>
      </c>
      <c r="I82" s="2" t="s">
        <v>502</v>
      </c>
      <c r="J82">
        <v>0</v>
      </c>
    </row>
    <row r="83" spans="1:10" ht="159.94999999999999" customHeight="1" x14ac:dyDescent="0.25">
      <c r="A83" s="2" t="s">
        <v>493</v>
      </c>
      <c r="B83" s="2" t="s">
        <v>492</v>
      </c>
      <c r="C83" s="2" t="s">
        <v>441</v>
      </c>
      <c r="D83" s="2" t="s">
        <v>494</v>
      </c>
      <c r="E83" s="2" t="s">
        <v>495</v>
      </c>
      <c r="F83" s="2" t="s">
        <v>496</v>
      </c>
      <c r="G83" s="2" t="s">
        <v>55</v>
      </c>
      <c r="H83" s="2" t="s">
        <v>97</v>
      </c>
      <c r="I83" s="2" t="s">
        <v>497</v>
      </c>
      <c r="J83">
        <v>1</v>
      </c>
    </row>
    <row r="84" spans="1:10" ht="24.95" customHeight="1" x14ac:dyDescent="0.25">
      <c r="A84" s="2" t="s">
        <v>483</v>
      </c>
      <c r="B84" s="2" t="s">
        <v>482</v>
      </c>
      <c r="C84" s="2" t="s">
        <v>441</v>
      </c>
      <c r="D84" s="2" t="s">
        <v>326</v>
      </c>
      <c r="E84" s="2" t="s">
        <v>484</v>
      </c>
      <c r="F84" s="2" t="s">
        <v>485</v>
      </c>
      <c r="G84" s="2" t="s">
        <v>55</v>
      </c>
      <c r="H84" s="2" t="s">
        <v>97</v>
      </c>
      <c r="I84" s="2" t="s">
        <v>486</v>
      </c>
      <c r="J84">
        <v>1</v>
      </c>
    </row>
    <row r="85" spans="1:10" ht="24.95" customHeight="1" x14ac:dyDescent="0.25">
      <c r="A85" s="2" t="s">
        <v>478</v>
      </c>
      <c r="B85" s="2" t="s">
        <v>477</v>
      </c>
      <c r="C85" s="2" t="s">
        <v>441</v>
      </c>
      <c r="D85" s="2" t="s">
        <v>479</v>
      </c>
      <c r="E85" s="2" t="s">
        <v>193</v>
      </c>
      <c r="F85" s="2" t="s">
        <v>480</v>
      </c>
      <c r="G85" s="2" t="s">
        <v>55</v>
      </c>
      <c r="H85" s="2" t="s">
        <v>97</v>
      </c>
      <c r="I85" s="2" t="s">
        <v>481</v>
      </c>
      <c r="J85">
        <v>1</v>
      </c>
    </row>
    <row r="86" spans="1:10" ht="24.95" customHeight="1" x14ac:dyDescent="0.25">
      <c r="A86" s="2" t="s">
        <v>469</v>
      </c>
      <c r="B86" s="2" t="s">
        <v>468</v>
      </c>
      <c r="C86" s="2" t="s">
        <v>441</v>
      </c>
      <c r="D86" s="2" t="s">
        <v>459</v>
      </c>
      <c r="E86" s="2" t="s">
        <v>174</v>
      </c>
      <c r="F86" s="2" t="s">
        <v>460</v>
      </c>
      <c r="G86" s="2" t="s">
        <v>55</v>
      </c>
      <c r="H86" s="2" t="s">
        <v>97</v>
      </c>
      <c r="I86" s="2" t="s">
        <v>470</v>
      </c>
      <c r="J86">
        <v>1</v>
      </c>
    </row>
    <row r="87" spans="1:10" ht="24.95" customHeight="1" x14ac:dyDescent="0.25">
      <c r="A87" s="2" t="s">
        <v>466</v>
      </c>
      <c r="B87" s="2" t="s">
        <v>465</v>
      </c>
      <c r="C87" s="2" t="s">
        <v>441</v>
      </c>
      <c r="D87" s="2" t="s">
        <v>459</v>
      </c>
      <c r="E87" s="2" t="s">
        <v>174</v>
      </c>
      <c r="F87" s="2" t="s">
        <v>460</v>
      </c>
      <c r="G87" s="2" t="s">
        <v>55</v>
      </c>
      <c r="H87" s="2" t="s">
        <v>97</v>
      </c>
      <c r="I87" s="2" t="s">
        <v>467</v>
      </c>
      <c r="J87">
        <v>1</v>
      </c>
    </row>
    <row r="88" spans="1:10" ht="24.95" customHeight="1" x14ac:dyDescent="0.25">
      <c r="A88" s="2" t="s">
        <v>458</v>
      </c>
      <c r="B88" s="2" t="s">
        <v>457</v>
      </c>
      <c r="C88" s="2" t="s">
        <v>441</v>
      </c>
      <c r="D88" s="2" t="s">
        <v>459</v>
      </c>
      <c r="E88" s="2" t="s">
        <v>174</v>
      </c>
      <c r="F88" s="2" t="s">
        <v>460</v>
      </c>
      <c r="G88" s="2" t="s">
        <v>55</v>
      </c>
      <c r="H88" s="2" t="s">
        <v>97</v>
      </c>
      <c r="I88" s="2" t="s">
        <v>461</v>
      </c>
      <c r="J88">
        <v>1</v>
      </c>
    </row>
    <row r="89" spans="1:10" ht="24.95" customHeight="1" x14ac:dyDescent="0.25">
      <c r="A89" s="2" t="s">
        <v>472</v>
      </c>
      <c r="B89" s="2" t="s">
        <v>471</v>
      </c>
      <c r="C89" s="2" t="s">
        <v>441</v>
      </c>
      <c r="D89" s="2" t="s">
        <v>473</v>
      </c>
      <c r="E89" s="2" t="s">
        <v>474</v>
      </c>
      <c r="F89" s="2" t="s">
        <v>475</v>
      </c>
      <c r="G89" s="2" t="s">
        <v>55</v>
      </c>
      <c r="H89" s="2" t="s">
        <v>97</v>
      </c>
      <c r="I89" s="2" t="s">
        <v>476</v>
      </c>
      <c r="J89">
        <v>1</v>
      </c>
    </row>
    <row r="90" spans="1:10" ht="24.95" customHeight="1" x14ac:dyDescent="0.25">
      <c r="A90" s="2" t="s">
        <v>463</v>
      </c>
      <c r="B90" s="2" t="s">
        <v>462</v>
      </c>
      <c r="C90" s="2" t="s">
        <v>441</v>
      </c>
      <c r="D90" s="2" t="s">
        <v>459</v>
      </c>
      <c r="E90" s="2" t="s">
        <v>174</v>
      </c>
      <c r="F90" s="2" t="s">
        <v>209</v>
      </c>
      <c r="G90" s="2" t="s">
        <v>55</v>
      </c>
      <c r="H90" s="2" t="s">
        <v>265</v>
      </c>
      <c r="I90" s="2" t="s">
        <v>464</v>
      </c>
      <c r="J90">
        <v>1</v>
      </c>
    </row>
    <row r="91" spans="1:10" ht="24.95" customHeight="1" x14ac:dyDescent="0.25">
      <c r="A91" s="2" t="s">
        <v>447</v>
      </c>
      <c r="B91" s="2" t="s">
        <v>446</v>
      </c>
      <c r="C91" s="2" t="s">
        <v>441</v>
      </c>
      <c r="D91" s="2" t="s">
        <v>443</v>
      </c>
      <c r="E91" s="2" t="s">
        <v>397</v>
      </c>
      <c r="F91" s="2" t="s">
        <v>448</v>
      </c>
      <c r="G91" s="2" t="s">
        <v>55</v>
      </c>
      <c r="H91" s="2" t="s">
        <v>265</v>
      </c>
      <c r="I91" s="2" t="s">
        <v>449</v>
      </c>
      <c r="J91">
        <v>1</v>
      </c>
    </row>
    <row r="92" spans="1:10" ht="24.95" customHeight="1" x14ac:dyDescent="0.25">
      <c r="A92" s="2" t="s">
        <v>442</v>
      </c>
      <c r="B92" s="2" t="s">
        <v>440</v>
      </c>
      <c r="C92" s="2" t="s">
        <v>441</v>
      </c>
      <c r="D92" s="2" t="s">
        <v>443</v>
      </c>
      <c r="E92" s="2" t="s">
        <v>397</v>
      </c>
      <c r="F92" s="2" t="s">
        <v>444</v>
      </c>
      <c r="G92" s="2" t="s">
        <v>55</v>
      </c>
      <c r="H92" s="2" t="s">
        <v>265</v>
      </c>
      <c r="I92" s="2" t="s">
        <v>445</v>
      </c>
      <c r="J92">
        <v>1</v>
      </c>
    </row>
    <row r="93" spans="1:10" ht="24.95" customHeight="1" x14ac:dyDescent="0.25">
      <c r="A93" s="2" t="s">
        <v>437</v>
      </c>
      <c r="B93" s="2" t="s">
        <v>437</v>
      </c>
      <c r="C93" s="2" t="s">
        <v>10</v>
      </c>
      <c r="D93" s="2" t="s">
        <v>438</v>
      </c>
      <c r="E93" s="2" t="s">
        <v>193</v>
      </c>
      <c r="F93" s="2" t="s">
        <v>279</v>
      </c>
      <c r="G93" s="2" t="s">
        <v>55</v>
      </c>
      <c r="H93" s="2" t="s">
        <v>97</v>
      </c>
      <c r="I93" s="2" t="s">
        <v>439</v>
      </c>
      <c r="J93">
        <v>1</v>
      </c>
    </row>
    <row r="94" spans="1:10" ht="24.95" customHeight="1" x14ac:dyDescent="0.25">
      <c r="A94" s="2" t="s">
        <v>421</v>
      </c>
      <c r="B94" s="2" t="s">
        <v>421</v>
      </c>
      <c r="C94" s="2" t="s">
        <v>10</v>
      </c>
      <c r="D94" s="2" t="s">
        <v>422</v>
      </c>
      <c r="E94" s="2" t="s">
        <v>423</v>
      </c>
      <c r="F94" s="2" t="s">
        <v>424</v>
      </c>
      <c r="G94" s="2" t="s">
        <v>55</v>
      </c>
      <c r="H94" s="2" t="s">
        <v>97</v>
      </c>
      <c r="I94" s="2" t="s">
        <v>425</v>
      </c>
      <c r="J94">
        <v>1</v>
      </c>
    </row>
    <row r="95" spans="1:10" ht="24.95" customHeight="1" x14ac:dyDescent="0.25">
      <c r="A95" s="2" t="s">
        <v>408</v>
      </c>
      <c r="B95" s="2" t="s">
        <v>408</v>
      </c>
      <c r="C95" s="2" t="s">
        <v>10</v>
      </c>
      <c r="D95" s="2" t="s">
        <v>409</v>
      </c>
      <c r="E95" s="2" t="s">
        <v>410</v>
      </c>
      <c r="F95" s="2" t="s">
        <v>411</v>
      </c>
      <c r="G95" s="2" t="s">
        <v>55</v>
      </c>
      <c r="H95" s="2" t="s">
        <v>97</v>
      </c>
      <c r="I95" s="2" t="s">
        <v>412</v>
      </c>
      <c r="J95">
        <v>1</v>
      </c>
    </row>
    <row r="96" spans="1:10" ht="24.95" customHeight="1" x14ac:dyDescent="0.25">
      <c r="A96" s="2" t="s">
        <v>404</v>
      </c>
      <c r="B96" s="2" t="s">
        <v>404</v>
      </c>
      <c r="C96" s="2" t="s">
        <v>10</v>
      </c>
      <c r="D96" s="2" t="s">
        <v>405</v>
      </c>
      <c r="E96" s="2" t="s">
        <v>273</v>
      </c>
      <c r="F96" s="2" t="s">
        <v>406</v>
      </c>
      <c r="G96" s="2" t="s">
        <v>15</v>
      </c>
      <c r="H96" s="2" t="s">
        <v>97</v>
      </c>
      <c r="I96" s="2" t="s">
        <v>407</v>
      </c>
      <c r="J96">
        <v>0</v>
      </c>
    </row>
    <row r="97" spans="1:10" ht="24.95" customHeight="1" x14ac:dyDescent="0.25">
      <c r="A97" s="2" t="s">
        <v>400</v>
      </c>
      <c r="B97" s="2" t="s">
        <v>400</v>
      </c>
      <c r="C97" s="2" t="s">
        <v>10</v>
      </c>
      <c r="D97" s="2" t="s">
        <v>401</v>
      </c>
      <c r="E97" s="2" t="s">
        <v>174</v>
      </c>
      <c r="F97" s="2" t="s">
        <v>402</v>
      </c>
      <c r="G97" s="2" t="s">
        <v>55</v>
      </c>
      <c r="H97" s="2" t="s">
        <v>97</v>
      </c>
      <c r="I97" s="2" t="s">
        <v>403</v>
      </c>
      <c r="J97">
        <v>1</v>
      </c>
    </row>
    <row r="98" spans="1:10" ht="24.95" customHeight="1" x14ac:dyDescent="0.25">
      <c r="A98" s="2" t="s">
        <v>395</v>
      </c>
      <c r="B98" s="2" t="s">
        <v>395</v>
      </c>
      <c r="C98" s="2" t="s">
        <v>10</v>
      </c>
      <c r="D98" s="2" t="s">
        <v>396</v>
      </c>
      <c r="E98" s="2" t="s">
        <v>397</v>
      </c>
      <c r="F98" s="2" t="s">
        <v>398</v>
      </c>
      <c r="G98" s="2" t="s">
        <v>55</v>
      </c>
      <c r="H98" s="2" t="s">
        <v>97</v>
      </c>
      <c r="I98" s="2" t="s">
        <v>399</v>
      </c>
      <c r="J98">
        <v>1</v>
      </c>
    </row>
    <row r="99" spans="1:10" ht="24.95" customHeight="1" x14ac:dyDescent="0.25">
      <c r="A99" s="2" t="s">
        <v>393</v>
      </c>
      <c r="B99" s="2" t="s">
        <v>393</v>
      </c>
      <c r="C99" s="2" t="s">
        <v>10</v>
      </c>
      <c r="D99" s="2" t="s">
        <v>379</v>
      </c>
      <c r="E99" s="2" t="s">
        <v>174</v>
      </c>
      <c r="F99" s="2" t="s">
        <v>380</v>
      </c>
      <c r="G99" s="2" t="s">
        <v>55</v>
      </c>
      <c r="H99" s="2" t="s">
        <v>97</v>
      </c>
      <c r="I99" s="2" t="s">
        <v>394</v>
      </c>
      <c r="J99">
        <v>1</v>
      </c>
    </row>
    <row r="100" spans="1:10" ht="24.95" customHeight="1" x14ac:dyDescent="0.25">
      <c r="A100" s="2" t="s">
        <v>389</v>
      </c>
      <c r="B100" s="2" t="s">
        <v>389</v>
      </c>
      <c r="C100" s="2" t="s">
        <v>10</v>
      </c>
      <c r="D100" s="2" t="s">
        <v>379</v>
      </c>
      <c r="E100" s="2" t="s">
        <v>174</v>
      </c>
      <c r="F100" s="2" t="s">
        <v>350</v>
      </c>
      <c r="G100" s="2" t="s">
        <v>55</v>
      </c>
      <c r="H100" s="2" t="s">
        <v>97</v>
      </c>
      <c r="I100" s="2" t="s">
        <v>390</v>
      </c>
      <c r="J100">
        <v>1</v>
      </c>
    </row>
    <row r="101" spans="1:10" ht="24.95" customHeight="1" x14ac:dyDescent="0.25">
      <c r="A101" s="2" t="s">
        <v>391</v>
      </c>
      <c r="B101" s="2" t="s">
        <v>391</v>
      </c>
      <c r="C101" s="2" t="s">
        <v>10</v>
      </c>
      <c r="D101" s="2" t="s">
        <v>379</v>
      </c>
      <c r="E101" s="2" t="s">
        <v>174</v>
      </c>
      <c r="F101" s="2" t="s">
        <v>380</v>
      </c>
      <c r="G101" s="2" t="s">
        <v>55</v>
      </c>
      <c r="H101" s="2" t="s">
        <v>97</v>
      </c>
      <c r="I101" s="2" t="s">
        <v>392</v>
      </c>
      <c r="J101">
        <v>1</v>
      </c>
    </row>
    <row r="102" spans="1:10" ht="159.94999999999999" customHeight="1" x14ac:dyDescent="0.25">
      <c r="A102" s="2" t="s">
        <v>387</v>
      </c>
      <c r="B102" s="2" t="s">
        <v>387</v>
      </c>
      <c r="C102" s="2" t="s">
        <v>10</v>
      </c>
      <c r="D102" s="2" t="s">
        <v>379</v>
      </c>
      <c r="E102" s="2" t="s">
        <v>174</v>
      </c>
      <c r="F102" s="2" t="s">
        <v>380</v>
      </c>
      <c r="G102" s="2" t="s">
        <v>55</v>
      </c>
      <c r="H102" s="2" t="s">
        <v>97</v>
      </c>
      <c r="I102" s="2" t="s">
        <v>388</v>
      </c>
      <c r="J102">
        <v>1</v>
      </c>
    </row>
    <row r="103" spans="1:10" ht="24.95" customHeight="1" x14ac:dyDescent="0.25">
      <c r="A103" s="2" t="s">
        <v>384</v>
      </c>
      <c r="B103" s="2" t="s">
        <v>384</v>
      </c>
      <c r="C103" s="2" t="s">
        <v>10</v>
      </c>
      <c r="D103" s="2" t="s">
        <v>379</v>
      </c>
      <c r="E103" s="2" t="s">
        <v>174</v>
      </c>
      <c r="F103" s="2" t="s">
        <v>385</v>
      </c>
      <c r="G103" s="2" t="s">
        <v>55</v>
      </c>
      <c r="H103" s="2" t="s">
        <v>97</v>
      </c>
      <c r="I103" s="2" t="s">
        <v>386</v>
      </c>
      <c r="J103">
        <v>1</v>
      </c>
    </row>
    <row r="104" spans="1:10" ht="24.95" customHeight="1" x14ac:dyDescent="0.25">
      <c r="A104" s="2" t="s">
        <v>382</v>
      </c>
      <c r="B104" s="2" t="s">
        <v>382</v>
      </c>
      <c r="C104" s="2" t="s">
        <v>10</v>
      </c>
      <c r="D104" s="2" t="s">
        <v>379</v>
      </c>
      <c r="E104" s="2" t="s">
        <v>174</v>
      </c>
      <c r="F104" s="2" t="s">
        <v>380</v>
      </c>
      <c r="G104" s="2" t="s">
        <v>55</v>
      </c>
      <c r="H104" s="2" t="s">
        <v>97</v>
      </c>
      <c r="I104" s="2" t="s">
        <v>383</v>
      </c>
      <c r="J104">
        <v>1</v>
      </c>
    </row>
    <row r="105" spans="1:10" ht="24.95" customHeight="1" x14ac:dyDescent="0.25">
      <c r="A105" s="2" t="s">
        <v>378</v>
      </c>
      <c r="B105" s="2" t="s">
        <v>378</v>
      </c>
      <c r="C105" s="2" t="s">
        <v>10</v>
      </c>
      <c r="D105" s="2" t="s">
        <v>379</v>
      </c>
      <c r="E105" s="2" t="s">
        <v>174</v>
      </c>
      <c r="F105" s="2" t="s">
        <v>380</v>
      </c>
      <c r="G105" s="2" t="s">
        <v>55</v>
      </c>
      <c r="H105" s="2" t="s">
        <v>97</v>
      </c>
      <c r="I105" s="2" t="s">
        <v>381</v>
      </c>
      <c r="J105">
        <v>1</v>
      </c>
    </row>
    <row r="106" spans="1:10" ht="24.95" customHeight="1" x14ac:dyDescent="0.25">
      <c r="A106" s="2" t="s">
        <v>374</v>
      </c>
      <c r="B106" s="2" t="s">
        <v>374</v>
      </c>
      <c r="C106" s="2" t="s">
        <v>10</v>
      </c>
      <c r="D106" s="2" t="s">
        <v>375</v>
      </c>
      <c r="E106" s="2" t="s">
        <v>138</v>
      </c>
      <c r="F106" s="2" t="s">
        <v>376</v>
      </c>
      <c r="G106" s="2" t="s">
        <v>55</v>
      </c>
      <c r="H106" s="2" t="s">
        <v>97</v>
      </c>
      <c r="I106" s="2" t="s">
        <v>377</v>
      </c>
      <c r="J106">
        <v>1</v>
      </c>
    </row>
    <row r="107" spans="1:10" ht="24.95" customHeight="1" x14ac:dyDescent="0.25">
      <c r="A107" s="2" t="s">
        <v>364</v>
      </c>
      <c r="B107" s="2" t="s">
        <v>364</v>
      </c>
      <c r="C107" s="2" t="s">
        <v>10</v>
      </c>
      <c r="D107" s="2" t="s">
        <v>365</v>
      </c>
      <c r="E107" s="2" t="s">
        <v>366</v>
      </c>
      <c r="F107" s="2" t="s">
        <v>367</v>
      </c>
      <c r="G107" s="2" t="s">
        <v>55</v>
      </c>
      <c r="H107" s="2" t="s">
        <v>97</v>
      </c>
      <c r="I107" s="2" t="s">
        <v>368</v>
      </c>
      <c r="J107">
        <v>1</v>
      </c>
    </row>
    <row r="108" spans="1:10" ht="24.95" customHeight="1" x14ac:dyDescent="0.25">
      <c r="A108" s="2" t="s">
        <v>369</v>
      </c>
      <c r="B108" s="2" t="s">
        <v>369</v>
      </c>
      <c r="C108" s="2" t="s">
        <v>10</v>
      </c>
      <c r="D108" s="2" t="s">
        <v>370</v>
      </c>
      <c r="E108" s="2" t="s">
        <v>371</v>
      </c>
      <c r="F108" s="2" t="s">
        <v>372</v>
      </c>
      <c r="G108" s="2" t="s">
        <v>55</v>
      </c>
      <c r="H108" s="2" t="s">
        <v>97</v>
      </c>
      <c r="I108" s="2" t="s">
        <v>373</v>
      </c>
      <c r="J108">
        <v>1</v>
      </c>
    </row>
    <row r="109" spans="1:10" ht="24.95" customHeight="1" x14ac:dyDescent="0.25">
      <c r="A109" s="2" t="s">
        <v>355</v>
      </c>
      <c r="B109" s="2" t="s">
        <v>355</v>
      </c>
      <c r="C109" s="2" t="s">
        <v>10</v>
      </c>
      <c r="D109" s="2" t="s">
        <v>346</v>
      </c>
      <c r="E109" s="2" t="s">
        <v>174</v>
      </c>
      <c r="F109" s="2" t="s">
        <v>356</v>
      </c>
      <c r="G109" s="2" t="s">
        <v>55</v>
      </c>
      <c r="H109" s="2" t="s">
        <v>97</v>
      </c>
      <c r="I109" s="2" t="s">
        <v>357</v>
      </c>
      <c r="J109">
        <v>1</v>
      </c>
    </row>
    <row r="110" spans="1:10" ht="24.95" customHeight="1" x14ac:dyDescent="0.25">
      <c r="A110" s="2" t="s">
        <v>352</v>
      </c>
      <c r="B110" s="2" t="s">
        <v>352</v>
      </c>
      <c r="C110" s="2" t="s">
        <v>10</v>
      </c>
      <c r="D110" s="2" t="s">
        <v>346</v>
      </c>
      <c r="E110" s="2" t="s">
        <v>174</v>
      </c>
      <c r="F110" s="2" t="s">
        <v>353</v>
      </c>
      <c r="G110" s="2" t="s">
        <v>55</v>
      </c>
      <c r="H110" s="2" t="s">
        <v>97</v>
      </c>
      <c r="I110" s="2" t="s">
        <v>354</v>
      </c>
      <c r="J110">
        <v>1</v>
      </c>
    </row>
    <row r="111" spans="1:10" ht="24.95" customHeight="1" x14ac:dyDescent="0.25">
      <c r="A111" s="2" t="s">
        <v>361</v>
      </c>
      <c r="B111" s="2" t="s">
        <v>361</v>
      </c>
      <c r="C111" s="2" t="s">
        <v>10</v>
      </c>
      <c r="D111" s="2" t="s">
        <v>346</v>
      </c>
      <c r="E111" s="2" t="s">
        <v>174</v>
      </c>
      <c r="F111" s="2" t="s">
        <v>362</v>
      </c>
      <c r="G111" s="2" t="s">
        <v>55</v>
      </c>
      <c r="H111" s="2" t="s">
        <v>97</v>
      </c>
      <c r="I111" s="2" t="s">
        <v>363</v>
      </c>
      <c r="J111">
        <v>1</v>
      </c>
    </row>
    <row r="112" spans="1:10" ht="24.95" customHeight="1" x14ac:dyDescent="0.25">
      <c r="A112" s="2" t="s">
        <v>358</v>
      </c>
      <c r="B112" s="2" t="s">
        <v>358</v>
      </c>
      <c r="C112" s="2" t="s">
        <v>10</v>
      </c>
      <c r="D112" s="2" t="s">
        <v>346</v>
      </c>
      <c r="E112" s="2" t="s">
        <v>174</v>
      </c>
      <c r="F112" s="2" t="s">
        <v>359</v>
      </c>
      <c r="G112" s="2" t="s">
        <v>55</v>
      </c>
      <c r="H112" s="2" t="s">
        <v>97</v>
      </c>
      <c r="I112" s="2" t="s">
        <v>360</v>
      </c>
      <c r="J112">
        <v>1</v>
      </c>
    </row>
    <row r="113" spans="1:10" ht="159.94999999999999" customHeight="1" x14ac:dyDescent="0.25">
      <c r="A113" s="2" t="s">
        <v>349</v>
      </c>
      <c r="B113" s="2" t="s">
        <v>349</v>
      </c>
      <c r="C113" s="2" t="s">
        <v>10</v>
      </c>
      <c r="D113" s="2" t="s">
        <v>346</v>
      </c>
      <c r="E113" s="2" t="s">
        <v>174</v>
      </c>
      <c r="F113" s="2" t="s">
        <v>350</v>
      </c>
      <c r="G113" s="2" t="s">
        <v>55</v>
      </c>
      <c r="H113" s="2" t="s">
        <v>97</v>
      </c>
      <c r="I113" s="2" t="s">
        <v>351</v>
      </c>
      <c r="J113">
        <v>1</v>
      </c>
    </row>
    <row r="114" spans="1:10" ht="24.95" customHeight="1" x14ac:dyDescent="0.25">
      <c r="A114" s="2" t="s">
        <v>345</v>
      </c>
      <c r="B114" s="2" t="s">
        <v>345</v>
      </c>
      <c r="C114" s="2" t="s">
        <v>10</v>
      </c>
      <c r="D114" s="2" t="s">
        <v>346</v>
      </c>
      <c r="E114" s="2" t="s">
        <v>174</v>
      </c>
      <c r="F114" s="2" t="s">
        <v>347</v>
      </c>
      <c r="G114" s="2" t="s">
        <v>55</v>
      </c>
      <c r="H114" s="2" t="s">
        <v>97</v>
      </c>
      <c r="I114" s="2" t="s">
        <v>348</v>
      </c>
      <c r="J114">
        <v>1</v>
      </c>
    </row>
    <row r="115" spans="1:10" ht="24.95" customHeight="1" x14ac:dyDescent="0.25">
      <c r="A115" s="2" t="s">
        <v>342</v>
      </c>
      <c r="B115" s="2" t="s">
        <v>342</v>
      </c>
      <c r="C115" s="2" t="s">
        <v>10</v>
      </c>
      <c r="D115" s="2" t="s">
        <v>339</v>
      </c>
      <c r="E115" s="2" t="s">
        <v>174</v>
      </c>
      <c r="F115" s="2" t="s">
        <v>343</v>
      </c>
      <c r="G115" s="2" t="s">
        <v>55</v>
      </c>
      <c r="H115" s="2" t="s">
        <v>97</v>
      </c>
      <c r="I115" s="2" t="s">
        <v>344</v>
      </c>
      <c r="J115">
        <v>1</v>
      </c>
    </row>
    <row r="116" spans="1:10" ht="159.94999999999999" customHeight="1" x14ac:dyDescent="0.25">
      <c r="A116" s="2" t="s">
        <v>338</v>
      </c>
      <c r="B116" s="2" t="s">
        <v>338</v>
      </c>
      <c r="C116" s="2" t="s">
        <v>10</v>
      </c>
      <c r="D116" s="2" t="s">
        <v>339</v>
      </c>
      <c r="E116" s="2" t="s">
        <v>174</v>
      </c>
      <c r="F116" s="2" t="s">
        <v>340</v>
      </c>
      <c r="G116" s="2" t="s">
        <v>55</v>
      </c>
      <c r="H116" s="2" t="s">
        <v>97</v>
      </c>
      <c r="I116" s="2" t="s">
        <v>341</v>
      </c>
      <c r="J116">
        <v>1</v>
      </c>
    </row>
    <row r="117" spans="1:10" ht="159.94999999999999" customHeight="1" x14ac:dyDescent="0.25">
      <c r="A117" s="2" t="s">
        <v>335</v>
      </c>
      <c r="B117" s="2" t="s">
        <v>335</v>
      </c>
      <c r="C117" s="2" t="s">
        <v>10</v>
      </c>
      <c r="D117" s="2" t="s">
        <v>332</v>
      </c>
      <c r="E117" s="2" t="s">
        <v>138</v>
      </c>
      <c r="F117" s="2" t="s">
        <v>336</v>
      </c>
      <c r="G117" s="2" t="s">
        <v>55</v>
      </c>
      <c r="H117" s="2" t="s">
        <v>97</v>
      </c>
      <c r="I117" s="2" t="s">
        <v>337</v>
      </c>
      <c r="J117">
        <v>1</v>
      </c>
    </row>
    <row r="118" spans="1:10" ht="24.95" customHeight="1" x14ac:dyDescent="0.25">
      <c r="A118" s="2" t="s">
        <v>331</v>
      </c>
      <c r="B118" s="2" t="s">
        <v>331</v>
      </c>
      <c r="C118" s="2" t="s">
        <v>10</v>
      </c>
      <c r="D118" s="2" t="s">
        <v>332</v>
      </c>
      <c r="E118" s="2" t="s">
        <v>138</v>
      </c>
      <c r="F118" s="2" t="s">
        <v>333</v>
      </c>
      <c r="G118" s="2" t="s">
        <v>55</v>
      </c>
      <c r="H118" s="2" t="s">
        <v>97</v>
      </c>
      <c r="I118" s="2" t="s">
        <v>334</v>
      </c>
      <c r="J118">
        <v>1</v>
      </c>
    </row>
    <row r="119" spans="1:10" ht="24.95" customHeight="1" x14ac:dyDescent="0.25">
      <c r="A119" s="2" t="s">
        <v>311</v>
      </c>
      <c r="B119" s="2" t="s">
        <v>311</v>
      </c>
      <c r="C119" s="2" t="s">
        <v>10</v>
      </c>
      <c r="D119" s="2" t="s">
        <v>312</v>
      </c>
      <c r="E119" s="2" t="s">
        <v>313</v>
      </c>
      <c r="F119" s="2" t="s">
        <v>314</v>
      </c>
      <c r="G119" s="2" t="s">
        <v>55</v>
      </c>
      <c r="H119" s="2" t="s">
        <v>97</v>
      </c>
      <c r="I119" s="2" t="s">
        <v>315</v>
      </c>
      <c r="J119">
        <v>1</v>
      </c>
    </row>
    <row r="120" spans="1:10" ht="24.95" customHeight="1" x14ac:dyDescent="0.25">
      <c r="A120" s="2" t="s">
        <v>276</v>
      </c>
      <c r="B120" s="2" t="s">
        <v>276</v>
      </c>
      <c r="C120" s="2" t="s">
        <v>10</v>
      </c>
      <c r="D120" s="2" t="s">
        <v>277</v>
      </c>
      <c r="E120" s="2" t="s">
        <v>278</v>
      </c>
      <c r="F120" s="2" t="s">
        <v>279</v>
      </c>
      <c r="G120" s="2" t="s">
        <v>55</v>
      </c>
      <c r="H120" s="2" t="s">
        <v>97</v>
      </c>
      <c r="I120" s="2" t="s">
        <v>280</v>
      </c>
      <c r="J120">
        <v>1</v>
      </c>
    </row>
    <row r="121" spans="1:10" ht="24.95" customHeight="1" x14ac:dyDescent="0.25">
      <c r="A121" s="2" t="s">
        <v>271</v>
      </c>
      <c r="B121" s="2" t="s">
        <v>271</v>
      </c>
      <c r="C121" s="2" t="s">
        <v>10</v>
      </c>
      <c r="D121" s="2" t="s">
        <v>272</v>
      </c>
      <c r="E121" s="2" t="s">
        <v>273</v>
      </c>
      <c r="F121" s="2" t="s">
        <v>274</v>
      </c>
      <c r="G121" s="2" t="s">
        <v>55</v>
      </c>
      <c r="H121" s="2" t="s">
        <v>97</v>
      </c>
      <c r="I121" s="2" t="s">
        <v>275</v>
      </c>
      <c r="J121">
        <v>1</v>
      </c>
    </row>
    <row r="122" spans="1:10" ht="24.95" customHeight="1" x14ac:dyDescent="0.25">
      <c r="A122" s="2" t="s">
        <v>248</v>
      </c>
      <c r="B122" s="2" t="s">
        <v>248</v>
      </c>
      <c r="C122" s="2" t="s">
        <v>10</v>
      </c>
      <c r="D122" s="2" t="s">
        <v>249</v>
      </c>
      <c r="E122" s="2" t="s">
        <v>188</v>
      </c>
      <c r="F122" s="2" t="s">
        <v>250</v>
      </c>
      <c r="G122" s="2" t="s">
        <v>55</v>
      </c>
      <c r="H122" s="2" t="s">
        <v>97</v>
      </c>
      <c r="I122" s="2" t="s">
        <v>251</v>
      </c>
      <c r="J122">
        <v>1</v>
      </c>
    </row>
    <row r="123" spans="1:10" ht="24.95" customHeight="1" x14ac:dyDescent="0.25">
      <c r="A123" s="2" t="s">
        <v>227</v>
      </c>
      <c r="B123" s="2" t="s">
        <v>227</v>
      </c>
      <c r="C123" s="2" t="s">
        <v>10</v>
      </c>
      <c r="D123" s="2" t="s">
        <v>228</v>
      </c>
      <c r="E123" s="2" t="s">
        <v>174</v>
      </c>
      <c r="F123" s="2" t="s">
        <v>229</v>
      </c>
      <c r="G123" s="2" t="s">
        <v>55</v>
      </c>
      <c r="H123" s="2" t="s">
        <v>97</v>
      </c>
      <c r="I123" s="2" t="s">
        <v>230</v>
      </c>
      <c r="J123">
        <v>1</v>
      </c>
    </row>
    <row r="124" spans="1:10" ht="24.95" customHeight="1" x14ac:dyDescent="0.25">
      <c r="A124" s="2" t="s">
        <v>219</v>
      </c>
      <c r="B124" s="2" t="s">
        <v>219</v>
      </c>
      <c r="C124" s="2" t="s">
        <v>10</v>
      </c>
      <c r="D124" s="2" t="s">
        <v>205</v>
      </c>
      <c r="E124" s="2" t="s">
        <v>174</v>
      </c>
      <c r="F124" s="2" t="s">
        <v>209</v>
      </c>
      <c r="G124" s="2" t="s">
        <v>55</v>
      </c>
      <c r="H124" s="2" t="s">
        <v>97</v>
      </c>
      <c r="I124" s="2" t="s">
        <v>220</v>
      </c>
      <c r="J124">
        <v>1</v>
      </c>
    </row>
    <row r="125" spans="1:10" ht="24.95" customHeight="1" x14ac:dyDescent="0.25">
      <c r="A125" s="2" t="s">
        <v>217</v>
      </c>
      <c r="B125" s="2" t="s">
        <v>217</v>
      </c>
      <c r="C125" s="2" t="s">
        <v>10</v>
      </c>
      <c r="D125" s="2" t="s">
        <v>205</v>
      </c>
      <c r="E125" s="2" t="s">
        <v>174</v>
      </c>
      <c r="F125" s="2" t="s">
        <v>209</v>
      </c>
      <c r="G125" s="2" t="s">
        <v>55</v>
      </c>
      <c r="H125" s="2" t="s">
        <v>97</v>
      </c>
      <c r="I125" s="2" t="s">
        <v>218</v>
      </c>
      <c r="J125">
        <v>1</v>
      </c>
    </row>
    <row r="126" spans="1:10" ht="24.95" customHeight="1" x14ac:dyDescent="0.25">
      <c r="A126" s="2" t="s">
        <v>215</v>
      </c>
      <c r="B126" s="2" t="s">
        <v>215</v>
      </c>
      <c r="C126" s="2" t="s">
        <v>10</v>
      </c>
      <c r="D126" s="2" t="s">
        <v>205</v>
      </c>
      <c r="E126" s="2" t="s">
        <v>174</v>
      </c>
      <c r="F126" s="2" t="s">
        <v>206</v>
      </c>
      <c r="G126" s="2" t="s">
        <v>55</v>
      </c>
      <c r="H126" s="2" t="s">
        <v>97</v>
      </c>
      <c r="I126" s="2" t="s">
        <v>216</v>
      </c>
      <c r="J126">
        <v>1</v>
      </c>
    </row>
    <row r="127" spans="1:10" ht="24.95" customHeight="1" x14ac:dyDescent="0.25">
      <c r="A127" s="2" t="s">
        <v>213</v>
      </c>
      <c r="B127" s="2" t="s">
        <v>213</v>
      </c>
      <c r="C127" s="2" t="s">
        <v>10</v>
      </c>
      <c r="D127" s="2" t="s">
        <v>205</v>
      </c>
      <c r="E127" s="2" t="s">
        <v>174</v>
      </c>
      <c r="F127" s="2" t="s">
        <v>209</v>
      </c>
      <c r="G127" s="2" t="s">
        <v>55</v>
      </c>
      <c r="H127" s="2" t="s">
        <v>97</v>
      </c>
      <c r="I127" s="2" t="s">
        <v>214</v>
      </c>
      <c r="J127">
        <v>1</v>
      </c>
    </row>
    <row r="128" spans="1:10" ht="159.94999999999999" customHeight="1" x14ac:dyDescent="0.25">
      <c r="A128" s="2" t="s">
        <v>211</v>
      </c>
      <c r="B128" s="2" t="s">
        <v>211</v>
      </c>
      <c r="C128" s="2" t="s">
        <v>10</v>
      </c>
      <c r="D128" s="2" t="s">
        <v>205</v>
      </c>
      <c r="E128" s="2" t="s">
        <v>174</v>
      </c>
      <c r="F128" s="2" t="s">
        <v>209</v>
      </c>
      <c r="G128" s="2" t="s">
        <v>55</v>
      </c>
      <c r="H128" s="2" t="s">
        <v>97</v>
      </c>
      <c r="I128" s="2" t="s">
        <v>212</v>
      </c>
      <c r="J128">
        <v>1</v>
      </c>
    </row>
    <row r="129" spans="1:10" ht="159.94999999999999" customHeight="1" x14ac:dyDescent="0.25">
      <c r="A129" s="2" t="s">
        <v>208</v>
      </c>
      <c r="B129" s="2" t="s">
        <v>208</v>
      </c>
      <c r="C129" s="2" t="s">
        <v>10</v>
      </c>
      <c r="D129" s="2" t="s">
        <v>205</v>
      </c>
      <c r="E129" s="2" t="s">
        <v>174</v>
      </c>
      <c r="F129" s="2" t="s">
        <v>209</v>
      </c>
      <c r="G129" s="2" t="s">
        <v>55</v>
      </c>
      <c r="H129" s="2" t="s">
        <v>97</v>
      </c>
      <c r="I129" s="2" t="s">
        <v>210</v>
      </c>
      <c r="J129">
        <v>1</v>
      </c>
    </row>
    <row r="130" spans="1:10" ht="24.95" customHeight="1" x14ac:dyDescent="0.25">
      <c r="A130" s="2" t="s">
        <v>204</v>
      </c>
      <c r="B130" s="2" t="s">
        <v>204</v>
      </c>
      <c r="C130" s="2" t="s">
        <v>10</v>
      </c>
      <c r="D130" s="2" t="s">
        <v>205</v>
      </c>
      <c r="E130" s="2" t="s">
        <v>174</v>
      </c>
      <c r="F130" s="2" t="s">
        <v>206</v>
      </c>
      <c r="G130" s="2" t="s">
        <v>55</v>
      </c>
      <c r="H130" s="2" t="s">
        <v>97</v>
      </c>
      <c r="I130" s="2" t="s">
        <v>207</v>
      </c>
      <c r="J130">
        <v>1</v>
      </c>
    </row>
    <row r="131" spans="1:10" ht="24.95" customHeight="1" x14ac:dyDescent="0.25">
      <c r="A131" s="2" t="s">
        <v>200</v>
      </c>
      <c r="B131" s="2" t="s">
        <v>200</v>
      </c>
      <c r="C131" s="2" t="s">
        <v>10</v>
      </c>
      <c r="D131" s="2" t="s">
        <v>201</v>
      </c>
      <c r="E131" s="2" t="s">
        <v>174</v>
      </c>
      <c r="F131" s="2" t="s">
        <v>202</v>
      </c>
      <c r="G131" s="2" t="s">
        <v>55</v>
      </c>
      <c r="H131" s="2" t="s">
        <v>97</v>
      </c>
      <c r="I131" s="2" t="s">
        <v>203</v>
      </c>
      <c r="J131">
        <v>1</v>
      </c>
    </row>
    <row r="132" spans="1:10" ht="24.95" customHeight="1" x14ac:dyDescent="0.25">
      <c r="A132" s="2" t="s">
        <v>196</v>
      </c>
      <c r="B132" s="2" t="s">
        <v>196</v>
      </c>
      <c r="C132" s="2" t="s">
        <v>10</v>
      </c>
      <c r="D132" s="2" t="s">
        <v>197</v>
      </c>
      <c r="E132" s="2" t="s">
        <v>174</v>
      </c>
      <c r="F132" s="2" t="s">
        <v>198</v>
      </c>
      <c r="G132" s="2" t="s">
        <v>55</v>
      </c>
      <c r="H132" s="2" t="s">
        <v>97</v>
      </c>
      <c r="I132" s="2" t="s">
        <v>199</v>
      </c>
      <c r="J132">
        <v>1</v>
      </c>
    </row>
    <row r="133" spans="1:10" ht="24.95" customHeight="1" x14ac:dyDescent="0.25">
      <c r="A133" s="2" t="s">
        <v>191</v>
      </c>
      <c r="B133" s="2" t="s">
        <v>191</v>
      </c>
      <c r="C133" s="2" t="s">
        <v>10</v>
      </c>
      <c r="D133" s="2" t="s">
        <v>192</v>
      </c>
      <c r="E133" s="2" t="s">
        <v>193</v>
      </c>
      <c r="F133" s="2" t="s">
        <v>194</v>
      </c>
      <c r="G133" s="2" t="s">
        <v>55</v>
      </c>
      <c r="H133" s="2" t="s">
        <v>97</v>
      </c>
      <c r="I133" s="2" t="s">
        <v>195</v>
      </c>
      <c r="J133">
        <v>1</v>
      </c>
    </row>
    <row r="134" spans="1:10" ht="24.95" customHeight="1" x14ac:dyDescent="0.25">
      <c r="A134" s="2" t="s">
        <v>186</v>
      </c>
      <c r="B134" s="2" t="s">
        <v>186</v>
      </c>
      <c r="C134" s="2" t="s">
        <v>10</v>
      </c>
      <c r="D134" s="2" t="s">
        <v>187</v>
      </c>
      <c r="E134" s="2" t="s">
        <v>188</v>
      </c>
      <c r="F134" s="2" t="s">
        <v>189</v>
      </c>
      <c r="G134" s="2" t="s">
        <v>55</v>
      </c>
      <c r="H134" s="2" t="s">
        <v>97</v>
      </c>
      <c r="I134" s="2" t="s">
        <v>190</v>
      </c>
      <c r="J134">
        <v>1</v>
      </c>
    </row>
    <row r="135" spans="1:10" ht="24.95" customHeight="1" x14ac:dyDescent="0.25">
      <c r="A135" s="2" t="s">
        <v>177</v>
      </c>
      <c r="B135" s="2" t="s">
        <v>177</v>
      </c>
      <c r="C135" s="2" t="s">
        <v>10</v>
      </c>
      <c r="D135" s="2" t="s">
        <v>173</v>
      </c>
      <c r="E135" s="2" t="s">
        <v>174</v>
      </c>
      <c r="F135" s="2" t="s">
        <v>178</v>
      </c>
      <c r="G135" s="2" t="s">
        <v>55</v>
      </c>
      <c r="H135" s="2" t="s">
        <v>97</v>
      </c>
      <c r="I135" s="2" t="s">
        <v>179</v>
      </c>
      <c r="J135">
        <v>1</v>
      </c>
    </row>
    <row r="136" spans="1:10" ht="24.95" customHeight="1" x14ac:dyDescent="0.25">
      <c r="A136" s="2" t="s">
        <v>172</v>
      </c>
      <c r="B136" s="2" t="s">
        <v>172</v>
      </c>
      <c r="C136" s="2" t="s">
        <v>10</v>
      </c>
      <c r="D136" s="2" t="s">
        <v>173</v>
      </c>
      <c r="E136" s="2" t="s">
        <v>174</v>
      </c>
      <c r="F136" s="2" t="s">
        <v>175</v>
      </c>
      <c r="G136" s="2" t="s">
        <v>55</v>
      </c>
      <c r="H136" s="2" t="s">
        <v>97</v>
      </c>
      <c r="I136" s="2" t="s">
        <v>176</v>
      </c>
      <c r="J136">
        <v>1</v>
      </c>
    </row>
    <row r="137" spans="1:10" ht="24.95" customHeight="1" x14ac:dyDescent="0.25">
      <c r="A137" s="2" t="s">
        <v>183</v>
      </c>
      <c r="B137" s="2" t="s">
        <v>183</v>
      </c>
      <c r="C137" s="2" t="s">
        <v>10</v>
      </c>
      <c r="D137" s="2" t="s">
        <v>173</v>
      </c>
      <c r="E137" s="2" t="s">
        <v>174</v>
      </c>
      <c r="F137" s="2" t="s">
        <v>184</v>
      </c>
      <c r="G137" s="2" t="s">
        <v>55</v>
      </c>
      <c r="H137" s="2" t="s">
        <v>97</v>
      </c>
      <c r="I137" s="2" t="s">
        <v>185</v>
      </c>
      <c r="J137">
        <v>1</v>
      </c>
    </row>
    <row r="138" spans="1:10" ht="24.95" customHeight="1" x14ac:dyDescent="0.25">
      <c r="A138" s="2" t="s">
        <v>180</v>
      </c>
      <c r="B138" s="2" t="s">
        <v>180</v>
      </c>
      <c r="C138" s="2" t="s">
        <v>10</v>
      </c>
      <c r="D138" s="2" t="s">
        <v>173</v>
      </c>
      <c r="E138" s="2" t="s">
        <v>174</v>
      </c>
      <c r="F138" s="2" t="s">
        <v>181</v>
      </c>
      <c r="G138" s="2" t="s">
        <v>55</v>
      </c>
      <c r="H138" s="2" t="s">
        <v>97</v>
      </c>
      <c r="I138" s="2" t="s">
        <v>182</v>
      </c>
      <c r="J138">
        <v>1</v>
      </c>
    </row>
    <row r="139" spans="1:10" ht="24.95" customHeight="1" x14ac:dyDescent="0.25">
      <c r="A139" s="2" t="s">
        <v>153</v>
      </c>
      <c r="B139" s="2" t="s">
        <v>153</v>
      </c>
      <c r="C139" s="2" t="s">
        <v>10</v>
      </c>
      <c r="D139" s="2" t="s">
        <v>154</v>
      </c>
      <c r="E139" s="2" t="s">
        <v>155</v>
      </c>
      <c r="F139" s="2" t="s">
        <v>156</v>
      </c>
      <c r="G139" s="2" t="s">
        <v>55</v>
      </c>
      <c r="H139" s="2" t="s">
        <v>97</v>
      </c>
      <c r="I139" s="2" t="s">
        <v>157</v>
      </c>
      <c r="J139">
        <v>1</v>
      </c>
    </row>
    <row r="140" spans="1:10" ht="159.94999999999999" customHeight="1" x14ac:dyDescent="0.25">
      <c r="A140" s="2" t="s">
        <v>136</v>
      </c>
      <c r="B140" s="2" t="s">
        <v>136</v>
      </c>
      <c r="C140" s="2" t="s">
        <v>10</v>
      </c>
      <c r="D140" s="2" t="s">
        <v>137</v>
      </c>
      <c r="E140" s="2" t="s">
        <v>138</v>
      </c>
      <c r="F140" s="2" t="s">
        <v>139</v>
      </c>
      <c r="G140" s="2" t="s">
        <v>55</v>
      </c>
      <c r="H140" s="2" t="s">
        <v>97</v>
      </c>
      <c r="I140" s="2" t="s">
        <v>140</v>
      </c>
      <c r="J140">
        <v>1</v>
      </c>
    </row>
    <row r="141" spans="1:10" ht="24.95" customHeight="1" x14ac:dyDescent="0.25">
      <c r="A141" s="2" t="s">
        <v>266</v>
      </c>
      <c r="B141" s="2" t="s">
        <v>266</v>
      </c>
      <c r="C141" s="2" t="s">
        <v>222</v>
      </c>
      <c r="D141" s="2" t="s">
        <v>267</v>
      </c>
      <c r="E141" s="2" t="s">
        <v>268</v>
      </c>
      <c r="F141" s="2" t="s">
        <v>269</v>
      </c>
      <c r="G141" s="2" t="s">
        <v>55</v>
      </c>
      <c r="H141" s="2" t="s">
        <v>97</v>
      </c>
      <c r="I141" s="2" t="s">
        <v>270</v>
      </c>
      <c r="J141">
        <v>1</v>
      </c>
    </row>
    <row r="142" spans="1:10" ht="24.95" customHeight="1" x14ac:dyDescent="0.25">
      <c r="A142" s="2" t="s">
        <v>221</v>
      </c>
      <c r="B142" s="2" t="s">
        <v>221</v>
      </c>
      <c r="C142" s="2" t="s">
        <v>222</v>
      </c>
      <c r="D142" s="2" t="s">
        <v>223</v>
      </c>
      <c r="E142" s="2" t="s">
        <v>224</v>
      </c>
      <c r="F142" s="2" t="s">
        <v>225</v>
      </c>
      <c r="G142" s="2" t="s">
        <v>55</v>
      </c>
      <c r="H142" s="2" t="s">
        <v>97</v>
      </c>
      <c r="I142" s="2" t="s">
        <v>226</v>
      </c>
      <c r="J142">
        <v>1</v>
      </c>
    </row>
    <row r="143" spans="1:10" ht="24.95" customHeight="1" x14ac:dyDescent="0.25">
      <c r="A143" s="2" t="s">
        <v>1256</v>
      </c>
      <c r="B143" s="2" t="s">
        <v>1254</v>
      </c>
      <c r="C143" s="2" t="s">
        <v>1255</v>
      </c>
      <c r="D143" s="2" t="s">
        <v>1257</v>
      </c>
      <c r="E143" s="2" t="s">
        <v>1258</v>
      </c>
      <c r="F143" s="2" t="s">
        <v>1259</v>
      </c>
      <c r="G143" s="2" t="s">
        <v>1260</v>
      </c>
      <c r="H143" s="2" t="s">
        <v>97</v>
      </c>
      <c r="I143" s="2" t="s">
        <v>57</v>
      </c>
      <c r="J143">
        <v>0</v>
      </c>
    </row>
    <row r="144" spans="1:10" ht="24.95" customHeight="1" x14ac:dyDescent="0.25">
      <c r="A144" s="2" t="s">
        <v>1271</v>
      </c>
      <c r="B144" s="2" t="s">
        <v>1269</v>
      </c>
      <c r="C144" s="2" t="s">
        <v>1270</v>
      </c>
      <c r="D144" s="2" t="s">
        <v>1272</v>
      </c>
      <c r="E144" s="2" t="s">
        <v>1273</v>
      </c>
      <c r="F144" s="2" t="s">
        <v>1274</v>
      </c>
      <c r="G144" s="2" t="s">
        <v>1275</v>
      </c>
      <c r="H144" s="2" t="s">
        <v>120</v>
      </c>
      <c r="I144" s="2" t="s">
        <v>1276</v>
      </c>
      <c r="J144">
        <v>0</v>
      </c>
    </row>
    <row r="145" spans="1:10" ht="24.95" customHeight="1" x14ac:dyDescent="0.25">
      <c r="A145" s="2" t="s">
        <v>1233</v>
      </c>
      <c r="B145" s="2" t="s">
        <v>1233</v>
      </c>
      <c r="C145" s="2" t="s">
        <v>132</v>
      </c>
      <c r="D145" s="2" t="s">
        <v>1234</v>
      </c>
      <c r="E145" s="2" t="s">
        <v>1235</v>
      </c>
      <c r="F145" s="2" t="s">
        <v>1236</v>
      </c>
      <c r="G145" s="2" t="s">
        <v>15</v>
      </c>
      <c r="H145" s="2" t="s">
        <v>265</v>
      </c>
      <c r="I145" s="2" t="s">
        <v>1237</v>
      </c>
      <c r="J145">
        <v>0</v>
      </c>
    </row>
    <row r="146" spans="1:10" ht="24.95" customHeight="1" x14ac:dyDescent="0.25">
      <c r="A146" s="2" t="s">
        <v>1279</v>
      </c>
      <c r="B146" s="2" t="s">
        <v>1277</v>
      </c>
      <c r="C146" s="2" t="s">
        <v>1278</v>
      </c>
      <c r="D146" s="2" t="s">
        <v>1280</v>
      </c>
      <c r="E146" s="2" t="s">
        <v>1281</v>
      </c>
      <c r="F146" s="2" t="s">
        <v>54</v>
      </c>
      <c r="G146" s="2" t="s">
        <v>1282</v>
      </c>
      <c r="H146" s="2" t="s">
        <v>120</v>
      </c>
      <c r="I146" s="2" t="s">
        <v>1283</v>
      </c>
      <c r="J146">
        <v>0</v>
      </c>
    </row>
    <row r="147" spans="1:10" ht="24.95" customHeight="1" x14ac:dyDescent="0.25">
      <c r="A147" s="2" t="s">
        <v>87</v>
      </c>
      <c r="B147" s="2" t="s">
        <v>85</v>
      </c>
      <c r="C147" s="2" t="s">
        <v>86</v>
      </c>
      <c r="D147" s="2" t="s">
        <v>88</v>
      </c>
      <c r="E147" s="2" t="s">
        <v>89</v>
      </c>
      <c r="F147" s="2" t="s">
        <v>90</v>
      </c>
      <c r="G147" s="2" t="s">
        <v>91</v>
      </c>
      <c r="H147" s="2" t="s">
        <v>92</v>
      </c>
      <c r="I147" s="2" t="s">
        <v>57</v>
      </c>
      <c r="J147">
        <v>0</v>
      </c>
    </row>
    <row r="148" spans="1:10" ht="24.95" customHeight="1" x14ac:dyDescent="0.25">
      <c r="A148" s="2" t="s">
        <v>1337</v>
      </c>
      <c r="B148" s="2" t="s">
        <v>1336</v>
      </c>
      <c r="C148" s="2" t="s">
        <v>253</v>
      </c>
      <c r="D148" s="2" t="s">
        <v>1338</v>
      </c>
      <c r="E148" s="2" t="s">
        <v>1339</v>
      </c>
      <c r="F148" s="2" t="s">
        <v>1340</v>
      </c>
      <c r="G148" s="2" t="s">
        <v>1341</v>
      </c>
      <c r="H148" s="2" t="s">
        <v>92</v>
      </c>
      <c r="I148" s="2" t="s">
        <v>1342</v>
      </c>
      <c r="J148">
        <v>0</v>
      </c>
    </row>
    <row r="149" spans="1:10" ht="24.95" customHeight="1" x14ac:dyDescent="0.25">
      <c r="A149" s="2" t="s">
        <v>1344</v>
      </c>
      <c r="B149" s="2" t="s">
        <v>1343</v>
      </c>
      <c r="C149" s="2" t="s">
        <v>253</v>
      </c>
      <c r="D149" s="2" t="s">
        <v>1338</v>
      </c>
      <c r="E149" s="2" t="s">
        <v>1339</v>
      </c>
      <c r="F149" s="2" t="s">
        <v>1345</v>
      </c>
      <c r="G149" s="2" t="s">
        <v>1346</v>
      </c>
      <c r="H149" s="2" t="s">
        <v>265</v>
      </c>
      <c r="I149" s="2" t="s">
        <v>1347</v>
      </c>
      <c r="J149">
        <v>0</v>
      </c>
    </row>
    <row r="150" spans="1:10" ht="24.95" customHeight="1" x14ac:dyDescent="0.25">
      <c r="A150" s="2" t="s">
        <v>1240</v>
      </c>
      <c r="B150" s="2" t="s">
        <v>1238</v>
      </c>
      <c r="C150" s="2" t="s">
        <v>1239</v>
      </c>
      <c r="D150" s="2" t="s">
        <v>1241</v>
      </c>
      <c r="E150" s="2" t="s">
        <v>13</v>
      </c>
      <c r="F150" s="2" t="s">
        <v>1242</v>
      </c>
      <c r="G150" s="2" t="s">
        <v>1243</v>
      </c>
      <c r="H150" s="2" t="s">
        <v>1064</v>
      </c>
      <c r="I150" s="2" t="s">
        <v>1244</v>
      </c>
      <c r="J150">
        <v>0</v>
      </c>
    </row>
    <row r="151" spans="1:10" ht="24.95" customHeight="1" x14ac:dyDescent="0.25">
      <c r="A151" s="2" t="s">
        <v>1211</v>
      </c>
      <c r="B151" s="2" t="s">
        <v>1209</v>
      </c>
      <c r="C151" s="2" t="s">
        <v>1210</v>
      </c>
      <c r="D151" s="2" t="s">
        <v>1212</v>
      </c>
      <c r="E151" s="2" t="s">
        <v>1213</v>
      </c>
      <c r="F151" s="2" t="s">
        <v>1214</v>
      </c>
      <c r="G151" s="2" t="s">
        <v>1215</v>
      </c>
      <c r="H151" s="2" t="s">
        <v>92</v>
      </c>
      <c r="I151" s="2" t="s">
        <v>1216</v>
      </c>
      <c r="J151">
        <v>0</v>
      </c>
    </row>
    <row r="152" spans="1:10" ht="24.95" customHeight="1" x14ac:dyDescent="0.25">
      <c r="A152" s="2" t="s">
        <v>1247</v>
      </c>
      <c r="B152" s="2" t="s">
        <v>1245</v>
      </c>
      <c r="C152" s="2" t="s">
        <v>1246</v>
      </c>
      <c r="D152" s="2" t="s">
        <v>1248</v>
      </c>
      <c r="E152" s="2" t="s">
        <v>1249</v>
      </c>
      <c r="F152" s="2" t="s">
        <v>1250</v>
      </c>
      <c r="G152" s="2" t="s">
        <v>1251</v>
      </c>
      <c r="H152" s="2" t="s">
        <v>1252</v>
      </c>
      <c r="I152" s="2" t="s">
        <v>1253</v>
      </c>
      <c r="J152">
        <v>0</v>
      </c>
    </row>
    <row r="153" spans="1:10" ht="24.95" customHeight="1" x14ac:dyDescent="0.25">
      <c r="A153" s="2" t="s">
        <v>1166</v>
      </c>
      <c r="B153" s="2" t="s">
        <v>1164</v>
      </c>
      <c r="C153" s="2" t="s">
        <v>1165</v>
      </c>
      <c r="D153" s="2" t="s">
        <v>1167</v>
      </c>
      <c r="E153" s="2" t="s">
        <v>1101</v>
      </c>
      <c r="F153" s="2" t="s">
        <v>1168</v>
      </c>
      <c r="G153" s="2" t="s">
        <v>1169</v>
      </c>
      <c r="H153" s="2" t="s">
        <v>1170</v>
      </c>
      <c r="I153" s="2" t="s">
        <v>1171</v>
      </c>
      <c r="J153">
        <v>0</v>
      </c>
    </row>
    <row r="154" spans="1:10" ht="24.95" customHeight="1" x14ac:dyDescent="0.25">
      <c r="A154" s="2" t="s">
        <v>1108</v>
      </c>
      <c r="B154" s="2" t="s">
        <v>1106</v>
      </c>
      <c r="C154" s="2" t="s">
        <v>1107</v>
      </c>
      <c r="D154" s="2" t="s">
        <v>1109</v>
      </c>
      <c r="E154" s="2" t="s">
        <v>1101</v>
      </c>
      <c r="F154" s="2" t="s">
        <v>1110</v>
      </c>
      <c r="G154" s="2" t="s">
        <v>1111</v>
      </c>
      <c r="H154" s="2" t="s">
        <v>1112</v>
      </c>
      <c r="I154" s="2" t="s">
        <v>1113</v>
      </c>
      <c r="J154">
        <v>0</v>
      </c>
    </row>
    <row r="155" spans="1:10" ht="159.94999999999999" customHeight="1" x14ac:dyDescent="0.25">
      <c r="A155" s="2" t="s">
        <v>1099</v>
      </c>
      <c r="B155" s="2" t="s">
        <v>1097</v>
      </c>
      <c r="C155" s="2" t="s">
        <v>1098</v>
      </c>
      <c r="D155" s="2" t="s">
        <v>1100</v>
      </c>
      <c r="E155" s="2" t="s">
        <v>1101</v>
      </c>
      <c r="F155" s="2" t="s">
        <v>1102</v>
      </c>
      <c r="G155" s="2" t="s">
        <v>1103</v>
      </c>
      <c r="H155" s="2" t="s">
        <v>1104</v>
      </c>
      <c r="I155" s="2" t="s">
        <v>1105</v>
      </c>
      <c r="J155">
        <v>0</v>
      </c>
    </row>
    <row r="156" spans="1:10" ht="24.95" customHeight="1" x14ac:dyDescent="0.25">
      <c r="A156" s="2" t="s">
        <v>1390</v>
      </c>
      <c r="B156" s="2" t="s">
        <v>1388</v>
      </c>
      <c r="C156" s="2" t="s">
        <v>1389</v>
      </c>
      <c r="D156" s="2" t="s">
        <v>1391</v>
      </c>
      <c r="E156" s="2" t="s">
        <v>1332</v>
      </c>
      <c r="F156" s="2" t="s">
        <v>1392</v>
      </c>
      <c r="G156" s="2" t="s">
        <v>1393</v>
      </c>
      <c r="H156" s="2" t="s">
        <v>907</v>
      </c>
      <c r="I156" s="2" t="s">
        <v>1394</v>
      </c>
      <c r="J156">
        <v>0</v>
      </c>
    </row>
    <row r="157" spans="1:10" ht="24.95" customHeight="1" x14ac:dyDescent="0.25">
      <c r="A157" s="2" t="s">
        <v>1382</v>
      </c>
      <c r="B157" s="2" t="s">
        <v>1380</v>
      </c>
      <c r="C157" s="2" t="s">
        <v>1381</v>
      </c>
      <c r="D157" s="2" t="s">
        <v>1383</v>
      </c>
      <c r="E157" s="2" t="s">
        <v>1384</v>
      </c>
      <c r="F157" s="2" t="s">
        <v>1385</v>
      </c>
      <c r="G157" s="2" t="s">
        <v>1386</v>
      </c>
      <c r="H157" s="2" t="s">
        <v>56</v>
      </c>
      <c r="I157" s="2" t="s">
        <v>1387</v>
      </c>
      <c r="J157">
        <v>0</v>
      </c>
    </row>
    <row r="158" spans="1:10" ht="24.95" customHeight="1" x14ac:dyDescent="0.25">
      <c r="A158" s="2" t="s">
        <v>959</v>
      </c>
      <c r="B158" s="2" t="s">
        <v>957</v>
      </c>
      <c r="C158" s="2" t="s">
        <v>958</v>
      </c>
      <c r="D158" s="2" t="s">
        <v>960</v>
      </c>
      <c r="E158" s="2" t="s">
        <v>961</v>
      </c>
      <c r="F158" s="2" t="s">
        <v>962</v>
      </c>
      <c r="G158" s="2" t="s">
        <v>963</v>
      </c>
      <c r="H158" s="2" t="s">
        <v>697</v>
      </c>
      <c r="I158" s="2" t="s">
        <v>964</v>
      </c>
      <c r="J158">
        <v>1</v>
      </c>
    </row>
    <row r="159" spans="1:10" ht="159.94999999999999" customHeight="1" x14ac:dyDescent="0.25">
      <c r="A159" s="2" t="s">
        <v>952</v>
      </c>
      <c r="B159" s="2" t="s">
        <v>951</v>
      </c>
      <c r="C159" s="2" t="s">
        <v>894</v>
      </c>
      <c r="D159" s="2" t="s">
        <v>953</v>
      </c>
      <c r="E159" s="2" t="s">
        <v>954</v>
      </c>
      <c r="F159" s="2" t="s">
        <v>955</v>
      </c>
      <c r="G159" s="2" t="s">
        <v>55</v>
      </c>
      <c r="H159" s="2" t="s">
        <v>56</v>
      </c>
      <c r="I159" s="2" t="s">
        <v>956</v>
      </c>
      <c r="J159">
        <v>1</v>
      </c>
    </row>
    <row r="160" spans="1:10" ht="159.94999999999999" customHeight="1" x14ac:dyDescent="0.25">
      <c r="A160" s="2" t="s">
        <v>895</v>
      </c>
      <c r="B160" s="2" t="s">
        <v>893</v>
      </c>
      <c r="C160" s="2" t="s">
        <v>894</v>
      </c>
      <c r="D160" s="2" t="s">
        <v>896</v>
      </c>
      <c r="E160" s="2" t="s">
        <v>897</v>
      </c>
      <c r="F160" s="2" t="s">
        <v>898</v>
      </c>
      <c r="G160" s="2" t="s">
        <v>55</v>
      </c>
      <c r="H160" s="2" t="s">
        <v>39</v>
      </c>
      <c r="I160" s="2" t="s">
        <v>899</v>
      </c>
      <c r="J160">
        <v>1</v>
      </c>
    </row>
    <row r="161" spans="1:10" ht="24.95" customHeight="1" x14ac:dyDescent="0.25">
      <c r="A161" s="2" t="s">
        <v>1307</v>
      </c>
      <c r="B161" s="2" t="s">
        <v>1306</v>
      </c>
      <c r="C161" s="2" t="s">
        <v>894</v>
      </c>
      <c r="D161" s="2" t="s">
        <v>1303</v>
      </c>
      <c r="E161" s="2" t="s">
        <v>1304</v>
      </c>
      <c r="F161" s="2" t="s">
        <v>1308</v>
      </c>
      <c r="G161" s="2" t="s">
        <v>15</v>
      </c>
      <c r="H161" s="2" t="s">
        <v>265</v>
      </c>
      <c r="I161" s="2" t="s">
        <v>57</v>
      </c>
      <c r="J161">
        <v>0</v>
      </c>
    </row>
    <row r="162" spans="1:10" ht="24.95" customHeight="1" x14ac:dyDescent="0.25">
      <c r="A162" s="2" t="s">
        <v>1302</v>
      </c>
      <c r="B162" s="2" t="s">
        <v>1301</v>
      </c>
      <c r="C162" s="2" t="s">
        <v>894</v>
      </c>
      <c r="D162" s="2" t="s">
        <v>1303</v>
      </c>
      <c r="E162" s="2" t="s">
        <v>1304</v>
      </c>
      <c r="F162" s="2" t="s">
        <v>1305</v>
      </c>
      <c r="G162" s="2" t="s">
        <v>15</v>
      </c>
      <c r="H162" s="2" t="s">
        <v>661</v>
      </c>
      <c r="I162" s="2" t="s">
        <v>57</v>
      </c>
      <c r="J162">
        <v>0</v>
      </c>
    </row>
    <row r="163" spans="1:10" ht="24.95" customHeight="1" x14ac:dyDescent="0.25">
      <c r="A163" s="2" t="s">
        <v>1286</v>
      </c>
      <c r="B163" s="2" t="s">
        <v>1284</v>
      </c>
      <c r="C163" s="2" t="s">
        <v>1285</v>
      </c>
      <c r="D163" s="2" t="s">
        <v>1287</v>
      </c>
      <c r="E163" s="2" t="s">
        <v>1288</v>
      </c>
      <c r="F163" s="2" t="s">
        <v>1289</v>
      </c>
      <c r="G163" s="2" t="s">
        <v>1290</v>
      </c>
      <c r="H163" s="2" t="s">
        <v>661</v>
      </c>
      <c r="I163" s="2" t="s">
        <v>1291</v>
      </c>
      <c r="J163">
        <v>0</v>
      </c>
    </row>
    <row r="164" spans="1:10" ht="24.95" customHeight="1" x14ac:dyDescent="0.25">
      <c r="A164" s="2" t="s">
        <v>1227</v>
      </c>
      <c r="B164" s="2" t="s">
        <v>1225</v>
      </c>
      <c r="C164" s="2" t="s">
        <v>1226</v>
      </c>
      <c r="D164" s="2" t="s">
        <v>1228</v>
      </c>
      <c r="E164" s="2" t="s">
        <v>1229</v>
      </c>
      <c r="F164" s="2" t="s">
        <v>1230</v>
      </c>
      <c r="G164" s="2" t="s">
        <v>1231</v>
      </c>
      <c r="H164" s="2" t="s">
        <v>39</v>
      </c>
      <c r="I164" s="2" t="s">
        <v>1232</v>
      </c>
      <c r="J164">
        <v>0</v>
      </c>
    </row>
    <row r="165" spans="1:10" ht="24.95" customHeight="1" x14ac:dyDescent="0.25">
      <c r="A165" s="2" t="s">
        <v>1006</v>
      </c>
      <c r="B165" s="2" t="s">
        <v>1004</v>
      </c>
      <c r="C165" s="2" t="s">
        <v>1005</v>
      </c>
      <c r="D165" s="2" t="s">
        <v>1007</v>
      </c>
      <c r="E165" s="2" t="s">
        <v>1008</v>
      </c>
      <c r="F165" s="2" t="s">
        <v>1009</v>
      </c>
      <c r="G165" s="2" t="s">
        <v>1010</v>
      </c>
      <c r="H165" s="2" t="s">
        <v>120</v>
      </c>
      <c r="I165" s="2" t="s">
        <v>1011</v>
      </c>
      <c r="J165">
        <v>0</v>
      </c>
    </row>
    <row r="166" spans="1:10" ht="24.95" customHeight="1" x14ac:dyDescent="0.25">
      <c r="A166" s="2" t="s">
        <v>1358</v>
      </c>
      <c r="B166" s="2" t="s">
        <v>1356</v>
      </c>
      <c r="C166" s="2" t="s">
        <v>1357</v>
      </c>
      <c r="D166" s="2" t="s">
        <v>1359</v>
      </c>
      <c r="E166" s="2" t="s">
        <v>1360</v>
      </c>
      <c r="F166" s="2" t="s">
        <v>1361</v>
      </c>
      <c r="G166" s="2" t="s">
        <v>1362</v>
      </c>
      <c r="H166" s="2" t="s">
        <v>1363</v>
      </c>
      <c r="I166" s="2" t="s">
        <v>1364</v>
      </c>
      <c r="J166">
        <v>0</v>
      </c>
    </row>
    <row r="167" spans="1:10" ht="159.94999999999999" customHeight="1" x14ac:dyDescent="0.25">
      <c r="A167" s="2" t="s">
        <v>1367</v>
      </c>
      <c r="B167" s="2" t="s">
        <v>1365</v>
      </c>
      <c r="C167" s="2" t="s">
        <v>1366</v>
      </c>
      <c r="D167" s="2" t="s">
        <v>1359</v>
      </c>
      <c r="E167" s="2" t="s">
        <v>1360</v>
      </c>
      <c r="F167" s="2" t="s">
        <v>1368</v>
      </c>
      <c r="G167" s="2" t="s">
        <v>1369</v>
      </c>
      <c r="H167" s="2" t="s">
        <v>1370</v>
      </c>
      <c r="I167" s="2" t="s">
        <v>1371</v>
      </c>
      <c r="J167">
        <v>0</v>
      </c>
    </row>
    <row r="168" spans="1:10" ht="24.95" customHeight="1" x14ac:dyDescent="0.25">
      <c r="A168" s="2" t="s">
        <v>705</v>
      </c>
      <c r="B168" s="2" t="s">
        <v>705</v>
      </c>
      <c r="C168" s="2" t="s">
        <v>706</v>
      </c>
      <c r="D168" s="2" t="s">
        <v>707</v>
      </c>
      <c r="E168" s="2" t="s">
        <v>57</v>
      </c>
      <c r="F168" s="2" t="s">
        <v>522</v>
      </c>
      <c r="G168" s="2" t="s">
        <v>55</v>
      </c>
      <c r="H168" s="2" t="s">
        <v>265</v>
      </c>
      <c r="I168" s="2" t="s">
        <v>57</v>
      </c>
      <c r="J168">
        <v>1</v>
      </c>
    </row>
    <row r="169" spans="1:10" ht="24.95" customHeight="1" x14ac:dyDescent="0.25">
      <c r="A169" s="2" t="s">
        <v>971</v>
      </c>
      <c r="B169" s="2" t="s">
        <v>969</v>
      </c>
      <c r="C169" s="2" t="s">
        <v>970</v>
      </c>
      <c r="D169" s="2" t="s">
        <v>972</v>
      </c>
      <c r="E169" s="2" t="s">
        <v>973</v>
      </c>
      <c r="F169" s="2" t="s">
        <v>974</v>
      </c>
      <c r="G169" s="2" t="s">
        <v>975</v>
      </c>
      <c r="H169" s="2" t="s">
        <v>265</v>
      </c>
      <c r="I169" s="2" t="s">
        <v>57</v>
      </c>
      <c r="J169">
        <v>0</v>
      </c>
    </row>
    <row r="170" spans="1:10" ht="24.95" customHeight="1" x14ac:dyDescent="0.25">
      <c r="A170" s="2" t="s">
        <v>911</v>
      </c>
      <c r="B170" s="2" t="s">
        <v>909</v>
      </c>
      <c r="C170" s="2" t="s">
        <v>910</v>
      </c>
      <c r="D170" s="2" t="s">
        <v>912</v>
      </c>
      <c r="E170" s="2" t="s">
        <v>913</v>
      </c>
      <c r="F170" s="2" t="s">
        <v>914</v>
      </c>
      <c r="G170" s="2" t="s">
        <v>15</v>
      </c>
      <c r="H170" s="2" t="s">
        <v>97</v>
      </c>
      <c r="I170" s="2" t="s">
        <v>57</v>
      </c>
      <c r="J170">
        <v>0</v>
      </c>
    </row>
    <row r="171" spans="1:10" ht="159.94999999999999" customHeight="1" x14ac:dyDescent="0.25">
      <c r="A171" s="2" t="s">
        <v>60</v>
      </c>
      <c r="B171" s="2" t="s">
        <v>58</v>
      </c>
      <c r="C171" s="2" t="s">
        <v>59</v>
      </c>
      <c r="D171" s="2" t="s">
        <v>52</v>
      </c>
      <c r="E171" s="2" t="s">
        <v>53</v>
      </c>
      <c r="F171" s="2" t="s">
        <v>54</v>
      </c>
      <c r="G171" s="2" t="s">
        <v>55</v>
      </c>
      <c r="H171" s="2" t="s">
        <v>39</v>
      </c>
      <c r="I171" s="2" t="s">
        <v>57</v>
      </c>
      <c r="J171">
        <v>1</v>
      </c>
    </row>
    <row r="172" spans="1:10" ht="24.95" customHeight="1" x14ac:dyDescent="0.25">
      <c r="A172" s="2" t="s">
        <v>1076</v>
      </c>
      <c r="B172" s="2" t="s">
        <v>1074</v>
      </c>
      <c r="C172" s="2" t="s">
        <v>1075</v>
      </c>
      <c r="D172" s="2" t="s">
        <v>1077</v>
      </c>
      <c r="E172" s="2" t="s">
        <v>1078</v>
      </c>
      <c r="F172" s="2" t="s">
        <v>1079</v>
      </c>
      <c r="G172" s="2" t="s">
        <v>15</v>
      </c>
      <c r="H172" s="2" t="s">
        <v>265</v>
      </c>
      <c r="I172" s="2" t="s">
        <v>57</v>
      </c>
      <c r="J172">
        <v>0</v>
      </c>
    </row>
    <row r="173" spans="1:10" ht="24.95" customHeight="1" x14ac:dyDescent="0.25">
      <c r="A173" s="2" t="s">
        <v>1034</v>
      </c>
      <c r="B173" s="2" t="s">
        <v>1034</v>
      </c>
      <c r="C173" s="2" t="s">
        <v>51</v>
      </c>
      <c r="D173" s="2" t="s">
        <v>1035</v>
      </c>
      <c r="E173" s="2" t="s">
        <v>1036</v>
      </c>
      <c r="F173" s="2" t="s">
        <v>1037</v>
      </c>
      <c r="G173" s="2" t="s">
        <v>15</v>
      </c>
      <c r="H173" s="2" t="s">
        <v>265</v>
      </c>
      <c r="I173" s="2" t="s">
        <v>57</v>
      </c>
      <c r="J173">
        <v>0</v>
      </c>
    </row>
    <row r="174" spans="1:10" ht="159.94999999999999" customHeight="1" x14ac:dyDescent="0.25">
      <c r="A174" s="2" t="s">
        <v>1038</v>
      </c>
      <c r="B174" s="2" t="s">
        <v>1038</v>
      </c>
      <c r="C174" s="2" t="s">
        <v>51</v>
      </c>
      <c r="D174" s="2" t="s">
        <v>1039</v>
      </c>
      <c r="E174" s="2" t="s">
        <v>1020</v>
      </c>
      <c r="F174" s="2" t="s">
        <v>54</v>
      </c>
      <c r="G174" s="2" t="s">
        <v>15</v>
      </c>
      <c r="H174" s="2" t="s">
        <v>265</v>
      </c>
      <c r="I174" s="2" t="s">
        <v>57</v>
      </c>
      <c r="J174">
        <v>0</v>
      </c>
    </row>
    <row r="175" spans="1:10" ht="24.95" customHeight="1" x14ac:dyDescent="0.25">
      <c r="A175" s="2" t="s">
        <v>1018</v>
      </c>
      <c r="B175" s="2" t="s">
        <v>1018</v>
      </c>
      <c r="C175" s="2" t="s">
        <v>51</v>
      </c>
      <c r="D175" s="2" t="s">
        <v>1019</v>
      </c>
      <c r="E175" s="2" t="s">
        <v>1020</v>
      </c>
      <c r="F175" s="2" t="s">
        <v>1021</v>
      </c>
      <c r="G175" s="2" t="s">
        <v>15</v>
      </c>
      <c r="H175" s="2" t="s">
        <v>97</v>
      </c>
      <c r="I175" s="2" t="s">
        <v>57</v>
      </c>
      <c r="J175">
        <v>0</v>
      </c>
    </row>
    <row r="176" spans="1:10" ht="24.95" customHeight="1" x14ac:dyDescent="0.25">
      <c r="A176" s="2" t="s">
        <v>1001</v>
      </c>
      <c r="B176" s="2" t="s">
        <v>1001</v>
      </c>
      <c r="C176" s="2" t="s">
        <v>51</v>
      </c>
      <c r="D176" s="2" t="s">
        <v>1002</v>
      </c>
      <c r="E176" s="2" t="s">
        <v>1003</v>
      </c>
      <c r="F176" s="2" t="s">
        <v>54</v>
      </c>
      <c r="G176" s="2" t="s">
        <v>55</v>
      </c>
      <c r="H176" s="2" t="s">
        <v>120</v>
      </c>
      <c r="I176" s="2" t="s">
        <v>57</v>
      </c>
      <c r="J176">
        <v>1</v>
      </c>
    </row>
    <row r="177" spans="1:10" ht="24.95" customHeight="1" x14ac:dyDescent="0.25">
      <c r="A177" s="2" t="s">
        <v>990</v>
      </c>
      <c r="B177" s="2" t="s">
        <v>990</v>
      </c>
      <c r="C177" s="2" t="s">
        <v>991</v>
      </c>
      <c r="D177" s="2" t="s">
        <v>992</v>
      </c>
      <c r="E177" s="2" t="s">
        <v>993</v>
      </c>
      <c r="F177" s="2" t="s">
        <v>968</v>
      </c>
      <c r="G177" s="2" t="s">
        <v>15</v>
      </c>
      <c r="H177" s="2" t="s">
        <v>120</v>
      </c>
      <c r="I177" s="2" t="s">
        <v>57</v>
      </c>
      <c r="J177">
        <v>0</v>
      </c>
    </row>
    <row r="178" spans="1:10" ht="24.95" customHeight="1" x14ac:dyDescent="0.25">
      <c r="A178" s="2" t="s">
        <v>980</v>
      </c>
      <c r="B178" s="2" t="s">
        <v>980</v>
      </c>
      <c r="C178" s="2" t="s">
        <v>51</v>
      </c>
      <c r="D178" s="2" t="s">
        <v>981</v>
      </c>
      <c r="E178" s="2" t="s">
        <v>982</v>
      </c>
      <c r="F178" s="2" t="s">
        <v>983</v>
      </c>
      <c r="G178" s="2" t="s">
        <v>55</v>
      </c>
      <c r="H178" s="2" t="s">
        <v>97</v>
      </c>
      <c r="I178" s="2" t="s">
        <v>57</v>
      </c>
      <c r="J178">
        <v>1</v>
      </c>
    </row>
    <row r="179" spans="1:10" ht="159.94999999999999" customHeight="1" x14ac:dyDescent="0.25">
      <c r="A179" s="2" t="s">
        <v>976</v>
      </c>
      <c r="B179" s="2" t="s">
        <v>976</v>
      </c>
      <c r="C179" s="2" t="s">
        <v>51</v>
      </c>
      <c r="D179" s="2" t="s">
        <v>977</v>
      </c>
      <c r="E179" s="2" t="s">
        <v>978</v>
      </c>
      <c r="F179" s="2" t="s">
        <v>979</v>
      </c>
      <c r="G179" s="2" t="s">
        <v>15</v>
      </c>
      <c r="H179" s="2" t="s">
        <v>265</v>
      </c>
      <c r="I179" s="2" t="s">
        <v>57</v>
      </c>
      <c r="J179">
        <v>0</v>
      </c>
    </row>
    <row r="180" spans="1:10" ht="159.94999999999999" customHeight="1" x14ac:dyDescent="0.25">
      <c r="A180" s="2" t="s">
        <v>965</v>
      </c>
      <c r="B180" s="2" t="s">
        <v>965</v>
      </c>
      <c r="C180" s="2" t="s">
        <v>51</v>
      </c>
      <c r="D180" s="2" t="s">
        <v>966</v>
      </c>
      <c r="E180" s="2" t="s">
        <v>967</v>
      </c>
      <c r="F180" s="2" t="s">
        <v>968</v>
      </c>
      <c r="G180" s="2" t="s">
        <v>15</v>
      </c>
      <c r="H180" s="2" t="s">
        <v>120</v>
      </c>
      <c r="I180" s="2" t="s">
        <v>57</v>
      </c>
      <c r="J180">
        <v>0</v>
      </c>
    </row>
    <row r="181" spans="1:10" ht="24.95" customHeight="1" x14ac:dyDescent="0.25">
      <c r="A181" s="2" t="s">
        <v>50</v>
      </c>
      <c r="B181" s="2" t="s">
        <v>50</v>
      </c>
      <c r="C181" s="2" t="s">
        <v>51</v>
      </c>
      <c r="D181" s="2" t="s">
        <v>52</v>
      </c>
      <c r="E181" s="2" t="s">
        <v>53</v>
      </c>
      <c r="F181" s="2" t="s">
        <v>54</v>
      </c>
      <c r="G181" s="2" t="s">
        <v>55</v>
      </c>
      <c r="H181" s="2" t="s">
        <v>56</v>
      </c>
      <c r="I181" s="2" t="s">
        <v>57</v>
      </c>
      <c r="J181">
        <v>1</v>
      </c>
    </row>
    <row r="182" spans="1:10" ht="24.95" customHeight="1" x14ac:dyDescent="0.25">
      <c r="A182" s="2" t="s">
        <v>867</v>
      </c>
      <c r="B182" s="2" t="s">
        <v>867</v>
      </c>
      <c r="C182" s="2" t="s">
        <v>51</v>
      </c>
      <c r="D182" s="2" t="s">
        <v>868</v>
      </c>
      <c r="E182" s="2" t="s">
        <v>521</v>
      </c>
      <c r="F182" s="2" t="s">
        <v>869</v>
      </c>
      <c r="G182" s="2" t="s">
        <v>55</v>
      </c>
      <c r="H182" s="2" t="s">
        <v>661</v>
      </c>
      <c r="I182" s="2" t="s">
        <v>57</v>
      </c>
      <c r="J182">
        <v>1</v>
      </c>
    </row>
    <row r="183" spans="1:10" ht="159.94999999999999" customHeight="1" x14ac:dyDescent="0.25">
      <c r="A183" s="2" t="s">
        <v>110</v>
      </c>
      <c r="B183" s="2" t="s">
        <v>110</v>
      </c>
      <c r="C183" s="2" t="s">
        <v>51</v>
      </c>
      <c r="D183" s="2" t="s">
        <v>111</v>
      </c>
      <c r="E183" s="2" t="s">
        <v>108</v>
      </c>
      <c r="F183" s="2" t="s">
        <v>112</v>
      </c>
      <c r="G183" s="2" t="s">
        <v>55</v>
      </c>
      <c r="H183" s="2" t="s">
        <v>97</v>
      </c>
      <c r="I183" s="2" t="s">
        <v>57</v>
      </c>
      <c r="J183">
        <v>1</v>
      </c>
    </row>
    <row r="184" spans="1:10" ht="24.95" customHeight="1" x14ac:dyDescent="0.25">
      <c r="A184" s="2" t="s">
        <v>648</v>
      </c>
      <c r="B184" s="2" t="s">
        <v>646</v>
      </c>
      <c r="C184" s="2" t="s">
        <v>647</v>
      </c>
      <c r="D184" s="2" t="s">
        <v>649</v>
      </c>
      <c r="E184" s="2" t="s">
        <v>292</v>
      </c>
      <c r="F184" s="2" t="s">
        <v>650</v>
      </c>
      <c r="G184" s="2" t="s">
        <v>651</v>
      </c>
      <c r="H184" s="2" t="s">
        <v>120</v>
      </c>
      <c r="I184" s="2" t="s">
        <v>652</v>
      </c>
      <c r="J184">
        <v>1</v>
      </c>
    </row>
    <row r="185" spans="1:10" ht="24.95" customHeight="1" x14ac:dyDescent="0.25">
      <c r="A185" s="2" t="s">
        <v>629</v>
      </c>
      <c r="B185" s="2" t="s">
        <v>627</v>
      </c>
      <c r="C185" s="2" t="s">
        <v>628</v>
      </c>
      <c r="D185" s="2" t="s">
        <v>630</v>
      </c>
      <c r="E185" s="2" t="s">
        <v>102</v>
      </c>
      <c r="F185" s="2" t="s">
        <v>631</v>
      </c>
      <c r="G185" s="2" t="s">
        <v>632</v>
      </c>
      <c r="H185" s="2" t="s">
        <v>265</v>
      </c>
      <c r="I185" s="2" t="s">
        <v>633</v>
      </c>
      <c r="J185">
        <v>1</v>
      </c>
    </row>
    <row r="186" spans="1:10" ht="24.95" customHeight="1" x14ac:dyDescent="0.25">
      <c r="A186" s="2" t="s">
        <v>106</v>
      </c>
      <c r="B186" s="2" t="s">
        <v>106</v>
      </c>
      <c r="C186" s="2" t="s">
        <v>51</v>
      </c>
      <c r="D186" s="2" t="s">
        <v>107</v>
      </c>
      <c r="E186" s="2" t="s">
        <v>108</v>
      </c>
      <c r="F186" s="2" t="s">
        <v>109</v>
      </c>
      <c r="G186" s="2" t="s">
        <v>55</v>
      </c>
      <c r="H186" s="2" t="s">
        <v>97</v>
      </c>
      <c r="I186" s="2" t="s">
        <v>57</v>
      </c>
      <c r="J186">
        <v>1</v>
      </c>
    </row>
    <row r="187" spans="1:10" ht="24.95" customHeight="1" x14ac:dyDescent="0.25">
      <c r="A187" s="2" t="s">
        <v>554</v>
      </c>
      <c r="B187" s="2" t="s">
        <v>552</v>
      </c>
      <c r="C187" s="2" t="s">
        <v>553</v>
      </c>
      <c r="D187" s="2" t="s">
        <v>555</v>
      </c>
      <c r="E187" s="2" t="s">
        <v>102</v>
      </c>
      <c r="F187" s="2" t="s">
        <v>556</v>
      </c>
      <c r="G187" s="2" t="s">
        <v>557</v>
      </c>
      <c r="H187" s="2" t="s">
        <v>120</v>
      </c>
      <c r="I187" s="2" t="s">
        <v>558</v>
      </c>
      <c r="J187">
        <v>1</v>
      </c>
    </row>
    <row r="188" spans="1:10" ht="24.95" customHeight="1" x14ac:dyDescent="0.25">
      <c r="A188" s="2" t="s">
        <v>100</v>
      </c>
      <c r="B188" s="2" t="s">
        <v>98</v>
      </c>
      <c r="C188" s="2" t="s">
        <v>99</v>
      </c>
      <c r="D188" s="2" t="s">
        <v>101</v>
      </c>
      <c r="E188" s="2" t="s">
        <v>102</v>
      </c>
      <c r="F188" s="2" t="s">
        <v>103</v>
      </c>
      <c r="G188" s="2" t="s">
        <v>104</v>
      </c>
      <c r="H188" s="2" t="s">
        <v>97</v>
      </c>
      <c r="I188" s="2" t="s">
        <v>105</v>
      </c>
      <c r="J188">
        <v>1</v>
      </c>
    </row>
    <row r="189" spans="1:10" ht="24.95" customHeight="1" x14ac:dyDescent="0.25">
      <c r="A189" s="2" t="s">
        <v>519</v>
      </c>
      <c r="B189" s="2" t="s">
        <v>519</v>
      </c>
      <c r="C189" s="2" t="s">
        <v>51</v>
      </c>
      <c r="D189" s="2" t="s">
        <v>520</v>
      </c>
      <c r="E189" s="2" t="s">
        <v>521</v>
      </c>
      <c r="F189" s="2" t="s">
        <v>522</v>
      </c>
      <c r="G189" s="2" t="s">
        <v>55</v>
      </c>
      <c r="H189" s="2" t="s">
        <v>97</v>
      </c>
      <c r="I189" s="2" t="s">
        <v>57</v>
      </c>
      <c r="J189">
        <v>1</v>
      </c>
    </row>
    <row r="190" spans="1:10" ht="24.95" customHeight="1" x14ac:dyDescent="0.25">
      <c r="A190" s="2" t="s">
        <v>426</v>
      </c>
      <c r="B190" s="2" t="s">
        <v>426</v>
      </c>
      <c r="C190" s="2" t="s">
        <v>51</v>
      </c>
      <c r="D190" s="2" t="s">
        <v>427</v>
      </c>
      <c r="E190" s="2" t="s">
        <v>428</v>
      </c>
      <c r="F190" s="2" t="s">
        <v>429</v>
      </c>
      <c r="G190" s="2" t="s">
        <v>55</v>
      </c>
      <c r="H190" s="2" t="s">
        <v>265</v>
      </c>
      <c r="I190" s="2" t="s">
        <v>57</v>
      </c>
      <c r="J190">
        <v>1</v>
      </c>
    </row>
    <row r="191" spans="1:10" ht="159.94999999999999" customHeight="1" x14ac:dyDescent="0.25">
      <c r="A191" s="2" t="s">
        <v>93</v>
      </c>
      <c r="B191" s="2" t="s">
        <v>93</v>
      </c>
      <c r="C191" s="2" t="s">
        <v>51</v>
      </c>
      <c r="D191" s="2" t="s">
        <v>94</v>
      </c>
      <c r="E191" s="2" t="s">
        <v>95</v>
      </c>
      <c r="F191" s="2" t="s">
        <v>96</v>
      </c>
      <c r="G191" s="2" t="s">
        <v>55</v>
      </c>
      <c r="H191" s="2" t="s">
        <v>97</v>
      </c>
      <c r="I191" s="2" t="s">
        <v>57</v>
      </c>
      <c r="J191">
        <v>1</v>
      </c>
    </row>
    <row r="192" spans="1:10" ht="159.94999999999999" customHeight="1" x14ac:dyDescent="0.25">
      <c r="A192" s="2" t="s">
        <v>150</v>
      </c>
      <c r="B192" s="2" t="s">
        <v>150</v>
      </c>
      <c r="C192" s="2" t="s">
        <v>51</v>
      </c>
      <c r="D192" s="2" t="s">
        <v>151</v>
      </c>
      <c r="E192" s="2" t="s">
        <v>129</v>
      </c>
      <c r="F192" s="2" t="s">
        <v>152</v>
      </c>
      <c r="G192" s="2" t="s">
        <v>55</v>
      </c>
      <c r="H192" s="2" t="s">
        <v>97</v>
      </c>
      <c r="I192" s="2" t="s">
        <v>57</v>
      </c>
      <c r="J192">
        <v>1</v>
      </c>
    </row>
    <row r="193" spans="1:10" ht="159.94999999999999" customHeight="1" x14ac:dyDescent="0.25">
      <c r="A193" s="2" t="s">
        <v>127</v>
      </c>
      <c r="B193" s="2" t="s">
        <v>127</v>
      </c>
      <c r="C193" s="2" t="s">
        <v>51</v>
      </c>
      <c r="D193" s="2" t="s">
        <v>128</v>
      </c>
      <c r="E193" s="2" t="s">
        <v>129</v>
      </c>
      <c r="F193" s="2" t="s">
        <v>130</v>
      </c>
      <c r="G193" s="2" t="s">
        <v>55</v>
      </c>
      <c r="H193" s="2" t="s">
        <v>97</v>
      </c>
      <c r="I193" s="2" t="s">
        <v>57</v>
      </c>
      <c r="J193">
        <v>1</v>
      </c>
    </row>
    <row r="194" spans="1:10" ht="24.95" customHeight="1" x14ac:dyDescent="0.25">
      <c r="A194" s="2" t="s">
        <v>1055</v>
      </c>
      <c r="B194" s="2" t="s">
        <v>1053</v>
      </c>
      <c r="C194" s="2" t="s">
        <v>1054</v>
      </c>
      <c r="D194" s="2" t="s">
        <v>1056</v>
      </c>
      <c r="E194" s="2" t="s">
        <v>1057</v>
      </c>
      <c r="F194" s="2" t="s">
        <v>54</v>
      </c>
      <c r="G194" s="2" t="s">
        <v>15</v>
      </c>
      <c r="H194" s="2" t="s">
        <v>97</v>
      </c>
      <c r="I194" s="2" t="s">
        <v>57</v>
      </c>
      <c r="J194">
        <v>0</v>
      </c>
    </row>
    <row r="195" spans="1:10" ht="159.94999999999999" customHeight="1" x14ac:dyDescent="0.25">
      <c r="A195" s="2" t="s">
        <v>11</v>
      </c>
      <c r="B195" s="2" t="s">
        <v>9</v>
      </c>
      <c r="C195" s="2" t="s">
        <v>10</v>
      </c>
      <c r="D195" s="2" t="s">
        <v>12</v>
      </c>
      <c r="E195" s="2" t="s">
        <v>13</v>
      </c>
      <c r="F195" s="2" t="s">
        <v>14</v>
      </c>
      <c r="G195" s="2" t="s">
        <v>15</v>
      </c>
      <c r="H195" s="2" t="s">
        <v>16</v>
      </c>
      <c r="I195" s="2" t="s">
        <v>17</v>
      </c>
      <c r="J195">
        <v>0</v>
      </c>
    </row>
    <row r="196" spans="1:10" ht="159.94999999999999" customHeight="1" x14ac:dyDescent="0.25">
      <c r="A196" s="2" t="s">
        <v>1374</v>
      </c>
      <c r="B196" s="2" t="s">
        <v>1372</v>
      </c>
      <c r="C196" s="2" t="s">
        <v>1373</v>
      </c>
      <c r="D196" s="2" t="s">
        <v>1375</v>
      </c>
      <c r="E196" s="2" t="s">
        <v>1376</v>
      </c>
      <c r="F196" s="2" t="s">
        <v>1377</v>
      </c>
      <c r="G196" s="2" t="s">
        <v>1378</v>
      </c>
      <c r="H196" s="2" t="s">
        <v>92</v>
      </c>
      <c r="I196" s="2" t="s">
        <v>1379</v>
      </c>
      <c r="J196">
        <v>0</v>
      </c>
    </row>
    <row r="197" spans="1:10" ht="159.94999999999999" customHeight="1" x14ac:dyDescent="0.25">
      <c r="A197" s="2" t="s">
        <v>1349</v>
      </c>
      <c r="B197" s="2" t="s">
        <v>1348</v>
      </c>
      <c r="C197" s="2" t="s">
        <v>1046</v>
      </c>
      <c r="D197" s="2" t="s">
        <v>1350</v>
      </c>
      <c r="E197" s="2" t="s">
        <v>1351</v>
      </c>
      <c r="F197" s="2" t="s">
        <v>1352</v>
      </c>
      <c r="G197" s="2" t="s">
        <v>1353</v>
      </c>
      <c r="H197" s="2" t="s">
        <v>1354</v>
      </c>
      <c r="I197" s="2" t="s">
        <v>1355</v>
      </c>
      <c r="J197">
        <v>0</v>
      </c>
    </row>
    <row r="198" spans="1:10" ht="24.95" customHeight="1" x14ac:dyDescent="0.25">
      <c r="A198" s="2" t="s">
        <v>1310</v>
      </c>
      <c r="B198" s="2" t="s">
        <v>1309</v>
      </c>
      <c r="C198" s="2" t="s">
        <v>10</v>
      </c>
      <c r="D198" s="2" t="s">
        <v>1311</v>
      </c>
      <c r="E198" s="2" t="s">
        <v>1312</v>
      </c>
      <c r="F198" s="2" t="s">
        <v>1313</v>
      </c>
      <c r="G198" s="2" t="s">
        <v>15</v>
      </c>
      <c r="H198" s="2" t="s">
        <v>934</v>
      </c>
      <c r="I198" s="2" t="s">
        <v>1314</v>
      </c>
      <c r="J198">
        <v>0</v>
      </c>
    </row>
    <row r="199" spans="1:10" ht="159.94999999999999" customHeight="1" x14ac:dyDescent="0.25">
      <c r="A199" s="2" t="s">
        <v>1316</v>
      </c>
      <c r="B199" s="2" t="s">
        <v>1315</v>
      </c>
      <c r="C199" s="2" t="s">
        <v>10</v>
      </c>
      <c r="D199" s="2" t="s">
        <v>1317</v>
      </c>
      <c r="E199" s="2" t="s">
        <v>1312</v>
      </c>
      <c r="F199" s="2" t="s">
        <v>1318</v>
      </c>
      <c r="G199" s="2" t="s">
        <v>15</v>
      </c>
      <c r="H199" s="2" t="s">
        <v>999</v>
      </c>
      <c r="I199" s="2" t="s">
        <v>1319</v>
      </c>
      <c r="J199">
        <v>0</v>
      </c>
    </row>
    <row r="200" spans="1:10" ht="159.94999999999999" customHeight="1" x14ac:dyDescent="0.25">
      <c r="A200" s="2" t="s">
        <v>19</v>
      </c>
      <c r="B200" s="2" t="s">
        <v>18</v>
      </c>
      <c r="C200" s="2" t="s">
        <v>10</v>
      </c>
      <c r="D200" s="2" t="s">
        <v>20</v>
      </c>
      <c r="E200" s="2" t="s">
        <v>13</v>
      </c>
      <c r="F200" s="2" t="s">
        <v>21</v>
      </c>
      <c r="G200" s="2" t="s">
        <v>15</v>
      </c>
      <c r="H200" s="2" t="s">
        <v>22</v>
      </c>
      <c r="I200" s="2" t="s">
        <v>23</v>
      </c>
      <c r="J200">
        <v>0</v>
      </c>
    </row>
    <row r="201" spans="1:10" ht="159.94999999999999" customHeight="1" x14ac:dyDescent="0.25">
      <c r="A201" s="2" t="s">
        <v>1263</v>
      </c>
      <c r="B201" s="2" t="s">
        <v>1261</v>
      </c>
      <c r="C201" s="2" t="s">
        <v>1262</v>
      </c>
      <c r="D201" s="2" t="s">
        <v>1264</v>
      </c>
      <c r="E201" s="2" t="s">
        <v>13</v>
      </c>
      <c r="F201" s="2" t="s">
        <v>1265</v>
      </c>
      <c r="G201" s="2" t="s">
        <v>1266</v>
      </c>
      <c r="H201" s="2" t="s">
        <v>1267</v>
      </c>
      <c r="I201" s="2" t="s">
        <v>1268</v>
      </c>
      <c r="J201">
        <v>0</v>
      </c>
    </row>
    <row r="202" spans="1:10" ht="159.94999999999999" customHeight="1" x14ac:dyDescent="0.25">
      <c r="A202" s="2" t="s">
        <v>1203</v>
      </c>
      <c r="B202" s="2" t="s">
        <v>1201</v>
      </c>
      <c r="C202" s="2" t="s">
        <v>1202</v>
      </c>
      <c r="D202" s="2" t="s">
        <v>1204</v>
      </c>
      <c r="E202" s="2" t="s">
        <v>13</v>
      </c>
      <c r="F202" s="2" t="s">
        <v>1205</v>
      </c>
      <c r="G202" s="2" t="s">
        <v>1206</v>
      </c>
      <c r="H202" s="2" t="s">
        <v>1207</v>
      </c>
      <c r="I202" s="2" t="s">
        <v>1208</v>
      </c>
      <c r="J202">
        <v>0</v>
      </c>
    </row>
    <row r="203" spans="1:10" ht="159.94999999999999" customHeight="1" x14ac:dyDescent="0.25">
      <c r="A203" s="2" t="s">
        <v>1196</v>
      </c>
      <c r="B203" s="2" t="s">
        <v>1194</v>
      </c>
      <c r="C203" s="2" t="s">
        <v>1195</v>
      </c>
      <c r="D203" s="2" t="s">
        <v>1197</v>
      </c>
      <c r="E203" s="2" t="s">
        <v>13</v>
      </c>
      <c r="F203" s="2" t="s">
        <v>1198</v>
      </c>
      <c r="G203" s="2" t="s">
        <v>1199</v>
      </c>
      <c r="H203" s="2" t="s">
        <v>39</v>
      </c>
      <c r="I203" s="2" t="s">
        <v>1200</v>
      </c>
      <c r="J203">
        <v>0</v>
      </c>
    </row>
    <row r="204" spans="1:10" ht="159.94999999999999" customHeight="1" x14ac:dyDescent="0.25">
      <c r="A204" s="2" t="s">
        <v>26</v>
      </c>
      <c r="B204" s="2" t="s">
        <v>24</v>
      </c>
      <c r="C204" s="2" t="s">
        <v>25</v>
      </c>
      <c r="D204" s="2" t="s">
        <v>27</v>
      </c>
      <c r="E204" s="2" t="s">
        <v>13</v>
      </c>
      <c r="F204" s="2" t="s">
        <v>28</v>
      </c>
      <c r="G204" s="2" t="s">
        <v>29</v>
      </c>
      <c r="H204" s="2" t="s">
        <v>30</v>
      </c>
      <c r="I204" s="2" t="s">
        <v>31</v>
      </c>
      <c r="J204">
        <v>0</v>
      </c>
    </row>
    <row r="205" spans="1:10" ht="159.94999999999999" customHeight="1" x14ac:dyDescent="0.25">
      <c r="A205" s="2" t="s">
        <v>1181</v>
      </c>
      <c r="B205" s="2" t="s">
        <v>1179</v>
      </c>
      <c r="C205" s="2" t="s">
        <v>1180</v>
      </c>
      <c r="D205" s="2" t="s">
        <v>1182</v>
      </c>
      <c r="E205" s="2" t="s">
        <v>13</v>
      </c>
      <c r="F205" s="2" t="s">
        <v>21</v>
      </c>
      <c r="G205" s="2" t="s">
        <v>1183</v>
      </c>
      <c r="H205" s="2" t="s">
        <v>67</v>
      </c>
      <c r="I205" s="2" t="s">
        <v>1184</v>
      </c>
      <c r="J205">
        <v>0</v>
      </c>
    </row>
    <row r="206" spans="1:10" ht="159.94999999999999" customHeight="1" x14ac:dyDescent="0.25">
      <c r="A206" s="2" t="s">
        <v>1187</v>
      </c>
      <c r="B206" s="2" t="s">
        <v>1185</v>
      </c>
      <c r="C206" s="2" t="s">
        <v>1186</v>
      </c>
      <c r="D206" s="2" t="s">
        <v>1182</v>
      </c>
      <c r="E206" s="2" t="s">
        <v>13</v>
      </c>
      <c r="F206" s="2" t="s">
        <v>21</v>
      </c>
      <c r="G206" s="2" t="s">
        <v>1188</v>
      </c>
      <c r="H206" s="2" t="s">
        <v>30</v>
      </c>
      <c r="I206" s="2" t="s">
        <v>1189</v>
      </c>
      <c r="J206">
        <v>0</v>
      </c>
    </row>
    <row r="207" spans="1:10" ht="159.94999999999999" customHeight="1" x14ac:dyDescent="0.25">
      <c r="A207" s="2" t="s">
        <v>1191</v>
      </c>
      <c r="B207" s="2" t="s">
        <v>1190</v>
      </c>
      <c r="C207" s="2" t="s">
        <v>10</v>
      </c>
      <c r="D207" s="2" t="s">
        <v>27</v>
      </c>
      <c r="E207" s="2" t="s">
        <v>13</v>
      </c>
      <c r="F207" s="2" t="s">
        <v>1192</v>
      </c>
      <c r="G207" s="2" t="s">
        <v>15</v>
      </c>
      <c r="H207" s="2" t="s">
        <v>39</v>
      </c>
      <c r="I207" s="2" t="s">
        <v>1193</v>
      </c>
      <c r="J207">
        <v>0</v>
      </c>
    </row>
    <row r="208" spans="1:10" ht="159.94999999999999" customHeight="1" x14ac:dyDescent="0.25">
      <c r="A208" s="2" t="s">
        <v>1145</v>
      </c>
      <c r="B208" s="2" t="s">
        <v>1143</v>
      </c>
      <c r="C208" s="2" t="s">
        <v>1144</v>
      </c>
      <c r="D208" s="2" t="s">
        <v>1146</v>
      </c>
      <c r="E208" s="2" t="s">
        <v>13</v>
      </c>
      <c r="F208" s="2" t="s">
        <v>1147</v>
      </c>
      <c r="G208" s="2" t="s">
        <v>1148</v>
      </c>
      <c r="H208" s="2" t="s">
        <v>148</v>
      </c>
      <c r="I208" s="2" t="s">
        <v>1149</v>
      </c>
      <c r="J208">
        <v>0</v>
      </c>
    </row>
    <row r="209" spans="1:10" ht="159.94999999999999" customHeight="1" x14ac:dyDescent="0.25">
      <c r="A209" s="2" t="s">
        <v>1152</v>
      </c>
      <c r="B209" s="2" t="s">
        <v>1150</v>
      </c>
      <c r="C209" s="2" t="s">
        <v>1151</v>
      </c>
      <c r="D209" s="2" t="s">
        <v>1153</v>
      </c>
      <c r="E209" s="2" t="s">
        <v>13</v>
      </c>
      <c r="F209" s="2" t="s">
        <v>1154</v>
      </c>
      <c r="G209" s="2" t="s">
        <v>1155</v>
      </c>
      <c r="H209" s="2" t="s">
        <v>826</v>
      </c>
      <c r="I209" s="2" t="s">
        <v>1156</v>
      </c>
      <c r="J209">
        <v>0</v>
      </c>
    </row>
    <row r="210" spans="1:10" ht="159.94999999999999" customHeight="1" x14ac:dyDescent="0.25">
      <c r="A210" s="2" t="s">
        <v>1159</v>
      </c>
      <c r="B210" s="2" t="s">
        <v>1157</v>
      </c>
      <c r="C210" s="2" t="s">
        <v>1158</v>
      </c>
      <c r="D210" s="2" t="s">
        <v>1160</v>
      </c>
      <c r="E210" s="2" t="s">
        <v>13</v>
      </c>
      <c r="F210" s="2" t="s">
        <v>1161</v>
      </c>
      <c r="G210" s="2" t="s">
        <v>1162</v>
      </c>
      <c r="H210" s="2" t="s">
        <v>56</v>
      </c>
      <c r="I210" s="2" t="s">
        <v>1163</v>
      </c>
      <c r="J210">
        <v>0</v>
      </c>
    </row>
    <row r="211" spans="1:10" ht="159.94999999999999" customHeight="1" x14ac:dyDescent="0.25">
      <c r="A211" s="2" t="s">
        <v>1086</v>
      </c>
      <c r="B211" s="2" t="s">
        <v>1085</v>
      </c>
      <c r="C211" s="2" t="s">
        <v>10</v>
      </c>
      <c r="D211" s="2" t="s">
        <v>1087</v>
      </c>
      <c r="E211" s="2" t="s">
        <v>13</v>
      </c>
      <c r="F211" s="2" t="s">
        <v>1088</v>
      </c>
      <c r="G211" s="2" t="s">
        <v>15</v>
      </c>
      <c r="H211" s="2" t="s">
        <v>826</v>
      </c>
      <c r="I211" s="2" t="s">
        <v>1089</v>
      </c>
      <c r="J211">
        <v>0</v>
      </c>
    </row>
    <row r="212" spans="1:10" ht="159.94999999999999" customHeight="1" x14ac:dyDescent="0.25">
      <c r="A212" s="2" t="s">
        <v>1081</v>
      </c>
      <c r="B212" s="2" t="s">
        <v>1080</v>
      </c>
      <c r="C212" s="2" t="s">
        <v>10</v>
      </c>
      <c r="D212" s="2" t="s">
        <v>1082</v>
      </c>
      <c r="E212" s="2" t="s">
        <v>946</v>
      </c>
      <c r="F212" s="2" t="s">
        <v>1083</v>
      </c>
      <c r="G212" s="2" t="s">
        <v>15</v>
      </c>
      <c r="H212" s="2" t="s">
        <v>891</v>
      </c>
      <c r="I212" s="2" t="s">
        <v>1084</v>
      </c>
      <c r="J212">
        <v>0</v>
      </c>
    </row>
    <row r="213" spans="1:10" ht="159.94999999999999" customHeight="1" x14ac:dyDescent="0.25">
      <c r="A213" s="2" t="s">
        <v>1047</v>
      </c>
      <c r="B213" s="2" t="s">
        <v>1045</v>
      </c>
      <c r="C213" s="2" t="s">
        <v>1046</v>
      </c>
      <c r="D213" s="2" t="s">
        <v>1048</v>
      </c>
      <c r="E213" s="2" t="s">
        <v>1049</v>
      </c>
      <c r="F213" s="2" t="s">
        <v>1050</v>
      </c>
      <c r="G213" s="2" t="s">
        <v>1051</v>
      </c>
      <c r="H213" s="2" t="s">
        <v>725</v>
      </c>
      <c r="I213" s="2" t="s">
        <v>1052</v>
      </c>
      <c r="J213">
        <v>0</v>
      </c>
    </row>
    <row r="214" spans="1:10" ht="159.94999999999999" customHeight="1" x14ac:dyDescent="0.25">
      <c r="A214" s="2" t="s">
        <v>1041</v>
      </c>
      <c r="B214" s="2" t="s">
        <v>1040</v>
      </c>
      <c r="C214" s="2" t="s">
        <v>10</v>
      </c>
      <c r="D214" s="2" t="s">
        <v>1042</v>
      </c>
      <c r="E214" s="2" t="s">
        <v>946</v>
      </c>
      <c r="F214" s="2" t="s">
        <v>1043</v>
      </c>
      <c r="G214" s="2" t="s">
        <v>15</v>
      </c>
      <c r="H214" s="2" t="s">
        <v>697</v>
      </c>
      <c r="I214" s="2" t="s">
        <v>1044</v>
      </c>
      <c r="J214">
        <v>0</v>
      </c>
    </row>
    <row r="215" spans="1:10" ht="159.94999999999999" customHeight="1" x14ac:dyDescent="0.25">
      <c r="A215" s="2" t="s">
        <v>1030</v>
      </c>
      <c r="B215" s="2" t="s">
        <v>1029</v>
      </c>
      <c r="C215" s="2" t="s">
        <v>10</v>
      </c>
      <c r="D215" s="2" t="s">
        <v>1031</v>
      </c>
      <c r="E215" s="2" t="s">
        <v>235</v>
      </c>
      <c r="F215" s="2" t="s">
        <v>1032</v>
      </c>
      <c r="G215" s="2" t="s">
        <v>15</v>
      </c>
      <c r="H215" s="2" t="s">
        <v>56</v>
      </c>
      <c r="I215" s="2" t="s">
        <v>1033</v>
      </c>
      <c r="J215">
        <v>0</v>
      </c>
    </row>
    <row r="216" spans="1:10" ht="159.94999999999999" customHeight="1" x14ac:dyDescent="0.25">
      <c r="A216" s="2" t="s">
        <v>1024</v>
      </c>
      <c r="B216" s="2" t="s">
        <v>1022</v>
      </c>
      <c r="C216" s="2" t="s">
        <v>1023</v>
      </c>
      <c r="D216" s="2" t="s">
        <v>1025</v>
      </c>
      <c r="E216" s="2" t="s">
        <v>235</v>
      </c>
      <c r="F216" s="2" t="s">
        <v>1026</v>
      </c>
      <c r="G216" s="2" t="s">
        <v>1027</v>
      </c>
      <c r="H216" s="2" t="s">
        <v>120</v>
      </c>
      <c r="I216" s="2" t="s">
        <v>1028</v>
      </c>
      <c r="J216">
        <v>0</v>
      </c>
    </row>
    <row r="217" spans="1:10" ht="159.94999999999999" customHeight="1" x14ac:dyDescent="0.25">
      <c r="A217" s="2" t="s">
        <v>1014</v>
      </c>
      <c r="B217" s="2" t="s">
        <v>1012</v>
      </c>
      <c r="C217" s="2" t="s">
        <v>1013</v>
      </c>
      <c r="D217" s="2" t="s">
        <v>1015</v>
      </c>
      <c r="E217" s="2" t="s">
        <v>1016</v>
      </c>
      <c r="F217" s="2" t="s">
        <v>54</v>
      </c>
      <c r="G217" s="2" t="s">
        <v>15</v>
      </c>
      <c r="H217" s="2" t="s">
        <v>907</v>
      </c>
      <c r="I217" s="2" t="s">
        <v>1017</v>
      </c>
      <c r="J217">
        <v>0</v>
      </c>
    </row>
    <row r="218" spans="1:10" ht="159.94999999999999" customHeight="1" x14ac:dyDescent="0.25">
      <c r="A218" s="2" t="s">
        <v>751</v>
      </c>
      <c r="B218" s="2" t="s">
        <v>750</v>
      </c>
      <c r="C218" s="2" t="s">
        <v>744</v>
      </c>
      <c r="D218" s="2" t="s">
        <v>746</v>
      </c>
      <c r="E218" s="2" t="s">
        <v>235</v>
      </c>
      <c r="F218" s="2" t="s">
        <v>752</v>
      </c>
      <c r="G218" s="2" t="s">
        <v>753</v>
      </c>
      <c r="H218" s="2" t="s">
        <v>97</v>
      </c>
      <c r="I218" s="2" t="s">
        <v>754</v>
      </c>
      <c r="J218">
        <v>1</v>
      </c>
    </row>
    <row r="219" spans="1:10" ht="159.94999999999999" customHeight="1" x14ac:dyDescent="0.25">
      <c r="A219" s="2" t="s">
        <v>745</v>
      </c>
      <c r="B219" s="2" t="s">
        <v>743</v>
      </c>
      <c r="C219" s="2" t="s">
        <v>744</v>
      </c>
      <c r="D219" s="2" t="s">
        <v>746</v>
      </c>
      <c r="E219" s="2" t="s">
        <v>235</v>
      </c>
      <c r="F219" s="2" t="s">
        <v>747</v>
      </c>
      <c r="G219" s="2" t="s">
        <v>748</v>
      </c>
      <c r="H219" s="2" t="s">
        <v>97</v>
      </c>
      <c r="I219" s="2" t="s">
        <v>749</v>
      </c>
      <c r="J219">
        <v>1</v>
      </c>
    </row>
    <row r="220" spans="1:10" ht="159.94999999999999" customHeight="1" x14ac:dyDescent="0.25">
      <c r="A220" s="2" t="s">
        <v>944</v>
      </c>
      <c r="B220" s="2" t="s">
        <v>942</v>
      </c>
      <c r="C220" s="2" t="s">
        <v>943</v>
      </c>
      <c r="D220" s="2" t="s">
        <v>945</v>
      </c>
      <c r="E220" s="2" t="s">
        <v>946</v>
      </c>
      <c r="F220" s="2" t="s">
        <v>947</v>
      </c>
      <c r="G220" s="2" t="s">
        <v>948</v>
      </c>
      <c r="H220" s="2" t="s">
        <v>949</v>
      </c>
      <c r="I220" s="2" t="s">
        <v>950</v>
      </c>
      <c r="J220">
        <v>1</v>
      </c>
    </row>
    <row r="221" spans="1:10" ht="159.94999999999999" customHeight="1" x14ac:dyDescent="0.25">
      <c r="A221" s="2" t="s">
        <v>930</v>
      </c>
      <c r="B221" s="2" t="s">
        <v>928</v>
      </c>
      <c r="C221" s="2" t="s">
        <v>929</v>
      </c>
      <c r="D221" s="2" t="s">
        <v>124</v>
      </c>
      <c r="E221" s="2" t="s">
        <v>931</v>
      </c>
      <c r="F221" s="2" t="s">
        <v>932</v>
      </c>
      <c r="G221" s="2" t="s">
        <v>933</v>
      </c>
      <c r="H221" s="2" t="s">
        <v>934</v>
      </c>
      <c r="I221" s="2" t="s">
        <v>935</v>
      </c>
      <c r="J221">
        <v>1</v>
      </c>
    </row>
    <row r="222" spans="1:10" ht="159.94999999999999" customHeight="1" x14ac:dyDescent="0.25">
      <c r="A222" s="2" t="s">
        <v>938</v>
      </c>
      <c r="B222" s="2" t="s">
        <v>936</v>
      </c>
      <c r="C222" s="2" t="s">
        <v>937</v>
      </c>
      <c r="D222" s="2" t="s">
        <v>124</v>
      </c>
      <c r="E222" s="2" t="s">
        <v>125</v>
      </c>
      <c r="F222" s="2" t="s">
        <v>939</v>
      </c>
      <c r="G222" s="2" t="s">
        <v>940</v>
      </c>
      <c r="H222" s="2" t="s">
        <v>934</v>
      </c>
      <c r="I222" s="2" t="s">
        <v>941</v>
      </c>
      <c r="J222">
        <v>1</v>
      </c>
    </row>
    <row r="223" spans="1:10" ht="159.94999999999999" customHeight="1" x14ac:dyDescent="0.25">
      <c r="A223" s="2" t="s">
        <v>902</v>
      </c>
      <c r="B223" s="2" t="s">
        <v>900</v>
      </c>
      <c r="C223" s="2" t="s">
        <v>901</v>
      </c>
      <c r="D223" s="2" t="s">
        <v>903</v>
      </c>
      <c r="E223" s="2" t="s">
        <v>904</v>
      </c>
      <c r="F223" s="2" t="s">
        <v>905</v>
      </c>
      <c r="G223" s="2" t="s">
        <v>906</v>
      </c>
      <c r="H223" s="2" t="s">
        <v>907</v>
      </c>
      <c r="I223" s="2" t="s">
        <v>908</v>
      </c>
      <c r="J223">
        <v>1</v>
      </c>
    </row>
    <row r="224" spans="1:10" ht="159.94999999999999" customHeight="1" x14ac:dyDescent="0.25">
      <c r="A224" s="2" t="s">
        <v>861</v>
      </c>
      <c r="B224" s="2" t="s">
        <v>859</v>
      </c>
      <c r="C224" s="2" t="s">
        <v>860</v>
      </c>
      <c r="D224" s="2" t="s">
        <v>862</v>
      </c>
      <c r="E224" s="2" t="s">
        <v>863</v>
      </c>
      <c r="F224" s="2" t="s">
        <v>864</v>
      </c>
      <c r="G224" s="2" t="s">
        <v>865</v>
      </c>
      <c r="H224" s="2" t="s">
        <v>120</v>
      </c>
      <c r="I224" s="2" t="s">
        <v>866</v>
      </c>
      <c r="J224">
        <v>1</v>
      </c>
    </row>
    <row r="225" spans="1:10" ht="159.94999999999999" customHeight="1" x14ac:dyDescent="0.25">
      <c r="A225" s="2" t="s">
        <v>729</v>
      </c>
      <c r="B225" s="2" t="s">
        <v>727</v>
      </c>
      <c r="C225" s="2" t="s">
        <v>728</v>
      </c>
      <c r="D225" s="2" t="s">
        <v>730</v>
      </c>
      <c r="E225" s="2" t="s">
        <v>731</v>
      </c>
      <c r="F225" s="2" t="s">
        <v>732</v>
      </c>
      <c r="G225" s="2" t="s">
        <v>733</v>
      </c>
      <c r="H225" s="2" t="s">
        <v>92</v>
      </c>
      <c r="I225" s="2" t="s">
        <v>734</v>
      </c>
      <c r="J225">
        <v>1</v>
      </c>
    </row>
    <row r="226" spans="1:10" ht="159.94999999999999" customHeight="1" x14ac:dyDescent="0.25">
      <c r="A226" s="2" t="s">
        <v>767</v>
      </c>
      <c r="B226" s="2" t="s">
        <v>765</v>
      </c>
      <c r="C226" s="2" t="s">
        <v>766</v>
      </c>
      <c r="D226" s="2" t="s">
        <v>768</v>
      </c>
      <c r="E226" s="2" t="s">
        <v>769</v>
      </c>
      <c r="F226" s="2" t="s">
        <v>770</v>
      </c>
      <c r="G226" s="2" t="s">
        <v>771</v>
      </c>
      <c r="H226" s="2" t="s">
        <v>48</v>
      </c>
      <c r="I226" s="2" t="s">
        <v>772</v>
      </c>
      <c r="J226">
        <v>1</v>
      </c>
    </row>
    <row r="227" spans="1:10" ht="159.94999999999999" customHeight="1" x14ac:dyDescent="0.25">
      <c r="A227" s="2" t="s">
        <v>687</v>
      </c>
      <c r="B227" s="2" t="s">
        <v>685</v>
      </c>
      <c r="C227" s="2" t="s">
        <v>686</v>
      </c>
      <c r="D227" s="2" t="s">
        <v>688</v>
      </c>
      <c r="E227" s="2" t="s">
        <v>689</v>
      </c>
      <c r="F227" s="2" t="s">
        <v>690</v>
      </c>
      <c r="G227" s="2" t="s">
        <v>691</v>
      </c>
      <c r="H227" s="2" t="s">
        <v>97</v>
      </c>
      <c r="I227" s="2" t="s">
        <v>692</v>
      </c>
      <c r="J227">
        <v>1</v>
      </c>
    </row>
    <row r="228" spans="1:10" ht="159.94999999999999" customHeight="1" x14ac:dyDescent="0.25">
      <c r="A228" s="2" t="s">
        <v>530</v>
      </c>
      <c r="B228" s="2" t="s">
        <v>528</v>
      </c>
      <c r="C228" s="2" t="s">
        <v>529</v>
      </c>
      <c r="D228" s="2" t="s">
        <v>531</v>
      </c>
      <c r="E228" s="2" t="s">
        <v>532</v>
      </c>
      <c r="F228" s="2" t="s">
        <v>533</v>
      </c>
      <c r="G228" s="2" t="s">
        <v>534</v>
      </c>
      <c r="H228" s="2" t="s">
        <v>265</v>
      </c>
      <c r="I228" s="2" t="s">
        <v>535</v>
      </c>
      <c r="J228">
        <v>1</v>
      </c>
    </row>
    <row r="229" spans="1:10" ht="159.94999999999999" customHeight="1" x14ac:dyDescent="0.25">
      <c r="A229" s="2" t="s">
        <v>452</v>
      </c>
      <c r="B229" s="2" t="s">
        <v>450</v>
      </c>
      <c r="C229" s="2" t="s">
        <v>451</v>
      </c>
      <c r="D229" s="2" t="s">
        <v>453</v>
      </c>
      <c r="E229" s="2" t="s">
        <v>454</v>
      </c>
      <c r="F229" s="2" t="s">
        <v>455</v>
      </c>
      <c r="G229" s="2" t="s">
        <v>55</v>
      </c>
      <c r="H229" s="2" t="s">
        <v>97</v>
      </c>
      <c r="I229" s="2" t="s">
        <v>456</v>
      </c>
      <c r="J229">
        <v>1</v>
      </c>
    </row>
    <row r="230" spans="1:10" ht="159.94999999999999" customHeight="1" x14ac:dyDescent="0.25">
      <c r="A230" s="2" t="s">
        <v>317</v>
      </c>
      <c r="B230" s="2" t="s">
        <v>316</v>
      </c>
      <c r="C230" s="2" t="s">
        <v>159</v>
      </c>
      <c r="D230" s="2" t="s">
        <v>318</v>
      </c>
      <c r="E230" s="2" t="s">
        <v>319</v>
      </c>
      <c r="F230" s="2" t="s">
        <v>320</v>
      </c>
      <c r="G230" s="2" t="s">
        <v>321</v>
      </c>
      <c r="H230" s="2" t="s">
        <v>97</v>
      </c>
      <c r="I230" s="2" t="s">
        <v>322</v>
      </c>
      <c r="J230">
        <v>1</v>
      </c>
    </row>
    <row r="231" spans="1:10" ht="159.94999999999999" customHeight="1" x14ac:dyDescent="0.25">
      <c r="A231" s="2" t="s">
        <v>307</v>
      </c>
      <c r="B231" s="2" t="s">
        <v>306</v>
      </c>
      <c r="C231" s="2" t="s">
        <v>253</v>
      </c>
      <c r="D231" s="2" t="s">
        <v>297</v>
      </c>
      <c r="E231" s="2" t="s">
        <v>235</v>
      </c>
      <c r="F231" s="2" t="s">
        <v>308</v>
      </c>
      <c r="G231" s="2" t="s">
        <v>309</v>
      </c>
      <c r="H231" s="2" t="s">
        <v>97</v>
      </c>
      <c r="I231" s="2" t="s">
        <v>310</v>
      </c>
      <c r="J231">
        <v>1</v>
      </c>
    </row>
    <row r="232" spans="1:10" ht="159.94999999999999" customHeight="1" x14ac:dyDescent="0.25">
      <c r="A232" s="2" t="s">
        <v>302</v>
      </c>
      <c r="B232" s="2" t="s">
        <v>301</v>
      </c>
      <c r="C232" s="2" t="s">
        <v>253</v>
      </c>
      <c r="D232" s="2" t="s">
        <v>297</v>
      </c>
      <c r="E232" s="2" t="s">
        <v>235</v>
      </c>
      <c r="F232" s="2" t="s">
        <v>303</v>
      </c>
      <c r="G232" s="2" t="s">
        <v>304</v>
      </c>
      <c r="H232" s="2" t="s">
        <v>97</v>
      </c>
      <c r="I232" s="2" t="s">
        <v>305</v>
      </c>
      <c r="J232">
        <v>1</v>
      </c>
    </row>
    <row r="233" spans="1:10" ht="159.94999999999999" customHeight="1" x14ac:dyDescent="0.25">
      <c r="A233" s="2" t="s">
        <v>296</v>
      </c>
      <c r="B233" s="2" t="s">
        <v>295</v>
      </c>
      <c r="C233" s="2" t="s">
        <v>253</v>
      </c>
      <c r="D233" s="2" t="s">
        <v>297</v>
      </c>
      <c r="E233" s="2" t="s">
        <v>235</v>
      </c>
      <c r="F233" s="2" t="s">
        <v>298</v>
      </c>
      <c r="G233" s="2" t="s">
        <v>299</v>
      </c>
      <c r="H233" s="2" t="s">
        <v>97</v>
      </c>
      <c r="I233" s="2" t="s">
        <v>300</v>
      </c>
      <c r="J233">
        <v>1</v>
      </c>
    </row>
    <row r="234" spans="1:10" ht="159.94999999999999" customHeight="1" x14ac:dyDescent="0.25">
      <c r="A234" s="2" t="s">
        <v>254</v>
      </c>
      <c r="B234" s="2" t="s">
        <v>252</v>
      </c>
      <c r="C234" s="2" t="s">
        <v>253</v>
      </c>
      <c r="D234" s="2" t="s">
        <v>234</v>
      </c>
      <c r="E234" s="2" t="s">
        <v>235</v>
      </c>
      <c r="F234" s="2" t="s">
        <v>255</v>
      </c>
      <c r="G234" s="2" t="s">
        <v>256</v>
      </c>
      <c r="H234" s="2" t="s">
        <v>97</v>
      </c>
      <c r="I234" s="2" t="s">
        <v>257</v>
      </c>
      <c r="J234">
        <v>1</v>
      </c>
    </row>
    <row r="235" spans="1:10" ht="159.94999999999999" customHeight="1" x14ac:dyDescent="0.25">
      <c r="A235" s="2" t="s">
        <v>131</v>
      </c>
      <c r="B235" s="2" t="s">
        <v>131</v>
      </c>
      <c r="C235" s="2" t="s">
        <v>132</v>
      </c>
      <c r="D235" s="2" t="s">
        <v>133</v>
      </c>
      <c r="E235" s="2" t="s">
        <v>125</v>
      </c>
      <c r="F235" s="2" t="s">
        <v>134</v>
      </c>
      <c r="G235" s="2" t="s">
        <v>55</v>
      </c>
      <c r="H235" s="2" t="s">
        <v>97</v>
      </c>
      <c r="I235" s="2" t="s">
        <v>135</v>
      </c>
      <c r="J235">
        <v>1</v>
      </c>
    </row>
    <row r="236" spans="1:10" ht="159.94999999999999" customHeight="1" x14ac:dyDescent="0.25">
      <c r="A236" s="2" t="s">
        <v>115</v>
      </c>
      <c r="B236" s="2" t="s">
        <v>113</v>
      </c>
      <c r="C236" s="2" t="s">
        <v>114</v>
      </c>
      <c r="D236" s="2" t="s">
        <v>116</v>
      </c>
      <c r="E236" s="2" t="s">
        <v>117</v>
      </c>
      <c r="F236" s="2" t="s">
        <v>118</v>
      </c>
      <c r="G236" s="2" t="s">
        <v>119</v>
      </c>
      <c r="H236" s="2" t="s">
        <v>120</v>
      </c>
      <c r="I236" s="2" t="s">
        <v>121</v>
      </c>
      <c r="J236">
        <v>0</v>
      </c>
    </row>
    <row r="237" spans="1:10" ht="159.94999999999999" customHeight="1" x14ac:dyDescent="0.25">
      <c r="A237" s="2" t="s">
        <v>996</v>
      </c>
      <c r="B237" s="2" t="s">
        <v>994</v>
      </c>
      <c r="C237" s="2" t="s">
        <v>995</v>
      </c>
      <c r="D237" s="2" t="s">
        <v>997</v>
      </c>
      <c r="E237" s="2" t="s">
        <v>417</v>
      </c>
      <c r="F237" s="2" t="s">
        <v>987</v>
      </c>
      <c r="G237" s="2" t="s">
        <v>998</v>
      </c>
      <c r="H237" s="2" t="s">
        <v>999</v>
      </c>
      <c r="I237" s="2" t="s">
        <v>1000</v>
      </c>
      <c r="J237">
        <v>0</v>
      </c>
    </row>
    <row r="238" spans="1:10" ht="159.94999999999999" customHeight="1" x14ac:dyDescent="0.25">
      <c r="A238" s="2" t="s">
        <v>985</v>
      </c>
      <c r="B238" s="2" t="s">
        <v>984</v>
      </c>
      <c r="C238" s="2" t="s">
        <v>232</v>
      </c>
      <c r="D238" s="2" t="s">
        <v>986</v>
      </c>
      <c r="E238" s="2" t="s">
        <v>125</v>
      </c>
      <c r="F238" s="2" t="s">
        <v>987</v>
      </c>
      <c r="G238" s="2" t="s">
        <v>988</v>
      </c>
      <c r="H238" s="2" t="s">
        <v>97</v>
      </c>
      <c r="I238" s="2" t="s">
        <v>989</v>
      </c>
      <c r="J238">
        <v>0</v>
      </c>
    </row>
    <row r="239" spans="1:10" ht="159.94999999999999" customHeight="1" x14ac:dyDescent="0.25">
      <c r="A239" s="2" t="s">
        <v>917</v>
      </c>
      <c r="B239" s="2" t="s">
        <v>915</v>
      </c>
      <c r="C239" s="2" t="s">
        <v>916</v>
      </c>
      <c r="D239" s="2" t="s">
        <v>918</v>
      </c>
      <c r="E239" s="2" t="s">
        <v>125</v>
      </c>
      <c r="F239" s="2" t="s">
        <v>919</v>
      </c>
      <c r="G239" s="2" t="s">
        <v>920</v>
      </c>
      <c r="H239" s="2" t="s">
        <v>921</v>
      </c>
      <c r="I239" s="2" t="s">
        <v>922</v>
      </c>
      <c r="J239">
        <v>1</v>
      </c>
    </row>
    <row r="240" spans="1:10" ht="159.94999999999999" customHeight="1" x14ac:dyDescent="0.25">
      <c r="A240" s="2" t="s">
        <v>809</v>
      </c>
      <c r="B240" s="2" t="s">
        <v>807</v>
      </c>
      <c r="C240" s="2" t="s">
        <v>808</v>
      </c>
      <c r="D240" s="2" t="s">
        <v>776</v>
      </c>
      <c r="E240" s="2" t="s">
        <v>810</v>
      </c>
      <c r="F240" s="2" t="s">
        <v>811</v>
      </c>
      <c r="G240" s="2" t="s">
        <v>812</v>
      </c>
      <c r="H240" s="2" t="s">
        <v>265</v>
      </c>
      <c r="I240" s="2" t="s">
        <v>813</v>
      </c>
      <c r="J240">
        <v>1</v>
      </c>
    </row>
    <row r="241" spans="1:10" ht="159.94999999999999" customHeight="1" x14ac:dyDescent="0.25">
      <c r="A241" s="2" t="s">
        <v>775</v>
      </c>
      <c r="B241" s="2" t="s">
        <v>773</v>
      </c>
      <c r="C241" s="2" t="s">
        <v>774</v>
      </c>
      <c r="D241" s="2" t="s">
        <v>776</v>
      </c>
      <c r="E241" s="2" t="s">
        <v>777</v>
      </c>
      <c r="F241" s="2" t="s">
        <v>778</v>
      </c>
      <c r="G241" s="2" t="s">
        <v>779</v>
      </c>
      <c r="H241" s="2" t="s">
        <v>97</v>
      </c>
      <c r="I241" s="2" t="s">
        <v>780</v>
      </c>
      <c r="J241">
        <v>1</v>
      </c>
    </row>
    <row r="242" spans="1:10" ht="159.94999999999999" customHeight="1" x14ac:dyDescent="0.25">
      <c r="A242" s="2" t="s">
        <v>665</v>
      </c>
      <c r="B242" s="2" t="s">
        <v>663</v>
      </c>
      <c r="C242" s="2" t="s">
        <v>664</v>
      </c>
      <c r="D242" s="2" t="s">
        <v>666</v>
      </c>
      <c r="E242" s="2" t="s">
        <v>667</v>
      </c>
      <c r="F242" s="2" t="s">
        <v>668</v>
      </c>
      <c r="G242" s="2" t="s">
        <v>669</v>
      </c>
      <c r="H242" s="2" t="s">
        <v>661</v>
      </c>
      <c r="I242" s="2" t="s">
        <v>670</v>
      </c>
      <c r="J242">
        <v>1</v>
      </c>
    </row>
    <row r="243" spans="1:10" ht="159.94999999999999" customHeight="1" x14ac:dyDescent="0.25">
      <c r="A243" s="2" t="s">
        <v>561</v>
      </c>
      <c r="B243" s="2" t="s">
        <v>559</v>
      </c>
      <c r="C243" s="2" t="s">
        <v>560</v>
      </c>
      <c r="D243" s="2" t="s">
        <v>562</v>
      </c>
      <c r="E243" s="2" t="s">
        <v>125</v>
      </c>
      <c r="F243" s="2" t="s">
        <v>563</v>
      </c>
      <c r="G243" s="2" t="s">
        <v>564</v>
      </c>
      <c r="H243" s="2" t="s">
        <v>120</v>
      </c>
      <c r="I243" s="2" t="s">
        <v>565</v>
      </c>
      <c r="J243">
        <v>0</v>
      </c>
    </row>
    <row r="244" spans="1:10" ht="159.94999999999999" customHeight="1" x14ac:dyDescent="0.25">
      <c r="A244" s="2" t="s">
        <v>415</v>
      </c>
      <c r="B244" s="2" t="s">
        <v>413</v>
      </c>
      <c r="C244" s="2" t="s">
        <v>414</v>
      </c>
      <c r="D244" s="2" t="s">
        <v>416</v>
      </c>
      <c r="E244" s="2" t="s">
        <v>417</v>
      </c>
      <c r="F244" s="2" t="s">
        <v>418</v>
      </c>
      <c r="G244" s="2" t="s">
        <v>419</v>
      </c>
      <c r="H244" s="2" t="s">
        <v>97</v>
      </c>
      <c r="I244" s="2" t="s">
        <v>420</v>
      </c>
      <c r="J244">
        <v>1</v>
      </c>
    </row>
    <row r="245" spans="1:10" ht="159.94999999999999" customHeight="1" x14ac:dyDescent="0.25">
      <c r="A245" s="2" t="s">
        <v>291</v>
      </c>
      <c r="B245" s="2" t="s">
        <v>289</v>
      </c>
      <c r="C245" s="2" t="s">
        <v>290</v>
      </c>
      <c r="D245" s="2" t="s">
        <v>284</v>
      </c>
      <c r="E245" s="2" t="s">
        <v>292</v>
      </c>
      <c r="F245" s="2" t="s">
        <v>54</v>
      </c>
      <c r="G245" s="2" t="s">
        <v>293</v>
      </c>
      <c r="H245" s="2" t="s">
        <v>97</v>
      </c>
      <c r="I245" s="2" t="s">
        <v>294</v>
      </c>
      <c r="J245">
        <v>1</v>
      </c>
    </row>
    <row r="246" spans="1:10" ht="159.94999999999999" customHeight="1" x14ac:dyDescent="0.25">
      <c r="A246" s="2" t="s">
        <v>260</v>
      </c>
      <c r="B246" s="2" t="s">
        <v>258</v>
      </c>
      <c r="C246" s="2" t="s">
        <v>259</v>
      </c>
      <c r="D246" s="2" t="s">
        <v>261</v>
      </c>
      <c r="E246" s="2" t="s">
        <v>262</v>
      </c>
      <c r="F246" s="2" t="s">
        <v>263</v>
      </c>
      <c r="G246" s="2" t="s">
        <v>264</v>
      </c>
      <c r="H246" s="2" t="s">
        <v>97</v>
      </c>
      <c r="I246" s="2" t="s">
        <v>265</v>
      </c>
      <c r="J246">
        <v>1</v>
      </c>
    </row>
    <row r="247" spans="1:10" ht="159.94999999999999" customHeight="1" x14ac:dyDescent="0.25">
      <c r="A247" s="2" t="s">
        <v>245</v>
      </c>
      <c r="B247" s="2" t="s">
        <v>244</v>
      </c>
      <c r="C247" s="2" t="s">
        <v>232</v>
      </c>
      <c r="D247" s="2" t="s">
        <v>234</v>
      </c>
      <c r="E247" s="2" t="s">
        <v>235</v>
      </c>
      <c r="F247" s="2" t="s">
        <v>241</v>
      </c>
      <c r="G247" s="2" t="s">
        <v>246</v>
      </c>
      <c r="H247" s="2" t="s">
        <v>97</v>
      </c>
      <c r="I247" s="2" t="s">
        <v>247</v>
      </c>
      <c r="J247">
        <v>1</v>
      </c>
    </row>
    <row r="248" spans="1:10" ht="159.94999999999999" customHeight="1" x14ac:dyDescent="0.25">
      <c r="A248" s="2" t="s">
        <v>240</v>
      </c>
      <c r="B248" s="2" t="s">
        <v>239</v>
      </c>
      <c r="C248" s="2" t="s">
        <v>232</v>
      </c>
      <c r="D248" s="2" t="s">
        <v>234</v>
      </c>
      <c r="E248" s="2" t="s">
        <v>235</v>
      </c>
      <c r="F248" s="2" t="s">
        <v>241</v>
      </c>
      <c r="G248" s="2" t="s">
        <v>242</v>
      </c>
      <c r="H248" s="2" t="s">
        <v>97</v>
      </c>
      <c r="I248" s="2" t="s">
        <v>243</v>
      </c>
      <c r="J248">
        <v>1</v>
      </c>
    </row>
    <row r="249" spans="1:10" ht="159.94999999999999" customHeight="1" x14ac:dyDescent="0.25">
      <c r="A249" s="2" t="s">
        <v>233</v>
      </c>
      <c r="B249" s="2" t="s">
        <v>231</v>
      </c>
      <c r="C249" s="2" t="s">
        <v>232</v>
      </c>
      <c r="D249" s="2" t="s">
        <v>234</v>
      </c>
      <c r="E249" s="2" t="s">
        <v>235</v>
      </c>
      <c r="F249" s="2" t="s">
        <v>236</v>
      </c>
      <c r="G249" s="2" t="s">
        <v>237</v>
      </c>
      <c r="H249" s="2" t="s">
        <v>97</v>
      </c>
      <c r="I249" s="2" t="s">
        <v>238</v>
      </c>
      <c r="J249">
        <v>1</v>
      </c>
    </row>
    <row r="250" spans="1:10" ht="159.94999999999999" customHeight="1" x14ac:dyDescent="0.25">
      <c r="A250" s="2" t="s">
        <v>160</v>
      </c>
      <c r="B250" s="2" t="s">
        <v>158</v>
      </c>
      <c r="C250" s="2" t="s">
        <v>159</v>
      </c>
      <c r="D250" s="2" t="s">
        <v>161</v>
      </c>
      <c r="E250" s="2" t="s">
        <v>162</v>
      </c>
      <c r="F250" s="2" t="s">
        <v>163</v>
      </c>
      <c r="G250" s="2" t="s">
        <v>164</v>
      </c>
      <c r="H250" s="2" t="s">
        <v>97</v>
      </c>
      <c r="I250" s="2" t="s">
        <v>165</v>
      </c>
      <c r="J250">
        <v>1</v>
      </c>
    </row>
    <row r="251" spans="1:10" ht="159.94999999999999" customHeight="1" x14ac:dyDescent="0.25">
      <c r="A251" s="2" t="s">
        <v>168</v>
      </c>
      <c r="B251" s="2" t="s">
        <v>166</v>
      </c>
      <c r="C251" s="2" t="s">
        <v>167</v>
      </c>
      <c r="D251" s="2" t="s">
        <v>161</v>
      </c>
      <c r="E251" s="2" t="s">
        <v>162</v>
      </c>
      <c r="F251" s="2" t="s">
        <v>169</v>
      </c>
      <c r="G251" s="2" t="s">
        <v>170</v>
      </c>
      <c r="H251" s="2" t="s">
        <v>97</v>
      </c>
      <c r="I251" s="2" t="s">
        <v>171</v>
      </c>
      <c r="J251">
        <v>1</v>
      </c>
    </row>
    <row r="252" spans="1:10" ht="159.94999999999999" customHeight="1" x14ac:dyDescent="0.25">
      <c r="A252" s="2" t="s">
        <v>63</v>
      </c>
      <c r="B252" s="2" t="s">
        <v>61</v>
      </c>
      <c r="C252" s="2" t="s">
        <v>62</v>
      </c>
      <c r="D252" s="2" t="s">
        <v>64</v>
      </c>
      <c r="E252" s="2" t="s">
        <v>13</v>
      </c>
      <c r="F252" s="2" t="s">
        <v>65</v>
      </c>
      <c r="G252" s="2" t="s">
        <v>66</v>
      </c>
      <c r="H252" s="2" t="s">
        <v>67</v>
      </c>
      <c r="I252" s="2" t="s">
        <v>68</v>
      </c>
      <c r="J252">
        <v>0</v>
      </c>
    </row>
    <row r="253" spans="1:10" ht="159.94999999999999" customHeight="1" x14ac:dyDescent="0.25">
      <c r="A253" s="2" t="s">
        <v>1068</v>
      </c>
      <c r="B253" s="2" t="s">
        <v>1066</v>
      </c>
      <c r="C253" s="2" t="s">
        <v>1067</v>
      </c>
      <c r="D253" s="2" t="s">
        <v>1069</v>
      </c>
      <c r="E253" s="2" t="s">
        <v>1070</v>
      </c>
      <c r="F253" s="2" t="s">
        <v>1071</v>
      </c>
      <c r="G253" s="2" t="s">
        <v>1072</v>
      </c>
      <c r="H253" s="2" t="s">
        <v>30</v>
      </c>
      <c r="I253" s="2" t="s">
        <v>1073</v>
      </c>
      <c r="J253">
        <v>0</v>
      </c>
    </row>
    <row r="254" spans="1:10" ht="159.94999999999999" customHeight="1" x14ac:dyDescent="0.25">
      <c r="A254" s="2" t="s">
        <v>1060</v>
      </c>
      <c r="B254" s="2" t="s">
        <v>1058</v>
      </c>
      <c r="C254" s="2" t="s">
        <v>1059</v>
      </c>
      <c r="D254" s="2" t="s">
        <v>1061</v>
      </c>
      <c r="E254" s="2" t="s">
        <v>946</v>
      </c>
      <c r="F254" s="2" t="s">
        <v>1062</v>
      </c>
      <c r="G254" s="2" t="s">
        <v>1063</v>
      </c>
      <c r="H254" s="2" t="s">
        <v>1064</v>
      </c>
      <c r="I254" s="2" t="s">
        <v>1065</v>
      </c>
      <c r="J254">
        <v>0</v>
      </c>
    </row>
    <row r="255" spans="1:10" ht="159.94999999999999" customHeight="1" x14ac:dyDescent="0.25">
      <c r="A255" s="2" t="s">
        <v>122</v>
      </c>
      <c r="B255" s="2" t="s">
        <v>122</v>
      </c>
      <c r="C255" s="2" t="s">
        <v>123</v>
      </c>
      <c r="D255" s="2" t="s">
        <v>124</v>
      </c>
      <c r="E255" s="2" t="s">
        <v>125</v>
      </c>
      <c r="F255" s="2" t="s">
        <v>126</v>
      </c>
      <c r="G255" s="2" t="s">
        <v>55</v>
      </c>
      <c r="H255" s="2" t="s">
        <v>97</v>
      </c>
      <c r="I255" s="2" t="s">
        <v>57</v>
      </c>
      <c r="J255">
        <v>1</v>
      </c>
    </row>
    <row r="256" spans="1:10" ht="159.94999999999999" customHeight="1" x14ac:dyDescent="0.25">
      <c r="A256" s="2" t="s">
        <v>143</v>
      </c>
      <c r="B256" s="2" t="s">
        <v>141</v>
      </c>
      <c r="C256" s="2" t="s">
        <v>142</v>
      </c>
      <c r="D256" s="2" t="s">
        <v>144</v>
      </c>
      <c r="E256" s="2" t="s">
        <v>145</v>
      </c>
      <c r="F256" s="2" t="s">
        <v>146</v>
      </c>
      <c r="G256" s="2" t="s">
        <v>147</v>
      </c>
      <c r="H256" s="2" t="s">
        <v>148</v>
      </c>
      <c r="I256" s="2" t="s">
        <v>149</v>
      </c>
      <c r="J256">
        <v>0</v>
      </c>
    </row>
  </sheetData>
  <sortState ref="A2:J256">
    <sortCondition ref="A2:A2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77"/>
  <sheetViews>
    <sheetView workbookViewId="0"/>
  </sheetViews>
  <sheetFormatPr defaultColWidth="9" defaultRowHeight="15" x14ac:dyDescent="0.25"/>
  <cols>
    <col min="1" max="1" width="39" style="4" customWidth="1"/>
    <col min="2" max="2" width="7" style="4" customWidth="1"/>
    <col min="3" max="9" width="39" style="4" customWidth="1"/>
    <col min="10" max="16384" width="9" style="4"/>
  </cols>
  <sheetData>
    <row r="1" spans="1:9" x14ac:dyDescent="0.25">
      <c r="A1" s="3" t="s">
        <v>0</v>
      </c>
      <c r="B1" s="3" t="s">
        <v>1</v>
      </c>
      <c r="C1" s="3" t="s">
        <v>2</v>
      </c>
      <c r="D1" s="3" t="s">
        <v>3</v>
      </c>
      <c r="E1" s="3" t="s">
        <v>4</v>
      </c>
      <c r="F1" s="3" t="s">
        <v>5</v>
      </c>
      <c r="G1" s="3" t="s">
        <v>6</v>
      </c>
      <c r="H1" s="3" t="s">
        <v>7</v>
      </c>
      <c r="I1" s="3" t="s">
        <v>8</v>
      </c>
    </row>
    <row r="2" spans="1:9" ht="30" x14ac:dyDescent="0.25">
      <c r="A2" s="5" t="s">
        <v>9</v>
      </c>
      <c r="B2" s="5" t="s">
        <v>10</v>
      </c>
      <c r="C2" s="5" t="s">
        <v>11</v>
      </c>
      <c r="D2" s="5" t="s">
        <v>12</v>
      </c>
      <c r="E2" s="5" t="s">
        <v>13</v>
      </c>
      <c r="F2" s="5" t="s">
        <v>14</v>
      </c>
      <c r="G2" s="5" t="s">
        <v>15</v>
      </c>
      <c r="H2" s="5" t="s">
        <v>57</v>
      </c>
      <c r="I2" s="5" t="s">
        <v>265</v>
      </c>
    </row>
    <row r="3" spans="1:9" ht="30" x14ac:dyDescent="0.25">
      <c r="A3" s="5" t="s">
        <v>18</v>
      </c>
      <c r="B3" s="5" t="s">
        <v>10</v>
      </c>
      <c r="C3" s="5" t="s">
        <v>19</v>
      </c>
      <c r="D3" s="5" t="s">
        <v>20</v>
      </c>
      <c r="E3" s="5" t="s">
        <v>13</v>
      </c>
      <c r="F3" s="5" t="s">
        <v>21</v>
      </c>
      <c r="G3" s="5" t="s">
        <v>15</v>
      </c>
      <c r="H3" s="5" t="s">
        <v>57</v>
      </c>
      <c r="I3" s="5" t="s">
        <v>39</v>
      </c>
    </row>
    <row r="4" spans="1:9" ht="45" x14ac:dyDescent="0.25">
      <c r="A4" s="5" t="s">
        <v>1395</v>
      </c>
      <c r="B4" s="5" t="s">
        <v>10</v>
      </c>
      <c r="C4" s="5" t="s">
        <v>26</v>
      </c>
      <c r="D4" s="5" t="s">
        <v>27</v>
      </c>
      <c r="E4" s="5" t="s">
        <v>1396</v>
      </c>
      <c r="F4" s="5" t="s">
        <v>28</v>
      </c>
      <c r="G4" s="5" t="s">
        <v>15</v>
      </c>
      <c r="H4" s="5" t="s">
        <v>57</v>
      </c>
      <c r="I4" s="5" t="s">
        <v>265</v>
      </c>
    </row>
    <row r="5" spans="1:9" ht="45" x14ac:dyDescent="0.25">
      <c r="A5" s="5" t="s">
        <v>1397</v>
      </c>
      <c r="B5" s="5" t="s">
        <v>10</v>
      </c>
      <c r="C5" s="5" t="s">
        <v>26</v>
      </c>
      <c r="D5" s="5" t="s">
        <v>27</v>
      </c>
      <c r="E5" s="5" t="s">
        <v>13</v>
      </c>
      <c r="F5" s="5" t="s">
        <v>28</v>
      </c>
      <c r="G5" s="5" t="s">
        <v>15</v>
      </c>
      <c r="H5" s="5" t="s">
        <v>57</v>
      </c>
      <c r="I5" s="5" t="s">
        <v>120</v>
      </c>
    </row>
    <row r="6" spans="1:9" ht="45" x14ac:dyDescent="0.25">
      <c r="A6" s="5" t="s">
        <v>1398</v>
      </c>
      <c r="B6" s="5" t="s">
        <v>10</v>
      </c>
      <c r="C6" s="5" t="s">
        <v>26</v>
      </c>
      <c r="D6" s="5" t="s">
        <v>27</v>
      </c>
      <c r="E6" s="5" t="s">
        <v>13</v>
      </c>
      <c r="F6" s="5" t="s">
        <v>28</v>
      </c>
      <c r="G6" s="5" t="s">
        <v>15</v>
      </c>
      <c r="H6" s="5" t="s">
        <v>97</v>
      </c>
      <c r="I6" s="5" t="s">
        <v>57</v>
      </c>
    </row>
    <row r="7" spans="1:9" ht="45" x14ac:dyDescent="0.25">
      <c r="A7" s="5" t="s">
        <v>1399</v>
      </c>
      <c r="B7" s="5" t="s">
        <v>132</v>
      </c>
      <c r="C7" s="5" t="s">
        <v>26</v>
      </c>
      <c r="D7" s="5" t="s">
        <v>27</v>
      </c>
      <c r="E7" s="5" t="s">
        <v>13</v>
      </c>
      <c r="F7" s="5" t="s">
        <v>28</v>
      </c>
      <c r="G7" s="5" t="s">
        <v>15</v>
      </c>
      <c r="H7" s="5" t="s">
        <v>57</v>
      </c>
      <c r="I7" s="5" t="s">
        <v>120</v>
      </c>
    </row>
    <row r="8" spans="1:9" ht="45" x14ac:dyDescent="0.25">
      <c r="A8" s="5" t="s">
        <v>1399</v>
      </c>
      <c r="B8" s="5" t="s">
        <v>1013</v>
      </c>
      <c r="C8" s="5" t="s">
        <v>26</v>
      </c>
      <c r="D8" s="5" t="s">
        <v>27</v>
      </c>
      <c r="E8" s="5" t="s">
        <v>13</v>
      </c>
      <c r="F8" s="5" t="s">
        <v>28</v>
      </c>
      <c r="G8" s="5" t="s">
        <v>15</v>
      </c>
      <c r="H8" s="5" t="s">
        <v>57</v>
      </c>
      <c r="I8" s="5" t="s">
        <v>120</v>
      </c>
    </row>
    <row r="9" spans="1:9" ht="45" x14ac:dyDescent="0.25">
      <c r="A9" s="5" t="s">
        <v>1400</v>
      </c>
      <c r="B9" s="5" t="s">
        <v>123</v>
      </c>
      <c r="C9" s="5" t="s">
        <v>26</v>
      </c>
      <c r="D9" s="5" t="s">
        <v>27</v>
      </c>
      <c r="E9" s="5" t="s">
        <v>13</v>
      </c>
      <c r="F9" s="5" t="s">
        <v>28</v>
      </c>
      <c r="G9" s="5" t="s">
        <v>15</v>
      </c>
      <c r="H9" s="5" t="s">
        <v>97</v>
      </c>
      <c r="I9" s="5" t="s">
        <v>57</v>
      </c>
    </row>
    <row r="10" spans="1:9" ht="45" x14ac:dyDescent="0.25">
      <c r="A10" s="5" t="s">
        <v>1401</v>
      </c>
      <c r="B10" s="5" t="s">
        <v>1402</v>
      </c>
      <c r="C10" s="5" t="s">
        <v>26</v>
      </c>
      <c r="D10" s="5" t="s">
        <v>27</v>
      </c>
      <c r="E10" s="5" t="s">
        <v>1396</v>
      </c>
      <c r="F10" s="5" t="s">
        <v>28</v>
      </c>
      <c r="G10" s="5" t="s">
        <v>15</v>
      </c>
      <c r="H10" s="5" t="s">
        <v>97</v>
      </c>
      <c r="I10" s="5" t="s">
        <v>57</v>
      </c>
    </row>
    <row r="11" spans="1:9" ht="60" x14ac:dyDescent="0.25">
      <c r="A11" s="5" t="s">
        <v>1403</v>
      </c>
      <c r="B11" s="5" t="s">
        <v>132</v>
      </c>
      <c r="C11" s="5" t="s">
        <v>34</v>
      </c>
      <c r="D11" s="5" t="s">
        <v>35</v>
      </c>
      <c r="E11" s="5" t="s">
        <v>1404</v>
      </c>
      <c r="F11" s="5" t="s">
        <v>1405</v>
      </c>
      <c r="G11" s="5" t="s">
        <v>15</v>
      </c>
      <c r="H11" s="5" t="s">
        <v>120</v>
      </c>
      <c r="I11" s="5" t="s">
        <v>661</v>
      </c>
    </row>
    <row r="12" spans="1:9" ht="60" x14ac:dyDescent="0.25">
      <c r="A12" s="5" t="s">
        <v>34</v>
      </c>
      <c r="B12" s="5" t="s">
        <v>132</v>
      </c>
      <c r="C12" s="5" t="s">
        <v>34</v>
      </c>
      <c r="D12" s="5" t="s">
        <v>35</v>
      </c>
      <c r="E12" s="5" t="s">
        <v>1404</v>
      </c>
      <c r="F12" s="5" t="s">
        <v>1405</v>
      </c>
      <c r="G12" s="5" t="s">
        <v>15</v>
      </c>
      <c r="H12" s="5" t="s">
        <v>57</v>
      </c>
      <c r="I12" s="5" t="s">
        <v>661</v>
      </c>
    </row>
    <row r="13" spans="1:9" ht="180" x14ac:dyDescent="0.25">
      <c r="A13" s="5" t="s">
        <v>1406</v>
      </c>
      <c r="B13" s="5" t="s">
        <v>132</v>
      </c>
      <c r="C13" s="5" t="s">
        <v>34</v>
      </c>
      <c r="D13" s="5" t="s">
        <v>35</v>
      </c>
      <c r="E13" s="5" t="s">
        <v>1404</v>
      </c>
      <c r="F13" s="5" t="s">
        <v>1407</v>
      </c>
      <c r="G13" s="5" t="s">
        <v>15</v>
      </c>
      <c r="H13" s="5" t="s">
        <v>97</v>
      </c>
      <c r="I13" s="5" t="s">
        <v>57</v>
      </c>
    </row>
    <row r="14" spans="1:9" ht="180" x14ac:dyDescent="0.25">
      <c r="A14" s="5" t="s">
        <v>1406</v>
      </c>
      <c r="B14" s="5" t="s">
        <v>1408</v>
      </c>
      <c r="C14" s="5" t="s">
        <v>34</v>
      </c>
      <c r="D14" s="5" t="s">
        <v>35</v>
      </c>
      <c r="E14" s="5" t="s">
        <v>1404</v>
      </c>
      <c r="F14" s="5" t="s">
        <v>1407</v>
      </c>
      <c r="G14" s="5" t="s">
        <v>15</v>
      </c>
      <c r="H14" s="5" t="s">
        <v>97</v>
      </c>
      <c r="I14" s="5" t="s">
        <v>57</v>
      </c>
    </row>
    <row r="15" spans="1:9" ht="60" x14ac:dyDescent="0.25">
      <c r="A15" s="5" t="s">
        <v>1409</v>
      </c>
      <c r="B15" s="5" t="s">
        <v>132</v>
      </c>
      <c r="C15" s="5" t="s">
        <v>34</v>
      </c>
      <c r="D15" s="5" t="s">
        <v>35</v>
      </c>
      <c r="E15" s="5" t="s">
        <v>1410</v>
      </c>
      <c r="F15" s="5" t="s">
        <v>1411</v>
      </c>
      <c r="G15" s="5" t="s">
        <v>15</v>
      </c>
      <c r="H15" s="5" t="s">
        <v>57</v>
      </c>
      <c r="I15" s="5" t="s">
        <v>39</v>
      </c>
    </row>
    <row r="16" spans="1:9" ht="45" x14ac:dyDescent="0.25">
      <c r="A16" s="5" t="s">
        <v>1412</v>
      </c>
      <c r="B16" s="5" t="s">
        <v>132</v>
      </c>
      <c r="C16" s="5" t="s">
        <v>34</v>
      </c>
      <c r="D16" s="5" t="s">
        <v>35</v>
      </c>
      <c r="E16" s="5" t="s">
        <v>1410</v>
      </c>
      <c r="F16" s="5" t="s">
        <v>1413</v>
      </c>
      <c r="G16" s="5" t="s">
        <v>15</v>
      </c>
      <c r="H16" s="5" t="s">
        <v>57</v>
      </c>
      <c r="I16" s="5" t="s">
        <v>265</v>
      </c>
    </row>
    <row r="17" spans="1:9" ht="75" x14ac:dyDescent="0.25">
      <c r="A17" s="5" t="s">
        <v>1414</v>
      </c>
      <c r="B17" s="5" t="s">
        <v>1415</v>
      </c>
      <c r="C17" s="5" t="s">
        <v>43</v>
      </c>
      <c r="D17" s="5" t="s">
        <v>44</v>
      </c>
      <c r="E17" s="5" t="s">
        <v>1416</v>
      </c>
      <c r="F17" s="5" t="s">
        <v>1417</v>
      </c>
      <c r="G17" s="5" t="s">
        <v>15</v>
      </c>
      <c r="H17" s="5" t="s">
        <v>92</v>
      </c>
      <c r="I17" s="5" t="s">
        <v>39</v>
      </c>
    </row>
    <row r="18" spans="1:9" ht="75" x14ac:dyDescent="0.25">
      <c r="A18" s="5" t="s">
        <v>1414</v>
      </c>
      <c r="B18" s="5" t="s">
        <v>1418</v>
      </c>
      <c r="C18" s="5" t="s">
        <v>43</v>
      </c>
      <c r="D18" s="5" t="s">
        <v>44</v>
      </c>
      <c r="E18" s="5" t="s">
        <v>1416</v>
      </c>
      <c r="F18" s="5" t="s">
        <v>1417</v>
      </c>
      <c r="G18" s="5" t="s">
        <v>15</v>
      </c>
      <c r="H18" s="5" t="s">
        <v>92</v>
      </c>
      <c r="I18" s="5" t="s">
        <v>39</v>
      </c>
    </row>
    <row r="19" spans="1:9" x14ac:dyDescent="0.25">
      <c r="A19" s="5" t="s">
        <v>1419</v>
      </c>
      <c r="B19" s="5" t="s">
        <v>1415</v>
      </c>
      <c r="C19" s="5" t="s">
        <v>43</v>
      </c>
      <c r="D19" s="5" t="s">
        <v>44</v>
      </c>
      <c r="E19" s="5" t="s">
        <v>1416</v>
      </c>
      <c r="F19" s="5" t="s">
        <v>1420</v>
      </c>
      <c r="G19" s="5" t="s">
        <v>55</v>
      </c>
      <c r="H19" s="5" t="s">
        <v>97</v>
      </c>
      <c r="I19" s="5" t="s">
        <v>57</v>
      </c>
    </row>
    <row r="20" spans="1:9" ht="45" x14ac:dyDescent="0.25">
      <c r="A20" s="5" t="s">
        <v>1421</v>
      </c>
      <c r="B20" s="5" t="s">
        <v>132</v>
      </c>
      <c r="C20" s="5" t="s">
        <v>43</v>
      </c>
      <c r="D20" s="5" t="s">
        <v>44</v>
      </c>
      <c r="E20" s="5" t="s">
        <v>1416</v>
      </c>
      <c r="F20" s="5" t="s">
        <v>1422</v>
      </c>
      <c r="G20" s="5" t="s">
        <v>55</v>
      </c>
      <c r="H20" s="5" t="s">
        <v>97</v>
      </c>
      <c r="I20" s="5" t="s">
        <v>57</v>
      </c>
    </row>
    <row r="21" spans="1:9" ht="45" x14ac:dyDescent="0.25">
      <c r="A21" s="5" t="s">
        <v>1421</v>
      </c>
      <c r="B21" s="5" t="s">
        <v>1415</v>
      </c>
      <c r="C21" s="5" t="s">
        <v>43</v>
      </c>
      <c r="D21" s="5" t="s">
        <v>44</v>
      </c>
      <c r="E21" s="5" t="s">
        <v>1416</v>
      </c>
      <c r="F21" s="5" t="s">
        <v>1422</v>
      </c>
      <c r="G21" s="5" t="s">
        <v>55</v>
      </c>
      <c r="H21" s="5" t="s">
        <v>97</v>
      </c>
      <c r="I21" s="5" t="s">
        <v>57</v>
      </c>
    </row>
    <row r="22" spans="1:9" ht="45" x14ac:dyDescent="0.25">
      <c r="A22" s="5" t="s">
        <v>1421</v>
      </c>
      <c r="B22" s="5" t="s">
        <v>1415</v>
      </c>
      <c r="C22" s="5" t="s">
        <v>43</v>
      </c>
      <c r="D22" s="5" t="s">
        <v>44</v>
      </c>
      <c r="E22" s="5" t="s">
        <v>1416</v>
      </c>
      <c r="F22" s="5" t="s">
        <v>1422</v>
      </c>
      <c r="G22" s="5" t="s">
        <v>55</v>
      </c>
      <c r="H22" s="5" t="s">
        <v>97</v>
      </c>
      <c r="I22" s="5" t="s">
        <v>57</v>
      </c>
    </row>
    <row r="23" spans="1:9" ht="45" x14ac:dyDescent="0.25">
      <c r="A23" s="5" t="s">
        <v>1421</v>
      </c>
      <c r="B23" s="5" t="s">
        <v>1013</v>
      </c>
      <c r="C23" s="5" t="s">
        <v>43</v>
      </c>
      <c r="D23" s="5" t="s">
        <v>44</v>
      </c>
      <c r="E23" s="5" t="s">
        <v>1416</v>
      </c>
      <c r="F23" s="5" t="s">
        <v>1422</v>
      </c>
      <c r="G23" s="5" t="s">
        <v>55</v>
      </c>
      <c r="H23" s="5" t="s">
        <v>97</v>
      </c>
      <c r="I23" s="5" t="s">
        <v>57</v>
      </c>
    </row>
    <row r="24" spans="1:9" ht="45" x14ac:dyDescent="0.25">
      <c r="A24" s="5" t="s">
        <v>1421</v>
      </c>
      <c r="B24" s="5" t="s">
        <v>1013</v>
      </c>
      <c r="C24" s="5" t="s">
        <v>43</v>
      </c>
      <c r="D24" s="5" t="s">
        <v>44</v>
      </c>
      <c r="E24" s="5" t="s">
        <v>1416</v>
      </c>
      <c r="F24" s="5" t="s">
        <v>1422</v>
      </c>
      <c r="G24" s="5" t="s">
        <v>55</v>
      </c>
      <c r="H24" s="5" t="s">
        <v>97</v>
      </c>
      <c r="I24" s="5" t="s">
        <v>57</v>
      </c>
    </row>
    <row r="25" spans="1:9" x14ac:dyDescent="0.25">
      <c r="A25" s="5" t="s">
        <v>43</v>
      </c>
      <c r="B25" s="5" t="s">
        <v>132</v>
      </c>
      <c r="C25" s="5" t="s">
        <v>43</v>
      </c>
      <c r="D25" s="5" t="s">
        <v>44</v>
      </c>
      <c r="E25" s="5" t="s">
        <v>1416</v>
      </c>
      <c r="F25" s="5" t="s">
        <v>1420</v>
      </c>
      <c r="G25" s="5" t="s">
        <v>55</v>
      </c>
      <c r="H25" s="5" t="s">
        <v>57</v>
      </c>
      <c r="I25" s="5" t="s">
        <v>120</v>
      </c>
    </row>
    <row r="26" spans="1:9" x14ac:dyDescent="0.25">
      <c r="A26" s="5" t="s">
        <v>43</v>
      </c>
      <c r="B26" s="5" t="s">
        <v>1423</v>
      </c>
      <c r="C26" s="5" t="s">
        <v>43</v>
      </c>
      <c r="D26" s="5" t="s">
        <v>44</v>
      </c>
      <c r="E26" s="5" t="s">
        <v>1416</v>
      </c>
      <c r="F26" s="5" t="s">
        <v>1420</v>
      </c>
      <c r="G26" s="5" t="s">
        <v>55</v>
      </c>
      <c r="H26" s="5" t="s">
        <v>57</v>
      </c>
      <c r="I26" s="5" t="s">
        <v>120</v>
      </c>
    </row>
    <row r="27" spans="1:9" x14ac:dyDescent="0.25">
      <c r="A27" s="5" t="s">
        <v>1424</v>
      </c>
      <c r="B27" s="5" t="s">
        <v>132</v>
      </c>
      <c r="C27" s="5" t="s">
        <v>43</v>
      </c>
      <c r="D27" s="5" t="s">
        <v>44</v>
      </c>
      <c r="E27" s="5" t="s">
        <v>1425</v>
      </c>
      <c r="F27" s="5" t="s">
        <v>1426</v>
      </c>
      <c r="G27" s="5" t="s">
        <v>55</v>
      </c>
      <c r="H27" s="5" t="s">
        <v>57</v>
      </c>
      <c r="I27" s="5" t="s">
        <v>39</v>
      </c>
    </row>
    <row r="28" spans="1:9" x14ac:dyDescent="0.25">
      <c r="A28" s="5" t="s">
        <v>1427</v>
      </c>
      <c r="B28" s="5" t="s">
        <v>1428</v>
      </c>
      <c r="C28" s="5" t="s">
        <v>43</v>
      </c>
      <c r="D28" s="5" t="s">
        <v>44</v>
      </c>
      <c r="E28" s="5" t="s">
        <v>1425</v>
      </c>
      <c r="F28" s="5" t="s">
        <v>1426</v>
      </c>
      <c r="G28" s="5" t="s">
        <v>55</v>
      </c>
      <c r="H28" s="5" t="s">
        <v>57</v>
      </c>
      <c r="I28" s="5" t="s">
        <v>120</v>
      </c>
    </row>
    <row r="29" spans="1:9" ht="75" x14ac:dyDescent="0.25">
      <c r="A29" s="5" t="s">
        <v>1429</v>
      </c>
      <c r="B29" s="5" t="s">
        <v>132</v>
      </c>
      <c r="C29" s="5" t="s">
        <v>43</v>
      </c>
      <c r="D29" s="5" t="s">
        <v>44</v>
      </c>
      <c r="E29" s="5" t="s">
        <v>1430</v>
      </c>
      <c r="F29" s="5" t="s">
        <v>1417</v>
      </c>
      <c r="G29" s="5" t="s">
        <v>55</v>
      </c>
      <c r="H29" s="5" t="s">
        <v>57</v>
      </c>
      <c r="I29" s="5" t="s">
        <v>57</v>
      </c>
    </row>
    <row r="30" spans="1:9" ht="75" x14ac:dyDescent="0.25">
      <c r="A30" s="5" t="s">
        <v>1429</v>
      </c>
      <c r="B30" s="5" t="s">
        <v>1428</v>
      </c>
      <c r="C30" s="5" t="s">
        <v>43</v>
      </c>
      <c r="D30" s="5" t="s">
        <v>44</v>
      </c>
      <c r="E30" s="5" t="s">
        <v>1430</v>
      </c>
      <c r="F30" s="5" t="s">
        <v>1417</v>
      </c>
      <c r="G30" s="5" t="s">
        <v>55</v>
      </c>
      <c r="H30" s="5" t="s">
        <v>57</v>
      </c>
      <c r="I30" s="5" t="s">
        <v>57</v>
      </c>
    </row>
    <row r="31" spans="1:9" x14ac:dyDescent="0.25">
      <c r="A31" s="5" t="s">
        <v>1431</v>
      </c>
      <c r="B31" s="5" t="s">
        <v>10</v>
      </c>
      <c r="C31" s="5" t="s">
        <v>43</v>
      </c>
      <c r="D31" s="5" t="s">
        <v>44</v>
      </c>
      <c r="E31" s="5" t="s">
        <v>1416</v>
      </c>
      <c r="F31" s="5" t="s">
        <v>1420</v>
      </c>
      <c r="G31" s="5" t="s">
        <v>55</v>
      </c>
      <c r="H31" s="5" t="s">
        <v>97</v>
      </c>
      <c r="I31" s="5" t="s">
        <v>57</v>
      </c>
    </row>
    <row r="32" spans="1:9" ht="45" x14ac:dyDescent="0.25">
      <c r="A32" s="5" t="s">
        <v>1432</v>
      </c>
      <c r="B32" s="5" t="s">
        <v>10</v>
      </c>
      <c r="C32" s="5" t="s">
        <v>43</v>
      </c>
      <c r="D32" s="5" t="s">
        <v>44</v>
      </c>
      <c r="E32" s="5" t="s">
        <v>1416</v>
      </c>
      <c r="F32" s="5" t="s">
        <v>1433</v>
      </c>
      <c r="G32" s="5" t="s">
        <v>55</v>
      </c>
      <c r="H32" s="5" t="s">
        <v>57</v>
      </c>
      <c r="I32" s="5" t="s">
        <v>39</v>
      </c>
    </row>
    <row r="33" spans="1:9" ht="45" x14ac:dyDescent="0.25">
      <c r="A33" s="5" t="s">
        <v>1434</v>
      </c>
      <c r="B33" s="5" t="s">
        <v>1013</v>
      </c>
      <c r="C33" s="5" t="s">
        <v>43</v>
      </c>
      <c r="D33" s="5" t="s">
        <v>44</v>
      </c>
      <c r="E33" s="5" t="s">
        <v>1416</v>
      </c>
      <c r="F33" s="5" t="s">
        <v>1433</v>
      </c>
      <c r="G33" s="5" t="s">
        <v>55</v>
      </c>
      <c r="H33" s="5" t="s">
        <v>57</v>
      </c>
      <c r="I33" s="5" t="s">
        <v>120</v>
      </c>
    </row>
    <row r="34" spans="1:9" ht="75" x14ac:dyDescent="0.25">
      <c r="A34" s="5" t="s">
        <v>1435</v>
      </c>
      <c r="B34" s="5" t="s">
        <v>10</v>
      </c>
      <c r="C34" s="5" t="s">
        <v>43</v>
      </c>
      <c r="D34" s="5" t="s">
        <v>44</v>
      </c>
      <c r="E34" s="5" t="s">
        <v>1425</v>
      </c>
      <c r="F34" s="5" t="s">
        <v>1417</v>
      </c>
      <c r="G34" s="5" t="s">
        <v>55</v>
      </c>
      <c r="H34" s="5" t="s">
        <v>57</v>
      </c>
      <c r="I34" s="5" t="s">
        <v>39</v>
      </c>
    </row>
    <row r="35" spans="1:9" ht="75" x14ac:dyDescent="0.25">
      <c r="A35" s="5" t="s">
        <v>1435</v>
      </c>
      <c r="B35" s="5" t="s">
        <v>123</v>
      </c>
      <c r="C35" s="5" t="s">
        <v>43</v>
      </c>
      <c r="D35" s="5" t="s">
        <v>44</v>
      </c>
      <c r="E35" s="5" t="s">
        <v>1425</v>
      </c>
      <c r="F35" s="5" t="s">
        <v>1417</v>
      </c>
      <c r="G35" s="5" t="s">
        <v>55</v>
      </c>
      <c r="H35" s="5" t="s">
        <v>57</v>
      </c>
      <c r="I35" s="5" t="s">
        <v>265</v>
      </c>
    </row>
    <row r="36" spans="1:9" x14ac:dyDescent="0.25">
      <c r="A36" s="5" t="s">
        <v>1436</v>
      </c>
      <c r="B36" s="5" t="s">
        <v>10</v>
      </c>
      <c r="C36" s="5" t="s">
        <v>43</v>
      </c>
      <c r="D36" s="5" t="s">
        <v>44</v>
      </c>
      <c r="E36" s="5" t="s">
        <v>1425</v>
      </c>
      <c r="F36" s="5" t="s">
        <v>1437</v>
      </c>
      <c r="G36" s="5" t="s">
        <v>55</v>
      </c>
      <c r="H36" s="5" t="s">
        <v>57</v>
      </c>
      <c r="I36" s="5" t="s">
        <v>39</v>
      </c>
    </row>
    <row r="37" spans="1:9" x14ac:dyDescent="0.25">
      <c r="A37" s="5" t="s">
        <v>1438</v>
      </c>
      <c r="B37" s="5" t="s">
        <v>1428</v>
      </c>
      <c r="C37" s="5" t="s">
        <v>43</v>
      </c>
      <c r="D37" s="5" t="s">
        <v>44</v>
      </c>
      <c r="E37" s="5" t="s">
        <v>1425</v>
      </c>
      <c r="F37" s="5" t="s">
        <v>1437</v>
      </c>
      <c r="G37" s="5" t="s">
        <v>55</v>
      </c>
      <c r="H37" s="5" t="s">
        <v>57</v>
      </c>
      <c r="I37" s="5" t="s">
        <v>265</v>
      </c>
    </row>
    <row r="38" spans="1:9" ht="90" x14ac:dyDescent="0.25">
      <c r="A38" s="5" t="s">
        <v>1439</v>
      </c>
      <c r="B38" s="5" t="s">
        <v>10</v>
      </c>
      <c r="C38" s="5" t="s">
        <v>43</v>
      </c>
      <c r="D38" s="5" t="s">
        <v>44</v>
      </c>
      <c r="E38" s="5" t="s">
        <v>1425</v>
      </c>
      <c r="F38" s="5" t="s">
        <v>1440</v>
      </c>
      <c r="G38" s="5" t="s">
        <v>55</v>
      </c>
      <c r="H38" s="5" t="s">
        <v>97</v>
      </c>
      <c r="I38" s="5" t="s">
        <v>57</v>
      </c>
    </row>
    <row r="39" spans="1:9" ht="90" x14ac:dyDescent="0.25">
      <c r="A39" s="5" t="s">
        <v>1441</v>
      </c>
      <c r="B39" s="5" t="s">
        <v>123</v>
      </c>
      <c r="C39" s="5" t="s">
        <v>43</v>
      </c>
      <c r="D39" s="5" t="s">
        <v>44</v>
      </c>
      <c r="E39" s="5" t="s">
        <v>1425</v>
      </c>
      <c r="F39" s="5" t="s">
        <v>1440</v>
      </c>
      <c r="G39" s="5" t="s">
        <v>55</v>
      </c>
      <c r="H39" s="5" t="s">
        <v>97</v>
      </c>
      <c r="I39" s="5" t="s">
        <v>57</v>
      </c>
    </row>
    <row r="40" spans="1:9" x14ac:dyDescent="0.25">
      <c r="A40" s="5" t="s">
        <v>1442</v>
      </c>
      <c r="B40" s="5" t="s">
        <v>10</v>
      </c>
      <c r="C40" s="5" t="s">
        <v>43</v>
      </c>
      <c r="D40" s="5" t="s">
        <v>44</v>
      </c>
      <c r="E40" s="5" t="s">
        <v>1425</v>
      </c>
      <c r="F40" s="5" t="s">
        <v>1420</v>
      </c>
      <c r="G40" s="5" t="s">
        <v>15</v>
      </c>
      <c r="H40" s="5" t="s">
        <v>57</v>
      </c>
      <c r="I40" s="5" t="s">
        <v>57</v>
      </c>
    </row>
    <row r="41" spans="1:9" ht="30" x14ac:dyDescent="0.25">
      <c r="A41" s="5" t="s">
        <v>1443</v>
      </c>
      <c r="B41" s="5" t="s">
        <v>10</v>
      </c>
      <c r="C41" s="5" t="s">
        <v>43</v>
      </c>
      <c r="D41" s="5" t="s">
        <v>44</v>
      </c>
      <c r="E41" s="5" t="s">
        <v>1416</v>
      </c>
      <c r="F41" s="5" t="s">
        <v>1444</v>
      </c>
      <c r="G41" s="5" t="s">
        <v>55</v>
      </c>
      <c r="H41" s="5" t="s">
        <v>57</v>
      </c>
      <c r="I41" s="5" t="s">
        <v>57</v>
      </c>
    </row>
    <row r="42" spans="1:9" ht="30" x14ac:dyDescent="0.25">
      <c r="A42" s="5" t="s">
        <v>1445</v>
      </c>
      <c r="B42" s="5" t="s">
        <v>991</v>
      </c>
      <c r="C42" s="5" t="s">
        <v>43</v>
      </c>
      <c r="D42" s="5" t="s">
        <v>44</v>
      </c>
      <c r="E42" s="5" t="s">
        <v>1416</v>
      </c>
      <c r="F42" s="5" t="s">
        <v>1444</v>
      </c>
      <c r="G42" s="5" t="s">
        <v>55</v>
      </c>
      <c r="H42" s="5" t="s">
        <v>57</v>
      </c>
      <c r="I42" s="5" t="s">
        <v>57</v>
      </c>
    </row>
    <row r="43" spans="1:9" ht="60" x14ac:dyDescent="0.25">
      <c r="A43" s="5" t="s">
        <v>1446</v>
      </c>
      <c r="B43" s="5" t="s">
        <v>123</v>
      </c>
      <c r="C43" s="5" t="s">
        <v>43</v>
      </c>
      <c r="D43" s="5" t="s">
        <v>44</v>
      </c>
      <c r="E43" s="5" t="s">
        <v>1416</v>
      </c>
      <c r="F43" s="5" t="s">
        <v>1447</v>
      </c>
      <c r="G43" s="5" t="s">
        <v>55</v>
      </c>
      <c r="H43" s="5" t="s">
        <v>97</v>
      </c>
      <c r="I43" s="5" t="s">
        <v>57</v>
      </c>
    </row>
    <row r="44" spans="1:9" x14ac:dyDescent="0.25">
      <c r="A44" s="5" t="s">
        <v>50</v>
      </c>
      <c r="B44" s="5" t="s">
        <v>51</v>
      </c>
      <c r="C44" s="5" t="s">
        <v>50</v>
      </c>
      <c r="D44" s="5" t="s">
        <v>52</v>
      </c>
      <c r="E44" s="5" t="s">
        <v>1448</v>
      </c>
      <c r="F44" s="5" t="s">
        <v>54</v>
      </c>
      <c r="G44" s="5" t="s">
        <v>15</v>
      </c>
      <c r="H44" s="5" t="s">
        <v>57</v>
      </c>
      <c r="I44" s="5" t="s">
        <v>57</v>
      </c>
    </row>
    <row r="45" spans="1:9" x14ac:dyDescent="0.25">
      <c r="A45" s="5" t="s">
        <v>60</v>
      </c>
      <c r="B45" s="5" t="s">
        <v>10</v>
      </c>
      <c r="C45" s="5" t="s">
        <v>60</v>
      </c>
      <c r="D45" s="5" t="s">
        <v>52</v>
      </c>
      <c r="E45" s="5" t="s">
        <v>1448</v>
      </c>
      <c r="F45" s="5" t="s">
        <v>54</v>
      </c>
      <c r="G45" s="5" t="s">
        <v>15</v>
      </c>
      <c r="H45" s="5" t="s">
        <v>57</v>
      </c>
      <c r="I45" s="5" t="s">
        <v>57</v>
      </c>
    </row>
    <row r="46" spans="1:9" x14ac:dyDescent="0.25">
      <c r="A46" s="5" t="s">
        <v>1449</v>
      </c>
      <c r="B46" s="5" t="s">
        <v>51</v>
      </c>
      <c r="C46" s="5" t="s">
        <v>60</v>
      </c>
      <c r="D46" s="5" t="s">
        <v>52</v>
      </c>
      <c r="E46" s="5" t="s">
        <v>1448</v>
      </c>
      <c r="F46" s="5" t="s">
        <v>54</v>
      </c>
      <c r="G46" s="5" t="s">
        <v>15</v>
      </c>
      <c r="H46" s="5" t="s">
        <v>57</v>
      </c>
      <c r="I46" s="5" t="s">
        <v>57</v>
      </c>
    </row>
    <row r="47" spans="1:9" ht="90" x14ac:dyDescent="0.25">
      <c r="A47" s="5" t="s">
        <v>63</v>
      </c>
      <c r="B47" s="5" t="s">
        <v>132</v>
      </c>
      <c r="C47" s="5" t="s">
        <v>63</v>
      </c>
      <c r="D47" s="5" t="s">
        <v>64</v>
      </c>
      <c r="E47" s="5" t="s">
        <v>1396</v>
      </c>
      <c r="F47" s="5" t="s">
        <v>1450</v>
      </c>
      <c r="G47" s="5" t="s">
        <v>15</v>
      </c>
      <c r="H47" s="5" t="s">
        <v>92</v>
      </c>
      <c r="I47" s="5" t="s">
        <v>265</v>
      </c>
    </row>
    <row r="48" spans="1:9" ht="90" x14ac:dyDescent="0.25">
      <c r="A48" s="5" t="s">
        <v>1451</v>
      </c>
      <c r="B48" s="5" t="s">
        <v>132</v>
      </c>
      <c r="C48" s="5" t="s">
        <v>63</v>
      </c>
      <c r="D48" s="5" t="s">
        <v>64</v>
      </c>
      <c r="E48" s="5" t="s">
        <v>13</v>
      </c>
      <c r="F48" s="5" t="s">
        <v>1450</v>
      </c>
      <c r="G48" s="5" t="s">
        <v>15</v>
      </c>
      <c r="H48" s="5" t="s">
        <v>97</v>
      </c>
      <c r="I48" s="5" t="s">
        <v>57</v>
      </c>
    </row>
    <row r="49" spans="1:9" ht="90" x14ac:dyDescent="0.25">
      <c r="A49" s="5" t="s">
        <v>1451</v>
      </c>
      <c r="B49" s="5" t="s">
        <v>1408</v>
      </c>
      <c r="C49" s="5" t="s">
        <v>63</v>
      </c>
      <c r="D49" s="5" t="s">
        <v>64</v>
      </c>
      <c r="E49" s="5" t="s">
        <v>13</v>
      </c>
      <c r="F49" s="5" t="s">
        <v>1450</v>
      </c>
      <c r="G49" s="5" t="s">
        <v>15</v>
      </c>
      <c r="H49" s="5" t="s">
        <v>97</v>
      </c>
      <c r="I49" s="5" t="s">
        <v>57</v>
      </c>
    </row>
    <row r="50" spans="1:9" ht="90" x14ac:dyDescent="0.25">
      <c r="A50" s="5" t="s">
        <v>1452</v>
      </c>
      <c r="B50" s="5" t="s">
        <v>10</v>
      </c>
      <c r="C50" s="5" t="s">
        <v>63</v>
      </c>
      <c r="D50" s="5" t="s">
        <v>64</v>
      </c>
      <c r="E50" s="5" t="s">
        <v>13</v>
      </c>
      <c r="F50" s="5" t="s">
        <v>1450</v>
      </c>
      <c r="G50" s="5" t="s">
        <v>15</v>
      </c>
      <c r="H50" s="5" t="s">
        <v>97</v>
      </c>
      <c r="I50" s="5" t="s">
        <v>57</v>
      </c>
    </row>
    <row r="51" spans="1:9" ht="90" x14ac:dyDescent="0.25">
      <c r="A51" s="5" t="s">
        <v>1453</v>
      </c>
      <c r="B51" s="5" t="s">
        <v>1428</v>
      </c>
      <c r="C51" s="5" t="s">
        <v>63</v>
      </c>
      <c r="D51" s="5" t="s">
        <v>64</v>
      </c>
      <c r="E51" s="5" t="s">
        <v>13</v>
      </c>
      <c r="F51" s="5" t="s">
        <v>1450</v>
      </c>
      <c r="G51" s="5" t="s">
        <v>15</v>
      </c>
      <c r="H51" s="5" t="s">
        <v>97</v>
      </c>
      <c r="I51" s="5" t="s">
        <v>57</v>
      </c>
    </row>
    <row r="52" spans="1:9" ht="90" x14ac:dyDescent="0.25">
      <c r="A52" s="5" t="s">
        <v>1454</v>
      </c>
      <c r="B52" s="5" t="s">
        <v>10</v>
      </c>
      <c r="C52" s="5" t="s">
        <v>63</v>
      </c>
      <c r="D52" s="5" t="s">
        <v>64</v>
      </c>
      <c r="E52" s="5" t="s">
        <v>13</v>
      </c>
      <c r="F52" s="5" t="s">
        <v>1450</v>
      </c>
      <c r="G52" s="5" t="s">
        <v>15</v>
      </c>
      <c r="H52" s="5" t="s">
        <v>57</v>
      </c>
      <c r="I52" s="5" t="s">
        <v>265</v>
      </c>
    </row>
    <row r="53" spans="1:9" ht="75" x14ac:dyDescent="0.25">
      <c r="A53" s="5" t="s">
        <v>1455</v>
      </c>
      <c r="B53" s="5" t="s">
        <v>10</v>
      </c>
      <c r="C53" s="5" t="s">
        <v>63</v>
      </c>
      <c r="D53" s="5" t="s">
        <v>64</v>
      </c>
      <c r="E53" s="5" t="s">
        <v>13</v>
      </c>
      <c r="F53" s="5" t="s">
        <v>1456</v>
      </c>
      <c r="G53" s="5" t="s">
        <v>15</v>
      </c>
      <c r="H53" s="5" t="s">
        <v>57</v>
      </c>
      <c r="I53" s="5" t="s">
        <v>120</v>
      </c>
    </row>
    <row r="54" spans="1:9" ht="90" x14ac:dyDescent="0.25">
      <c r="A54" s="5" t="s">
        <v>1457</v>
      </c>
      <c r="B54" s="5" t="s">
        <v>10</v>
      </c>
      <c r="C54" s="5" t="s">
        <v>63</v>
      </c>
      <c r="D54" s="5" t="s">
        <v>64</v>
      </c>
      <c r="E54" s="5" t="s">
        <v>57</v>
      </c>
      <c r="F54" s="5" t="s">
        <v>1450</v>
      </c>
      <c r="G54" s="5" t="s">
        <v>15</v>
      </c>
      <c r="H54" s="5" t="s">
        <v>97</v>
      </c>
      <c r="I54" s="5" t="s">
        <v>57</v>
      </c>
    </row>
    <row r="55" spans="1:9" ht="90" x14ac:dyDescent="0.25">
      <c r="A55" s="5" t="s">
        <v>1458</v>
      </c>
      <c r="B55" s="5" t="s">
        <v>123</v>
      </c>
      <c r="C55" s="5" t="s">
        <v>63</v>
      </c>
      <c r="D55" s="5" t="s">
        <v>64</v>
      </c>
      <c r="E55" s="5" t="s">
        <v>13</v>
      </c>
      <c r="F55" s="5" t="s">
        <v>1450</v>
      </c>
      <c r="G55" s="5" t="s">
        <v>15</v>
      </c>
      <c r="H55" s="5" t="s">
        <v>97</v>
      </c>
      <c r="I55" s="5" t="s">
        <v>57</v>
      </c>
    </row>
    <row r="56" spans="1:9" ht="75" x14ac:dyDescent="0.25">
      <c r="A56" s="5" t="s">
        <v>1459</v>
      </c>
      <c r="B56" s="5" t="s">
        <v>1415</v>
      </c>
      <c r="C56" s="5" t="s">
        <v>71</v>
      </c>
      <c r="D56" s="5" t="s">
        <v>72</v>
      </c>
      <c r="E56" s="5" t="s">
        <v>1460</v>
      </c>
      <c r="F56" s="5" t="s">
        <v>74</v>
      </c>
      <c r="G56" s="5" t="s">
        <v>15</v>
      </c>
      <c r="H56" s="5" t="s">
        <v>97</v>
      </c>
      <c r="I56" s="5" t="s">
        <v>120</v>
      </c>
    </row>
    <row r="57" spans="1:9" ht="75" x14ac:dyDescent="0.25">
      <c r="A57" s="5" t="s">
        <v>1459</v>
      </c>
      <c r="B57" s="5" t="s">
        <v>1418</v>
      </c>
      <c r="C57" s="5" t="s">
        <v>71</v>
      </c>
      <c r="D57" s="5" t="s">
        <v>72</v>
      </c>
      <c r="E57" s="5" t="s">
        <v>1460</v>
      </c>
      <c r="F57" s="5" t="s">
        <v>74</v>
      </c>
      <c r="G57" s="5" t="s">
        <v>15</v>
      </c>
      <c r="H57" s="5" t="s">
        <v>97</v>
      </c>
      <c r="I57" s="5" t="s">
        <v>120</v>
      </c>
    </row>
    <row r="58" spans="1:9" ht="75" x14ac:dyDescent="0.25">
      <c r="A58" s="5" t="s">
        <v>1461</v>
      </c>
      <c r="B58" s="5" t="s">
        <v>1415</v>
      </c>
      <c r="C58" s="5" t="s">
        <v>71</v>
      </c>
      <c r="D58" s="5" t="s">
        <v>72</v>
      </c>
      <c r="E58" s="5" t="s">
        <v>1460</v>
      </c>
      <c r="F58" s="5" t="s">
        <v>74</v>
      </c>
      <c r="G58" s="5" t="s">
        <v>15</v>
      </c>
      <c r="H58" s="5" t="s">
        <v>97</v>
      </c>
      <c r="I58" s="5" t="s">
        <v>57</v>
      </c>
    </row>
    <row r="59" spans="1:9" ht="60" x14ac:dyDescent="0.25">
      <c r="A59" s="5" t="s">
        <v>1462</v>
      </c>
      <c r="B59" s="5" t="s">
        <v>132</v>
      </c>
      <c r="C59" s="5" t="s">
        <v>71</v>
      </c>
      <c r="D59" s="5" t="s">
        <v>72</v>
      </c>
      <c r="E59" s="5" t="s">
        <v>1460</v>
      </c>
      <c r="F59" s="5" t="s">
        <v>1463</v>
      </c>
      <c r="G59" s="5" t="s">
        <v>15</v>
      </c>
      <c r="H59" s="5" t="s">
        <v>57</v>
      </c>
      <c r="I59" s="5" t="s">
        <v>120</v>
      </c>
    </row>
    <row r="60" spans="1:9" ht="75" x14ac:dyDescent="0.25">
      <c r="A60" s="5" t="s">
        <v>71</v>
      </c>
      <c r="B60" s="5" t="s">
        <v>132</v>
      </c>
      <c r="C60" s="5" t="s">
        <v>71</v>
      </c>
      <c r="D60" s="5" t="s">
        <v>72</v>
      </c>
      <c r="E60" s="5" t="s">
        <v>1464</v>
      </c>
      <c r="F60" s="5" t="s">
        <v>74</v>
      </c>
      <c r="G60" s="5" t="s">
        <v>15</v>
      </c>
      <c r="H60" s="5" t="s">
        <v>97</v>
      </c>
      <c r="I60" s="5" t="s">
        <v>57</v>
      </c>
    </row>
    <row r="61" spans="1:9" x14ac:dyDescent="0.25">
      <c r="A61" s="5" t="s">
        <v>1465</v>
      </c>
      <c r="B61" s="5" t="s">
        <v>132</v>
      </c>
      <c r="C61" s="5" t="s">
        <v>71</v>
      </c>
      <c r="D61" s="5" t="s">
        <v>72</v>
      </c>
      <c r="E61" s="5" t="s">
        <v>454</v>
      </c>
      <c r="F61" s="5" t="s">
        <v>1466</v>
      </c>
      <c r="G61" s="5" t="s">
        <v>55</v>
      </c>
      <c r="H61" s="5" t="s">
        <v>57</v>
      </c>
      <c r="I61" s="5" t="s">
        <v>120</v>
      </c>
    </row>
    <row r="62" spans="1:9" x14ac:dyDescent="0.25">
      <c r="A62" s="5" t="s">
        <v>1467</v>
      </c>
      <c r="B62" s="5" t="s">
        <v>1428</v>
      </c>
      <c r="C62" s="5" t="s">
        <v>71</v>
      </c>
      <c r="D62" s="5" t="s">
        <v>72</v>
      </c>
      <c r="E62" s="5" t="s">
        <v>454</v>
      </c>
      <c r="F62" s="5" t="s">
        <v>1466</v>
      </c>
      <c r="G62" s="5" t="s">
        <v>55</v>
      </c>
      <c r="H62" s="5" t="s">
        <v>57</v>
      </c>
      <c r="I62" s="5" t="s">
        <v>120</v>
      </c>
    </row>
    <row r="63" spans="1:9" ht="75" x14ac:dyDescent="0.25">
      <c r="A63" s="5" t="s">
        <v>1468</v>
      </c>
      <c r="B63" s="5" t="s">
        <v>10</v>
      </c>
      <c r="C63" s="5" t="s">
        <v>71</v>
      </c>
      <c r="D63" s="5" t="s">
        <v>72</v>
      </c>
      <c r="E63" s="5" t="s">
        <v>1464</v>
      </c>
      <c r="F63" s="5" t="s">
        <v>74</v>
      </c>
      <c r="G63" s="5" t="s">
        <v>15</v>
      </c>
      <c r="H63" s="5" t="s">
        <v>57</v>
      </c>
      <c r="I63" s="5" t="s">
        <v>120</v>
      </c>
    </row>
    <row r="64" spans="1:9" x14ac:dyDescent="0.25">
      <c r="A64" s="5" t="s">
        <v>1469</v>
      </c>
      <c r="B64" s="5" t="s">
        <v>10</v>
      </c>
      <c r="C64" s="5" t="s">
        <v>71</v>
      </c>
      <c r="D64" s="5" t="s">
        <v>72</v>
      </c>
      <c r="E64" s="5" t="s">
        <v>1460</v>
      </c>
      <c r="F64" s="5" t="s">
        <v>1466</v>
      </c>
      <c r="G64" s="5" t="s">
        <v>55</v>
      </c>
      <c r="H64" s="5" t="s">
        <v>97</v>
      </c>
      <c r="I64" s="5" t="s">
        <v>57</v>
      </c>
    </row>
    <row r="65" spans="1:9" x14ac:dyDescent="0.25">
      <c r="A65" s="5" t="s">
        <v>1470</v>
      </c>
      <c r="B65" s="5" t="s">
        <v>10</v>
      </c>
      <c r="C65" s="5" t="s">
        <v>71</v>
      </c>
      <c r="D65" s="5" t="s">
        <v>72</v>
      </c>
      <c r="E65" s="5" t="s">
        <v>57</v>
      </c>
      <c r="F65" s="5" t="s">
        <v>1471</v>
      </c>
      <c r="G65" s="5" t="s">
        <v>15</v>
      </c>
      <c r="H65" s="5" t="s">
        <v>97</v>
      </c>
      <c r="I65" s="5" t="s">
        <v>57</v>
      </c>
    </row>
    <row r="66" spans="1:9" ht="45" x14ac:dyDescent="0.25">
      <c r="A66" s="5" t="s">
        <v>1472</v>
      </c>
      <c r="B66" s="5" t="s">
        <v>1415</v>
      </c>
      <c r="C66" s="5" t="s">
        <v>80</v>
      </c>
      <c r="D66" s="5" t="s">
        <v>81</v>
      </c>
      <c r="E66" s="5" t="s">
        <v>1416</v>
      </c>
      <c r="F66" s="5" t="s">
        <v>1473</v>
      </c>
      <c r="G66" s="5" t="s">
        <v>15</v>
      </c>
      <c r="H66" s="5" t="s">
        <v>120</v>
      </c>
      <c r="I66" s="5" t="s">
        <v>120</v>
      </c>
    </row>
    <row r="67" spans="1:9" ht="45" x14ac:dyDescent="0.25">
      <c r="A67" s="5" t="s">
        <v>1472</v>
      </c>
      <c r="B67" s="5" t="s">
        <v>1418</v>
      </c>
      <c r="C67" s="5" t="s">
        <v>80</v>
      </c>
      <c r="D67" s="5" t="s">
        <v>81</v>
      </c>
      <c r="E67" s="5" t="s">
        <v>1416</v>
      </c>
      <c r="F67" s="5" t="s">
        <v>1473</v>
      </c>
      <c r="G67" s="5" t="s">
        <v>15</v>
      </c>
      <c r="H67" s="5" t="s">
        <v>120</v>
      </c>
      <c r="I67" s="5" t="s">
        <v>120</v>
      </c>
    </row>
    <row r="68" spans="1:9" ht="30" x14ac:dyDescent="0.25">
      <c r="A68" s="5" t="s">
        <v>80</v>
      </c>
      <c r="B68" s="5" t="s">
        <v>132</v>
      </c>
      <c r="C68" s="5" t="s">
        <v>80</v>
      </c>
      <c r="D68" s="5" t="s">
        <v>81</v>
      </c>
      <c r="E68" s="5" t="s">
        <v>1416</v>
      </c>
      <c r="F68" s="5" t="s">
        <v>1474</v>
      </c>
      <c r="G68" s="5" t="s">
        <v>55</v>
      </c>
      <c r="H68" s="5" t="s">
        <v>57</v>
      </c>
      <c r="I68" s="5" t="s">
        <v>265</v>
      </c>
    </row>
    <row r="69" spans="1:9" ht="30" x14ac:dyDescent="0.25">
      <c r="A69" s="5" t="s">
        <v>80</v>
      </c>
      <c r="B69" s="5" t="s">
        <v>1423</v>
      </c>
      <c r="C69" s="5" t="s">
        <v>80</v>
      </c>
      <c r="D69" s="5" t="s">
        <v>81</v>
      </c>
      <c r="E69" s="5" t="s">
        <v>1416</v>
      </c>
      <c r="F69" s="5" t="s">
        <v>1474</v>
      </c>
      <c r="G69" s="5" t="s">
        <v>55</v>
      </c>
      <c r="H69" s="5" t="s">
        <v>57</v>
      </c>
      <c r="I69" s="5" t="s">
        <v>265</v>
      </c>
    </row>
    <row r="70" spans="1:9" ht="90" x14ac:dyDescent="0.25">
      <c r="A70" s="5" t="s">
        <v>1475</v>
      </c>
      <c r="B70" s="5" t="s">
        <v>132</v>
      </c>
      <c r="C70" s="5" t="s">
        <v>80</v>
      </c>
      <c r="D70" s="5" t="s">
        <v>81</v>
      </c>
      <c r="E70" s="5" t="s">
        <v>1416</v>
      </c>
      <c r="F70" s="5" t="s">
        <v>1476</v>
      </c>
      <c r="G70" s="5" t="s">
        <v>55</v>
      </c>
      <c r="H70" s="5" t="s">
        <v>57</v>
      </c>
      <c r="I70" s="5" t="s">
        <v>120</v>
      </c>
    </row>
    <row r="71" spans="1:9" ht="90" x14ac:dyDescent="0.25">
      <c r="A71" s="5" t="s">
        <v>1477</v>
      </c>
      <c r="B71" s="5" t="s">
        <v>1428</v>
      </c>
      <c r="C71" s="5" t="s">
        <v>80</v>
      </c>
      <c r="D71" s="5" t="s">
        <v>81</v>
      </c>
      <c r="E71" s="5" t="s">
        <v>1416</v>
      </c>
      <c r="F71" s="5" t="s">
        <v>1476</v>
      </c>
      <c r="G71" s="5" t="s">
        <v>55</v>
      </c>
      <c r="H71" s="5" t="s">
        <v>57</v>
      </c>
      <c r="I71" s="5" t="s">
        <v>265</v>
      </c>
    </row>
    <row r="72" spans="1:9" ht="45" x14ac:dyDescent="0.25">
      <c r="A72" s="5" t="s">
        <v>1478</v>
      </c>
      <c r="B72" s="5" t="s">
        <v>10</v>
      </c>
      <c r="C72" s="5" t="s">
        <v>80</v>
      </c>
      <c r="D72" s="5" t="s">
        <v>81</v>
      </c>
      <c r="E72" s="5" t="s">
        <v>1425</v>
      </c>
      <c r="F72" s="5" t="s">
        <v>1473</v>
      </c>
      <c r="G72" s="5" t="s">
        <v>55</v>
      </c>
      <c r="H72" s="5" t="s">
        <v>57</v>
      </c>
      <c r="I72" s="5" t="s">
        <v>120</v>
      </c>
    </row>
    <row r="73" spans="1:9" ht="45" x14ac:dyDescent="0.25">
      <c r="A73" s="5" t="s">
        <v>1478</v>
      </c>
      <c r="B73" s="5" t="s">
        <v>123</v>
      </c>
      <c r="C73" s="5" t="s">
        <v>80</v>
      </c>
      <c r="D73" s="5" t="s">
        <v>81</v>
      </c>
      <c r="E73" s="5" t="s">
        <v>1425</v>
      </c>
      <c r="F73" s="5" t="s">
        <v>1473</v>
      </c>
      <c r="G73" s="5" t="s">
        <v>55</v>
      </c>
      <c r="H73" s="5" t="s">
        <v>57</v>
      </c>
      <c r="I73" s="5" t="s">
        <v>265</v>
      </c>
    </row>
    <row r="74" spans="1:9" ht="60" x14ac:dyDescent="0.25">
      <c r="A74" s="5" t="s">
        <v>1479</v>
      </c>
      <c r="B74" s="5" t="s">
        <v>10</v>
      </c>
      <c r="C74" s="5" t="s">
        <v>80</v>
      </c>
      <c r="D74" s="5" t="s">
        <v>81</v>
      </c>
      <c r="E74" s="5" t="s">
        <v>1480</v>
      </c>
      <c r="F74" s="5" t="s">
        <v>1481</v>
      </c>
      <c r="G74" s="5" t="s">
        <v>15</v>
      </c>
      <c r="H74" s="5" t="s">
        <v>57</v>
      </c>
      <c r="I74" s="5" t="s">
        <v>120</v>
      </c>
    </row>
    <row r="75" spans="1:9" x14ac:dyDescent="0.25">
      <c r="A75" s="5" t="s">
        <v>1482</v>
      </c>
      <c r="B75" s="5" t="s">
        <v>10</v>
      </c>
      <c r="C75" s="5" t="s">
        <v>80</v>
      </c>
      <c r="D75" s="5" t="s">
        <v>81</v>
      </c>
      <c r="E75" s="5" t="s">
        <v>1425</v>
      </c>
      <c r="F75" s="5" t="s">
        <v>225</v>
      </c>
      <c r="G75" s="5" t="s">
        <v>15</v>
      </c>
      <c r="H75" s="5" t="s">
        <v>57</v>
      </c>
      <c r="I75" s="5" t="s">
        <v>57</v>
      </c>
    </row>
    <row r="76" spans="1:9" x14ac:dyDescent="0.25">
      <c r="A76" s="5" t="s">
        <v>1483</v>
      </c>
      <c r="B76" s="5" t="s">
        <v>10</v>
      </c>
      <c r="C76" s="5" t="s">
        <v>80</v>
      </c>
      <c r="D76" s="5" t="s">
        <v>81</v>
      </c>
      <c r="E76" s="5" t="s">
        <v>57</v>
      </c>
      <c r="F76" s="5" t="s">
        <v>225</v>
      </c>
      <c r="G76" s="5" t="s">
        <v>15</v>
      </c>
      <c r="H76" s="5" t="s">
        <v>97</v>
      </c>
      <c r="I76" s="5" t="s">
        <v>57</v>
      </c>
    </row>
    <row r="77" spans="1:9" x14ac:dyDescent="0.25">
      <c r="A77" s="5" t="s">
        <v>1484</v>
      </c>
      <c r="B77" s="5" t="s">
        <v>10</v>
      </c>
      <c r="C77" s="5" t="s">
        <v>80</v>
      </c>
      <c r="D77" s="5" t="s">
        <v>81</v>
      </c>
      <c r="E77" s="5" t="s">
        <v>1416</v>
      </c>
      <c r="F77" s="5" t="s">
        <v>225</v>
      </c>
      <c r="G77" s="5" t="s">
        <v>55</v>
      </c>
      <c r="H77" s="5" t="s">
        <v>97</v>
      </c>
      <c r="I77" s="5" t="s">
        <v>57</v>
      </c>
    </row>
    <row r="78" spans="1:9" ht="75" x14ac:dyDescent="0.25">
      <c r="A78" s="5" t="s">
        <v>87</v>
      </c>
      <c r="B78" s="5" t="s">
        <v>132</v>
      </c>
      <c r="C78" s="5" t="s">
        <v>87</v>
      </c>
      <c r="D78" s="5" t="s">
        <v>88</v>
      </c>
      <c r="E78" s="5" t="s">
        <v>1485</v>
      </c>
      <c r="F78" s="5" t="s">
        <v>1486</v>
      </c>
      <c r="G78" s="5" t="s">
        <v>15</v>
      </c>
      <c r="H78" s="5" t="s">
        <v>97</v>
      </c>
      <c r="I78" s="5" t="s">
        <v>57</v>
      </c>
    </row>
    <row r="79" spans="1:9" ht="75" x14ac:dyDescent="0.25">
      <c r="A79" s="5" t="s">
        <v>1487</v>
      </c>
      <c r="B79" s="5" t="s">
        <v>1013</v>
      </c>
      <c r="C79" s="5" t="s">
        <v>87</v>
      </c>
      <c r="D79" s="5" t="s">
        <v>88</v>
      </c>
      <c r="E79" s="5" t="s">
        <v>1485</v>
      </c>
      <c r="F79" s="5" t="s">
        <v>1486</v>
      </c>
      <c r="G79" s="5" t="s">
        <v>15</v>
      </c>
      <c r="H79" s="5" t="s">
        <v>97</v>
      </c>
      <c r="I79" s="5" t="s">
        <v>57</v>
      </c>
    </row>
    <row r="80" spans="1:9" ht="75" x14ac:dyDescent="0.25">
      <c r="A80" s="5" t="s">
        <v>1488</v>
      </c>
      <c r="B80" s="5" t="s">
        <v>991</v>
      </c>
      <c r="C80" s="5" t="s">
        <v>87</v>
      </c>
      <c r="D80" s="5" t="s">
        <v>88</v>
      </c>
      <c r="E80" s="5" t="s">
        <v>1489</v>
      </c>
      <c r="F80" s="5" t="s">
        <v>1486</v>
      </c>
      <c r="G80" s="5" t="s">
        <v>15</v>
      </c>
      <c r="H80" s="5" t="s">
        <v>57</v>
      </c>
      <c r="I80" s="5" t="s">
        <v>57</v>
      </c>
    </row>
    <row r="81" spans="1:9" ht="60" x14ac:dyDescent="0.25">
      <c r="A81" s="5" t="s">
        <v>93</v>
      </c>
      <c r="B81" s="5" t="s">
        <v>51</v>
      </c>
      <c r="C81" s="5" t="s">
        <v>93</v>
      </c>
      <c r="D81" s="5" t="s">
        <v>94</v>
      </c>
      <c r="E81" s="5" t="s">
        <v>1490</v>
      </c>
      <c r="F81" s="5" t="s">
        <v>1491</v>
      </c>
      <c r="G81" s="5" t="s">
        <v>55</v>
      </c>
      <c r="H81" s="5" t="s">
        <v>57</v>
      </c>
      <c r="I81" s="5" t="s">
        <v>57</v>
      </c>
    </row>
    <row r="82" spans="1:9" ht="45" x14ac:dyDescent="0.25">
      <c r="A82" s="5" t="s">
        <v>100</v>
      </c>
      <c r="B82" s="5" t="s">
        <v>51</v>
      </c>
      <c r="C82" s="5" t="s">
        <v>100</v>
      </c>
      <c r="D82" s="5" t="s">
        <v>101</v>
      </c>
      <c r="E82" s="5" t="s">
        <v>1492</v>
      </c>
      <c r="F82" s="5" t="s">
        <v>1493</v>
      </c>
      <c r="G82" s="5" t="s">
        <v>55</v>
      </c>
      <c r="H82" s="5" t="s">
        <v>57</v>
      </c>
      <c r="I82" s="5" t="s">
        <v>57</v>
      </c>
    </row>
    <row r="83" spans="1:9" ht="45" x14ac:dyDescent="0.25">
      <c r="A83" s="5" t="s">
        <v>1494</v>
      </c>
      <c r="B83" s="5" t="s">
        <v>132</v>
      </c>
      <c r="C83" s="5" t="s">
        <v>100</v>
      </c>
      <c r="D83" s="5" t="s">
        <v>101</v>
      </c>
      <c r="E83" s="5" t="s">
        <v>1495</v>
      </c>
      <c r="F83" s="5" t="s">
        <v>1493</v>
      </c>
      <c r="G83" s="5" t="s">
        <v>55</v>
      </c>
      <c r="H83" s="5" t="s">
        <v>57</v>
      </c>
      <c r="I83" s="5" t="s">
        <v>265</v>
      </c>
    </row>
    <row r="84" spans="1:9" ht="45" x14ac:dyDescent="0.25">
      <c r="A84" s="5" t="s">
        <v>1496</v>
      </c>
      <c r="B84" s="5" t="s">
        <v>132</v>
      </c>
      <c r="C84" s="5" t="s">
        <v>100</v>
      </c>
      <c r="D84" s="5" t="s">
        <v>101</v>
      </c>
      <c r="E84" s="5" t="s">
        <v>57</v>
      </c>
      <c r="F84" s="5" t="s">
        <v>1493</v>
      </c>
      <c r="G84" s="5" t="s">
        <v>55</v>
      </c>
      <c r="H84" s="5" t="s">
        <v>97</v>
      </c>
      <c r="I84" s="5" t="s">
        <v>57</v>
      </c>
    </row>
    <row r="85" spans="1:9" x14ac:dyDescent="0.25">
      <c r="A85" s="5" t="s">
        <v>1497</v>
      </c>
      <c r="B85" s="5" t="s">
        <v>132</v>
      </c>
      <c r="C85" s="5" t="s">
        <v>100</v>
      </c>
      <c r="D85" s="5" t="s">
        <v>101</v>
      </c>
      <c r="E85" s="5" t="s">
        <v>1495</v>
      </c>
      <c r="F85" s="5" t="s">
        <v>1498</v>
      </c>
      <c r="G85" s="5" t="s">
        <v>55</v>
      </c>
      <c r="H85" s="5" t="s">
        <v>57</v>
      </c>
      <c r="I85" s="5" t="s">
        <v>120</v>
      </c>
    </row>
    <row r="86" spans="1:9" ht="45" x14ac:dyDescent="0.25">
      <c r="A86" s="5" t="s">
        <v>1499</v>
      </c>
      <c r="B86" s="5" t="s">
        <v>1415</v>
      </c>
      <c r="C86" s="5" t="s">
        <v>100</v>
      </c>
      <c r="D86" s="5" t="s">
        <v>101</v>
      </c>
      <c r="E86" s="5" t="s">
        <v>1500</v>
      </c>
      <c r="F86" s="5" t="s">
        <v>1493</v>
      </c>
      <c r="G86" s="5" t="s">
        <v>15</v>
      </c>
      <c r="H86" s="5" t="s">
        <v>97</v>
      </c>
      <c r="I86" s="5" t="s">
        <v>1501</v>
      </c>
    </row>
    <row r="87" spans="1:9" ht="45" x14ac:dyDescent="0.25">
      <c r="A87" s="5" t="s">
        <v>1499</v>
      </c>
      <c r="B87" s="5" t="s">
        <v>1418</v>
      </c>
      <c r="C87" s="5" t="s">
        <v>100</v>
      </c>
      <c r="D87" s="5" t="s">
        <v>101</v>
      </c>
      <c r="E87" s="5" t="s">
        <v>1500</v>
      </c>
      <c r="F87" s="5" t="s">
        <v>1493</v>
      </c>
      <c r="G87" s="5" t="s">
        <v>15</v>
      </c>
      <c r="H87" s="5" t="s">
        <v>97</v>
      </c>
      <c r="I87" s="5" t="s">
        <v>1501</v>
      </c>
    </row>
    <row r="88" spans="1:9" ht="75" x14ac:dyDescent="0.25">
      <c r="A88" s="5" t="s">
        <v>1502</v>
      </c>
      <c r="B88" s="5" t="s">
        <v>1415</v>
      </c>
      <c r="C88" s="5" t="s">
        <v>100</v>
      </c>
      <c r="D88" s="5" t="s">
        <v>101</v>
      </c>
      <c r="E88" s="5" t="s">
        <v>1495</v>
      </c>
      <c r="F88" s="5" t="s">
        <v>1503</v>
      </c>
      <c r="G88" s="5" t="s">
        <v>55</v>
      </c>
      <c r="H88" s="5" t="s">
        <v>57</v>
      </c>
      <c r="I88" s="5" t="s">
        <v>120</v>
      </c>
    </row>
    <row r="89" spans="1:9" ht="75" x14ac:dyDescent="0.25">
      <c r="A89" s="5" t="s">
        <v>1502</v>
      </c>
      <c r="B89" s="5" t="s">
        <v>1408</v>
      </c>
      <c r="C89" s="5" t="s">
        <v>100</v>
      </c>
      <c r="D89" s="5" t="s">
        <v>101</v>
      </c>
      <c r="E89" s="5" t="s">
        <v>1495</v>
      </c>
      <c r="F89" s="5" t="s">
        <v>1503</v>
      </c>
      <c r="G89" s="5" t="s">
        <v>55</v>
      </c>
      <c r="H89" s="5" t="s">
        <v>57</v>
      </c>
      <c r="I89" s="5" t="s">
        <v>120</v>
      </c>
    </row>
    <row r="90" spans="1:9" ht="45" x14ac:dyDescent="0.25">
      <c r="A90" s="5" t="s">
        <v>1504</v>
      </c>
      <c r="B90" s="5" t="s">
        <v>10</v>
      </c>
      <c r="C90" s="5" t="s">
        <v>100</v>
      </c>
      <c r="D90" s="5" t="s">
        <v>101</v>
      </c>
      <c r="E90" s="5" t="s">
        <v>1505</v>
      </c>
      <c r="F90" s="5" t="s">
        <v>1493</v>
      </c>
      <c r="G90" s="5" t="s">
        <v>55</v>
      </c>
      <c r="H90" s="5" t="s">
        <v>97</v>
      </c>
      <c r="I90" s="5" t="s">
        <v>57</v>
      </c>
    </row>
    <row r="91" spans="1:9" ht="45" x14ac:dyDescent="0.25">
      <c r="A91" s="5" t="s">
        <v>1506</v>
      </c>
      <c r="B91" s="5" t="s">
        <v>10</v>
      </c>
      <c r="C91" s="5" t="s">
        <v>100</v>
      </c>
      <c r="D91" s="5" t="s">
        <v>101</v>
      </c>
      <c r="E91" s="5" t="s">
        <v>1507</v>
      </c>
      <c r="F91" s="5" t="s">
        <v>1493</v>
      </c>
      <c r="G91" s="5" t="s">
        <v>55</v>
      </c>
      <c r="H91" s="5" t="s">
        <v>57</v>
      </c>
      <c r="I91" s="5" t="s">
        <v>120</v>
      </c>
    </row>
    <row r="92" spans="1:9" ht="45" x14ac:dyDescent="0.25">
      <c r="A92" s="5" t="s">
        <v>106</v>
      </c>
      <c r="B92" s="5" t="s">
        <v>51</v>
      </c>
      <c r="C92" s="5" t="s">
        <v>106</v>
      </c>
      <c r="D92" s="5" t="s">
        <v>107</v>
      </c>
      <c r="E92" s="5" t="s">
        <v>1492</v>
      </c>
      <c r="F92" s="5" t="s">
        <v>109</v>
      </c>
      <c r="G92" s="5" t="s">
        <v>55</v>
      </c>
      <c r="H92" s="5" t="s">
        <v>57</v>
      </c>
      <c r="I92" s="5" t="s">
        <v>57</v>
      </c>
    </row>
    <row r="93" spans="1:9" ht="45" x14ac:dyDescent="0.25">
      <c r="A93" s="5" t="s">
        <v>110</v>
      </c>
      <c r="B93" s="5" t="s">
        <v>51</v>
      </c>
      <c r="C93" s="5" t="s">
        <v>110</v>
      </c>
      <c r="D93" s="5" t="s">
        <v>111</v>
      </c>
      <c r="E93" s="5" t="s">
        <v>1492</v>
      </c>
      <c r="F93" s="5" t="s">
        <v>112</v>
      </c>
      <c r="G93" s="5" t="s">
        <v>55</v>
      </c>
      <c r="H93" s="5" t="s">
        <v>57</v>
      </c>
      <c r="I93" s="5" t="s">
        <v>57</v>
      </c>
    </row>
    <row r="94" spans="1:9" ht="60" x14ac:dyDescent="0.25">
      <c r="A94" s="5" t="s">
        <v>115</v>
      </c>
      <c r="B94" s="5" t="s">
        <v>132</v>
      </c>
      <c r="C94" s="5" t="s">
        <v>115</v>
      </c>
      <c r="D94" s="5" t="s">
        <v>116</v>
      </c>
      <c r="E94" s="5" t="s">
        <v>1508</v>
      </c>
      <c r="F94" s="5" t="s">
        <v>118</v>
      </c>
      <c r="G94" s="5" t="s">
        <v>15</v>
      </c>
      <c r="H94" s="5" t="s">
        <v>907</v>
      </c>
      <c r="I94" s="5" t="s">
        <v>120</v>
      </c>
    </row>
    <row r="95" spans="1:9" ht="30" x14ac:dyDescent="0.25">
      <c r="A95" s="5" t="s">
        <v>1509</v>
      </c>
      <c r="B95" s="5" t="s">
        <v>132</v>
      </c>
      <c r="C95" s="5" t="s">
        <v>115</v>
      </c>
      <c r="D95" s="5" t="s">
        <v>116</v>
      </c>
      <c r="E95" s="5" t="s">
        <v>117</v>
      </c>
      <c r="F95" s="5" t="s">
        <v>118</v>
      </c>
      <c r="G95" s="5" t="s">
        <v>15</v>
      </c>
      <c r="H95" s="5" t="s">
        <v>97</v>
      </c>
      <c r="I95" s="5" t="s">
        <v>57</v>
      </c>
    </row>
    <row r="96" spans="1:9" ht="30" x14ac:dyDescent="0.25">
      <c r="A96" s="5" t="s">
        <v>1509</v>
      </c>
      <c r="B96" s="5" t="s">
        <v>1510</v>
      </c>
      <c r="C96" s="5" t="s">
        <v>115</v>
      </c>
      <c r="D96" s="5" t="s">
        <v>116</v>
      </c>
      <c r="E96" s="5" t="s">
        <v>117</v>
      </c>
      <c r="F96" s="5" t="s">
        <v>118</v>
      </c>
      <c r="G96" s="5" t="s">
        <v>15</v>
      </c>
      <c r="H96" s="5" t="s">
        <v>97</v>
      </c>
      <c r="I96" s="5" t="s">
        <v>57</v>
      </c>
    </row>
    <row r="97" spans="1:9" ht="30" x14ac:dyDescent="0.25">
      <c r="A97" s="5" t="s">
        <v>122</v>
      </c>
      <c r="B97" s="5" t="s">
        <v>123</v>
      </c>
      <c r="C97" s="5" t="s">
        <v>122</v>
      </c>
      <c r="D97" s="5" t="s">
        <v>124</v>
      </c>
      <c r="E97" s="5" t="s">
        <v>125</v>
      </c>
      <c r="F97" s="5" t="s">
        <v>126</v>
      </c>
      <c r="G97" s="5" t="s">
        <v>55</v>
      </c>
      <c r="H97" s="5" t="s">
        <v>97</v>
      </c>
      <c r="I97" s="5" t="s">
        <v>57</v>
      </c>
    </row>
    <row r="98" spans="1:9" ht="60" x14ac:dyDescent="0.25">
      <c r="A98" s="5" t="s">
        <v>127</v>
      </c>
      <c r="B98" s="5" t="s">
        <v>51</v>
      </c>
      <c r="C98" s="5" t="s">
        <v>127</v>
      </c>
      <c r="D98" s="5" t="s">
        <v>128</v>
      </c>
      <c r="E98" s="5" t="s">
        <v>1511</v>
      </c>
      <c r="F98" s="5" t="s">
        <v>1512</v>
      </c>
      <c r="G98" s="5" t="s">
        <v>55</v>
      </c>
      <c r="H98" s="5" t="s">
        <v>57</v>
      </c>
      <c r="I98" s="5" t="s">
        <v>57</v>
      </c>
    </row>
    <row r="99" spans="1:9" ht="90" x14ac:dyDescent="0.25">
      <c r="A99" s="5" t="s">
        <v>131</v>
      </c>
      <c r="B99" s="5" t="s">
        <v>132</v>
      </c>
      <c r="C99" s="5" t="s">
        <v>131</v>
      </c>
      <c r="D99" s="5" t="s">
        <v>133</v>
      </c>
      <c r="E99" s="5" t="s">
        <v>125</v>
      </c>
      <c r="F99" s="5" t="s">
        <v>1513</v>
      </c>
      <c r="G99" s="5" t="s">
        <v>55</v>
      </c>
      <c r="H99" s="5" t="s">
        <v>57</v>
      </c>
      <c r="I99" s="5" t="s">
        <v>56</v>
      </c>
    </row>
    <row r="100" spans="1:9" ht="255" x14ac:dyDescent="0.25">
      <c r="A100" s="5" t="s">
        <v>136</v>
      </c>
      <c r="B100" s="5" t="s">
        <v>10</v>
      </c>
      <c r="C100" s="5" t="s">
        <v>136</v>
      </c>
      <c r="D100" s="5" t="s">
        <v>137</v>
      </c>
      <c r="E100" s="5" t="s">
        <v>138</v>
      </c>
      <c r="F100" s="5" t="s">
        <v>1514</v>
      </c>
      <c r="G100" s="5" t="s">
        <v>55</v>
      </c>
      <c r="H100" s="5" t="s">
        <v>57</v>
      </c>
      <c r="I100" s="5" t="s">
        <v>265</v>
      </c>
    </row>
    <row r="101" spans="1:9" ht="180" x14ac:dyDescent="0.25">
      <c r="A101" s="5" t="s">
        <v>143</v>
      </c>
      <c r="B101" s="5" t="s">
        <v>123</v>
      </c>
      <c r="C101" s="5" t="s">
        <v>143</v>
      </c>
      <c r="D101" s="5" t="s">
        <v>144</v>
      </c>
      <c r="E101" s="5" t="s">
        <v>145</v>
      </c>
      <c r="F101" s="5" t="s">
        <v>1515</v>
      </c>
      <c r="G101" s="5" t="s">
        <v>15</v>
      </c>
      <c r="H101" s="5" t="s">
        <v>97</v>
      </c>
      <c r="I101" s="5" t="s">
        <v>57</v>
      </c>
    </row>
    <row r="102" spans="1:9" ht="180" x14ac:dyDescent="0.25">
      <c r="A102" s="5" t="s">
        <v>1516</v>
      </c>
      <c r="B102" s="5" t="s">
        <v>123</v>
      </c>
      <c r="C102" s="5" t="s">
        <v>143</v>
      </c>
      <c r="D102" s="5" t="s">
        <v>144</v>
      </c>
      <c r="E102" s="5" t="s">
        <v>145</v>
      </c>
      <c r="F102" s="5" t="s">
        <v>1515</v>
      </c>
      <c r="G102" s="5" t="s">
        <v>15</v>
      </c>
      <c r="H102" s="5" t="s">
        <v>97</v>
      </c>
      <c r="I102" s="5" t="s">
        <v>57</v>
      </c>
    </row>
    <row r="103" spans="1:9" ht="180" x14ac:dyDescent="0.25">
      <c r="A103" s="5" t="s">
        <v>1517</v>
      </c>
      <c r="B103" s="5" t="s">
        <v>132</v>
      </c>
      <c r="C103" s="5" t="s">
        <v>143</v>
      </c>
      <c r="D103" s="5" t="s">
        <v>144</v>
      </c>
      <c r="E103" s="5" t="s">
        <v>145</v>
      </c>
      <c r="F103" s="5" t="s">
        <v>1515</v>
      </c>
      <c r="G103" s="5" t="s">
        <v>15</v>
      </c>
      <c r="H103" s="5" t="s">
        <v>57</v>
      </c>
      <c r="I103" s="5" t="s">
        <v>265</v>
      </c>
    </row>
    <row r="104" spans="1:9" ht="180" x14ac:dyDescent="0.25">
      <c r="A104" s="5" t="s">
        <v>1517</v>
      </c>
      <c r="B104" s="5" t="s">
        <v>1013</v>
      </c>
      <c r="C104" s="5" t="s">
        <v>143</v>
      </c>
      <c r="D104" s="5" t="s">
        <v>144</v>
      </c>
      <c r="E104" s="5" t="s">
        <v>145</v>
      </c>
      <c r="F104" s="5" t="s">
        <v>1515</v>
      </c>
      <c r="G104" s="5" t="s">
        <v>15</v>
      </c>
      <c r="H104" s="5" t="s">
        <v>57</v>
      </c>
      <c r="I104" s="5" t="s">
        <v>265</v>
      </c>
    </row>
    <row r="105" spans="1:9" ht="180" x14ac:dyDescent="0.25">
      <c r="A105" s="5" t="s">
        <v>1518</v>
      </c>
      <c r="B105" s="5" t="s">
        <v>10</v>
      </c>
      <c r="C105" s="5" t="s">
        <v>143</v>
      </c>
      <c r="D105" s="5" t="s">
        <v>144</v>
      </c>
      <c r="E105" s="5" t="s">
        <v>1519</v>
      </c>
      <c r="F105" s="5" t="s">
        <v>1515</v>
      </c>
      <c r="G105" s="5" t="s">
        <v>15</v>
      </c>
      <c r="H105" s="5" t="s">
        <v>97</v>
      </c>
      <c r="I105" s="5" t="s">
        <v>57</v>
      </c>
    </row>
    <row r="106" spans="1:9" ht="180" x14ac:dyDescent="0.25">
      <c r="A106" s="5" t="s">
        <v>1520</v>
      </c>
      <c r="B106" s="5" t="s">
        <v>132</v>
      </c>
      <c r="C106" s="5" t="s">
        <v>143</v>
      </c>
      <c r="D106" s="5" t="s">
        <v>144</v>
      </c>
      <c r="E106" s="5" t="s">
        <v>1519</v>
      </c>
      <c r="F106" s="5" t="s">
        <v>1515</v>
      </c>
      <c r="G106" s="5" t="s">
        <v>15</v>
      </c>
      <c r="H106" s="5" t="s">
        <v>97</v>
      </c>
      <c r="I106" s="5" t="s">
        <v>57</v>
      </c>
    </row>
    <row r="107" spans="1:9" ht="180" x14ac:dyDescent="0.25">
      <c r="A107" s="5" t="s">
        <v>1520</v>
      </c>
      <c r="B107" s="5" t="s">
        <v>1013</v>
      </c>
      <c r="C107" s="5" t="s">
        <v>143</v>
      </c>
      <c r="D107" s="5" t="s">
        <v>144</v>
      </c>
      <c r="E107" s="5" t="s">
        <v>1519</v>
      </c>
      <c r="F107" s="5" t="s">
        <v>1515</v>
      </c>
      <c r="G107" s="5" t="s">
        <v>15</v>
      </c>
      <c r="H107" s="5" t="s">
        <v>97</v>
      </c>
      <c r="I107" s="5" t="s">
        <v>57</v>
      </c>
    </row>
    <row r="108" spans="1:9" ht="180" x14ac:dyDescent="0.25">
      <c r="A108" s="5" t="s">
        <v>1521</v>
      </c>
      <c r="B108" s="5" t="s">
        <v>10</v>
      </c>
      <c r="C108" s="5" t="s">
        <v>143</v>
      </c>
      <c r="D108" s="5" t="s">
        <v>144</v>
      </c>
      <c r="E108" s="5" t="s">
        <v>145</v>
      </c>
      <c r="F108" s="5" t="s">
        <v>1515</v>
      </c>
      <c r="G108" s="5" t="s">
        <v>15</v>
      </c>
      <c r="H108" s="5" t="s">
        <v>97</v>
      </c>
      <c r="I108" s="5" t="s">
        <v>57</v>
      </c>
    </row>
    <row r="109" spans="1:9" ht="180" x14ac:dyDescent="0.25">
      <c r="A109" s="5" t="s">
        <v>1522</v>
      </c>
      <c r="B109" s="5" t="s">
        <v>1428</v>
      </c>
      <c r="C109" s="5" t="s">
        <v>143</v>
      </c>
      <c r="D109" s="5" t="s">
        <v>144</v>
      </c>
      <c r="E109" s="5" t="s">
        <v>145</v>
      </c>
      <c r="F109" s="5" t="s">
        <v>1515</v>
      </c>
      <c r="G109" s="5" t="s">
        <v>15</v>
      </c>
      <c r="H109" s="5" t="s">
        <v>97</v>
      </c>
      <c r="I109" s="5" t="s">
        <v>57</v>
      </c>
    </row>
    <row r="110" spans="1:9" ht="180" x14ac:dyDescent="0.25">
      <c r="A110" s="5" t="s">
        <v>1523</v>
      </c>
      <c r="B110" s="5" t="s">
        <v>10</v>
      </c>
      <c r="C110" s="5" t="s">
        <v>143</v>
      </c>
      <c r="D110" s="5" t="s">
        <v>144</v>
      </c>
      <c r="E110" s="5" t="s">
        <v>145</v>
      </c>
      <c r="F110" s="5" t="s">
        <v>1515</v>
      </c>
      <c r="G110" s="5" t="s">
        <v>15</v>
      </c>
      <c r="H110" s="5" t="s">
        <v>57</v>
      </c>
      <c r="I110" s="5" t="s">
        <v>265</v>
      </c>
    </row>
    <row r="111" spans="1:9" ht="180" x14ac:dyDescent="0.25">
      <c r="A111" s="5" t="s">
        <v>1524</v>
      </c>
      <c r="B111" s="5" t="s">
        <v>1428</v>
      </c>
      <c r="C111" s="5" t="s">
        <v>143</v>
      </c>
      <c r="D111" s="5" t="s">
        <v>144</v>
      </c>
      <c r="E111" s="5" t="s">
        <v>145</v>
      </c>
      <c r="F111" s="5" t="s">
        <v>1515</v>
      </c>
      <c r="G111" s="5" t="s">
        <v>15</v>
      </c>
      <c r="H111" s="5" t="s">
        <v>57</v>
      </c>
      <c r="I111" s="5" t="s">
        <v>265</v>
      </c>
    </row>
    <row r="112" spans="1:9" ht="180" x14ac:dyDescent="0.25">
      <c r="A112" s="5" t="s">
        <v>1525</v>
      </c>
      <c r="B112" s="5" t="s">
        <v>10</v>
      </c>
      <c r="C112" s="5" t="s">
        <v>143</v>
      </c>
      <c r="D112" s="5" t="s">
        <v>144</v>
      </c>
      <c r="E112" s="5" t="s">
        <v>1519</v>
      </c>
      <c r="F112" s="5" t="s">
        <v>1515</v>
      </c>
      <c r="G112" s="5" t="s">
        <v>15</v>
      </c>
      <c r="H112" s="5" t="s">
        <v>57</v>
      </c>
      <c r="I112" s="5" t="s">
        <v>92</v>
      </c>
    </row>
    <row r="113" spans="1:9" ht="180" x14ac:dyDescent="0.25">
      <c r="A113" s="5" t="s">
        <v>1526</v>
      </c>
      <c r="B113" s="5" t="s">
        <v>1527</v>
      </c>
      <c r="C113" s="5" t="s">
        <v>143</v>
      </c>
      <c r="D113" s="5" t="s">
        <v>144</v>
      </c>
      <c r="E113" s="5" t="s">
        <v>1519</v>
      </c>
      <c r="F113" s="5" t="s">
        <v>1515</v>
      </c>
      <c r="G113" s="5" t="s">
        <v>15</v>
      </c>
      <c r="H113" s="5" t="s">
        <v>97</v>
      </c>
      <c r="I113" s="5" t="s">
        <v>57</v>
      </c>
    </row>
    <row r="114" spans="1:9" ht="180" x14ac:dyDescent="0.25">
      <c r="A114" s="5" t="s">
        <v>1528</v>
      </c>
      <c r="B114" s="5" t="s">
        <v>1402</v>
      </c>
      <c r="C114" s="5" t="s">
        <v>143</v>
      </c>
      <c r="D114" s="5" t="s">
        <v>144</v>
      </c>
      <c r="E114" s="5" t="s">
        <v>1519</v>
      </c>
      <c r="F114" s="5" t="s">
        <v>1515</v>
      </c>
      <c r="G114" s="5" t="s">
        <v>15</v>
      </c>
      <c r="H114" s="5" t="s">
        <v>97</v>
      </c>
      <c r="I114" s="5" t="s">
        <v>57</v>
      </c>
    </row>
    <row r="115" spans="1:9" ht="180" x14ac:dyDescent="0.25">
      <c r="A115" s="5" t="s">
        <v>1528</v>
      </c>
      <c r="B115" s="5" t="s">
        <v>1529</v>
      </c>
      <c r="C115" s="5" t="s">
        <v>143</v>
      </c>
      <c r="D115" s="5" t="s">
        <v>144</v>
      </c>
      <c r="E115" s="5" t="s">
        <v>1519</v>
      </c>
      <c r="F115" s="5" t="s">
        <v>1515</v>
      </c>
      <c r="G115" s="5" t="s">
        <v>15</v>
      </c>
      <c r="H115" s="5" t="s">
        <v>97</v>
      </c>
      <c r="I115" s="5" t="s">
        <v>57</v>
      </c>
    </row>
    <row r="116" spans="1:9" ht="180" x14ac:dyDescent="0.25">
      <c r="A116" s="5" t="s">
        <v>1530</v>
      </c>
      <c r="B116" s="5" t="s">
        <v>1531</v>
      </c>
      <c r="C116" s="5" t="s">
        <v>143</v>
      </c>
      <c r="D116" s="5" t="s">
        <v>144</v>
      </c>
      <c r="E116" s="5" t="s">
        <v>57</v>
      </c>
      <c r="F116" s="5" t="s">
        <v>1515</v>
      </c>
      <c r="G116" s="5" t="s">
        <v>15</v>
      </c>
      <c r="H116" s="5" t="s">
        <v>97</v>
      </c>
      <c r="I116" s="5" t="s">
        <v>57</v>
      </c>
    </row>
    <row r="117" spans="1:9" ht="180" x14ac:dyDescent="0.25">
      <c r="A117" s="5" t="s">
        <v>1532</v>
      </c>
      <c r="B117" s="5" t="s">
        <v>1531</v>
      </c>
      <c r="C117" s="5" t="s">
        <v>143</v>
      </c>
      <c r="D117" s="5" t="s">
        <v>144</v>
      </c>
      <c r="E117" s="5" t="s">
        <v>145</v>
      </c>
      <c r="F117" s="5" t="s">
        <v>1515</v>
      </c>
      <c r="G117" s="5" t="s">
        <v>15</v>
      </c>
      <c r="H117" s="5" t="s">
        <v>97</v>
      </c>
      <c r="I117" s="5" t="s">
        <v>57</v>
      </c>
    </row>
    <row r="118" spans="1:9" ht="180" x14ac:dyDescent="0.25">
      <c r="A118" s="5" t="s">
        <v>1533</v>
      </c>
      <c r="B118" s="5" t="s">
        <v>1423</v>
      </c>
      <c r="C118" s="5" t="s">
        <v>143</v>
      </c>
      <c r="D118" s="5" t="s">
        <v>144</v>
      </c>
      <c r="E118" s="5" t="s">
        <v>1519</v>
      </c>
      <c r="F118" s="5" t="s">
        <v>1515</v>
      </c>
      <c r="G118" s="5" t="s">
        <v>15</v>
      </c>
      <c r="H118" s="5" t="s">
        <v>57</v>
      </c>
      <c r="I118" s="5" t="s">
        <v>265</v>
      </c>
    </row>
    <row r="119" spans="1:9" ht="30" x14ac:dyDescent="0.25">
      <c r="A119" s="5" t="s">
        <v>150</v>
      </c>
      <c r="B119" s="5" t="s">
        <v>51</v>
      </c>
      <c r="C119" s="5" t="s">
        <v>150</v>
      </c>
      <c r="D119" s="5" t="s">
        <v>151</v>
      </c>
      <c r="E119" s="5" t="s">
        <v>1511</v>
      </c>
      <c r="F119" s="5" t="s">
        <v>152</v>
      </c>
      <c r="G119" s="5" t="s">
        <v>55</v>
      </c>
      <c r="H119" s="5" t="s">
        <v>57</v>
      </c>
      <c r="I119" s="5" t="s">
        <v>57</v>
      </c>
    </row>
    <row r="120" spans="1:9" ht="75" x14ac:dyDescent="0.25">
      <c r="A120" s="5" t="s">
        <v>153</v>
      </c>
      <c r="B120" s="5" t="s">
        <v>10</v>
      </c>
      <c r="C120" s="5" t="s">
        <v>153</v>
      </c>
      <c r="D120" s="5" t="s">
        <v>154</v>
      </c>
      <c r="E120" s="5" t="s">
        <v>155</v>
      </c>
      <c r="F120" s="5" t="s">
        <v>1534</v>
      </c>
      <c r="G120" s="5" t="s">
        <v>55</v>
      </c>
      <c r="H120" s="5" t="s">
        <v>57</v>
      </c>
      <c r="I120" s="5" t="s">
        <v>265</v>
      </c>
    </row>
    <row r="121" spans="1:9" ht="120" x14ac:dyDescent="0.25">
      <c r="A121" s="5" t="s">
        <v>160</v>
      </c>
      <c r="B121" s="5" t="s">
        <v>132</v>
      </c>
      <c r="C121" s="5" t="s">
        <v>160</v>
      </c>
      <c r="D121" s="5" t="s">
        <v>161</v>
      </c>
      <c r="E121" s="5" t="s">
        <v>1535</v>
      </c>
      <c r="F121" s="5" t="s">
        <v>1536</v>
      </c>
      <c r="G121" s="5" t="s">
        <v>55</v>
      </c>
      <c r="H121" s="5" t="s">
        <v>97</v>
      </c>
      <c r="I121" s="5" t="s">
        <v>265</v>
      </c>
    </row>
    <row r="122" spans="1:9" ht="90" x14ac:dyDescent="0.25">
      <c r="A122" s="5" t="s">
        <v>1537</v>
      </c>
      <c r="B122" s="5" t="s">
        <v>132</v>
      </c>
      <c r="C122" s="5" t="s">
        <v>160</v>
      </c>
      <c r="D122" s="5" t="s">
        <v>161</v>
      </c>
      <c r="E122" s="5" t="s">
        <v>1538</v>
      </c>
      <c r="F122" s="5" t="s">
        <v>1539</v>
      </c>
      <c r="G122" s="5" t="s">
        <v>55</v>
      </c>
      <c r="H122" s="5" t="s">
        <v>57</v>
      </c>
      <c r="I122" s="5" t="s">
        <v>265</v>
      </c>
    </row>
    <row r="123" spans="1:9" ht="90" x14ac:dyDescent="0.25">
      <c r="A123" s="5" t="s">
        <v>168</v>
      </c>
      <c r="B123" s="5" t="s">
        <v>132</v>
      </c>
      <c r="C123" s="5" t="s">
        <v>168</v>
      </c>
      <c r="D123" s="5" t="s">
        <v>161</v>
      </c>
      <c r="E123" s="5" t="s">
        <v>1535</v>
      </c>
      <c r="F123" s="5" t="s">
        <v>1540</v>
      </c>
      <c r="G123" s="5" t="s">
        <v>55</v>
      </c>
      <c r="H123" s="5" t="s">
        <v>97</v>
      </c>
      <c r="I123" s="5" t="s">
        <v>265</v>
      </c>
    </row>
    <row r="124" spans="1:9" ht="90" x14ac:dyDescent="0.25">
      <c r="A124" s="5" t="s">
        <v>168</v>
      </c>
      <c r="B124" s="5" t="s">
        <v>1541</v>
      </c>
      <c r="C124" s="5" t="s">
        <v>168</v>
      </c>
      <c r="D124" s="5" t="s">
        <v>161</v>
      </c>
      <c r="E124" s="5" t="s">
        <v>1535</v>
      </c>
      <c r="F124" s="5" t="s">
        <v>1540</v>
      </c>
      <c r="G124" s="5" t="s">
        <v>55</v>
      </c>
      <c r="H124" s="5" t="s">
        <v>97</v>
      </c>
      <c r="I124" s="5" t="s">
        <v>265</v>
      </c>
    </row>
    <row r="125" spans="1:9" ht="60" x14ac:dyDescent="0.25">
      <c r="A125" s="5" t="s">
        <v>1542</v>
      </c>
      <c r="B125" s="5" t="s">
        <v>132</v>
      </c>
      <c r="C125" s="5" t="s">
        <v>168</v>
      </c>
      <c r="D125" s="5" t="s">
        <v>161</v>
      </c>
      <c r="E125" s="5" t="s">
        <v>1538</v>
      </c>
      <c r="F125" s="5" t="s">
        <v>1543</v>
      </c>
      <c r="G125" s="5" t="s">
        <v>55</v>
      </c>
      <c r="H125" s="5" t="s">
        <v>57</v>
      </c>
      <c r="I125" s="5" t="s">
        <v>265</v>
      </c>
    </row>
    <row r="126" spans="1:9" ht="75" x14ac:dyDescent="0.25">
      <c r="A126" s="5" t="s">
        <v>172</v>
      </c>
      <c r="B126" s="5" t="s">
        <v>10</v>
      </c>
      <c r="C126" s="5" t="s">
        <v>172</v>
      </c>
      <c r="D126" s="5" t="s">
        <v>173</v>
      </c>
      <c r="E126" s="5" t="s">
        <v>174</v>
      </c>
      <c r="F126" s="5" t="s">
        <v>1544</v>
      </c>
      <c r="G126" s="5" t="s">
        <v>55</v>
      </c>
      <c r="H126" s="5" t="s">
        <v>57</v>
      </c>
      <c r="I126" s="5" t="s">
        <v>265</v>
      </c>
    </row>
    <row r="127" spans="1:9" ht="120" x14ac:dyDescent="0.25">
      <c r="A127" s="5" t="s">
        <v>177</v>
      </c>
      <c r="B127" s="5" t="s">
        <v>10</v>
      </c>
      <c r="C127" s="5" t="s">
        <v>177</v>
      </c>
      <c r="D127" s="5" t="s">
        <v>173</v>
      </c>
      <c r="E127" s="5" t="s">
        <v>174</v>
      </c>
      <c r="F127" s="5" t="s">
        <v>178</v>
      </c>
      <c r="G127" s="5" t="s">
        <v>55</v>
      </c>
      <c r="H127" s="5" t="s">
        <v>57</v>
      </c>
      <c r="I127" s="5" t="s">
        <v>265</v>
      </c>
    </row>
    <row r="128" spans="1:9" ht="90" x14ac:dyDescent="0.25">
      <c r="A128" s="5" t="s">
        <v>180</v>
      </c>
      <c r="B128" s="5" t="s">
        <v>10</v>
      </c>
      <c r="C128" s="5" t="s">
        <v>180</v>
      </c>
      <c r="D128" s="5" t="s">
        <v>173</v>
      </c>
      <c r="E128" s="5" t="s">
        <v>174</v>
      </c>
      <c r="F128" s="5" t="s">
        <v>181</v>
      </c>
      <c r="G128" s="5" t="s">
        <v>55</v>
      </c>
      <c r="H128" s="5" t="s">
        <v>57</v>
      </c>
      <c r="I128" s="5" t="s">
        <v>265</v>
      </c>
    </row>
    <row r="129" spans="1:9" ht="90" x14ac:dyDescent="0.25">
      <c r="A129" s="5" t="s">
        <v>183</v>
      </c>
      <c r="B129" s="5" t="s">
        <v>10</v>
      </c>
      <c r="C129" s="5" t="s">
        <v>183</v>
      </c>
      <c r="D129" s="5" t="s">
        <v>173</v>
      </c>
      <c r="E129" s="5" t="s">
        <v>174</v>
      </c>
      <c r="F129" s="5" t="s">
        <v>184</v>
      </c>
      <c r="G129" s="5" t="s">
        <v>55</v>
      </c>
      <c r="H129" s="5" t="s">
        <v>57</v>
      </c>
      <c r="I129" s="5" t="s">
        <v>265</v>
      </c>
    </row>
    <row r="130" spans="1:9" ht="60" x14ac:dyDescent="0.25">
      <c r="A130" s="5" t="s">
        <v>186</v>
      </c>
      <c r="B130" s="5" t="s">
        <v>10</v>
      </c>
      <c r="C130" s="5" t="s">
        <v>186</v>
      </c>
      <c r="D130" s="5" t="s">
        <v>187</v>
      </c>
      <c r="E130" s="5" t="s">
        <v>188</v>
      </c>
      <c r="F130" s="5" t="s">
        <v>1545</v>
      </c>
      <c r="G130" s="5" t="s">
        <v>55</v>
      </c>
      <c r="H130" s="5" t="s">
        <v>57</v>
      </c>
      <c r="I130" s="5" t="s">
        <v>265</v>
      </c>
    </row>
    <row r="131" spans="1:9" ht="120" x14ac:dyDescent="0.25">
      <c r="A131" s="5" t="s">
        <v>191</v>
      </c>
      <c r="B131" s="5" t="s">
        <v>10</v>
      </c>
      <c r="C131" s="5" t="s">
        <v>191</v>
      </c>
      <c r="D131" s="5" t="s">
        <v>192</v>
      </c>
      <c r="E131" s="5" t="s">
        <v>1546</v>
      </c>
      <c r="F131" s="5" t="s">
        <v>194</v>
      </c>
      <c r="G131" s="5" t="s">
        <v>55</v>
      </c>
      <c r="H131" s="5" t="s">
        <v>57</v>
      </c>
      <c r="I131" s="5" t="s">
        <v>120</v>
      </c>
    </row>
    <row r="132" spans="1:9" ht="30" x14ac:dyDescent="0.25">
      <c r="A132" s="5" t="s">
        <v>196</v>
      </c>
      <c r="B132" s="5" t="s">
        <v>10</v>
      </c>
      <c r="C132" s="5" t="s">
        <v>196</v>
      </c>
      <c r="D132" s="5" t="s">
        <v>197</v>
      </c>
      <c r="E132" s="5" t="s">
        <v>174</v>
      </c>
      <c r="F132" s="5" t="s">
        <v>198</v>
      </c>
      <c r="G132" s="5" t="s">
        <v>55</v>
      </c>
      <c r="H132" s="5" t="s">
        <v>57</v>
      </c>
      <c r="I132" s="5" t="s">
        <v>265</v>
      </c>
    </row>
    <row r="133" spans="1:9" ht="30" x14ac:dyDescent="0.25">
      <c r="A133" s="5" t="s">
        <v>200</v>
      </c>
      <c r="B133" s="5" t="s">
        <v>10</v>
      </c>
      <c r="C133" s="5" t="s">
        <v>200</v>
      </c>
      <c r="D133" s="5" t="s">
        <v>201</v>
      </c>
      <c r="E133" s="5" t="s">
        <v>174</v>
      </c>
      <c r="F133" s="5" t="s">
        <v>202</v>
      </c>
      <c r="G133" s="5" t="s">
        <v>55</v>
      </c>
      <c r="H133" s="5" t="s">
        <v>57</v>
      </c>
      <c r="I133" s="5" t="s">
        <v>265</v>
      </c>
    </row>
    <row r="134" spans="1:9" ht="120" x14ac:dyDescent="0.25">
      <c r="A134" s="5" t="s">
        <v>204</v>
      </c>
      <c r="B134" s="5" t="s">
        <v>10</v>
      </c>
      <c r="C134" s="5" t="s">
        <v>204</v>
      </c>
      <c r="D134" s="5" t="s">
        <v>205</v>
      </c>
      <c r="E134" s="5" t="s">
        <v>174</v>
      </c>
      <c r="F134" s="5" t="s">
        <v>206</v>
      </c>
      <c r="G134" s="5" t="s">
        <v>55</v>
      </c>
      <c r="H134" s="5" t="s">
        <v>57</v>
      </c>
      <c r="I134" s="5" t="s">
        <v>265</v>
      </c>
    </row>
    <row r="135" spans="1:9" ht="90" x14ac:dyDescent="0.25">
      <c r="A135" s="5" t="s">
        <v>208</v>
      </c>
      <c r="B135" s="5" t="s">
        <v>10</v>
      </c>
      <c r="C135" s="5" t="s">
        <v>208</v>
      </c>
      <c r="D135" s="5" t="s">
        <v>205</v>
      </c>
      <c r="E135" s="5" t="s">
        <v>174</v>
      </c>
      <c r="F135" s="5" t="s">
        <v>209</v>
      </c>
      <c r="G135" s="5" t="s">
        <v>55</v>
      </c>
      <c r="H135" s="5" t="s">
        <v>57</v>
      </c>
      <c r="I135" s="5" t="s">
        <v>265</v>
      </c>
    </row>
    <row r="136" spans="1:9" ht="90" x14ac:dyDescent="0.25">
      <c r="A136" s="5" t="s">
        <v>211</v>
      </c>
      <c r="B136" s="5" t="s">
        <v>10</v>
      </c>
      <c r="C136" s="5" t="s">
        <v>211</v>
      </c>
      <c r="D136" s="5" t="s">
        <v>205</v>
      </c>
      <c r="E136" s="5" t="s">
        <v>174</v>
      </c>
      <c r="F136" s="5" t="s">
        <v>209</v>
      </c>
      <c r="G136" s="5" t="s">
        <v>55</v>
      </c>
      <c r="H136" s="5" t="s">
        <v>57</v>
      </c>
      <c r="I136" s="5" t="s">
        <v>265</v>
      </c>
    </row>
    <row r="137" spans="1:9" ht="90" x14ac:dyDescent="0.25">
      <c r="A137" s="5" t="s">
        <v>213</v>
      </c>
      <c r="B137" s="5" t="s">
        <v>10</v>
      </c>
      <c r="C137" s="5" t="s">
        <v>213</v>
      </c>
      <c r="D137" s="5" t="s">
        <v>205</v>
      </c>
      <c r="E137" s="5" t="s">
        <v>174</v>
      </c>
      <c r="F137" s="5" t="s">
        <v>209</v>
      </c>
      <c r="G137" s="5" t="s">
        <v>55</v>
      </c>
      <c r="H137" s="5" t="s">
        <v>57</v>
      </c>
      <c r="I137" s="5" t="s">
        <v>265</v>
      </c>
    </row>
    <row r="138" spans="1:9" ht="120" x14ac:dyDescent="0.25">
      <c r="A138" s="5" t="s">
        <v>215</v>
      </c>
      <c r="B138" s="5" t="s">
        <v>10</v>
      </c>
      <c r="C138" s="5" t="s">
        <v>215</v>
      </c>
      <c r="D138" s="5" t="s">
        <v>205</v>
      </c>
      <c r="E138" s="5" t="s">
        <v>174</v>
      </c>
      <c r="F138" s="5" t="s">
        <v>206</v>
      </c>
      <c r="G138" s="5" t="s">
        <v>55</v>
      </c>
      <c r="H138" s="5" t="s">
        <v>57</v>
      </c>
      <c r="I138" s="5" t="s">
        <v>265</v>
      </c>
    </row>
    <row r="139" spans="1:9" ht="90" x14ac:dyDescent="0.25">
      <c r="A139" s="5" t="s">
        <v>217</v>
      </c>
      <c r="B139" s="5" t="s">
        <v>10</v>
      </c>
      <c r="C139" s="5" t="s">
        <v>217</v>
      </c>
      <c r="D139" s="5" t="s">
        <v>205</v>
      </c>
      <c r="E139" s="5" t="s">
        <v>174</v>
      </c>
      <c r="F139" s="5" t="s">
        <v>209</v>
      </c>
      <c r="G139" s="5" t="s">
        <v>55</v>
      </c>
      <c r="H139" s="5" t="s">
        <v>57</v>
      </c>
      <c r="I139" s="5" t="s">
        <v>265</v>
      </c>
    </row>
    <row r="140" spans="1:9" ht="90" x14ac:dyDescent="0.25">
      <c r="A140" s="5" t="s">
        <v>219</v>
      </c>
      <c r="B140" s="5" t="s">
        <v>10</v>
      </c>
      <c r="C140" s="5" t="s">
        <v>219</v>
      </c>
      <c r="D140" s="5" t="s">
        <v>205</v>
      </c>
      <c r="E140" s="5" t="s">
        <v>174</v>
      </c>
      <c r="F140" s="5" t="s">
        <v>209</v>
      </c>
      <c r="G140" s="5" t="s">
        <v>55</v>
      </c>
      <c r="H140" s="5" t="s">
        <v>57</v>
      </c>
      <c r="I140" s="5" t="s">
        <v>265</v>
      </c>
    </row>
    <row r="141" spans="1:9" ht="60" x14ac:dyDescent="0.25">
      <c r="A141" s="5" t="s">
        <v>221</v>
      </c>
      <c r="B141" s="5" t="s">
        <v>222</v>
      </c>
      <c r="C141" s="5" t="s">
        <v>221</v>
      </c>
      <c r="D141" s="5" t="s">
        <v>223</v>
      </c>
      <c r="E141" s="5" t="s">
        <v>224</v>
      </c>
      <c r="F141" s="5" t="s">
        <v>225</v>
      </c>
      <c r="G141" s="5" t="s">
        <v>55</v>
      </c>
      <c r="H141" s="5" t="s">
        <v>57</v>
      </c>
      <c r="I141" s="5" t="s">
        <v>265</v>
      </c>
    </row>
    <row r="142" spans="1:9" ht="105" x14ac:dyDescent="0.25">
      <c r="A142" s="5" t="s">
        <v>227</v>
      </c>
      <c r="B142" s="5" t="s">
        <v>10</v>
      </c>
      <c r="C142" s="5" t="s">
        <v>227</v>
      </c>
      <c r="D142" s="5" t="s">
        <v>228</v>
      </c>
      <c r="E142" s="5" t="s">
        <v>174</v>
      </c>
      <c r="F142" s="5" t="s">
        <v>229</v>
      </c>
      <c r="G142" s="5" t="s">
        <v>55</v>
      </c>
      <c r="H142" s="5" t="s">
        <v>57</v>
      </c>
      <c r="I142" s="5" t="s">
        <v>265</v>
      </c>
    </row>
    <row r="143" spans="1:9" ht="90" x14ac:dyDescent="0.25">
      <c r="A143" s="5" t="s">
        <v>233</v>
      </c>
      <c r="B143" s="5" t="s">
        <v>132</v>
      </c>
      <c r="C143" s="5" t="s">
        <v>233</v>
      </c>
      <c r="D143" s="5" t="s">
        <v>234</v>
      </c>
      <c r="E143" s="5" t="s">
        <v>1547</v>
      </c>
      <c r="F143" s="5" t="s">
        <v>236</v>
      </c>
      <c r="G143" s="5" t="s">
        <v>55</v>
      </c>
      <c r="H143" s="5" t="s">
        <v>97</v>
      </c>
      <c r="I143" s="5" t="s">
        <v>39</v>
      </c>
    </row>
    <row r="144" spans="1:9" ht="90" x14ac:dyDescent="0.25">
      <c r="A144" s="5" t="s">
        <v>1548</v>
      </c>
      <c r="B144" s="5" t="s">
        <v>10</v>
      </c>
      <c r="C144" s="5" t="s">
        <v>233</v>
      </c>
      <c r="D144" s="5" t="s">
        <v>234</v>
      </c>
      <c r="E144" s="5" t="s">
        <v>235</v>
      </c>
      <c r="F144" s="5" t="s">
        <v>236</v>
      </c>
      <c r="G144" s="5" t="s">
        <v>55</v>
      </c>
      <c r="H144" s="5" t="s">
        <v>57</v>
      </c>
      <c r="I144" s="5" t="s">
        <v>39</v>
      </c>
    </row>
    <row r="145" spans="1:9" ht="90" x14ac:dyDescent="0.25">
      <c r="A145" s="5" t="s">
        <v>240</v>
      </c>
      <c r="B145" s="5" t="s">
        <v>132</v>
      </c>
      <c r="C145" s="5" t="s">
        <v>240</v>
      </c>
      <c r="D145" s="5" t="s">
        <v>234</v>
      </c>
      <c r="E145" s="5" t="s">
        <v>1547</v>
      </c>
      <c r="F145" s="5" t="s">
        <v>241</v>
      </c>
      <c r="G145" s="5" t="s">
        <v>55</v>
      </c>
      <c r="H145" s="5" t="s">
        <v>97</v>
      </c>
      <c r="I145" s="5" t="s">
        <v>39</v>
      </c>
    </row>
    <row r="146" spans="1:9" ht="90" x14ac:dyDescent="0.25">
      <c r="A146" s="5" t="s">
        <v>1549</v>
      </c>
      <c r="B146" s="5" t="s">
        <v>10</v>
      </c>
      <c r="C146" s="5" t="s">
        <v>240</v>
      </c>
      <c r="D146" s="5" t="s">
        <v>234</v>
      </c>
      <c r="E146" s="5" t="s">
        <v>235</v>
      </c>
      <c r="F146" s="5" t="s">
        <v>241</v>
      </c>
      <c r="G146" s="5" t="s">
        <v>55</v>
      </c>
      <c r="H146" s="5" t="s">
        <v>57</v>
      </c>
      <c r="I146" s="5" t="s">
        <v>39</v>
      </c>
    </row>
    <row r="147" spans="1:9" ht="90" x14ac:dyDescent="0.25">
      <c r="A147" s="5" t="s">
        <v>245</v>
      </c>
      <c r="B147" s="5" t="s">
        <v>132</v>
      </c>
      <c r="C147" s="5" t="s">
        <v>245</v>
      </c>
      <c r="D147" s="5" t="s">
        <v>234</v>
      </c>
      <c r="E147" s="5" t="s">
        <v>1547</v>
      </c>
      <c r="F147" s="5" t="s">
        <v>241</v>
      </c>
      <c r="G147" s="5" t="s">
        <v>55</v>
      </c>
      <c r="H147" s="5" t="s">
        <v>97</v>
      </c>
      <c r="I147" s="5" t="s">
        <v>39</v>
      </c>
    </row>
    <row r="148" spans="1:9" ht="90" x14ac:dyDescent="0.25">
      <c r="A148" s="5" t="s">
        <v>1550</v>
      </c>
      <c r="B148" s="5" t="s">
        <v>10</v>
      </c>
      <c r="C148" s="5" t="s">
        <v>245</v>
      </c>
      <c r="D148" s="5" t="s">
        <v>234</v>
      </c>
      <c r="E148" s="5" t="s">
        <v>235</v>
      </c>
      <c r="F148" s="5" t="s">
        <v>241</v>
      </c>
      <c r="G148" s="5" t="s">
        <v>55</v>
      </c>
      <c r="H148" s="5" t="s">
        <v>57</v>
      </c>
      <c r="I148" s="5" t="s">
        <v>39</v>
      </c>
    </row>
    <row r="149" spans="1:9" ht="75" x14ac:dyDescent="0.25">
      <c r="A149" s="5" t="s">
        <v>248</v>
      </c>
      <c r="B149" s="5" t="s">
        <v>10</v>
      </c>
      <c r="C149" s="5" t="s">
        <v>248</v>
      </c>
      <c r="D149" s="5" t="s">
        <v>249</v>
      </c>
      <c r="E149" s="5" t="s">
        <v>188</v>
      </c>
      <c r="F149" s="5" t="s">
        <v>250</v>
      </c>
      <c r="G149" s="5" t="s">
        <v>55</v>
      </c>
      <c r="H149" s="5" t="s">
        <v>57</v>
      </c>
      <c r="I149" s="5" t="s">
        <v>120</v>
      </c>
    </row>
    <row r="150" spans="1:9" ht="150" x14ac:dyDescent="0.25">
      <c r="A150" s="5" t="s">
        <v>254</v>
      </c>
      <c r="B150" s="5" t="s">
        <v>132</v>
      </c>
      <c r="C150" s="5" t="s">
        <v>254</v>
      </c>
      <c r="D150" s="5" t="s">
        <v>234</v>
      </c>
      <c r="E150" s="5" t="s">
        <v>235</v>
      </c>
      <c r="F150" s="5" t="s">
        <v>1551</v>
      </c>
      <c r="G150" s="5" t="s">
        <v>55</v>
      </c>
      <c r="H150" s="5" t="s">
        <v>57</v>
      </c>
      <c r="I150" s="5" t="s">
        <v>39</v>
      </c>
    </row>
    <row r="151" spans="1:9" ht="90" x14ac:dyDescent="0.25">
      <c r="A151" s="5" t="s">
        <v>1552</v>
      </c>
      <c r="B151" s="5" t="s">
        <v>132</v>
      </c>
      <c r="C151" s="5" t="s">
        <v>254</v>
      </c>
      <c r="D151" s="5" t="s">
        <v>234</v>
      </c>
      <c r="E151" s="5" t="s">
        <v>1547</v>
      </c>
      <c r="F151" s="5" t="s">
        <v>236</v>
      </c>
      <c r="G151" s="5" t="s">
        <v>55</v>
      </c>
      <c r="H151" s="5" t="s">
        <v>97</v>
      </c>
      <c r="I151" s="5" t="s">
        <v>39</v>
      </c>
    </row>
    <row r="152" spans="1:9" ht="90" x14ac:dyDescent="0.25">
      <c r="A152" s="5" t="s">
        <v>1553</v>
      </c>
      <c r="B152" s="5" t="s">
        <v>10</v>
      </c>
      <c r="C152" s="5" t="s">
        <v>254</v>
      </c>
      <c r="D152" s="5" t="s">
        <v>234</v>
      </c>
      <c r="E152" s="5" t="s">
        <v>235</v>
      </c>
      <c r="F152" s="5" t="s">
        <v>236</v>
      </c>
      <c r="G152" s="5" t="s">
        <v>55</v>
      </c>
      <c r="H152" s="5" t="s">
        <v>57</v>
      </c>
      <c r="I152" s="5" t="s">
        <v>39</v>
      </c>
    </row>
    <row r="153" spans="1:9" ht="105" x14ac:dyDescent="0.25">
      <c r="A153" s="5" t="s">
        <v>260</v>
      </c>
      <c r="B153" s="5" t="s">
        <v>132</v>
      </c>
      <c r="C153" s="5" t="s">
        <v>260</v>
      </c>
      <c r="D153" s="5" t="s">
        <v>261</v>
      </c>
      <c r="E153" s="5" t="s">
        <v>1554</v>
      </c>
      <c r="F153" s="5" t="s">
        <v>1555</v>
      </c>
      <c r="G153" s="5" t="s">
        <v>55</v>
      </c>
      <c r="H153" s="5" t="s">
        <v>265</v>
      </c>
      <c r="I153" s="5" t="s">
        <v>265</v>
      </c>
    </row>
    <row r="154" spans="1:9" ht="60" x14ac:dyDescent="0.25">
      <c r="A154" s="5" t="s">
        <v>1556</v>
      </c>
      <c r="B154" s="5" t="s">
        <v>132</v>
      </c>
      <c r="C154" s="5" t="s">
        <v>260</v>
      </c>
      <c r="D154" s="5" t="s">
        <v>261</v>
      </c>
      <c r="E154" s="5" t="s">
        <v>1554</v>
      </c>
      <c r="F154" s="5" t="s">
        <v>1557</v>
      </c>
      <c r="G154" s="5" t="s">
        <v>55</v>
      </c>
      <c r="H154" s="5" t="s">
        <v>57</v>
      </c>
      <c r="I154" s="5" t="s">
        <v>57</v>
      </c>
    </row>
    <row r="155" spans="1:9" ht="105" x14ac:dyDescent="0.25">
      <c r="A155" s="5" t="s">
        <v>1558</v>
      </c>
      <c r="B155" s="5" t="s">
        <v>10</v>
      </c>
      <c r="C155" s="5" t="s">
        <v>260</v>
      </c>
      <c r="D155" s="5" t="s">
        <v>261</v>
      </c>
      <c r="E155" s="5" t="s">
        <v>1559</v>
      </c>
      <c r="F155" s="5" t="s">
        <v>1560</v>
      </c>
      <c r="G155" s="5" t="s">
        <v>55</v>
      </c>
      <c r="H155" s="5" t="s">
        <v>57</v>
      </c>
      <c r="I155" s="5" t="s">
        <v>57</v>
      </c>
    </row>
    <row r="156" spans="1:9" ht="105" x14ac:dyDescent="0.25">
      <c r="A156" s="5" t="s">
        <v>1561</v>
      </c>
      <c r="B156" s="5" t="s">
        <v>123</v>
      </c>
      <c r="C156" s="5" t="s">
        <v>260</v>
      </c>
      <c r="D156" s="5" t="s">
        <v>261</v>
      </c>
      <c r="E156" s="5" t="s">
        <v>1559</v>
      </c>
      <c r="F156" s="5" t="s">
        <v>1560</v>
      </c>
      <c r="G156" s="5" t="s">
        <v>55</v>
      </c>
      <c r="H156" s="5" t="s">
        <v>57</v>
      </c>
      <c r="I156" s="5" t="s">
        <v>57</v>
      </c>
    </row>
    <row r="157" spans="1:9" ht="30" x14ac:dyDescent="0.25">
      <c r="A157" s="5" t="s">
        <v>266</v>
      </c>
      <c r="B157" s="5" t="s">
        <v>222</v>
      </c>
      <c r="C157" s="5" t="s">
        <v>266</v>
      </c>
      <c r="D157" s="5" t="s">
        <v>267</v>
      </c>
      <c r="E157" s="5" t="s">
        <v>268</v>
      </c>
      <c r="F157" s="5" t="s">
        <v>1562</v>
      </c>
      <c r="G157" s="5" t="s">
        <v>55</v>
      </c>
      <c r="H157" s="5" t="s">
        <v>57</v>
      </c>
      <c r="I157" s="5" t="s">
        <v>265</v>
      </c>
    </row>
    <row r="158" spans="1:9" ht="120" x14ac:dyDescent="0.25">
      <c r="A158" s="5" t="s">
        <v>271</v>
      </c>
      <c r="B158" s="5" t="s">
        <v>10</v>
      </c>
      <c r="C158" s="5" t="s">
        <v>271</v>
      </c>
      <c r="D158" s="5" t="s">
        <v>272</v>
      </c>
      <c r="E158" s="5" t="s">
        <v>273</v>
      </c>
      <c r="F158" s="5" t="s">
        <v>274</v>
      </c>
      <c r="G158" s="5" t="s">
        <v>55</v>
      </c>
      <c r="H158" s="5" t="s">
        <v>57</v>
      </c>
      <c r="I158" s="5" t="s">
        <v>120</v>
      </c>
    </row>
    <row r="159" spans="1:9" ht="105" x14ac:dyDescent="0.25">
      <c r="A159" s="5" t="s">
        <v>276</v>
      </c>
      <c r="B159" s="5" t="s">
        <v>10</v>
      </c>
      <c r="C159" s="5" t="s">
        <v>276</v>
      </c>
      <c r="D159" s="5" t="s">
        <v>277</v>
      </c>
      <c r="E159" s="5" t="s">
        <v>278</v>
      </c>
      <c r="F159" s="5" t="s">
        <v>1563</v>
      </c>
      <c r="G159" s="5" t="s">
        <v>55</v>
      </c>
      <c r="H159" s="5" t="s">
        <v>57</v>
      </c>
      <c r="I159" s="5" t="s">
        <v>265</v>
      </c>
    </row>
    <row r="160" spans="1:9" ht="45" x14ac:dyDescent="0.25">
      <c r="A160" s="5" t="s">
        <v>283</v>
      </c>
      <c r="B160" s="5" t="s">
        <v>132</v>
      </c>
      <c r="C160" s="5" t="s">
        <v>283</v>
      </c>
      <c r="D160" s="5" t="s">
        <v>284</v>
      </c>
      <c r="E160" s="5" t="s">
        <v>1564</v>
      </c>
      <c r="F160" s="5" t="s">
        <v>1565</v>
      </c>
      <c r="G160" s="5" t="s">
        <v>55</v>
      </c>
      <c r="H160" s="5" t="s">
        <v>57</v>
      </c>
      <c r="I160" s="5" t="s">
        <v>265</v>
      </c>
    </row>
    <row r="161" spans="1:9" ht="45" x14ac:dyDescent="0.25">
      <c r="A161" s="5" t="s">
        <v>1566</v>
      </c>
      <c r="B161" s="5" t="s">
        <v>132</v>
      </c>
      <c r="C161" s="5" t="s">
        <v>283</v>
      </c>
      <c r="D161" s="5" t="s">
        <v>284</v>
      </c>
      <c r="E161" s="5" t="s">
        <v>1500</v>
      </c>
      <c r="F161" s="5" t="s">
        <v>1565</v>
      </c>
      <c r="G161" s="5" t="s">
        <v>55</v>
      </c>
      <c r="H161" s="5" t="s">
        <v>97</v>
      </c>
      <c r="I161" s="5" t="s">
        <v>265</v>
      </c>
    </row>
    <row r="162" spans="1:9" ht="45" x14ac:dyDescent="0.25">
      <c r="A162" s="5" t="s">
        <v>1567</v>
      </c>
      <c r="B162" s="5" t="s">
        <v>132</v>
      </c>
      <c r="C162" s="5" t="s">
        <v>283</v>
      </c>
      <c r="D162" s="5" t="s">
        <v>284</v>
      </c>
      <c r="E162" s="5" t="s">
        <v>1568</v>
      </c>
      <c r="F162" s="5" t="s">
        <v>1565</v>
      </c>
      <c r="G162" s="5" t="s">
        <v>55</v>
      </c>
      <c r="H162" s="5" t="s">
        <v>57</v>
      </c>
      <c r="I162" s="5" t="s">
        <v>57</v>
      </c>
    </row>
    <row r="163" spans="1:9" ht="45" x14ac:dyDescent="0.25">
      <c r="A163" s="5" t="s">
        <v>1569</v>
      </c>
      <c r="B163" s="5" t="s">
        <v>132</v>
      </c>
      <c r="C163" s="5" t="s">
        <v>283</v>
      </c>
      <c r="D163" s="5" t="s">
        <v>284</v>
      </c>
      <c r="E163" s="5" t="s">
        <v>57</v>
      </c>
      <c r="F163" s="5" t="s">
        <v>1565</v>
      </c>
      <c r="G163" s="5" t="s">
        <v>55</v>
      </c>
      <c r="H163" s="5" t="s">
        <v>97</v>
      </c>
      <c r="I163" s="5" t="s">
        <v>57</v>
      </c>
    </row>
    <row r="164" spans="1:9" ht="45" x14ac:dyDescent="0.25">
      <c r="A164" s="5" t="s">
        <v>1570</v>
      </c>
      <c r="B164" s="5" t="s">
        <v>10</v>
      </c>
      <c r="C164" s="5" t="s">
        <v>283</v>
      </c>
      <c r="D164" s="5" t="s">
        <v>284</v>
      </c>
      <c r="E164" s="5" t="s">
        <v>57</v>
      </c>
      <c r="F164" s="5" t="s">
        <v>1565</v>
      </c>
      <c r="G164" s="5" t="s">
        <v>55</v>
      </c>
      <c r="H164" s="5" t="s">
        <v>57</v>
      </c>
      <c r="I164" s="5" t="s">
        <v>265</v>
      </c>
    </row>
    <row r="165" spans="1:9" x14ac:dyDescent="0.25">
      <c r="A165" s="5" t="s">
        <v>1571</v>
      </c>
      <c r="B165" s="5" t="s">
        <v>132</v>
      </c>
      <c r="C165" s="5" t="s">
        <v>291</v>
      </c>
      <c r="D165" s="5" t="s">
        <v>284</v>
      </c>
      <c r="E165" s="5" t="s">
        <v>1500</v>
      </c>
      <c r="F165" s="5" t="s">
        <v>54</v>
      </c>
      <c r="G165" s="5" t="s">
        <v>55</v>
      </c>
      <c r="H165" s="5" t="s">
        <v>97</v>
      </c>
      <c r="I165" s="5" t="s">
        <v>120</v>
      </c>
    </row>
    <row r="166" spans="1:9" x14ac:dyDescent="0.25">
      <c r="A166" s="5" t="s">
        <v>291</v>
      </c>
      <c r="B166" s="5" t="s">
        <v>132</v>
      </c>
      <c r="C166" s="5" t="s">
        <v>291</v>
      </c>
      <c r="D166" s="5" t="s">
        <v>284</v>
      </c>
      <c r="E166" s="5" t="s">
        <v>1500</v>
      </c>
      <c r="F166" s="5" t="s">
        <v>54</v>
      </c>
      <c r="G166" s="5" t="s">
        <v>55</v>
      </c>
      <c r="H166" s="5" t="s">
        <v>97</v>
      </c>
      <c r="I166" s="5" t="s">
        <v>120</v>
      </c>
    </row>
    <row r="167" spans="1:9" x14ac:dyDescent="0.25">
      <c r="A167" s="5" t="s">
        <v>1572</v>
      </c>
      <c r="B167" s="5" t="s">
        <v>132</v>
      </c>
      <c r="C167" s="5" t="s">
        <v>291</v>
      </c>
      <c r="D167" s="5" t="s">
        <v>284</v>
      </c>
      <c r="E167" s="5" t="s">
        <v>1505</v>
      </c>
      <c r="F167" s="5" t="s">
        <v>54</v>
      </c>
      <c r="G167" s="5" t="s">
        <v>55</v>
      </c>
      <c r="H167" s="5" t="s">
        <v>57</v>
      </c>
      <c r="I167" s="5" t="s">
        <v>57</v>
      </c>
    </row>
    <row r="168" spans="1:9" x14ac:dyDescent="0.25">
      <c r="A168" s="5" t="s">
        <v>1573</v>
      </c>
      <c r="B168" s="5" t="s">
        <v>132</v>
      </c>
      <c r="C168" s="5" t="s">
        <v>291</v>
      </c>
      <c r="D168" s="5" t="s">
        <v>284</v>
      </c>
      <c r="E168" s="5" t="s">
        <v>57</v>
      </c>
      <c r="F168" s="5" t="s">
        <v>54</v>
      </c>
      <c r="G168" s="5" t="s">
        <v>55</v>
      </c>
      <c r="H168" s="5" t="s">
        <v>97</v>
      </c>
      <c r="I168" s="5" t="s">
        <v>57</v>
      </c>
    </row>
    <row r="169" spans="1:9" ht="30" x14ac:dyDescent="0.25">
      <c r="A169" s="5" t="s">
        <v>296</v>
      </c>
      <c r="B169" s="5" t="s">
        <v>132</v>
      </c>
      <c r="C169" s="5" t="s">
        <v>296</v>
      </c>
      <c r="D169" s="5" t="s">
        <v>297</v>
      </c>
      <c r="E169" s="5" t="s">
        <v>235</v>
      </c>
      <c r="F169" s="5" t="s">
        <v>1574</v>
      </c>
      <c r="G169" s="5" t="s">
        <v>55</v>
      </c>
      <c r="H169" s="5" t="s">
        <v>57</v>
      </c>
      <c r="I169" s="5" t="s">
        <v>39</v>
      </c>
    </row>
    <row r="170" spans="1:9" ht="90" x14ac:dyDescent="0.25">
      <c r="A170" s="5" t="s">
        <v>1575</v>
      </c>
      <c r="B170" s="5" t="s">
        <v>132</v>
      </c>
      <c r="C170" s="5" t="s">
        <v>296</v>
      </c>
      <c r="D170" s="5" t="s">
        <v>297</v>
      </c>
      <c r="E170" s="5" t="s">
        <v>1547</v>
      </c>
      <c r="F170" s="5" t="s">
        <v>241</v>
      </c>
      <c r="G170" s="5" t="s">
        <v>55</v>
      </c>
      <c r="H170" s="5" t="s">
        <v>97</v>
      </c>
      <c r="I170" s="5" t="s">
        <v>39</v>
      </c>
    </row>
    <row r="171" spans="1:9" ht="90" x14ac:dyDescent="0.25">
      <c r="A171" s="5" t="s">
        <v>1576</v>
      </c>
      <c r="B171" s="5" t="s">
        <v>10</v>
      </c>
      <c r="C171" s="5" t="s">
        <v>296</v>
      </c>
      <c r="D171" s="5" t="s">
        <v>297</v>
      </c>
      <c r="E171" s="5" t="s">
        <v>235</v>
      </c>
      <c r="F171" s="5" t="s">
        <v>241</v>
      </c>
      <c r="G171" s="5" t="s">
        <v>55</v>
      </c>
      <c r="H171" s="5" t="s">
        <v>57</v>
      </c>
      <c r="I171" s="5" t="s">
        <v>39</v>
      </c>
    </row>
    <row r="172" spans="1:9" ht="120" x14ac:dyDescent="0.25">
      <c r="A172" s="5" t="s">
        <v>302</v>
      </c>
      <c r="B172" s="5" t="s">
        <v>132</v>
      </c>
      <c r="C172" s="5" t="s">
        <v>302</v>
      </c>
      <c r="D172" s="5" t="s">
        <v>297</v>
      </c>
      <c r="E172" s="5" t="s">
        <v>235</v>
      </c>
      <c r="F172" s="5" t="s">
        <v>1577</v>
      </c>
      <c r="G172" s="5" t="s">
        <v>55</v>
      </c>
      <c r="H172" s="5" t="s">
        <v>57</v>
      </c>
      <c r="I172" s="5" t="s">
        <v>39</v>
      </c>
    </row>
    <row r="173" spans="1:9" ht="90" x14ac:dyDescent="0.25">
      <c r="A173" s="5" t="s">
        <v>1578</v>
      </c>
      <c r="B173" s="5" t="s">
        <v>132</v>
      </c>
      <c r="C173" s="5" t="s">
        <v>302</v>
      </c>
      <c r="D173" s="5" t="s">
        <v>297</v>
      </c>
      <c r="E173" s="5" t="s">
        <v>1547</v>
      </c>
      <c r="F173" s="5" t="s">
        <v>241</v>
      </c>
      <c r="G173" s="5" t="s">
        <v>55</v>
      </c>
      <c r="H173" s="5" t="s">
        <v>97</v>
      </c>
      <c r="I173" s="5" t="s">
        <v>39</v>
      </c>
    </row>
    <row r="174" spans="1:9" ht="90" x14ac:dyDescent="0.25">
      <c r="A174" s="5" t="s">
        <v>1579</v>
      </c>
      <c r="B174" s="5" t="s">
        <v>10</v>
      </c>
      <c r="C174" s="5" t="s">
        <v>302</v>
      </c>
      <c r="D174" s="5" t="s">
        <v>297</v>
      </c>
      <c r="E174" s="5" t="s">
        <v>235</v>
      </c>
      <c r="F174" s="5" t="s">
        <v>241</v>
      </c>
      <c r="G174" s="5" t="s">
        <v>55</v>
      </c>
      <c r="H174" s="5" t="s">
        <v>57</v>
      </c>
      <c r="I174" s="5" t="s">
        <v>39</v>
      </c>
    </row>
    <row r="175" spans="1:9" ht="105" x14ac:dyDescent="0.25">
      <c r="A175" s="5" t="s">
        <v>307</v>
      </c>
      <c r="B175" s="5" t="s">
        <v>132</v>
      </c>
      <c r="C175" s="5" t="s">
        <v>307</v>
      </c>
      <c r="D175" s="5" t="s">
        <v>297</v>
      </c>
      <c r="E175" s="5" t="s">
        <v>235</v>
      </c>
      <c r="F175" s="5" t="s">
        <v>1580</v>
      </c>
      <c r="G175" s="5" t="s">
        <v>55</v>
      </c>
      <c r="H175" s="5" t="s">
        <v>57</v>
      </c>
      <c r="I175" s="5" t="s">
        <v>39</v>
      </c>
    </row>
    <row r="176" spans="1:9" ht="90" x14ac:dyDescent="0.25">
      <c r="A176" s="5" t="s">
        <v>1581</v>
      </c>
      <c r="B176" s="5" t="s">
        <v>132</v>
      </c>
      <c r="C176" s="5" t="s">
        <v>307</v>
      </c>
      <c r="D176" s="5" t="s">
        <v>297</v>
      </c>
      <c r="E176" s="5" t="s">
        <v>1547</v>
      </c>
      <c r="F176" s="5" t="s">
        <v>241</v>
      </c>
      <c r="G176" s="5" t="s">
        <v>55</v>
      </c>
      <c r="H176" s="5" t="s">
        <v>97</v>
      </c>
      <c r="I176" s="5" t="s">
        <v>39</v>
      </c>
    </row>
    <row r="177" spans="1:9" ht="90" x14ac:dyDescent="0.25">
      <c r="A177" s="5" t="s">
        <v>1582</v>
      </c>
      <c r="B177" s="5" t="s">
        <v>10</v>
      </c>
      <c r="C177" s="5" t="s">
        <v>307</v>
      </c>
      <c r="D177" s="5" t="s">
        <v>297</v>
      </c>
      <c r="E177" s="5" t="s">
        <v>235</v>
      </c>
      <c r="F177" s="5" t="s">
        <v>241</v>
      </c>
      <c r="G177" s="5" t="s">
        <v>55</v>
      </c>
      <c r="H177" s="5" t="s">
        <v>57</v>
      </c>
      <c r="I177" s="5" t="s">
        <v>39</v>
      </c>
    </row>
    <row r="178" spans="1:9" ht="60" x14ac:dyDescent="0.25">
      <c r="A178" s="5" t="s">
        <v>311</v>
      </c>
      <c r="B178" s="5" t="s">
        <v>10</v>
      </c>
      <c r="C178" s="5" t="s">
        <v>311</v>
      </c>
      <c r="D178" s="5" t="s">
        <v>312</v>
      </c>
      <c r="E178" s="5" t="s">
        <v>313</v>
      </c>
      <c r="F178" s="5" t="s">
        <v>1583</v>
      </c>
      <c r="G178" s="5" t="s">
        <v>55</v>
      </c>
      <c r="H178" s="5" t="s">
        <v>57</v>
      </c>
      <c r="I178" s="5" t="s">
        <v>120</v>
      </c>
    </row>
    <row r="179" spans="1:9" ht="75" x14ac:dyDescent="0.25">
      <c r="A179" s="5" t="s">
        <v>317</v>
      </c>
      <c r="B179" s="5" t="s">
        <v>132</v>
      </c>
      <c r="C179" s="5" t="s">
        <v>317</v>
      </c>
      <c r="D179" s="5" t="s">
        <v>318</v>
      </c>
      <c r="E179" s="5" t="s">
        <v>319</v>
      </c>
      <c r="F179" s="5" t="s">
        <v>1584</v>
      </c>
      <c r="G179" s="5" t="s">
        <v>55</v>
      </c>
      <c r="H179" s="5" t="s">
        <v>57</v>
      </c>
      <c r="I179" s="5" t="s">
        <v>120</v>
      </c>
    </row>
    <row r="180" spans="1:9" ht="120" x14ac:dyDescent="0.25">
      <c r="A180" s="5" t="s">
        <v>1585</v>
      </c>
      <c r="B180" s="5" t="s">
        <v>132</v>
      </c>
      <c r="C180" s="5" t="s">
        <v>317</v>
      </c>
      <c r="D180" s="5" t="s">
        <v>318</v>
      </c>
      <c r="E180" s="5" t="s">
        <v>1586</v>
      </c>
      <c r="F180" s="5" t="s">
        <v>1587</v>
      </c>
      <c r="G180" s="5" t="s">
        <v>55</v>
      </c>
      <c r="H180" s="5" t="s">
        <v>97</v>
      </c>
      <c r="I180" s="5" t="s">
        <v>120</v>
      </c>
    </row>
    <row r="181" spans="1:9" ht="45" x14ac:dyDescent="0.25">
      <c r="A181" s="5" t="s">
        <v>325</v>
      </c>
      <c r="B181" s="5" t="s">
        <v>132</v>
      </c>
      <c r="C181" s="5" t="s">
        <v>325</v>
      </c>
      <c r="D181" s="5" t="s">
        <v>326</v>
      </c>
      <c r="E181" s="5" t="s">
        <v>1588</v>
      </c>
      <c r="F181" s="5" t="s">
        <v>1589</v>
      </c>
      <c r="G181" s="5" t="s">
        <v>55</v>
      </c>
      <c r="H181" s="5" t="s">
        <v>57</v>
      </c>
      <c r="I181" s="5" t="s">
        <v>661</v>
      </c>
    </row>
    <row r="182" spans="1:9" ht="45" x14ac:dyDescent="0.25">
      <c r="A182" s="5" t="s">
        <v>1590</v>
      </c>
      <c r="B182" s="5" t="s">
        <v>132</v>
      </c>
      <c r="C182" s="5" t="s">
        <v>325</v>
      </c>
      <c r="D182" s="5" t="s">
        <v>326</v>
      </c>
      <c r="E182" s="5" t="s">
        <v>1588</v>
      </c>
      <c r="F182" s="5" t="s">
        <v>1589</v>
      </c>
      <c r="G182" s="5" t="s">
        <v>55</v>
      </c>
      <c r="H182" s="5" t="s">
        <v>57</v>
      </c>
      <c r="I182" s="5" t="s">
        <v>661</v>
      </c>
    </row>
    <row r="183" spans="1:9" ht="45" x14ac:dyDescent="0.25">
      <c r="A183" s="5" t="s">
        <v>1591</v>
      </c>
      <c r="B183" s="5" t="s">
        <v>132</v>
      </c>
      <c r="C183" s="5" t="s">
        <v>325</v>
      </c>
      <c r="D183" s="5" t="s">
        <v>326</v>
      </c>
      <c r="E183" s="5" t="s">
        <v>1588</v>
      </c>
      <c r="F183" s="5" t="s">
        <v>1589</v>
      </c>
      <c r="G183" s="5" t="s">
        <v>55</v>
      </c>
      <c r="H183" s="5" t="s">
        <v>57</v>
      </c>
      <c r="I183" s="5" t="s">
        <v>39</v>
      </c>
    </row>
    <row r="184" spans="1:9" ht="45" x14ac:dyDescent="0.25">
      <c r="A184" s="5" t="s">
        <v>1592</v>
      </c>
      <c r="B184" s="5" t="s">
        <v>132</v>
      </c>
      <c r="C184" s="5" t="s">
        <v>325</v>
      </c>
      <c r="D184" s="5" t="s">
        <v>326</v>
      </c>
      <c r="E184" s="5" t="s">
        <v>1588</v>
      </c>
      <c r="F184" s="5" t="s">
        <v>1589</v>
      </c>
      <c r="G184" s="5" t="s">
        <v>55</v>
      </c>
      <c r="H184" s="5" t="s">
        <v>97</v>
      </c>
      <c r="I184" s="5" t="s">
        <v>661</v>
      </c>
    </row>
    <row r="185" spans="1:9" ht="45" x14ac:dyDescent="0.25">
      <c r="A185" s="5" t="s">
        <v>1593</v>
      </c>
      <c r="B185" s="5" t="s">
        <v>132</v>
      </c>
      <c r="C185" s="5" t="s">
        <v>325</v>
      </c>
      <c r="D185" s="5" t="s">
        <v>326</v>
      </c>
      <c r="E185" s="5" t="s">
        <v>1588</v>
      </c>
      <c r="F185" s="5" t="s">
        <v>1589</v>
      </c>
      <c r="G185" s="5" t="s">
        <v>55</v>
      </c>
      <c r="H185" s="5" t="s">
        <v>97</v>
      </c>
      <c r="I185" s="5" t="s">
        <v>39</v>
      </c>
    </row>
    <row r="186" spans="1:9" ht="45" x14ac:dyDescent="0.25">
      <c r="A186" s="5" t="s">
        <v>1594</v>
      </c>
      <c r="B186" s="5" t="s">
        <v>132</v>
      </c>
      <c r="C186" s="5" t="s">
        <v>325</v>
      </c>
      <c r="D186" s="5" t="s">
        <v>326</v>
      </c>
      <c r="E186" s="5" t="s">
        <v>1588</v>
      </c>
      <c r="F186" s="5" t="s">
        <v>1589</v>
      </c>
      <c r="G186" s="5" t="s">
        <v>55</v>
      </c>
      <c r="H186" s="5" t="s">
        <v>97</v>
      </c>
      <c r="I186" s="5" t="s">
        <v>661</v>
      </c>
    </row>
    <row r="187" spans="1:9" ht="45" x14ac:dyDescent="0.25">
      <c r="A187" s="5" t="s">
        <v>1595</v>
      </c>
      <c r="B187" s="5" t="s">
        <v>132</v>
      </c>
      <c r="C187" s="5" t="s">
        <v>325</v>
      </c>
      <c r="D187" s="5" t="s">
        <v>326</v>
      </c>
      <c r="E187" s="5" t="s">
        <v>1588</v>
      </c>
      <c r="F187" s="5" t="s">
        <v>1596</v>
      </c>
      <c r="G187" s="5" t="s">
        <v>55</v>
      </c>
      <c r="H187" s="5" t="s">
        <v>97</v>
      </c>
      <c r="I187" s="5" t="s">
        <v>57</v>
      </c>
    </row>
    <row r="188" spans="1:9" ht="45" x14ac:dyDescent="0.25">
      <c r="A188" s="5" t="s">
        <v>1595</v>
      </c>
      <c r="B188" s="5" t="s">
        <v>1415</v>
      </c>
      <c r="C188" s="5" t="s">
        <v>325</v>
      </c>
      <c r="D188" s="5" t="s">
        <v>326</v>
      </c>
      <c r="E188" s="5" t="s">
        <v>1588</v>
      </c>
      <c r="F188" s="5" t="s">
        <v>1596</v>
      </c>
      <c r="G188" s="5" t="s">
        <v>55</v>
      </c>
      <c r="H188" s="5" t="s">
        <v>97</v>
      </c>
      <c r="I188" s="5" t="s">
        <v>57</v>
      </c>
    </row>
    <row r="189" spans="1:9" ht="45" x14ac:dyDescent="0.25">
      <c r="A189" s="5" t="s">
        <v>1597</v>
      </c>
      <c r="B189" s="5" t="s">
        <v>132</v>
      </c>
      <c r="C189" s="5" t="s">
        <v>325</v>
      </c>
      <c r="D189" s="5" t="s">
        <v>326</v>
      </c>
      <c r="E189" s="5" t="s">
        <v>57</v>
      </c>
      <c r="F189" s="5" t="s">
        <v>1596</v>
      </c>
      <c r="G189" s="5" t="s">
        <v>55</v>
      </c>
      <c r="H189" s="5" t="s">
        <v>97</v>
      </c>
      <c r="I189" s="5" t="s">
        <v>57</v>
      </c>
    </row>
    <row r="190" spans="1:9" ht="45" x14ac:dyDescent="0.25">
      <c r="A190" s="5" t="s">
        <v>1598</v>
      </c>
      <c r="B190" s="5" t="s">
        <v>132</v>
      </c>
      <c r="C190" s="5" t="s">
        <v>325</v>
      </c>
      <c r="D190" s="5" t="s">
        <v>326</v>
      </c>
      <c r="E190" s="5" t="s">
        <v>1588</v>
      </c>
      <c r="F190" s="5" t="s">
        <v>1596</v>
      </c>
      <c r="G190" s="5" t="s">
        <v>55</v>
      </c>
      <c r="H190" s="5" t="s">
        <v>97</v>
      </c>
      <c r="I190" s="5" t="s">
        <v>57</v>
      </c>
    </row>
    <row r="191" spans="1:9" ht="45" x14ac:dyDescent="0.25">
      <c r="A191" s="5" t="s">
        <v>1598</v>
      </c>
      <c r="B191" s="5" t="s">
        <v>1415</v>
      </c>
      <c r="C191" s="5" t="s">
        <v>325</v>
      </c>
      <c r="D191" s="5" t="s">
        <v>326</v>
      </c>
      <c r="E191" s="5" t="s">
        <v>1588</v>
      </c>
      <c r="F191" s="5" t="s">
        <v>1596</v>
      </c>
      <c r="G191" s="5" t="s">
        <v>55</v>
      </c>
      <c r="H191" s="5" t="s">
        <v>97</v>
      </c>
      <c r="I191" s="5" t="s">
        <v>57</v>
      </c>
    </row>
    <row r="192" spans="1:9" ht="120" x14ac:dyDescent="0.25">
      <c r="A192" s="5" t="s">
        <v>1599</v>
      </c>
      <c r="B192" s="5" t="s">
        <v>132</v>
      </c>
      <c r="C192" s="5" t="s">
        <v>325</v>
      </c>
      <c r="D192" s="5" t="s">
        <v>326</v>
      </c>
      <c r="E192" s="5" t="s">
        <v>1588</v>
      </c>
      <c r="F192" s="5" t="s">
        <v>1600</v>
      </c>
      <c r="G192" s="5" t="s">
        <v>55</v>
      </c>
      <c r="H192" s="5" t="s">
        <v>57</v>
      </c>
      <c r="I192" s="5" t="s">
        <v>39</v>
      </c>
    </row>
    <row r="193" spans="1:9" ht="45" x14ac:dyDescent="0.25">
      <c r="A193" s="5" t="s">
        <v>1601</v>
      </c>
      <c r="B193" s="5" t="s">
        <v>10</v>
      </c>
      <c r="C193" s="5" t="s">
        <v>325</v>
      </c>
      <c r="D193" s="5" t="s">
        <v>326</v>
      </c>
      <c r="E193" s="5" t="s">
        <v>327</v>
      </c>
      <c r="F193" s="5" t="s">
        <v>1589</v>
      </c>
      <c r="G193" s="5" t="s">
        <v>55</v>
      </c>
      <c r="H193" s="5" t="s">
        <v>57</v>
      </c>
      <c r="I193" s="5" t="s">
        <v>39</v>
      </c>
    </row>
    <row r="194" spans="1:9" ht="45" x14ac:dyDescent="0.25">
      <c r="A194" s="5" t="s">
        <v>1602</v>
      </c>
      <c r="B194" s="5" t="s">
        <v>10</v>
      </c>
      <c r="C194" s="5" t="s">
        <v>325</v>
      </c>
      <c r="D194" s="5" t="s">
        <v>326</v>
      </c>
      <c r="E194" s="5" t="s">
        <v>327</v>
      </c>
      <c r="F194" s="5" t="s">
        <v>1589</v>
      </c>
      <c r="G194" s="5" t="s">
        <v>55</v>
      </c>
      <c r="H194" s="5" t="s">
        <v>57</v>
      </c>
      <c r="I194" s="5" t="s">
        <v>661</v>
      </c>
    </row>
    <row r="195" spans="1:9" ht="45" x14ac:dyDescent="0.25">
      <c r="A195" s="5" t="s">
        <v>1603</v>
      </c>
      <c r="B195" s="5" t="s">
        <v>10</v>
      </c>
      <c r="C195" s="5" t="s">
        <v>325</v>
      </c>
      <c r="D195" s="5" t="s">
        <v>326</v>
      </c>
      <c r="E195" s="5" t="s">
        <v>327</v>
      </c>
      <c r="F195" s="5" t="s">
        <v>1589</v>
      </c>
      <c r="G195" s="5" t="s">
        <v>55</v>
      </c>
      <c r="H195" s="5" t="s">
        <v>57</v>
      </c>
      <c r="I195" s="5" t="s">
        <v>661</v>
      </c>
    </row>
    <row r="196" spans="1:9" ht="120" x14ac:dyDescent="0.25">
      <c r="A196" s="5" t="s">
        <v>331</v>
      </c>
      <c r="B196" s="5" t="s">
        <v>10</v>
      </c>
      <c r="C196" s="5" t="s">
        <v>331</v>
      </c>
      <c r="D196" s="5" t="s">
        <v>332</v>
      </c>
      <c r="E196" s="5" t="s">
        <v>138</v>
      </c>
      <c r="F196" s="5" t="s">
        <v>333</v>
      </c>
      <c r="G196" s="5" t="s">
        <v>55</v>
      </c>
      <c r="H196" s="5" t="s">
        <v>57</v>
      </c>
      <c r="I196" s="5" t="s">
        <v>120</v>
      </c>
    </row>
    <row r="197" spans="1:9" ht="45" x14ac:dyDescent="0.25">
      <c r="A197" s="5" t="s">
        <v>335</v>
      </c>
      <c r="B197" s="5" t="s">
        <v>10</v>
      </c>
      <c r="C197" s="5" t="s">
        <v>335</v>
      </c>
      <c r="D197" s="5" t="s">
        <v>332</v>
      </c>
      <c r="E197" s="5" t="s">
        <v>138</v>
      </c>
      <c r="F197" s="5" t="s">
        <v>336</v>
      </c>
      <c r="G197" s="5" t="s">
        <v>55</v>
      </c>
      <c r="H197" s="5" t="s">
        <v>57</v>
      </c>
      <c r="I197" s="5" t="s">
        <v>265</v>
      </c>
    </row>
    <row r="198" spans="1:9" ht="60" x14ac:dyDescent="0.25">
      <c r="A198" s="5" t="s">
        <v>338</v>
      </c>
      <c r="B198" s="5" t="s">
        <v>10</v>
      </c>
      <c r="C198" s="5" t="s">
        <v>338</v>
      </c>
      <c r="D198" s="5" t="s">
        <v>339</v>
      </c>
      <c r="E198" s="5" t="s">
        <v>174</v>
      </c>
      <c r="F198" s="5" t="s">
        <v>340</v>
      </c>
      <c r="G198" s="5" t="s">
        <v>55</v>
      </c>
      <c r="H198" s="5" t="s">
        <v>57</v>
      </c>
      <c r="I198" s="5" t="s">
        <v>661</v>
      </c>
    </row>
    <row r="199" spans="1:9" ht="90" x14ac:dyDescent="0.25">
      <c r="A199" s="5" t="s">
        <v>342</v>
      </c>
      <c r="B199" s="5" t="s">
        <v>10</v>
      </c>
      <c r="C199" s="5" t="s">
        <v>342</v>
      </c>
      <c r="D199" s="5" t="s">
        <v>339</v>
      </c>
      <c r="E199" s="5" t="s">
        <v>174</v>
      </c>
      <c r="F199" s="5" t="s">
        <v>343</v>
      </c>
      <c r="G199" s="5" t="s">
        <v>55</v>
      </c>
      <c r="H199" s="5" t="s">
        <v>57</v>
      </c>
      <c r="I199" s="5" t="s">
        <v>39</v>
      </c>
    </row>
    <row r="200" spans="1:9" ht="90" x14ac:dyDescent="0.25">
      <c r="A200" s="5" t="s">
        <v>345</v>
      </c>
      <c r="B200" s="5" t="s">
        <v>10</v>
      </c>
      <c r="C200" s="5" t="s">
        <v>345</v>
      </c>
      <c r="D200" s="5" t="s">
        <v>346</v>
      </c>
      <c r="E200" s="5" t="s">
        <v>174</v>
      </c>
      <c r="F200" s="5" t="s">
        <v>347</v>
      </c>
      <c r="G200" s="5" t="s">
        <v>55</v>
      </c>
      <c r="H200" s="5" t="s">
        <v>57</v>
      </c>
      <c r="I200" s="5" t="s">
        <v>265</v>
      </c>
    </row>
    <row r="201" spans="1:9" ht="75" x14ac:dyDescent="0.25">
      <c r="A201" s="5" t="s">
        <v>349</v>
      </c>
      <c r="B201" s="5" t="s">
        <v>10</v>
      </c>
      <c r="C201" s="5" t="s">
        <v>349</v>
      </c>
      <c r="D201" s="5" t="s">
        <v>346</v>
      </c>
      <c r="E201" s="5" t="s">
        <v>174</v>
      </c>
      <c r="F201" s="5" t="s">
        <v>350</v>
      </c>
      <c r="G201" s="5" t="s">
        <v>55</v>
      </c>
      <c r="H201" s="5" t="s">
        <v>57</v>
      </c>
      <c r="I201" s="5" t="s">
        <v>120</v>
      </c>
    </row>
    <row r="202" spans="1:9" ht="105" x14ac:dyDescent="0.25">
      <c r="A202" s="5" t="s">
        <v>352</v>
      </c>
      <c r="B202" s="5" t="s">
        <v>10</v>
      </c>
      <c r="C202" s="5" t="s">
        <v>352</v>
      </c>
      <c r="D202" s="5" t="s">
        <v>346</v>
      </c>
      <c r="E202" s="5" t="s">
        <v>174</v>
      </c>
      <c r="F202" s="5" t="s">
        <v>353</v>
      </c>
      <c r="G202" s="5" t="s">
        <v>55</v>
      </c>
      <c r="H202" s="5" t="s">
        <v>57</v>
      </c>
      <c r="I202" s="5" t="s">
        <v>265</v>
      </c>
    </row>
    <row r="203" spans="1:9" ht="75" x14ac:dyDescent="0.25">
      <c r="A203" s="5" t="s">
        <v>355</v>
      </c>
      <c r="B203" s="5" t="s">
        <v>10</v>
      </c>
      <c r="C203" s="5" t="s">
        <v>355</v>
      </c>
      <c r="D203" s="5" t="s">
        <v>346</v>
      </c>
      <c r="E203" s="5" t="s">
        <v>174</v>
      </c>
      <c r="F203" s="5" t="s">
        <v>356</v>
      </c>
      <c r="G203" s="5" t="s">
        <v>55</v>
      </c>
      <c r="H203" s="5" t="s">
        <v>57</v>
      </c>
      <c r="I203" s="5" t="s">
        <v>265</v>
      </c>
    </row>
    <row r="204" spans="1:9" ht="60" x14ac:dyDescent="0.25">
      <c r="A204" s="5" t="s">
        <v>358</v>
      </c>
      <c r="B204" s="5" t="s">
        <v>10</v>
      </c>
      <c r="C204" s="5" t="s">
        <v>358</v>
      </c>
      <c r="D204" s="5" t="s">
        <v>346</v>
      </c>
      <c r="E204" s="5" t="s">
        <v>174</v>
      </c>
      <c r="F204" s="5" t="s">
        <v>359</v>
      </c>
      <c r="G204" s="5" t="s">
        <v>55</v>
      </c>
      <c r="H204" s="5" t="s">
        <v>57</v>
      </c>
      <c r="I204" s="5" t="s">
        <v>265</v>
      </c>
    </row>
    <row r="205" spans="1:9" ht="105" x14ac:dyDescent="0.25">
      <c r="A205" s="5" t="s">
        <v>361</v>
      </c>
      <c r="B205" s="5" t="s">
        <v>10</v>
      </c>
      <c r="C205" s="5" t="s">
        <v>361</v>
      </c>
      <c r="D205" s="5" t="s">
        <v>346</v>
      </c>
      <c r="E205" s="5" t="s">
        <v>174</v>
      </c>
      <c r="F205" s="5" t="s">
        <v>362</v>
      </c>
      <c r="G205" s="5" t="s">
        <v>55</v>
      </c>
      <c r="H205" s="5" t="s">
        <v>57</v>
      </c>
      <c r="I205" s="5" t="s">
        <v>265</v>
      </c>
    </row>
    <row r="206" spans="1:9" ht="45" x14ac:dyDescent="0.25">
      <c r="A206" s="5" t="s">
        <v>364</v>
      </c>
      <c r="B206" s="5" t="s">
        <v>10</v>
      </c>
      <c r="C206" s="5" t="s">
        <v>364</v>
      </c>
      <c r="D206" s="5" t="s">
        <v>365</v>
      </c>
      <c r="E206" s="5" t="s">
        <v>366</v>
      </c>
      <c r="F206" s="5" t="s">
        <v>367</v>
      </c>
      <c r="G206" s="5" t="s">
        <v>55</v>
      </c>
      <c r="H206" s="5" t="s">
        <v>57</v>
      </c>
      <c r="I206" s="5" t="s">
        <v>120</v>
      </c>
    </row>
    <row r="207" spans="1:9" ht="75" x14ac:dyDescent="0.25">
      <c r="A207" s="5" t="s">
        <v>369</v>
      </c>
      <c r="B207" s="5" t="s">
        <v>10</v>
      </c>
      <c r="C207" s="5" t="s">
        <v>369</v>
      </c>
      <c r="D207" s="5" t="s">
        <v>370</v>
      </c>
      <c r="E207" s="5" t="s">
        <v>1604</v>
      </c>
      <c r="F207" s="5" t="s">
        <v>372</v>
      </c>
      <c r="G207" s="5" t="s">
        <v>55</v>
      </c>
      <c r="H207" s="5" t="s">
        <v>57</v>
      </c>
      <c r="I207" s="5" t="s">
        <v>56</v>
      </c>
    </row>
    <row r="208" spans="1:9" ht="60" x14ac:dyDescent="0.25">
      <c r="A208" s="5" t="s">
        <v>374</v>
      </c>
      <c r="B208" s="5" t="s">
        <v>10</v>
      </c>
      <c r="C208" s="5" t="s">
        <v>374</v>
      </c>
      <c r="D208" s="5" t="s">
        <v>375</v>
      </c>
      <c r="E208" s="5" t="s">
        <v>138</v>
      </c>
      <c r="F208" s="5" t="s">
        <v>376</v>
      </c>
      <c r="G208" s="5" t="s">
        <v>55</v>
      </c>
      <c r="H208" s="5" t="s">
        <v>57</v>
      </c>
      <c r="I208" s="5" t="s">
        <v>39</v>
      </c>
    </row>
    <row r="209" spans="1:9" ht="45" x14ac:dyDescent="0.25">
      <c r="A209" s="5" t="s">
        <v>378</v>
      </c>
      <c r="B209" s="5" t="s">
        <v>10</v>
      </c>
      <c r="C209" s="5" t="s">
        <v>378</v>
      </c>
      <c r="D209" s="5" t="s">
        <v>379</v>
      </c>
      <c r="E209" s="5" t="s">
        <v>174</v>
      </c>
      <c r="F209" s="5" t="s">
        <v>380</v>
      </c>
      <c r="G209" s="5" t="s">
        <v>55</v>
      </c>
      <c r="H209" s="5" t="s">
        <v>57</v>
      </c>
      <c r="I209" s="5" t="s">
        <v>120</v>
      </c>
    </row>
    <row r="210" spans="1:9" ht="45" x14ac:dyDescent="0.25">
      <c r="A210" s="5" t="s">
        <v>382</v>
      </c>
      <c r="B210" s="5" t="s">
        <v>10</v>
      </c>
      <c r="C210" s="5" t="s">
        <v>382</v>
      </c>
      <c r="D210" s="5" t="s">
        <v>379</v>
      </c>
      <c r="E210" s="5" t="s">
        <v>174</v>
      </c>
      <c r="F210" s="5" t="s">
        <v>380</v>
      </c>
      <c r="G210" s="5" t="s">
        <v>55</v>
      </c>
      <c r="H210" s="5" t="s">
        <v>57</v>
      </c>
      <c r="I210" s="5" t="s">
        <v>120</v>
      </c>
    </row>
    <row r="211" spans="1:9" ht="90" x14ac:dyDescent="0.25">
      <c r="A211" s="5" t="s">
        <v>384</v>
      </c>
      <c r="B211" s="5" t="s">
        <v>10</v>
      </c>
      <c r="C211" s="5" t="s">
        <v>384</v>
      </c>
      <c r="D211" s="5" t="s">
        <v>379</v>
      </c>
      <c r="E211" s="5" t="s">
        <v>174</v>
      </c>
      <c r="F211" s="5" t="s">
        <v>385</v>
      </c>
      <c r="G211" s="5" t="s">
        <v>55</v>
      </c>
      <c r="H211" s="5" t="s">
        <v>57</v>
      </c>
      <c r="I211" s="5" t="s">
        <v>120</v>
      </c>
    </row>
    <row r="212" spans="1:9" ht="45" x14ac:dyDescent="0.25">
      <c r="A212" s="5" t="s">
        <v>387</v>
      </c>
      <c r="B212" s="5" t="s">
        <v>10</v>
      </c>
      <c r="C212" s="5" t="s">
        <v>387</v>
      </c>
      <c r="D212" s="5" t="s">
        <v>379</v>
      </c>
      <c r="E212" s="5" t="s">
        <v>174</v>
      </c>
      <c r="F212" s="5" t="s">
        <v>380</v>
      </c>
      <c r="G212" s="5" t="s">
        <v>55</v>
      </c>
      <c r="H212" s="5" t="s">
        <v>57</v>
      </c>
      <c r="I212" s="5" t="s">
        <v>265</v>
      </c>
    </row>
    <row r="213" spans="1:9" ht="75" x14ac:dyDescent="0.25">
      <c r="A213" s="5" t="s">
        <v>389</v>
      </c>
      <c r="B213" s="5" t="s">
        <v>10</v>
      </c>
      <c r="C213" s="5" t="s">
        <v>389</v>
      </c>
      <c r="D213" s="5" t="s">
        <v>379</v>
      </c>
      <c r="E213" s="5" t="s">
        <v>174</v>
      </c>
      <c r="F213" s="5" t="s">
        <v>350</v>
      </c>
      <c r="G213" s="5" t="s">
        <v>55</v>
      </c>
      <c r="H213" s="5" t="s">
        <v>57</v>
      </c>
      <c r="I213" s="5" t="s">
        <v>265</v>
      </c>
    </row>
    <row r="214" spans="1:9" ht="45" x14ac:dyDescent="0.25">
      <c r="A214" s="5" t="s">
        <v>391</v>
      </c>
      <c r="B214" s="5" t="s">
        <v>10</v>
      </c>
      <c r="C214" s="5" t="s">
        <v>391</v>
      </c>
      <c r="D214" s="5" t="s">
        <v>379</v>
      </c>
      <c r="E214" s="5" t="s">
        <v>174</v>
      </c>
      <c r="F214" s="5" t="s">
        <v>380</v>
      </c>
      <c r="G214" s="5" t="s">
        <v>55</v>
      </c>
      <c r="H214" s="5" t="s">
        <v>57</v>
      </c>
      <c r="I214" s="5" t="s">
        <v>265</v>
      </c>
    </row>
    <row r="215" spans="1:9" ht="45" x14ac:dyDescent="0.25">
      <c r="A215" s="5" t="s">
        <v>393</v>
      </c>
      <c r="B215" s="5" t="s">
        <v>10</v>
      </c>
      <c r="C215" s="5" t="s">
        <v>393</v>
      </c>
      <c r="D215" s="5" t="s">
        <v>379</v>
      </c>
      <c r="E215" s="5" t="s">
        <v>174</v>
      </c>
      <c r="F215" s="5" t="s">
        <v>380</v>
      </c>
      <c r="G215" s="5" t="s">
        <v>55</v>
      </c>
      <c r="H215" s="5" t="s">
        <v>57</v>
      </c>
      <c r="I215" s="5" t="s">
        <v>265</v>
      </c>
    </row>
    <row r="216" spans="1:9" ht="30" x14ac:dyDescent="0.25">
      <c r="A216" s="5" t="s">
        <v>395</v>
      </c>
      <c r="B216" s="5" t="s">
        <v>10</v>
      </c>
      <c r="C216" s="5" t="s">
        <v>395</v>
      </c>
      <c r="D216" s="5" t="s">
        <v>396</v>
      </c>
      <c r="E216" s="5" t="s">
        <v>397</v>
      </c>
      <c r="F216" s="5" t="s">
        <v>398</v>
      </c>
      <c r="G216" s="5" t="s">
        <v>55</v>
      </c>
      <c r="H216" s="5" t="s">
        <v>57</v>
      </c>
      <c r="I216" s="5" t="s">
        <v>265</v>
      </c>
    </row>
    <row r="217" spans="1:9" ht="75" x14ac:dyDescent="0.25">
      <c r="A217" s="5" t="s">
        <v>400</v>
      </c>
      <c r="B217" s="5" t="s">
        <v>10</v>
      </c>
      <c r="C217" s="5" t="s">
        <v>400</v>
      </c>
      <c r="D217" s="5" t="s">
        <v>401</v>
      </c>
      <c r="E217" s="5" t="s">
        <v>174</v>
      </c>
      <c r="F217" s="5" t="s">
        <v>1605</v>
      </c>
      <c r="G217" s="5" t="s">
        <v>55</v>
      </c>
      <c r="H217" s="5" t="s">
        <v>57</v>
      </c>
      <c r="I217" s="5" t="s">
        <v>265</v>
      </c>
    </row>
    <row r="218" spans="1:9" ht="120" x14ac:dyDescent="0.25">
      <c r="A218" s="5" t="s">
        <v>404</v>
      </c>
      <c r="B218" s="5" t="s">
        <v>10</v>
      </c>
      <c r="C218" s="5" t="s">
        <v>404</v>
      </c>
      <c r="D218" s="5" t="s">
        <v>405</v>
      </c>
      <c r="E218" s="5" t="s">
        <v>273</v>
      </c>
      <c r="F218" s="5" t="s">
        <v>1606</v>
      </c>
      <c r="G218" s="5" t="s">
        <v>15</v>
      </c>
      <c r="H218" s="5" t="s">
        <v>57</v>
      </c>
      <c r="I218" s="5" t="s">
        <v>265</v>
      </c>
    </row>
    <row r="219" spans="1:9" ht="60" x14ac:dyDescent="0.25">
      <c r="A219" s="5" t="s">
        <v>408</v>
      </c>
      <c r="B219" s="5" t="s">
        <v>10</v>
      </c>
      <c r="C219" s="5" t="s">
        <v>408</v>
      </c>
      <c r="D219" s="5" t="s">
        <v>409</v>
      </c>
      <c r="E219" s="5" t="s">
        <v>410</v>
      </c>
      <c r="F219" s="5" t="s">
        <v>411</v>
      </c>
      <c r="G219" s="5" t="s">
        <v>55</v>
      </c>
      <c r="H219" s="5" t="s">
        <v>57</v>
      </c>
      <c r="I219" s="5" t="s">
        <v>39</v>
      </c>
    </row>
    <row r="220" spans="1:9" ht="105" x14ac:dyDescent="0.25">
      <c r="A220" s="5" t="s">
        <v>415</v>
      </c>
      <c r="B220" s="5" t="s">
        <v>132</v>
      </c>
      <c r="C220" s="5" t="s">
        <v>415</v>
      </c>
      <c r="D220" s="5" t="s">
        <v>416</v>
      </c>
      <c r="E220" s="5" t="s">
        <v>1607</v>
      </c>
      <c r="F220" s="5" t="s">
        <v>1608</v>
      </c>
      <c r="G220" s="5" t="s">
        <v>15</v>
      </c>
      <c r="H220" s="5" t="s">
        <v>97</v>
      </c>
      <c r="I220" s="5" t="s">
        <v>120</v>
      </c>
    </row>
    <row r="221" spans="1:9" ht="60" x14ac:dyDescent="0.25">
      <c r="A221" s="5" t="s">
        <v>1609</v>
      </c>
      <c r="B221" s="5" t="s">
        <v>132</v>
      </c>
      <c r="C221" s="5" t="s">
        <v>415</v>
      </c>
      <c r="D221" s="5" t="s">
        <v>416</v>
      </c>
      <c r="E221" s="5" t="s">
        <v>125</v>
      </c>
      <c r="F221" s="5" t="s">
        <v>1610</v>
      </c>
      <c r="G221" s="5" t="s">
        <v>55</v>
      </c>
      <c r="H221" s="5" t="s">
        <v>57</v>
      </c>
      <c r="I221" s="5" t="s">
        <v>120</v>
      </c>
    </row>
    <row r="222" spans="1:9" ht="60" x14ac:dyDescent="0.25">
      <c r="A222" s="5" t="s">
        <v>1611</v>
      </c>
      <c r="B222" s="5" t="s">
        <v>1428</v>
      </c>
      <c r="C222" s="5" t="s">
        <v>415</v>
      </c>
      <c r="D222" s="5" t="s">
        <v>416</v>
      </c>
      <c r="E222" s="5" t="s">
        <v>125</v>
      </c>
      <c r="F222" s="5" t="s">
        <v>1610</v>
      </c>
      <c r="G222" s="5" t="s">
        <v>55</v>
      </c>
      <c r="H222" s="5" t="s">
        <v>57</v>
      </c>
      <c r="I222" s="5" t="s">
        <v>265</v>
      </c>
    </row>
    <row r="223" spans="1:9" ht="105" x14ac:dyDescent="0.25">
      <c r="A223" s="5" t="s">
        <v>1612</v>
      </c>
      <c r="B223" s="5" t="s">
        <v>10</v>
      </c>
      <c r="C223" s="5" t="s">
        <v>415</v>
      </c>
      <c r="D223" s="5" t="s">
        <v>416</v>
      </c>
      <c r="E223" s="5" t="s">
        <v>1607</v>
      </c>
      <c r="F223" s="5" t="s">
        <v>1608</v>
      </c>
      <c r="G223" s="5" t="s">
        <v>55</v>
      </c>
      <c r="H223" s="5" t="s">
        <v>97</v>
      </c>
      <c r="I223" s="5" t="s">
        <v>57</v>
      </c>
    </row>
    <row r="224" spans="1:9" ht="105" x14ac:dyDescent="0.25">
      <c r="A224" s="5" t="s">
        <v>1613</v>
      </c>
      <c r="B224" s="5" t="s">
        <v>10</v>
      </c>
      <c r="C224" s="5" t="s">
        <v>415</v>
      </c>
      <c r="D224" s="5" t="s">
        <v>416</v>
      </c>
      <c r="E224" s="5" t="s">
        <v>1016</v>
      </c>
      <c r="F224" s="5" t="s">
        <v>1614</v>
      </c>
      <c r="G224" s="5" t="s">
        <v>55</v>
      </c>
      <c r="H224" s="5" t="s">
        <v>57</v>
      </c>
      <c r="I224" s="5" t="s">
        <v>120</v>
      </c>
    </row>
    <row r="225" spans="1:9" ht="75" x14ac:dyDescent="0.25">
      <c r="A225" s="5" t="s">
        <v>421</v>
      </c>
      <c r="B225" s="5" t="s">
        <v>10</v>
      </c>
      <c r="C225" s="5" t="s">
        <v>421</v>
      </c>
      <c r="D225" s="5" t="s">
        <v>422</v>
      </c>
      <c r="E225" s="5" t="s">
        <v>423</v>
      </c>
      <c r="F225" s="5" t="s">
        <v>1615</v>
      </c>
      <c r="G225" s="5" t="s">
        <v>55</v>
      </c>
      <c r="H225" s="5" t="s">
        <v>57</v>
      </c>
      <c r="I225" s="5" t="s">
        <v>120</v>
      </c>
    </row>
    <row r="226" spans="1:9" ht="75" x14ac:dyDescent="0.25">
      <c r="A226" s="5" t="s">
        <v>426</v>
      </c>
      <c r="B226" s="5" t="s">
        <v>51</v>
      </c>
      <c r="C226" s="5" t="s">
        <v>426</v>
      </c>
      <c r="D226" s="5" t="s">
        <v>427</v>
      </c>
      <c r="E226" s="5" t="s">
        <v>1616</v>
      </c>
      <c r="F226" s="5" t="s">
        <v>429</v>
      </c>
      <c r="G226" s="5" t="s">
        <v>55</v>
      </c>
      <c r="H226" s="5" t="s">
        <v>57</v>
      </c>
      <c r="I226" s="5" t="s">
        <v>57</v>
      </c>
    </row>
    <row r="227" spans="1:9" ht="30" x14ac:dyDescent="0.25">
      <c r="A227" s="5" t="s">
        <v>1617</v>
      </c>
      <c r="B227" s="5" t="s">
        <v>132</v>
      </c>
      <c r="C227" s="5" t="s">
        <v>432</v>
      </c>
      <c r="D227" s="5" t="s">
        <v>433</v>
      </c>
      <c r="E227" s="5" t="s">
        <v>1588</v>
      </c>
      <c r="F227" s="5" t="s">
        <v>1618</v>
      </c>
      <c r="G227" s="5" t="s">
        <v>55</v>
      </c>
      <c r="H227" s="5" t="s">
        <v>57</v>
      </c>
      <c r="I227" s="5" t="s">
        <v>120</v>
      </c>
    </row>
    <row r="228" spans="1:9" ht="30" x14ac:dyDescent="0.25">
      <c r="A228" s="5" t="s">
        <v>432</v>
      </c>
      <c r="B228" s="5" t="s">
        <v>132</v>
      </c>
      <c r="C228" s="5" t="s">
        <v>432</v>
      </c>
      <c r="D228" s="5" t="s">
        <v>433</v>
      </c>
      <c r="E228" s="5" t="s">
        <v>1588</v>
      </c>
      <c r="F228" s="5" t="s">
        <v>1618</v>
      </c>
      <c r="G228" s="5" t="s">
        <v>55</v>
      </c>
      <c r="H228" s="5" t="s">
        <v>57</v>
      </c>
      <c r="I228" s="5" t="s">
        <v>661</v>
      </c>
    </row>
    <row r="229" spans="1:9" ht="30" x14ac:dyDescent="0.25">
      <c r="A229" s="5" t="s">
        <v>1619</v>
      </c>
      <c r="B229" s="5" t="s">
        <v>132</v>
      </c>
      <c r="C229" s="5" t="s">
        <v>432</v>
      </c>
      <c r="D229" s="5" t="s">
        <v>433</v>
      </c>
      <c r="E229" s="5" t="s">
        <v>1588</v>
      </c>
      <c r="F229" s="5" t="s">
        <v>1618</v>
      </c>
      <c r="G229" s="5" t="s">
        <v>15</v>
      </c>
      <c r="H229" s="5" t="s">
        <v>265</v>
      </c>
      <c r="I229" s="5" t="s">
        <v>661</v>
      </c>
    </row>
    <row r="230" spans="1:9" ht="30" x14ac:dyDescent="0.25">
      <c r="A230" s="5" t="s">
        <v>1620</v>
      </c>
      <c r="B230" s="5" t="s">
        <v>132</v>
      </c>
      <c r="C230" s="5" t="s">
        <v>432</v>
      </c>
      <c r="D230" s="5" t="s">
        <v>433</v>
      </c>
      <c r="E230" s="5" t="s">
        <v>1588</v>
      </c>
      <c r="F230" s="5" t="s">
        <v>1618</v>
      </c>
      <c r="G230" s="5" t="s">
        <v>15</v>
      </c>
      <c r="H230" s="5" t="s">
        <v>97</v>
      </c>
      <c r="I230" s="5" t="s">
        <v>56</v>
      </c>
    </row>
    <row r="231" spans="1:9" ht="30" x14ac:dyDescent="0.25">
      <c r="A231" s="5" t="s">
        <v>1621</v>
      </c>
      <c r="B231" s="5" t="s">
        <v>132</v>
      </c>
      <c r="C231" s="5" t="s">
        <v>432</v>
      </c>
      <c r="D231" s="5" t="s">
        <v>433</v>
      </c>
      <c r="E231" s="5" t="s">
        <v>327</v>
      </c>
      <c r="F231" s="5" t="s">
        <v>1618</v>
      </c>
      <c r="G231" s="5" t="s">
        <v>55</v>
      </c>
      <c r="H231" s="5" t="s">
        <v>57</v>
      </c>
      <c r="I231" s="5" t="s">
        <v>57</v>
      </c>
    </row>
    <row r="232" spans="1:9" ht="30" x14ac:dyDescent="0.25">
      <c r="A232" s="5" t="s">
        <v>1622</v>
      </c>
      <c r="B232" s="5" t="s">
        <v>132</v>
      </c>
      <c r="C232" s="5" t="s">
        <v>432</v>
      </c>
      <c r="D232" s="5" t="s">
        <v>433</v>
      </c>
      <c r="E232" s="5" t="s">
        <v>327</v>
      </c>
      <c r="F232" s="5" t="s">
        <v>1618</v>
      </c>
      <c r="G232" s="5" t="s">
        <v>55</v>
      </c>
      <c r="H232" s="5" t="s">
        <v>57</v>
      </c>
      <c r="I232" s="5" t="s">
        <v>57</v>
      </c>
    </row>
    <row r="233" spans="1:9" ht="30" x14ac:dyDescent="0.25">
      <c r="A233" s="5" t="s">
        <v>1623</v>
      </c>
      <c r="B233" s="5" t="s">
        <v>132</v>
      </c>
      <c r="C233" s="5" t="s">
        <v>432</v>
      </c>
      <c r="D233" s="5" t="s">
        <v>433</v>
      </c>
      <c r="E233" s="5" t="s">
        <v>57</v>
      </c>
      <c r="F233" s="5" t="s">
        <v>1618</v>
      </c>
      <c r="G233" s="5" t="s">
        <v>55</v>
      </c>
      <c r="H233" s="5" t="s">
        <v>97</v>
      </c>
      <c r="I233" s="5" t="s">
        <v>57</v>
      </c>
    </row>
    <row r="234" spans="1:9" ht="30" x14ac:dyDescent="0.25">
      <c r="A234" s="5" t="s">
        <v>1624</v>
      </c>
      <c r="B234" s="5" t="s">
        <v>132</v>
      </c>
      <c r="C234" s="5" t="s">
        <v>432</v>
      </c>
      <c r="D234" s="5" t="s">
        <v>433</v>
      </c>
      <c r="E234" s="5" t="s">
        <v>57</v>
      </c>
      <c r="F234" s="5" t="s">
        <v>1618</v>
      </c>
      <c r="G234" s="5" t="s">
        <v>55</v>
      </c>
      <c r="H234" s="5" t="s">
        <v>97</v>
      </c>
      <c r="I234" s="5" t="s">
        <v>57</v>
      </c>
    </row>
    <row r="235" spans="1:9" ht="105" x14ac:dyDescent="0.25">
      <c r="A235" s="5" t="s">
        <v>1625</v>
      </c>
      <c r="B235" s="5" t="s">
        <v>132</v>
      </c>
      <c r="C235" s="5" t="s">
        <v>432</v>
      </c>
      <c r="D235" s="5" t="s">
        <v>433</v>
      </c>
      <c r="E235" s="5" t="s">
        <v>1588</v>
      </c>
      <c r="F235" s="5" t="s">
        <v>1626</v>
      </c>
      <c r="G235" s="5" t="s">
        <v>55</v>
      </c>
      <c r="H235" s="5" t="s">
        <v>57</v>
      </c>
      <c r="I235" s="5" t="s">
        <v>661</v>
      </c>
    </row>
    <row r="236" spans="1:9" ht="75" x14ac:dyDescent="0.25">
      <c r="A236" s="5" t="s">
        <v>1627</v>
      </c>
      <c r="B236" s="5" t="s">
        <v>132</v>
      </c>
      <c r="C236" s="5" t="s">
        <v>432</v>
      </c>
      <c r="D236" s="5" t="s">
        <v>433</v>
      </c>
      <c r="E236" s="5" t="s">
        <v>1588</v>
      </c>
      <c r="F236" s="5" t="s">
        <v>1628</v>
      </c>
      <c r="G236" s="5" t="s">
        <v>55</v>
      </c>
      <c r="H236" s="5" t="s">
        <v>57</v>
      </c>
      <c r="I236" s="5" t="s">
        <v>120</v>
      </c>
    </row>
    <row r="237" spans="1:9" ht="30" x14ac:dyDescent="0.25">
      <c r="A237" s="5" t="s">
        <v>1629</v>
      </c>
      <c r="B237" s="5" t="s">
        <v>132</v>
      </c>
      <c r="C237" s="5" t="s">
        <v>432</v>
      </c>
      <c r="D237" s="5" t="s">
        <v>433</v>
      </c>
      <c r="E237" s="5" t="s">
        <v>1588</v>
      </c>
      <c r="F237" s="5" t="s">
        <v>1618</v>
      </c>
      <c r="G237" s="5" t="s">
        <v>55</v>
      </c>
      <c r="H237" s="5" t="s">
        <v>97</v>
      </c>
      <c r="I237" s="5" t="s">
        <v>57</v>
      </c>
    </row>
    <row r="238" spans="1:9" ht="30" x14ac:dyDescent="0.25">
      <c r="A238" s="5" t="s">
        <v>1629</v>
      </c>
      <c r="B238" s="5" t="s">
        <v>1415</v>
      </c>
      <c r="C238" s="5" t="s">
        <v>432</v>
      </c>
      <c r="D238" s="5" t="s">
        <v>433</v>
      </c>
      <c r="E238" s="5" t="s">
        <v>1588</v>
      </c>
      <c r="F238" s="5" t="s">
        <v>1618</v>
      </c>
      <c r="G238" s="5" t="s">
        <v>55</v>
      </c>
      <c r="H238" s="5" t="s">
        <v>97</v>
      </c>
      <c r="I238" s="5" t="s">
        <v>57</v>
      </c>
    </row>
    <row r="239" spans="1:9" ht="30" x14ac:dyDescent="0.25">
      <c r="A239" s="5" t="s">
        <v>1630</v>
      </c>
      <c r="B239" s="5" t="s">
        <v>132</v>
      </c>
      <c r="C239" s="5" t="s">
        <v>432</v>
      </c>
      <c r="D239" s="5" t="s">
        <v>433</v>
      </c>
      <c r="E239" s="5" t="s">
        <v>1588</v>
      </c>
      <c r="F239" s="5" t="s">
        <v>1618</v>
      </c>
      <c r="G239" s="5" t="s">
        <v>15</v>
      </c>
      <c r="H239" s="5" t="s">
        <v>97</v>
      </c>
      <c r="I239" s="5" t="s">
        <v>57</v>
      </c>
    </row>
    <row r="240" spans="1:9" ht="30" x14ac:dyDescent="0.25">
      <c r="A240" s="5" t="s">
        <v>1630</v>
      </c>
      <c r="B240" s="5" t="s">
        <v>1415</v>
      </c>
      <c r="C240" s="5" t="s">
        <v>432</v>
      </c>
      <c r="D240" s="5" t="s">
        <v>433</v>
      </c>
      <c r="E240" s="5" t="s">
        <v>1588</v>
      </c>
      <c r="F240" s="5" t="s">
        <v>1618</v>
      </c>
      <c r="G240" s="5" t="s">
        <v>15</v>
      </c>
      <c r="H240" s="5" t="s">
        <v>97</v>
      </c>
      <c r="I240" s="5" t="s">
        <v>57</v>
      </c>
    </row>
    <row r="241" spans="1:9" ht="30" x14ac:dyDescent="0.25">
      <c r="A241" s="5" t="s">
        <v>1631</v>
      </c>
      <c r="B241" s="5" t="s">
        <v>10</v>
      </c>
      <c r="C241" s="5" t="s">
        <v>432</v>
      </c>
      <c r="D241" s="5" t="s">
        <v>433</v>
      </c>
      <c r="E241" s="5" t="s">
        <v>327</v>
      </c>
      <c r="F241" s="5" t="s">
        <v>1632</v>
      </c>
      <c r="G241" s="5" t="s">
        <v>55</v>
      </c>
      <c r="H241" s="5" t="s">
        <v>57</v>
      </c>
      <c r="I241" s="5" t="s">
        <v>120</v>
      </c>
    </row>
    <row r="242" spans="1:9" ht="30" x14ac:dyDescent="0.25">
      <c r="A242" s="5" t="s">
        <v>1633</v>
      </c>
      <c r="B242" s="5" t="s">
        <v>10</v>
      </c>
      <c r="C242" s="5" t="s">
        <v>432</v>
      </c>
      <c r="D242" s="5" t="s">
        <v>433</v>
      </c>
      <c r="E242" s="5" t="s">
        <v>1588</v>
      </c>
      <c r="F242" s="5" t="s">
        <v>1618</v>
      </c>
      <c r="G242" s="5" t="s">
        <v>55</v>
      </c>
      <c r="H242" s="5" t="s">
        <v>97</v>
      </c>
      <c r="I242" s="5" t="s">
        <v>57</v>
      </c>
    </row>
    <row r="243" spans="1:9" ht="30" x14ac:dyDescent="0.25">
      <c r="A243" s="5" t="s">
        <v>1634</v>
      </c>
      <c r="B243" s="5" t="s">
        <v>10</v>
      </c>
      <c r="C243" s="5" t="s">
        <v>432</v>
      </c>
      <c r="D243" s="5" t="s">
        <v>433</v>
      </c>
      <c r="E243" s="5" t="s">
        <v>1588</v>
      </c>
      <c r="F243" s="5" t="s">
        <v>1618</v>
      </c>
      <c r="G243" s="5" t="s">
        <v>55</v>
      </c>
      <c r="H243" s="5" t="s">
        <v>97</v>
      </c>
      <c r="I243" s="5" t="s">
        <v>57</v>
      </c>
    </row>
    <row r="244" spans="1:9" ht="30" x14ac:dyDescent="0.25">
      <c r="A244" s="5" t="s">
        <v>1635</v>
      </c>
      <c r="B244" s="5" t="s">
        <v>10</v>
      </c>
      <c r="C244" s="5" t="s">
        <v>432</v>
      </c>
      <c r="D244" s="5" t="s">
        <v>433</v>
      </c>
      <c r="E244" s="5" t="s">
        <v>327</v>
      </c>
      <c r="F244" s="5" t="s">
        <v>1618</v>
      </c>
      <c r="G244" s="5" t="s">
        <v>55</v>
      </c>
      <c r="H244" s="5" t="s">
        <v>97</v>
      </c>
      <c r="I244" s="5" t="s">
        <v>57</v>
      </c>
    </row>
    <row r="245" spans="1:9" ht="30" x14ac:dyDescent="0.25">
      <c r="A245" s="5" t="s">
        <v>1636</v>
      </c>
      <c r="B245" s="5" t="s">
        <v>10</v>
      </c>
      <c r="C245" s="5" t="s">
        <v>432</v>
      </c>
      <c r="D245" s="5" t="s">
        <v>433</v>
      </c>
      <c r="E245" s="5" t="s">
        <v>327</v>
      </c>
      <c r="F245" s="5" t="s">
        <v>1618</v>
      </c>
      <c r="G245" s="5" t="s">
        <v>55</v>
      </c>
      <c r="H245" s="5" t="s">
        <v>97</v>
      </c>
      <c r="I245" s="5" t="s">
        <v>57</v>
      </c>
    </row>
    <row r="246" spans="1:9" ht="105" x14ac:dyDescent="0.25">
      <c r="A246" s="5" t="s">
        <v>1637</v>
      </c>
      <c r="B246" s="5" t="s">
        <v>10</v>
      </c>
      <c r="C246" s="5" t="s">
        <v>432</v>
      </c>
      <c r="D246" s="5" t="s">
        <v>433</v>
      </c>
      <c r="E246" s="5" t="s">
        <v>327</v>
      </c>
      <c r="F246" s="5" t="s">
        <v>1638</v>
      </c>
      <c r="G246" s="5" t="s">
        <v>55</v>
      </c>
      <c r="H246" s="5" t="s">
        <v>57</v>
      </c>
      <c r="I246" s="5" t="s">
        <v>661</v>
      </c>
    </row>
    <row r="247" spans="1:9" ht="105" x14ac:dyDescent="0.25">
      <c r="A247" s="5" t="s">
        <v>437</v>
      </c>
      <c r="B247" s="5" t="s">
        <v>10</v>
      </c>
      <c r="C247" s="5" t="s">
        <v>437</v>
      </c>
      <c r="D247" s="5" t="s">
        <v>438</v>
      </c>
      <c r="E247" s="5" t="s">
        <v>1639</v>
      </c>
      <c r="F247" s="5" t="s">
        <v>279</v>
      </c>
      <c r="G247" s="5" t="s">
        <v>55</v>
      </c>
      <c r="H247" s="5" t="s">
        <v>57</v>
      </c>
      <c r="I247" s="5" t="s">
        <v>265</v>
      </c>
    </row>
    <row r="248" spans="1:9" ht="90" x14ac:dyDescent="0.25">
      <c r="A248" s="5" t="s">
        <v>442</v>
      </c>
      <c r="B248" s="5" t="s">
        <v>10</v>
      </c>
      <c r="C248" s="5" t="s">
        <v>442</v>
      </c>
      <c r="D248" s="5" t="s">
        <v>443</v>
      </c>
      <c r="E248" s="5" t="s">
        <v>397</v>
      </c>
      <c r="F248" s="5" t="s">
        <v>1640</v>
      </c>
      <c r="G248" s="5" t="s">
        <v>55</v>
      </c>
      <c r="H248" s="5" t="s">
        <v>57</v>
      </c>
      <c r="I248" s="5" t="s">
        <v>265</v>
      </c>
    </row>
    <row r="249" spans="1:9" ht="90" x14ac:dyDescent="0.25">
      <c r="A249" s="5" t="s">
        <v>442</v>
      </c>
      <c r="B249" s="5" t="s">
        <v>123</v>
      </c>
      <c r="C249" s="5" t="s">
        <v>442</v>
      </c>
      <c r="D249" s="5" t="s">
        <v>443</v>
      </c>
      <c r="E249" s="5" t="s">
        <v>397</v>
      </c>
      <c r="F249" s="5" t="s">
        <v>1640</v>
      </c>
      <c r="G249" s="5" t="s">
        <v>55</v>
      </c>
      <c r="H249" s="5" t="s">
        <v>57</v>
      </c>
      <c r="I249" s="5" t="s">
        <v>265</v>
      </c>
    </row>
    <row r="250" spans="1:9" ht="60" x14ac:dyDescent="0.25">
      <c r="A250" s="5" t="s">
        <v>447</v>
      </c>
      <c r="B250" s="5" t="s">
        <v>10</v>
      </c>
      <c r="C250" s="5" t="s">
        <v>447</v>
      </c>
      <c r="D250" s="5" t="s">
        <v>443</v>
      </c>
      <c r="E250" s="5" t="s">
        <v>397</v>
      </c>
      <c r="F250" s="5" t="s">
        <v>448</v>
      </c>
      <c r="G250" s="5" t="s">
        <v>55</v>
      </c>
      <c r="H250" s="5" t="s">
        <v>57</v>
      </c>
      <c r="I250" s="5" t="s">
        <v>265</v>
      </c>
    </row>
    <row r="251" spans="1:9" ht="60" x14ac:dyDescent="0.25">
      <c r="A251" s="5" t="s">
        <v>447</v>
      </c>
      <c r="B251" s="5" t="s">
        <v>123</v>
      </c>
      <c r="C251" s="5" t="s">
        <v>447</v>
      </c>
      <c r="D251" s="5" t="s">
        <v>443</v>
      </c>
      <c r="E251" s="5" t="s">
        <v>397</v>
      </c>
      <c r="F251" s="5" t="s">
        <v>448</v>
      </c>
      <c r="G251" s="5" t="s">
        <v>55</v>
      </c>
      <c r="H251" s="5" t="s">
        <v>57</v>
      </c>
      <c r="I251" s="5" t="s">
        <v>92</v>
      </c>
    </row>
    <row r="252" spans="1:9" ht="120" x14ac:dyDescent="0.25">
      <c r="A252" s="5" t="s">
        <v>452</v>
      </c>
      <c r="B252" s="5" t="s">
        <v>132</v>
      </c>
      <c r="C252" s="5" t="s">
        <v>452</v>
      </c>
      <c r="D252" s="5" t="s">
        <v>453</v>
      </c>
      <c r="E252" s="5" t="s">
        <v>454</v>
      </c>
      <c r="F252" s="5" t="s">
        <v>455</v>
      </c>
      <c r="G252" s="5" t="s">
        <v>55</v>
      </c>
      <c r="H252" s="5" t="s">
        <v>57</v>
      </c>
      <c r="I252" s="5" t="s">
        <v>265</v>
      </c>
    </row>
    <row r="253" spans="1:9" ht="120" x14ac:dyDescent="0.25">
      <c r="A253" s="5" t="s">
        <v>1641</v>
      </c>
      <c r="B253" s="5" t="s">
        <v>1428</v>
      </c>
      <c r="C253" s="5" t="s">
        <v>452</v>
      </c>
      <c r="D253" s="5" t="s">
        <v>453</v>
      </c>
      <c r="E253" s="5" t="s">
        <v>454</v>
      </c>
      <c r="F253" s="5" t="s">
        <v>455</v>
      </c>
      <c r="G253" s="5" t="s">
        <v>55</v>
      </c>
      <c r="H253" s="5" t="s">
        <v>57</v>
      </c>
      <c r="I253" s="5" t="s">
        <v>265</v>
      </c>
    </row>
    <row r="254" spans="1:9" ht="165" x14ac:dyDescent="0.25">
      <c r="A254" s="5" t="s">
        <v>458</v>
      </c>
      <c r="B254" s="5" t="s">
        <v>10</v>
      </c>
      <c r="C254" s="5" t="s">
        <v>458</v>
      </c>
      <c r="D254" s="5" t="s">
        <v>459</v>
      </c>
      <c r="E254" s="5" t="s">
        <v>174</v>
      </c>
      <c r="F254" s="5" t="s">
        <v>460</v>
      </c>
      <c r="G254" s="5" t="s">
        <v>55</v>
      </c>
      <c r="H254" s="5" t="s">
        <v>57</v>
      </c>
      <c r="I254" s="5" t="s">
        <v>265</v>
      </c>
    </row>
    <row r="255" spans="1:9" ht="165" x14ac:dyDescent="0.25">
      <c r="A255" s="5" t="s">
        <v>458</v>
      </c>
      <c r="B255" s="5" t="s">
        <v>123</v>
      </c>
      <c r="C255" s="5" t="s">
        <v>458</v>
      </c>
      <c r="D255" s="5" t="s">
        <v>459</v>
      </c>
      <c r="E255" s="5" t="s">
        <v>174</v>
      </c>
      <c r="F255" s="5" t="s">
        <v>460</v>
      </c>
      <c r="G255" s="5" t="s">
        <v>55</v>
      </c>
      <c r="H255" s="5" t="s">
        <v>57</v>
      </c>
      <c r="I255" s="5" t="s">
        <v>265</v>
      </c>
    </row>
    <row r="256" spans="1:9" ht="90" x14ac:dyDescent="0.25">
      <c r="A256" s="5" t="s">
        <v>463</v>
      </c>
      <c r="B256" s="5" t="s">
        <v>10</v>
      </c>
      <c r="C256" s="5" t="s">
        <v>463</v>
      </c>
      <c r="D256" s="5" t="s">
        <v>459</v>
      </c>
      <c r="E256" s="5" t="s">
        <v>174</v>
      </c>
      <c r="F256" s="5" t="s">
        <v>209</v>
      </c>
      <c r="G256" s="5" t="s">
        <v>55</v>
      </c>
      <c r="H256" s="5" t="s">
        <v>57</v>
      </c>
      <c r="I256" s="5" t="s">
        <v>265</v>
      </c>
    </row>
    <row r="257" spans="1:9" ht="90" x14ac:dyDescent="0.25">
      <c r="A257" s="5" t="s">
        <v>463</v>
      </c>
      <c r="B257" s="5" t="s">
        <v>123</v>
      </c>
      <c r="C257" s="5" t="s">
        <v>463</v>
      </c>
      <c r="D257" s="5" t="s">
        <v>459</v>
      </c>
      <c r="E257" s="5" t="s">
        <v>174</v>
      </c>
      <c r="F257" s="5" t="s">
        <v>209</v>
      </c>
      <c r="G257" s="5" t="s">
        <v>55</v>
      </c>
      <c r="H257" s="5" t="s">
        <v>57</v>
      </c>
      <c r="I257" s="5" t="s">
        <v>265</v>
      </c>
    </row>
    <row r="258" spans="1:9" ht="165" x14ac:dyDescent="0.25">
      <c r="A258" s="5" t="s">
        <v>466</v>
      </c>
      <c r="B258" s="5" t="s">
        <v>10</v>
      </c>
      <c r="C258" s="5" t="s">
        <v>466</v>
      </c>
      <c r="D258" s="5" t="s">
        <v>459</v>
      </c>
      <c r="E258" s="5" t="s">
        <v>174</v>
      </c>
      <c r="F258" s="5" t="s">
        <v>460</v>
      </c>
      <c r="G258" s="5" t="s">
        <v>55</v>
      </c>
      <c r="H258" s="5" t="s">
        <v>57</v>
      </c>
      <c r="I258" s="5" t="s">
        <v>265</v>
      </c>
    </row>
    <row r="259" spans="1:9" ht="165" x14ac:dyDescent="0.25">
      <c r="A259" s="5" t="s">
        <v>466</v>
      </c>
      <c r="B259" s="5" t="s">
        <v>123</v>
      </c>
      <c r="C259" s="5" t="s">
        <v>466</v>
      </c>
      <c r="D259" s="5" t="s">
        <v>459</v>
      </c>
      <c r="E259" s="5" t="s">
        <v>174</v>
      </c>
      <c r="F259" s="5" t="s">
        <v>460</v>
      </c>
      <c r="G259" s="5" t="s">
        <v>55</v>
      </c>
      <c r="H259" s="5" t="s">
        <v>57</v>
      </c>
      <c r="I259" s="5" t="s">
        <v>265</v>
      </c>
    </row>
    <row r="260" spans="1:9" ht="165" x14ac:dyDescent="0.25">
      <c r="A260" s="5" t="s">
        <v>469</v>
      </c>
      <c r="B260" s="5" t="s">
        <v>10</v>
      </c>
      <c r="C260" s="5" t="s">
        <v>469</v>
      </c>
      <c r="D260" s="5" t="s">
        <v>459</v>
      </c>
      <c r="E260" s="5" t="s">
        <v>174</v>
      </c>
      <c r="F260" s="5" t="s">
        <v>460</v>
      </c>
      <c r="G260" s="5" t="s">
        <v>55</v>
      </c>
      <c r="H260" s="5" t="s">
        <v>57</v>
      </c>
      <c r="I260" s="5" t="s">
        <v>265</v>
      </c>
    </row>
    <row r="261" spans="1:9" ht="165" x14ac:dyDescent="0.25">
      <c r="A261" s="5" t="s">
        <v>469</v>
      </c>
      <c r="B261" s="5" t="s">
        <v>123</v>
      </c>
      <c r="C261" s="5" t="s">
        <v>469</v>
      </c>
      <c r="D261" s="5" t="s">
        <v>459</v>
      </c>
      <c r="E261" s="5" t="s">
        <v>174</v>
      </c>
      <c r="F261" s="5" t="s">
        <v>460</v>
      </c>
      <c r="G261" s="5" t="s">
        <v>55</v>
      </c>
      <c r="H261" s="5" t="s">
        <v>57</v>
      </c>
      <c r="I261" s="5" t="s">
        <v>265</v>
      </c>
    </row>
    <row r="262" spans="1:9" ht="90" x14ac:dyDescent="0.25">
      <c r="A262" s="5" t="s">
        <v>472</v>
      </c>
      <c r="B262" s="5" t="s">
        <v>10</v>
      </c>
      <c r="C262" s="5" t="s">
        <v>472</v>
      </c>
      <c r="D262" s="5" t="s">
        <v>473</v>
      </c>
      <c r="E262" s="5" t="s">
        <v>1642</v>
      </c>
      <c r="F262" s="5" t="s">
        <v>1643</v>
      </c>
      <c r="G262" s="5" t="s">
        <v>55</v>
      </c>
      <c r="H262" s="5" t="s">
        <v>57</v>
      </c>
      <c r="I262" s="5" t="s">
        <v>265</v>
      </c>
    </row>
    <row r="263" spans="1:9" ht="90" x14ac:dyDescent="0.25">
      <c r="A263" s="5" t="s">
        <v>472</v>
      </c>
      <c r="B263" s="5" t="s">
        <v>123</v>
      </c>
      <c r="C263" s="5" t="s">
        <v>472</v>
      </c>
      <c r="D263" s="5" t="s">
        <v>473</v>
      </c>
      <c r="E263" s="5" t="s">
        <v>1642</v>
      </c>
      <c r="F263" s="5" t="s">
        <v>1643</v>
      </c>
      <c r="G263" s="5" t="s">
        <v>55</v>
      </c>
      <c r="H263" s="5" t="s">
        <v>57</v>
      </c>
      <c r="I263" s="5" t="s">
        <v>265</v>
      </c>
    </row>
    <row r="264" spans="1:9" ht="75" x14ac:dyDescent="0.25">
      <c r="A264" s="5" t="s">
        <v>478</v>
      </c>
      <c r="B264" s="5" t="s">
        <v>10</v>
      </c>
      <c r="C264" s="5" t="s">
        <v>478</v>
      </c>
      <c r="D264" s="5" t="s">
        <v>479</v>
      </c>
      <c r="E264" s="5" t="s">
        <v>1639</v>
      </c>
      <c r="F264" s="5" t="s">
        <v>480</v>
      </c>
      <c r="G264" s="5" t="s">
        <v>55</v>
      </c>
      <c r="H264" s="5" t="s">
        <v>57</v>
      </c>
      <c r="I264" s="5" t="s">
        <v>120</v>
      </c>
    </row>
    <row r="265" spans="1:9" ht="75" x14ac:dyDescent="0.25">
      <c r="A265" s="5" t="s">
        <v>478</v>
      </c>
      <c r="B265" s="5" t="s">
        <v>123</v>
      </c>
      <c r="C265" s="5" t="s">
        <v>478</v>
      </c>
      <c r="D265" s="5" t="s">
        <v>479</v>
      </c>
      <c r="E265" s="5" t="s">
        <v>1639</v>
      </c>
      <c r="F265" s="5" t="s">
        <v>480</v>
      </c>
      <c r="G265" s="5" t="s">
        <v>55</v>
      </c>
      <c r="H265" s="5" t="s">
        <v>57</v>
      </c>
      <c r="I265" s="5" t="s">
        <v>265</v>
      </c>
    </row>
    <row r="266" spans="1:9" ht="120" x14ac:dyDescent="0.25">
      <c r="A266" s="5" t="s">
        <v>483</v>
      </c>
      <c r="B266" s="5" t="s">
        <v>10</v>
      </c>
      <c r="C266" s="5" t="s">
        <v>483</v>
      </c>
      <c r="D266" s="5" t="s">
        <v>326</v>
      </c>
      <c r="E266" s="5" t="s">
        <v>484</v>
      </c>
      <c r="F266" s="5" t="s">
        <v>485</v>
      </c>
      <c r="G266" s="5" t="s">
        <v>15</v>
      </c>
      <c r="H266" s="5" t="s">
        <v>57</v>
      </c>
      <c r="I266" s="5" t="s">
        <v>265</v>
      </c>
    </row>
    <row r="267" spans="1:9" ht="120" x14ac:dyDescent="0.25">
      <c r="A267" s="5" t="s">
        <v>483</v>
      </c>
      <c r="B267" s="5" t="s">
        <v>123</v>
      </c>
      <c r="C267" s="5" t="s">
        <v>483</v>
      </c>
      <c r="D267" s="5" t="s">
        <v>326</v>
      </c>
      <c r="E267" s="5" t="s">
        <v>484</v>
      </c>
      <c r="F267" s="5" t="s">
        <v>485</v>
      </c>
      <c r="G267" s="5" t="s">
        <v>15</v>
      </c>
      <c r="H267" s="5" t="s">
        <v>57</v>
      </c>
      <c r="I267" s="5" t="s">
        <v>39</v>
      </c>
    </row>
    <row r="268" spans="1:9" ht="30" x14ac:dyDescent="0.25">
      <c r="A268" s="5" t="s">
        <v>488</v>
      </c>
      <c r="B268" s="5" t="s">
        <v>10</v>
      </c>
      <c r="C268" s="5" t="s">
        <v>488</v>
      </c>
      <c r="D268" s="5" t="s">
        <v>124</v>
      </c>
      <c r="E268" s="5" t="s">
        <v>489</v>
      </c>
      <c r="F268" s="5" t="s">
        <v>490</v>
      </c>
      <c r="G268" s="5" t="s">
        <v>55</v>
      </c>
      <c r="H268" s="5" t="s">
        <v>57</v>
      </c>
      <c r="I268" s="5" t="s">
        <v>56</v>
      </c>
    </row>
    <row r="269" spans="1:9" ht="30" x14ac:dyDescent="0.25">
      <c r="A269" s="5" t="s">
        <v>488</v>
      </c>
      <c r="B269" s="5" t="s">
        <v>123</v>
      </c>
      <c r="C269" s="5" t="s">
        <v>488</v>
      </c>
      <c r="D269" s="5" t="s">
        <v>124</v>
      </c>
      <c r="E269" s="5" t="s">
        <v>489</v>
      </c>
      <c r="F269" s="5" t="s">
        <v>490</v>
      </c>
      <c r="G269" s="5" t="s">
        <v>55</v>
      </c>
      <c r="H269" s="5" t="s">
        <v>57</v>
      </c>
      <c r="I269" s="5" t="s">
        <v>56</v>
      </c>
    </row>
    <row r="270" spans="1:9" ht="105" x14ac:dyDescent="0.25">
      <c r="A270" s="5" t="s">
        <v>493</v>
      </c>
      <c r="B270" s="5" t="s">
        <v>10</v>
      </c>
      <c r="C270" s="5" t="s">
        <v>493</v>
      </c>
      <c r="D270" s="5" t="s">
        <v>494</v>
      </c>
      <c r="E270" s="5" t="s">
        <v>1644</v>
      </c>
      <c r="F270" s="5" t="s">
        <v>496</v>
      </c>
      <c r="G270" s="5" t="s">
        <v>55</v>
      </c>
      <c r="H270" s="5" t="s">
        <v>57</v>
      </c>
      <c r="I270" s="5" t="s">
        <v>265</v>
      </c>
    </row>
    <row r="271" spans="1:9" ht="105" x14ac:dyDescent="0.25">
      <c r="A271" s="5" t="s">
        <v>493</v>
      </c>
      <c r="B271" s="5" t="s">
        <v>123</v>
      </c>
      <c r="C271" s="5" t="s">
        <v>493</v>
      </c>
      <c r="D271" s="5" t="s">
        <v>494</v>
      </c>
      <c r="E271" s="5" t="s">
        <v>1644</v>
      </c>
      <c r="F271" s="5" t="s">
        <v>496</v>
      </c>
      <c r="G271" s="5" t="s">
        <v>55</v>
      </c>
      <c r="H271" s="5" t="s">
        <v>57</v>
      </c>
      <c r="I271" s="5" t="s">
        <v>265</v>
      </c>
    </row>
    <row r="272" spans="1:9" ht="60" x14ac:dyDescent="0.25">
      <c r="A272" s="5" t="s">
        <v>498</v>
      </c>
      <c r="B272" s="5" t="s">
        <v>10</v>
      </c>
      <c r="C272" s="5" t="s">
        <v>498</v>
      </c>
      <c r="D272" s="5" t="s">
        <v>499</v>
      </c>
      <c r="E272" s="5" t="s">
        <v>500</v>
      </c>
      <c r="F272" s="5" t="s">
        <v>1645</v>
      </c>
      <c r="G272" s="5" t="s">
        <v>15</v>
      </c>
      <c r="H272" s="5" t="s">
        <v>57</v>
      </c>
      <c r="I272" s="5" t="s">
        <v>265</v>
      </c>
    </row>
    <row r="273" spans="1:9" ht="60" x14ac:dyDescent="0.25">
      <c r="A273" s="5" t="s">
        <v>504</v>
      </c>
      <c r="B273" s="5" t="s">
        <v>10</v>
      </c>
      <c r="C273" s="5" t="s">
        <v>504</v>
      </c>
      <c r="D273" s="5" t="s">
        <v>505</v>
      </c>
      <c r="E273" s="5" t="s">
        <v>506</v>
      </c>
      <c r="F273" s="5" t="s">
        <v>1646</v>
      </c>
      <c r="G273" s="5" t="s">
        <v>55</v>
      </c>
      <c r="H273" s="5" t="s">
        <v>57</v>
      </c>
      <c r="I273" s="5" t="s">
        <v>265</v>
      </c>
    </row>
    <row r="274" spans="1:9" ht="60" x14ac:dyDescent="0.25">
      <c r="A274" s="5" t="s">
        <v>504</v>
      </c>
      <c r="B274" s="5" t="s">
        <v>123</v>
      </c>
      <c r="C274" s="5" t="s">
        <v>504</v>
      </c>
      <c r="D274" s="5" t="s">
        <v>505</v>
      </c>
      <c r="E274" s="5" t="s">
        <v>506</v>
      </c>
      <c r="F274" s="5" t="s">
        <v>1646</v>
      </c>
      <c r="G274" s="5" t="s">
        <v>55</v>
      </c>
      <c r="H274" s="5" t="s">
        <v>57</v>
      </c>
      <c r="I274" s="5" t="s">
        <v>265</v>
      </c>
    </row>
    <row r="275" spans="1:9" ht="150" x14ac:dyDescent="0.25">
      <c r="A275" s="5" t="s">
        <v>509</v>
      </c>
      <c r="B275" s="5" t="s">
        <v>10</v>
      </c>
      <c r="C275" s="5" t="s">
        <v>509</v>
      </c>
      <c r="D275" s="5" t="s">
        <v>510</v>
      </c>
      <c r="E275" s="5" t="s">
        <v>511</v>
      </c>
      <c r="F275" s="5" t="s">
        <v>512</v>
      </c>
      <c r="G275" s="5" t="s">
        <v>55</v>
      </c>
      <c r="H275" s="5" t="s">
        <v>57</v>
      </c>
      <c r="I275" s="5" t="s">
        <v>265</v>
      </c>
    </row>
    <row r="276" spans="1:9" ht="90" x14ac:dyDescent="0.25">
      <c r="A276" s="5" t="s">
        <v>515</v>
      </c>
      <c r="B276" s="5" t="s">
        <v>10</v>
      </c>
      <c r="C276" s="5" t="s">
        <v>515</v>
      </c>
      <c r="D276" s="5" t="s">
        <v>516</v>
      </c>
      <c r="E276" s="5" t="s">
        <v>174</v>
      </c>
      <c r="F276" s="5" t="s">
        <v>517</v>
      </c>
      <c r="G276" s="5" t="s">
        <v>55</v>
      </c>
      <c r="H276" s="5" t="s">
        <v>57</v>
      </c>
      <c r="I276" s="5" t="s">
        <v>265</v>
      </c>
    </row>
    <row r="277" spans="1:9" ht="90" x14ac:dyDescent="0.25">
      <c r="A277" s="5" t="s">
        <v>515</v>
      </c>
      <c r="B277" s="5" t="s">
        <v>123</v>
      </c>
      <c r="C277" s="5" t="s">
        <v>515</v>
      </c>
      <c r="D277" s="5" t="s">
        <v>516</v>
      </c>
      <c r="E277" s="5" t="s">
        <v>174</v>
      </c>
      <c r="F277" s="5" t="s">
        <v>517</v>
      </c>
      <c r="G277" s="5" t="s">
        <v>55</v>
      </c>
      <c r="H277" s="5" t="s">
        <v>57</v>
      </c>
      <c r="I277" s="5" t="s">
        <v>265</v>
      </c>
    </row>
    <row r="278" spans="1:9" ht="75" x14ac:dyDescent="0.25">
      <c r="A278" s="5" t="s">
        <v>519</v>
      </c>
      <c r="B278" s="5" t="s">
        <v>51</v>
      </c>
      <c r="C278" s="5" t="s">
        <v>519</v>
      </c>
      <c r="D278" s="5" t="s">
        <v>520</v>
      </c>
      <c r="E278" s="5" t="s">
        <v>1647</v>
      </c>
      <c r="F278" s="5" t="s">
        <v>522</v>
      </c>
      <c r="G278" s="5" t="s">
        <v>15</v>
      </c>
      <c r="H278" s="5" t="s">
        <v>57</v>
      </c>
      <c r="I278" s="5" t="s">
        <v>57</v>
      </c>
    </row>
    <row r="279" spans="1:9" ht="75" x14ac:dyDescent="0.25">
      <c r="A279" s="5" t="s">
        <v>524</v>
      </c>
      <c r="B279" s="5" t="s">
        <v>10</v>
      </c>
      <c r="C279" s="5" t="s">
        <v>524</v>
      </c>
      <c r="D279" s="5" t="s">
        <v>525</v>
      </c>
      <c r="E279" s="5" t="s">
        <v>526</v>
      </c>
      <c r="F279" s="5" t="s">
        <v>372</v>
      </c>
      <c r="G279" s="5" t="s">
        <v>55</v>
      </c>
      <c r="H279" s="5" t="s">
        <v>57</v>
      </c>
      <c r="I279" s="5" t="s">
        <v>265</v>
      </c>
    </row>
    <row r="280" spans="1:9" ht="75" x14ac:dyDescent="0.25">
      <c r="A280" s="5" t="s">
        <v>524</v>
      </c>
      <c r="B280" s="5" t="s">
        <v>123</v>
      </c>
      <c r="C280" s="5" t="s">
        <v>524</v>
      </c>
      <c r="D280" s="5" t="s">
        <v>525</v>
      </c>
      <c r="E280" s="5" t="s">
        <v>526</v>
      </c>
      <c r="F280" s="5" t="s">
        <v>372</v>
      </c>
      <c r="G280" s="5" t="s">
        <v>55</v>
      </c>
      <c r="H280" s="5" t="s">
        <v>57</v>
      </c>
      <c r="I280" s="5" t="s">
        <v>265</v>
      </c>
    </row>
    <row r="281" spans="1:9" ht="60" x14ac:dyDescent="0.25">
      <c r="A281" s="5" t="s">
        <v>530</v>
      </c>
      <c r="B281" s="5" t="s">
        <v>132</v>
      </c>
      <c r="C281" s="5" t="s">
        <v>530</v>
      </c>
      <c r="D281" s="5" t="s">
        <v>531</v>
      </c>
      <c r="E281" s="5" t="s">
        <v>532</v>
      </c>
      <c r="F281" s="5" t="s">
        <v>1648</v>
      </c>
      <c r="G281" s="5" t="s">
        <v>55</v>
      </c>
      <c r="H281" s="5" t="s">
        <v>57</v>
      </c>
      <c r="I281" s="5" t="s">
        <v>39</v>
      </c>
    </row>
    <row r="282" spans="1:9" ht="60" x14ac:dyDescent="0.25">
      <c r="A282" s="5" t="s">
        <v>1649</v>
      </c>
      <c r="B282" s="5" t="s">
        <v>1428</v>
      </c>
      <c r="C282" s="5" t="s">
        <v>530</v>
      </c>
      <c r="D282" s="5" t="s">
        <v>531</v>
      </c>
      <c r="E282" s="5" t="s">
        <v>532</v>
      </c>
      <c r="F282" s="5" t="s">
        <v>1648</v>
      </c>
      <c r="G282" s="5" t="s">
        <v>55</v>
      </c>
      <c r="H282" s="5" t="s">
        <v>57</v>
      </c>
      <c r="I282" s="5" t="s">
        <v>661</v>
      </c>
    </row>
    <row r="283" spans="1:9" ht="75" x14ac:dyDescent="0.25">
      <c r="A283" s="5" t="s">
        <v>1650</v>
      </c>
      <c r="B283" s="5" t="s">
        <v>132</v>
      </c>
      <c r="C283" s="5" t="s">
        <v>530</v>
      </c>
      <c r="D283" s="5" t="s">
        <v>531</v>
      </c>
      <c r="E283" s="5" t="s">
        <v>532</v>
      </c>
      <c r="F283" s="5" t="s">
        <v>1651</v>
      </c>
      <c r="G283" s="5" t="s">
        <v>55</v>
      </c>
      <c r="H283" s="5" t="s">
        <v>57</v>
      </c>
      <c r="I283" s="5" t="s">
        <v>120</v>
      </c>
    </row>
    <row r="284" spans="1:9" ht="75" x14ac:dyDescent="0.25">
      <c r="A284" s="5" t="s">
        <v>1652</v>
      </c>
      <c r="B284" s="5" t="s">
        <v>1428</v>
      </c>
      <c r="C284" s="5" t="s">
        <v>530</v>
      </c>
      <c r="D284" s="5" t="s">
        <v>531</v>
      </c>
      <c r="E284" s="5" t="s">
        <v>532</v>
      </c>
      <c r="F284" s="5" t="s">
        <v>1651</v>
      </c>
      <c r="G284" s="5" t="s">
        <v>55</v>
      </c>
      <c r="H284" s="5" t="s">
        <v>57</v>
      </c>
      <c r="I284" s="5" t="s">
        <v>265</v>
      </c>
    </row>
    <row r="285" spans="1:9" ht="60" x14ac:dyDescent="0.25">
      <c r="A285" s="5" t="s">
        <v>1653</v>
      </c>
      <c r="B285" s="5" t="s">
        <v>1415</v>
      </c>
      <c r="C285" s="5" t="s">
        <v>530</v>
      </c>
      <c r="D285" s="5" t="s">
        <v>531</v>
      </c>
      <c r="E285" s="5" t="s">
        <v>1654</v>
      </c>
      <c r="F285" s="5" t="s">
        <v>1655</v>
      </c>
      <c r="G285" s="5" t="s">
        <v>15</v>
      </c>
      <c r="H285" s="5" t="s">
        <v>97</v>
      </c>
      <c r="I285" s="5" t="s">
        <v>56</v>
      </c>
    </row>
    <row r="286" spans="1:9" ht="60" x14ac:dyDescent="0.25">
      <c r="A286" s="5" t="s">
        <v>1653</v>
      </c>
      <c r="B286" s="5" t="s">
        <v>1418</v>
      </c>
      <c r="C286" s="5" t="s">
        <v>530</v>
      </c>
      <c r="D286" s="5" t="s">
        <v>531</v>
      </c>
      <c r="E286" s="5" t="s">
        <v>1654</v>
      </c>
      <c r="F286" s="5" t="s">
        <v>1655</v>
      </c>
      <c r="G286" s="5" t="s">
        <v>15</v>
      </c>
      <c r="H286" s="5" t="s">
        <v>97</v>
      </c>
      <c r="I286" s="5" t="s">
        <v>56</v>
      </c>
    </row>
    <row r="287" spans="1:9" ht="105" x14ac:dyDescent="0.25">
      <c r="A287" s="5" t="s">
        <v>1656</v>
      </c>
      <c r="B287" s="5" t="s">
        <v>10</v>
      </c>
      <c r="C287" s="5" t="s">
        <v>530</v>
      </c>
      <c r="D287" s="5" t="s">
        <v>531</v>
      </c>
      <c r="E287" s="5" t="s">
        <v>1654</v>
      </c>
      <c r="F287" s="5" t="s">
        <v>1657</v>
      </c>
      <c r="G287" s="5" t="s">
        <v>55</v>
      </c>
      <c r="H287" s="5" t="s">
        <v>57</v>
      </c>
      <c r="I287" s="5" t="s">
        <v>57</v>
      </c>
    </row>
    <row r="288" spans="1:9" ht="105" x14ac:dyDescent="0.25">
      <c r="A288" s="5" t="s">
        <v>1658</v>
      </c>
      <c r="B288" s="5" t="s">
        <v>123</v>
      </c>
      <c r="C288" s="5" t="s">
        <v>530</v>
      </c>
      <c r="D288" s="5" t="s">
        <v>531</v>
      </c>
      <c r="E288" s="5" t="s">
        <v>1654</v>
      </c>
      <c r="F288" s="5" t="s">
        <v>1657</v>
      </c>
      <c r="G288" s="5" t="s">
        <v>55</v>
      </c>
      <c r="H288" s="5" t="s">
        <v>57</v>
      </c>
      <c r="I288" s="5" t="s">
        <v>57</v>
      </c>
    </row>
    <row r="289" spans="1:9" ht="75" x14ac:dyDescent="0.25">
      <c r="A289" s="5" t="s">
        <v>1659</v>
      </c>
      <c r="B289" s="5" t="s">
        <v>10</v>
      </c>
      <c r="C289" s="5" t="s">
        <v>530</v>
      </c>
      <c r="D289" s="5" t="s">
        <v>531</v>
      </c>
      <c r="E289" s="5" t="s">
        <v>1654</v>
      </c>
      <c r="F289" s="5" t="s">
        <v>1660</v>
      </c>
      <c r="G289" s="5" t="s">
        <v>55</v>
      </c>
      <c r="H289" s="5" t="s">
        <v>57</v>
      </c>
      <c r="I289" s="5" t="s">
        <v>56</v>
      </c>
    </row>
    <row r="290" spans="1:9" ht="60" x14ac:dyDescent="0.25">
      <c r="A290" s="5" t="s">
        <v>1661</v>
      </c>
      <c r="B290" s="5" t="s">
        <v>10</v>
      </c>
      <c r="C290" s="5" t="s">
        <v>530</v>
      </c>
      <c r="D290" s="5" t="s">
        <v>531</v>
      </c>
      <c r="E290" s="5" t="s">
        <v>532</v>
      </c>
      <c r="F290" s="5" t="s">
        <v>1655</v>
      </c>
      <c r="G290" s="5" t="s">
        <v>55</v>
      </c>
      <c r="H290" s="5" t="s">
        <v>57</v>
      </c>
      <c r="I290" s="5" t="s">
        <v>56</v>
      </c>
    </row>
    <row r="291" spans="1:9" ht="45" x14ac:dyDescent="0.25">
      <c r="A291" s="5" t="s">
        <v>537</v>
      </c>
      <c r="B291" s="5" t="s">
        <v>10</v>
      </c>
      <c r="C291" s="5" t="s">
        <v>537</v>
      </c>
      <c r="D291" s="5" t="s">
        <v>538</v>
      </c>
      <c r="E291" s="5" t="s">
        <v>1662</v>
      </c>
      <c r="F291" s="5" t="s">
        <v>540</v>
      </c>
      <c r="G291" s="5" t="s">
        <v>55</v>
      </c>
      <c r="H291" s="5" t="s">
        <v>57</v>
      </c>
      <c r="I291" s="5" t="s">
        <v>120</v>
      </c>
    </row>
    <row r="292" spans="1:9" ht="45" x14ac:dyDescent="0.25">
      <c r="A292" s="5" t="s">
        <v>537</v>
      </c>
      <c r="B292" s="5" t="s">
        <v>123</v>
      </c>
      <c r="C292" s="5" t="s">
        <v>537</v>
      </c>
      <c r="D292" s="5" t="s">
        <v>538</v>
      </c>
      <c r="E292" s="5" t="s">
        <v>1662</v>
      </c>
      <c r="F292" s="5" t="s">
        <v>540</v>
      </c>
      <c r="G292" s="5" t="s">
        <v>55</v>
      </c>
      <c r="H292" s="5" t="s">
        <v>57</v>
      </c>
      <c r="I292" s="5" t="s">
        <v>120</v>
      </c>
    </row>
    <row r="293" spans="1:9" ht="90" x14ac:dyDescent="0.25">
      <c r="A293" s="5" t="s">
        <v>543</v>
      </c>
      <c r="B293" s="5" t="s">
        <v>10</v>
      </c>
      <c r="C293" s="5" t="s">
        <v>543</v>
      </c>
      <c r="D293" s="5" t="s">
        <v>544</v>
      </c>
      <c r="E293" s="5" t="s">
        <v>526</v>
      </c>
      <c r="F293" s="5" t="s">
        <v>545</v>
      </c>
      <c r="G293" s="5" t="s">
        <v>55</v>
      </c>
      <c r="H293" s="5" t="s">
        <v>57</v>
      </c>
      <c r="I293" s="5" t="s">
        <v>265</v>
      </c>
    </row>
    <row r="294" spans="1:9" ht="90" x14ac:dyDescent="0.25">
      <c r="A294" s="5" t="s">
        <v>543</v>
      </c>
      <c r="B294" s="5" t="s">
        <v>123</v>
      </c>
      <c r="C294" s="5" t="s">
        <v>543</v>
      </c>
      <c r="D294" s="5" t="s">
        <v>544</v>
      </c>
      <c r="E294" s="5" t="s">
        <v>526</v>
      </c>
      <c r="F294" s="5" t="s">
        <v>545</v>
      </c>
      <c r="G294" s="5" t="s">
        <v>55</v>
      </c>
      <c r="H294" s="5" t="s">
        <v>57</v>
      </c>
      <c r="I294" s="5" t="s">
        <v>265</v>
      </c>
    </row>
    <row r="295" spans="1:9" ht="75" x14ac:dyDescent="0.25">
      <c r="A295" s="5" t="s">
        <v>548</v>
      </c>
      <c r="B295" s="5" t="s">
        <v>10</v>
      </c>
      <c r="C295" s="5" t="s">
        <v>548</v>
      </c>
      <c r="D295" s="5" t="s">
        <v>549</v>
      </c>
      <c r="E295" s="5" t="s">
        <v>526</v>
      </c>
      <c r="F295" s="5" t="s">
        <v>550</v>
      </c>
      <c r="G295" s="5" t="s">
        <v>55</v>
      </c>
      <c r="H295" s="5" t="s">
        <v>57</v>
      </c>
      <c r="I295" s="5" t="s">
        <v>265</v>
      </c>
    </row>
    <row r="296" spans="1:9" ht="75" x14ac:dyDescent="0.25">
      <c r="A296" s="5" t="s">
        <v>548</v>
      </c>
      <c r="B296" s="5" t="s">
        <v>123</v>
      </c>
      <c r="C296" s="5" t="s">
        <v>548</v>
      </c>
      <c r="D296" s="5" t="s">
        <v>549</v>
      </c>
      <c r="E296" s="5" t="s">
        <v>526</v>
      </c>
      <c r="F296" s="5" t="s">
        <v>550</v>
      </c>
      <c r="G296" s="5" t="s">
        <v>55</v>
      </c>
      <c r="H296" s="5" t="s">
        <v>57</v>
      </c>
      <c r="I296" s="5" t="s">
        <v>265</v>
      </c>
    </row>
    <row r="297" spans="1:9" ht="105" x14ac:dyDescent="0.25">
      <c r="A297" s="5" t="s">
        <v>554</v>
      </c>
      <c r="B297" s="5" t="s">
        <v>51</v>
      </c>
      <c r="C297" s="5" t="s">
        <v>554</v>
      </c>
      <c r="D297" s="5" t="s">
        <v>555</v>
      </c>
      <c r="E297" s="5" t="s">
        <v>1492</v>
      </c>
      <c r="F297" s="5" t="s">
        <v>1663</v>
      </c>
      <c r="G297" s="5" t="s">
        <v>55</v>
      </c>
      <c r="H297" s="5" t="s">
        <v>57</v>
      </c>
      <c r="I297" s="5" t="s">
        <v>57</v>
      </c>
    </row>
    <row r="298" spans="1:9" ht="105" x14ac:dyDescent="0.25">
      <c r="A298" s="5" t="s">
        <v>1664</v>
      </c>
      <c r="B298" s="5" t="s">
        <v>132</v>
      </c>
      <c r="C298" s="5" t="s">
        <v>554</v>
      </c>
      <c r="D298" s="5" t="s">
        <v>555</v>
      </c>
      <c r="E298" s="5" t="s">
        <v>1500</v>
      </c>
      <c r="F298" s="5" t="s">
        <v>1663</v>
      </c>
      <c r="G298" s="5" t="s">
        <v>15</v>
      </c>
      <c r="H298" s="5" t="s">
        <v>120</v>
      </c>
      <c r="I298" s="5" t="s">
        <v>697</v>
      </c>
    </row>
    <row r="299" spans="1:9" ht="105" x14ac:dyDescent="0.25">
      <c r="A299" s="5" t="s">
        <v>1665</v>
      </c>
      <c r="B299" s="5" t="s">
        <v>132</v>
      </c>
      <c r="C299" s="5" t="s">
        <v>554</v>
      </c>
      <c r="D299" s="5" t="s">
        <v>555</v>
      </c>
      <c r="E299" s="5" t="s">
        <v>57</v>
      </c>
      <c r="F299" s="5" t="s">
        <v>1663</v>
      </c>
      <c r="G299" s="5" t="s">
        <v>55</v>
      </c>
      <c r="H299" s="5" t="s">
        <v>97</v>
      </c>
      <c r="I299" s="5" t="s">
        <v>57</v>
      </c>
    </row>
    <row r="300" spans="1:9" ht="135" x14ac:dyDescent="0.25">
      <c r="A300" s="5" t="s">
        <v>1666</v>
      </c>
      <c r="B300" s="5" t="s">
        <v>132</v>
      </c>
      <c r="C300" s="5" t="s">
        <v>554</v>
      </c>
      <c r="D300" s="5" t="s">
        <v>555</v>
      </c>
      <c r="E300" s="5" t="s">
        <v>1495</v>
      </c>
      <c r="F300" s="5" t="s">
        <v>1667</v>
      </c>
      <c r="G300" s="5" t="s">
        <v>55</v>
      </c>
      <c r="H300" s="5" t="s">
        <v>57</v>
      </c>
      <c r="I300" s="5" t="s">
        <v>120</v>
      </c>
    </row>
    <row r="301" spans="1:9" ht="135" x14ac:dyDescent="0.25">
      <c r="A301" s="5" t="s">
        <v>1666</v>
      </c>
      <c r="B301" s="5" t="s">
        <v>1408</v>
      </c>
      <c r="C301" s="5" t="s">
        <v>554</v>
      </c>
      <c r="D301" s="5" t="s">
        <v>555</v>
      </c>
      <c r="E301" s="5" t="s">
        <v>1495</v>
      </c>
      <c r="F301" s="5" t="s">
        <v>1667</v>
      </c>
      <c r="G301" s="5" t="s">
        <v>55</v>
      </c>
      <c r="H301" s="5" t="s">
        <v>57</v>
      </c>
      <c r="I301" s="5" t="s">
        <v>120</v>
      </c>
    </row>
    <row r="302" spans="1:9" ht="30" x14ac:dyDescent="0.25">
      <c r="A302" s="5" t="s">
        <v>1668</v>
      </c>
      <c r="B302" s="5" t="s">
        <v>132</v>
      </c>
      <c r="C302" s="5" t="s">
        <v>554</v>
      </c>
      <c r="D302" s="5" t="s">
        <v>555</v>
      </c>
      <c r="E302" s="5" t="s">
        <v>1495</v>
      </c>
      <c r="F302" s="5" t="s">
        <v>1669</v>
      </c>
      <c r="G302" s="5" t="s">
        <v>55</v>
      </c>
      <c r="H302" s="5" t="s">
        <v>57</v>
      </c>
      <c r="I302" s="5" t="s">
        <v>120</v>
      </c>
    </row>
    <row r="303" spans="1:9" ht="60" x14ac:dyDescent="0.25">
      <c r="A303" s="5" t="s">
        <v>1670</v>
      </c>
      <c r="B303" s="5" t="s">
        <v>132</v>
      </c>
      <c r="C303" s="5" t="s">
        <v>561</v>
      </c>
      <c r="D303" s="5" t="s">
        <v>562</v>
      </c>
      <c r="E303" s="5" t="s">
        <v>1607</v>
      </c>
      <c r="F303" s="5" t="s">
        <v>563</v>
      </c>
      <c r="G303" s="5" t="s">
        <v>15</v>
      </c>
      <c r="H303" s="5" t="s">
        <v>265</v>
      </c>
      <c r="I303" s="5" t="s">
        <v>120</v>
      </c>
    </row>
    <row r="304" spans="1:9" ht="45" x14ac:dyDescent="0.25">
      <c r="A304" s="5" t="s">
        <v>561</v>
      </c>
      <c r="B304" s="5" t="s">
        <v>132</v>
      </c>
      <c r="C304" s="5" t="s">
        <v>561</v>
      </c>
      <c r="D304" s="5" t="s">
        <v>562</v>
      </c>
      <c r="E304" s="5" t="s">
        <v>1607</v>
      </c>
      <c r="F304" s="5" t="s">
        <v>1671</v>
      </c>
      <c r="G304" s="5" t="s">
        <v>15</v>
      </c>
      <c r="H304" s="5" t="s">
        <v>97</v>
      </c>
      <c r="I304" s="5" t="s">
        <v>120</v>
      </c>
    </row>
    <row r="305" spans="1:9" ht="60" x14ac:dyDescent="0.25">
      <c r="A305" s="5" t="s">
        <v>1672</v>
      </c>
      <c r="B305" s="5" t="s">
        <v>132</v>
      </c>
      <c r="C305" s="5" t="s">
        <v>561</v>
      </c>
      <c r="D305" s="5" t="s">
        <v>562</v>
      </c>
      <c r="E305" s="5" t="s">
        <v>1607</v>
      </c>
      <c r="F305" s="5" t="s">
        <v>1673</v>
      </c>
      <c r="G305" s="5" t="s">
        <v>15</v>
      </c>
      <c r="H305" s="5" t="s">
        <v>120</v>
      </c>
      <c r="I305" s="5" t="s">
        <v>120</v>
      </c>
    </row>
    <row r="306" spans="1:9" ht="75" x14ac:dyDescent="0.25">
      <c r="A306" s="5" t="s">
        <v>566</v>
      </c>
      <c r="B306" s="5" t="s">
        <v>10</v>
      </c>
      <c r="C306" s="5" t="s">
        <v>566</v>
      </c>
      <c r="D306" s="5" t="s">
        <v>567</v>
      </c>
      <c r="E306" s="5" t="s">
        <v>174</v>
      </c>
      <c r="F306" s="5" t="s">
        <v>1674</v>
      </c>
      <c r="G306" s="5" t="s">
        <v>55</v>
      </c>
      <c r="H306" s="5" t="s">
        <v>57</v>
      </c>
      <c r="I306" s="5" t="s">
        <v>265</v>
      </c>
    </row>
    <row r="307" spans="1:9" ht="75" x14ac:dyDescent="0.25">
      <c r="A307" s="5" t="s">
        <v>571</v>
      </c>
      <c r="B307" s="5" t="s">
        <v>10</v>
      </c>
      <c r="C307" s="5" t="s">
        <v>571</v>
      </c>
      <c r="D307" s="5" t="s">
        <v>567</v>
      </c>
      <c r="E307" s="5" t="s">
        <v>174</v>
      </c>
      <c r="F307" s="5" t="s">
        <v>1615</v>
      </c>
      <c r="G307" s="5" t="s">
        <v>55</v>
      </c>
      <c r="H307" s="5" t="s">
        <v>57</v>
      </c>
      <c r="I307" s="5" t="s">
        <v>265</v>
      </c>
    </row>
    <row r="308" spans="1:9" ht="75" x14ac:dyDescent="0.25">
      <c r="A308" s="5" t="s">
        <v>571</v>
      </c>
      <c r="B308" s="5" t="s">
        <v>123</v>
      </c>
      <c r="C308" s="5" t="s">
        <v>571</v>
      </c>
      <c r="D308" s="5" t="s">
        <v>567</v>
      </c>
      <c r="E308" s="5" t="s">
        <v>174</v>
      </c>
      <c r="F308" s="5" t="s">
        <v>1615</v>
      </c>
      <c r="G308" s="5" t="s">
        <v>55</v>
      </c>
      <c r="H308" s="5" t="s">
        <v>57</v>
      </c>
      <c r="I308" s="5" t="s">
        <v>265</v>
      </c>
    </row>
    <row r="309" spans="1:9" ht="45" x14ac:dyDescent="0.25">
      <c r="A309" s="5" t="s">
        <v>573</v>
      </c>
      <c r="B309" s="5" t="s">
        <v>10</v>
      </c>
      <c r="C309" s="5" t="s">
        <v>573</v>
      </c>
      <c r="D309" s="5" t="s">
        <v>567</v>
      </c>
      <c r="E309" s="5" t="s">
        <v>174</v>
      </c>
      <c r="F309" s="5" t="s">
        <v>380</v>
      </c>
      <c r="G309" s="5" t="s">
        <v>15</v>
      </c>
      <c r="H309" s="5" t="s">
        <v>57</v>
      </c>
      <c r="I309" s="5" t="s">
        <v>265</v>
      </c>
    </row>
    <row r="310" spans="1:9" ht="105" x14ac:dyDescent="0.25">
      <c r="A310" s="5" t="s">
        <v>575</v>
      </c>
      <c r="B310" s="5" t="s">
        <v>10</v>
      </c>
      <c r="C310" s="5" t="s">
        <v>575</v>
      </c>
      <c r="D310" s="5" t="s">
        <v>567</v>
      </c>
      <c r="E310" s="5" t="s">
        <v>174</v>
      </c>
      <c r="F310" s="5" t="s">
        <v>1675</v>
      </c>
      <c r="G310" s="5" t="s">
        <v>15</v>
      </c>
      <c r="H310" s="5" t="s">
        <v>57</v>
      </c>
      <c r="I310" s="5" t="s">
        <v>265</v>
      </c>
    </row>
    <row r="311" spans="1:9" ht="90" x14ac:dyDescent="0.25">
      <c r="A311" s="5" t="s">
        <v>579</v>
      </c>
      <c r="B311" s="5" t="s">
        <v>10</v>
      </c>
      <c r="C311" s="5" t="s">
        <v>579</v>
      </c>
      <c r="D311" s="5" t="s">
        <v>567</v>
      </c>
      <c r="E311" s="5" t="s">
        <v>174</v>
      </c>
      <c r="F311" s="5" t="s">
        <v>580</v>
      </c>
      <c r="G311" s="5" t="s">
        <v>55</v>
      </c>
      <c r="H311" s="5" t="s">
        <v>57</v>
      </c>
      <c r="I311" s="5" t="s">
        <v>265</v>
      </c>
    </row>
    <row r="312" spans="1:9" ht="90" x14ac:dyDescent="0.25">
      <c r="A312" s="5" t="s">
        <v>579</v>
      </c>
      <c r="B312" s="5" t="s">
        <v>123</v>
      </c>
      <c r="C312" s="5" t="s">
        <v>579</v>
      </c>
      <c r="D312" s="5" t="s">
        <v>567</v>
      </c>
      <c r="E312" s="5" t="s">
        <v>174</v>
      </c>
      <c r="F312" s="5" t="s">
        <v>580</v>
      </c>
      <c r="G312" s="5" t="s">
        <v>55</v>
      </c>
      <c r="H312" s="5" t="s">
        <v>57</v>
      </c>
      <c r="I312" s="5" t="s">
        <v>265</v>
      </c>
    </row>
    <row r="313" spans="1:9" ht="75" x14ac:dyDescent="0.25">
      <c r="A313" s="5" t="s">
        <v>583</v>
      </c>
      <c r="B313" s="5" t="s">
        <v>10</v>
      </c>
      <c r="C313" s="5" t="s">
        <v>583</v>
      </c>
      <c r="D313" s="5" t="s">
        <v>567</v>
      </c>
      <c r="E313" s="5" t="s">
        <v>174</v>
      </c>
      <c r="F313" s="5" t="s">
        <v>1676</v>
      </c>
      <c r="G313" s="5" t="s">
        <v>55</v>
      </c>
      <c r="H313" s="5" t="s">
        <v>57</v>
      </c>
      <c r="I313" s="5" t="s">
        <v>265</v>
      </c>
    </row>
    <row r="314" spans="1:9" ht="75" x14ac:dyDescent="0.25">
      <c r="A314" s="5" t="s">
        <v>583</v>
      </c>
      <c r="B314" s="5" t="s">
        <v>123</v>
      </c>
      <c r="C314" s="5" t="s">
        <v>583</v>
      </c>
      <c r="D314" s="5" t="s">
        <v>567</v>
      </c>
      <c r="E314" s="5" t="s">
        <v>174</v>
      </c>
      <c r="F314" s="5" t="s">
        <v>1676</v>
      </c>
      <c r="G314" s="5" t="s">
        <v>55</v>
      </c>
      <c r="H314" s="5" t="s">
        <v>57</v>
      </c>
      <c r="I314" s="5" t="s">
        <v>265</v>
      </c>
    </row>
    <row r="315" spans="1:9" ht="75" x14ac:dyDescent="0.25">
      <c r="A315" s="5" t="s">
        <v>587</v>
      </c>
      <c r="B315" s="5" t="s">
        <v>10</v>
      </c>
      <c r="C315" s="5" t="s">
        <v>587</v>
      </c>
      <c r="D315" s="5" t="s">
        <v>567</v>
      </c>
      <c r="E315" s="5" t="s">
        <v>174</v>
      </c>
      <c r="F315" s="5" t="s">
        <v>1677</v>
      </c>
      <c r="G315" s="5" t="s">
        <v>55</v>
      </c>
      <c r="H315" s="5" t="s">
        <v>57</v>
      </c>
      <c r="I315" s="5" t="s">
        <v>265</v>
      </c>
    </row>
    <row r="316" spans="1:9" ht="75" x14ac:dyDescent="0.25">
      <c r="A316" s="5" t="s">
        <v>587</v>
      </c>
      <c r="B316" s="5" t="s">
        <v>123</v>
      </c>
      <c r="C316" s="5" t="s">
        <v>587</v>
      </c>
      <c r="D316" s="5" t="s">
        <v>567</v>
      </c>
      <c r="E316" s="5" t="s">
        <v>174</v>
      </c>
      <c r="F316" s="5" t="s">
        <v>1677</v>
      </c>
      <c r="G316" s="5" t="s">
        <v>55</v>
      </c>
      <c r="H316" s="5" t="s">
        <v>57</v>
      </c>
      <c r="I316" s="5" t="s">
        <v>265</v>
      </c>
    </row>
    <row r="317" spans="1:9" ht="75" x14ac:dyDescent="0.25">
      <c r="A317" s="5" t="s">
        <v>591</v>
      </c>
      <c r="B317" s="5" t="s">
        <v>10</v>
      </c>
      <c r="C317" s="5" t="s">
        <v>591</v>
      </c>
      <c r="D317" s="5" t="s">
        <v>567</v>
      </c>
      <c r="E317" s="5" t="s">
        <v>174</v>
      </c>
      <c r="F317" s="5" t="s">
        <v>350</v>
      </c>
      <c r="G317" s="5" t="s">
        <v>55</v>
      </c>
      <c r="H317" s="5" t="s">
        <v>57</v>
      </c>
      <c r="I317" s="5" t="s">
        <v>265</v>
      </c>
    </row>
    <row r="318" spans="1:9" ht="75" x14ac:dyDescent="0.25">
      <c r="A318" s="5" t="s">
        <v>591</v>
      </c>
      <c r="B318" s="5" t="s">
        <v>123</v>
      </c>
      <c r="C318" s="5" t="s">
        <v>591</v>
      </c>
      <c r="D318" s="5" t="s">
        <v>567</v>
      </c>
      <c r="E318" s="5" t="s">
        <v>174</v>
      </c>
      <c r="F318" s="5" t="s">
        <v>350</v>
      </c>
      <c r="G318" s="5" t="s">
        <v>55</v>
      </c>
      <c r="H318" s="5" t="s">
        <v>57</v>
      </c>
      <c r="I318" s="5" t="s">
        <v>265</v>
      </c>
    </row>
    <row r="319" spans="1:9" ht="105" x14ac:dyDescent="0.25">
      <c r="A319" s="5" t="s">
        <v>594</v>
      </c>
      <c r="B319" s="5" t="s">
        <v>10</v>
      </c>
      <c r="C319" s="5" t="s">
        <v>594</v>
      </c>
      <c r="D319" s="5" t="s">
        <v>567</v>
      </c>
      <c r="E319" s="5" t="s">
        <v>174</v>
      </c>
      <c r="F319" s="5" t="s">
        <v>595</v>
      </c>
      <c r="G319" s="5" t="s">
        <v>55</v>
      </c>
      <c r="H319" s="5" t="s">
        <v>57</v>
      </c>
      <c r="I319" s="5" t="s">
        <v>265</v>
      </c>
    </row>
    <row r="320" spans="1:9" ht="105" x14ac:dyDescent="0.25">
      <c r="A320" s="5" t="s">
        <v>594</v>
      </c>
      <c r="B320" s="5" t="s">
        <v>123</v>
      </c>
      <c r="C320" s="5" t="s">
        <v>594</v>
      </c>
      <c r="D320" s="5" t="s">
        <v>567</v>
      </c>
      <c r="E320" s="5" t="s">
        <v>174</v>
      </c>
      <c r="F320" s="5" t="s">
        <v>595</v>
      </c>
      <c r="G320" s="5" t="s">
        <v>55</v>
      </c>
      <c r="H320" s="5" t="s">
        <v>57</v>
      </c>
      <c r="I320" s="5" t="s">
        <v>265</v>
      </c>
    </row>
    <row r="321" spans="1:9" ht="45" x14ac:dyDescent="0.25">
      <c r="A321" s="5" t="s">
        <v>598</v>
      </c>
      <c r="B321" s="5" t="s">
        <v>10</v>
      </c>
      <c r="C321" s="5" t="s">
        <v>598</v>
      </c>
      <c r="D321" s="5" t="s">
        <v>567</v>
      </c>
      <c r="E321" s="5" t="s">
        <v>174</v>
      </c>
      <c r="F321" s="5" t="s">
        <v>1678</v>
      </c>
      <c r="G321" s="5" t="s">
        <v>55</v>
      </c>
      <c r="H321" s="5" t="s">
        <v>57</v>
      </c>
      <c r="I321" s="5" t="s">
        <v>265</v>
      </c>
    </row>
    <row r="322" spans="1:9" ht="45" x14ac:dyDescent="0.25">
      <c r="A322" s="5" t="s">
        <v>598</v>
      </c>
      <c r="B322" s="5" t="s">
        <v>123</v>
      </c>
      <c r="C322" s="5" t="s">
        <v>598</v>
      </c>
      <c r="D322" s="5" t="s">
        <v>567</v>
      </c>
      <c r="E322" s="5" t="s">
        <v>174</v>
      </c>
      <c r="F322" s="5" t="s">
        <v>1678</v>
      </c>
      <c r="G322" s="5" t="s">
        <v>55</v>
      </c>
      <c r="H322" s="5" t="s">
        <v>57</v>
      </c>
      <c r="I322" s="5" t="s">
        <v>265</v>
      </c>
    </row>
    <row r="323" spans="1:9" ht="45" x14ac:dyDescent="0.25">
      <c r="A323" s="5" t="s">
        <v>602</v>
      </c>
      <c r="B323" s="5" t="s">
        <v>10</v>
      </c>
      <c r="C323" s="5" t="s">
        <v>602</v>
      </c>
      <c r="D323" s="5" t="s">
        <v>567</v>
      </c>
      <c r="E323" s="5" t="s">
        <v>174</v>
      </c>
      <c r="F323" s="5" t="s">
        <v>603</v>
      </c>
      <c r="G323" s="5" t="s">
        <v>55</v>
      </c>
      <c r="H323" s="5" t="s">
        <v>57</v>
      </c>
      <c r="I323" s="5" t="s">
        <v>265</v>
      </c>
    </row>
    <row r="324" spans="1:9" ht="45" x14ac:dyDescent="0.25">
      <c r="A324" s="5" t="s">
        <v>602</v>
      </c>
      <c r="B324" s="5" t="s">
        <v>123</v>
      </c>
      <c r="C324" s="5" t="s">
        <v>602</v>
      </c>
      <c r="D324" s="5" t="s">
        <v>567</v>
      </c>
      <c r="E324" s="5" t="s">
        <v>174</v>
      </c>
      <c r="F324" s="5" t="s">
        <v>603</v>
      </c>
      <c r="G324" s="5" t="s">
        <v>55</v>
      </c>
      <c r="H324" s="5" t="s">
        <v>57</v>
      </c>
      <c r="I324" s="5" t="s">
        <v>265</v>
      </c>
    </row>
    <row r="325" spans="1:9" ht="45" x14ac:dyDescent="0.25">
      <c r="A325" s="5" t="s">
        <v>606</v>
      </c>
      <c r="B325" s="5" t="s">
        <v>10</v>
      </c>
      <c r="C325" s="5" t="s">
        <v>606</v>
      </c>
      <c r="D325" s="5" t="s">
        <v>567</v>
      </c>
      <c r="E325" s="5" t="s">
        <v>174</v>
      </c>
      <c r="F325" s="5" t="s">
        <v>380</v>
      </c>
      <c r="G325" s="5" t="s">
        <v>55</v>
      </c>
      <c r="H325" s="5" t="s">
        <v>57</v>
      </c>
      <c r="I325" s="5" t="s">
        <v>265</v>
      </c>
    </row>
    <row r="326" spans="1:9" ht="45" x14ac:dyDescent="0.25">
      <c r="A326" s="5" t="s">
        <v>606</v>
      </c>
      <c r="B326" s="5" t="s">
        <v>123</v>
      </c>
      <c r="C326" s="5" t="s">
        <v>606</v>
      </c>
      <c r="D326" s="5" t="s">
        <v>567</v>
      </c>
      <c r="E326" s="5" t="s">
        <v>174</v>
      </c>
      <c r="F326" s="5" t="s">
        <v>380</v>
      </c>
      <c r="G326" s="5" t="s">
        <v>55</v>
      </c>
      <c r="H326" s="5" t="s">
        <v>57</v>
      </c>
      <c r="I326" s="5" t="s">
        <v>265</v>
      </c>
    </row>
    <row r="327" spans="1:9" ht="90" x14ac:dyDescent="0.25">
      <c r="A327" s="5" t="s">
        <v>609</v>
      </c>
      <c r="B327" s="5" t="s">
        <v>10</v>
      </c>
      <c r="C327" s="5" t="s">
        <v>609</v>
      </c>
      <c r="D327" s="5" t="s">
        <v>567</v>
      </c>
      <c r="E327" s="5" t="s">
        <v>174</v>
      </c>
      <c r="F327" s="5" t="s">
        <v>580</v>
      </c>
      <c r="G327" s="5" t="s">
        <v>55</v>
      </c>
      <c r="H327" s="5" t="s">
        <v>57</v>
      </c>
      <c r="I327" s="5" t="s">
        <v>265</v>
      </c>
    </row>
    <row r="328" spans="1:9" ht="90" x14ac:dyDescent="0.25">
      <c r="A328" s="5" t="s">
        <v>609</v>
      </c>
      <c r="B328" s="5" t="s">
        <v>123</v>
      </c>
      <c r="C328" s="5" t="s">
        <v>609</v>
      </c>
      <c r="D328" s="5" t="s">
        <v>567</v>
      </c>
      <c r="E328" s="5" t="s">
        <v>174</v>
      </c>
      <c r="F328" s="5" t="s">
        <v>580</v>
      </c>
      <c r="G328" s="5" t="s">
        <v>55</v>
      </c>
      <c r="H328" s="5" t="s">
        <v>57</v>
      </c>
      <c r="I328" s="5" t="s">
        <v>265</v>
      </c>
    </row>
    <row r="329" spans="1:9" ht="90" x14ac:dyDescent="0.25">
      <c r="A329" s="5" t="s">
        <v>612</v>
      </c>
      <c r="B329" s="5" t="s">
        <v>10</v>
      </c>
      <c r="C329" s="5" t="s">
        <v>612</v>
      </c>
      <c r="D329" s="5" t="s">
        <v>567</v>
      </c>
      <c r="E329" s="5" t="s">
        <v>174</v>
      </c>
      <c r="F329" s="5" t="s">
        <v>1679</v>
      </c>
      <c r="G329" s="5" t="s">
        <v>55</v>
      </c>
      <c r="H329" s="5" t="s">
        <v>57</v>
      </c>
      <c r="I329" s="5" t="s">
        <v>265</v>
      </c>
    </row>
    <row r="330" spans="1:9" ht="90" x14ac:dyDescent="0.25">
      <c r="A330" s="5" t="s">
        <v>612</v>
      </c>
      <c r="B330" s="5" t="s">
        <v>123</v>
      </c>
      <c r="C330" s="5" t="s">
        <v>612</v>
      </c>
      <c r="D330" s="5" t="s">
        <v>567</v>
      </c>
      <c r="E330" s="5" t="s">
        <v>174</v>
      </c>
      <c r="F330" s="5" t="s">
        <v>1679</v>
      </c>
      <c r="G330" s="5" t="s">
        <v>55</v>
      </c>
      <c r="H330" s="5" t="s">
        <v>57</v>
      </c>
      <c r="I330" s="5" t="s">
        <v>265</v>
      </c>
    </row>
    <row r="331" spans="1:9" ht="90" x14ac:dyDescent="0.25">
      <c r="A331" s="5" t="s">
        <v>615</v>
      </c>
      <c r="B331" s="5" t="s">
        <v>10</v>
      </c>
      <c r="C331" s="5" t="s">
        <v>615</v>
      </c>
      <c r="D331" s="5" t="s">
        <v>567</v>
      </c>
      <c r="E331" s="5" t="s">
        <v>174</v>
      </c>
      <c r="F331" s="5" t="s">
        <v>616</v>
      </c>
      <c r="G331" s="5" t="s">
        <v>15</v>
      </c>
      <c r="H331" s="5" t="s">
        <v>57</v>
      </c>
      <c r="I331" s="5" t="s">
        <v>265</v>
      </c>
    </row>
    <row r="332" spans="1:9" ht="105" x14ac:dyDescent="0.25">
      <c r="A332" s="5" t="s">
        <v>618</v>
      </c>
      <c r="B332" s="5" t="s">
        <v>10</v>
      </c>
      <c r="C332" s="5" t="s">
        <v>618</v>
      </c>
      <c r="D332" s="5" t="s">
        <v>567</v>
      </c>
      <c r="E332" s="5" t="s">
        <v>174</v>
      </c>
      <c r="F332" s="5" t="s">
        <v>619</v>
      </c>
      <c r="G332" s="5" t="s">
        <v>15</v>
      </c>
      <c r="H332" s="5" t="s">
        <v>57</v>
      </c>
      <c r="I332" s="5" t="s">
        <v>265</v>
      </c>
    </row>
    <row r="333" spans="1:9" ht="105" x14ac:dyDescent="0.25">
      <c r="A333" s="5" t="s">
        <v>622</v>
      </c>
      <c r="B333" s="5" t="s">
        <v>10</v>
      </c>
      <c r="C333" s="5" t="s">
        <v>622</v>
      </c>
      <c r="D333" s="5" t="s">
        <v>623</v>
      </c>
      <c r="E333" s="5" t="s">
        <v>1680</v>
      </c>
      <c r="F333" s="5" t="s">
        <v>1681</v>
      </c>
      <c r="G333" s="5" t="s">
        <v>55</v>
      </c>
      <c r="H333" s="5" t="s">
        <v>57</v>
      </c>
      <c r="I333" s="5" t="s">
        <v>265</v>
      </c>
    </row>
    <row r="334" spans="1:9" ht="105" x14ac:dyDescent="0.25">
      <c r="A334" s="5" t="s">
        <v>622</v>
      </c>
      <c r="B334" s="5" t="s">
        <v>123</v>
      </c>
      <c r="C334" s="5" t="s">
        <v>622</v>
      </c>
      <c r="D334" s="5" t="s">
        <v>623</v>
      </c>
      <c r="E334" s="5" t="s">
        <v>1680</v>
      </c>
      <c r="F334" s="5" t="s">
        <v>1681</v>
      </c>
      <c r="G334" s="5" t="s">
        <v>55</v>
      </c>
      <c r="H334" s="5" t="s">
        <v>57</v>
      </c>
      <c r="I334" s="5" t="s">
        <v>265</v>
      </c>
    </row>
    <row r="335" spans="1:9" ht="75" x14ac:dyDescent="0.25">
      <c r="A335" s="5" t="s">
        <v>629</v>
      </c>
      <c r="B335" s="5" t="s">
        <v>51</v>
      </c>
      <c r="C335" s="5" t="s">
        <v>629</v>
      </c>
      <c r="D335" s="5" t="s">
        <v>630</v>
      </c>
      <c r="E335" s="5" t="s">
        <v>1492</v>
      </c>
      <c r="F335" s="5" t="s">
        <v>1682</v>
      </c>
      <c r="G335" s="5" t="s">
        <v>55</v>
      </c>
      <c r="H335" s="5" t="s">
        <v>57</v>
      </c>
      <c r="I335" s="5" t="s">
        <v>57</v>
      </c>
    </row>
    <row r="336" spans="1:9" ht="75" x14ac:dyDescent="0.25">
      <c r="A336" s="5" t="s">
        <v>1683</v>
      </c>
      <c r="B336" s="5" t="s">
        <v>132</v>
      </c>
      <c r="C336" s="5" t="s">
        <v>629</v>
      </c>
      <c r="D336" s="5" t="s">
        <v>630</v>
      </c>
      <c r="E336" s="5" t="s">
        <v>1500</v>
      </c>
      <c r="F336" s="5" t="s">
        <v>1682</v>
      </c>
      <c r="G336" s="5" t="s">
        <v>15</v>
      </c>
      <c r="H336" s="5" t="s">
        <v>265</v>
      </c>
      <c r="I336" s="5" t="s">
        <v>39</v>
      </c>
    </row>
    <row r="337" spans="1:9" ht="75" x14ac:dyDescent="0.25">
      <c r="A337" s="5" t="s">
        <v>1684</v>
      </c>
      <c r="B337" s="5" t="s">
        <v>132</v>
      </c>
      <c r="C337" s="5" t="s">
        <v>629</v>
      </c>
      <c r="D337" s="5" t="s">
        <v>630</v>
      </c>
      <c r="E337" s="5" t="s">
        <v>1495</v>
      </c>
      <c r="F337" s="5" t="s">
        <v>1682</v>
      </c>
      <c r="G337" s="5" t="s">
        <v>55</v>
      </c>
      <c r="H337" s="5" t="s">
        <v>57</v>
      </c>
      <c r="I337" s="5" t="s">
        <v>120</v>
      </c>
    </row>
    <row r="338" spans="1:9" ht="75" x14ac:dyDescent="0.25">
      <c r="A338" s="5" t="s">
        <v>1684</v>
      </c>
      <c r="B338" s="5" t="s">
        <v>1408</v>
      </c>
      <c r="C338" s="5" t="s">
        <v>629</v>
      </c>
      <c r="D338" s="5" t="s">
        <v>630</v>
      </c>
      <c r="E338" s="5" t="s">
        <v>1495</v>
      </c>
      <c r="F338" s="5" t="s">
        <v>1682</v>
      </c>
      <c r="G338" s="5" t="s">
        <v>55</v>
      </c>
      <c r="H338" s="5" t="s">
        <v>57</v>
      </c>
      <c r="I338" s="5" t="s">
        <v>120</v>
      </c>
    </row>
    <row r="339" spans="1:9" ht="75" x14ac:dyDescent="0.25">
      <c r="A339" s="5" t="s">
        <v>1685</v>
      </c>
      <c r="B339" s="5" t="s">
        <v>132</v>
      </c>
      <c r="C339" s="5" t="s">
        <v>629</v>
      </c>
      <c r="D339" s="5" t="s">
        <v>630</v>
      </c>
      <c r="E339" s="5" t="s">
        <v>57</v>
      </c>
      <c r="F339" s="5" t="s">
        <v>1682</v>
      </c>
      <c r="G339" s="5" t="s">
        <v>55</v>
      </c>
      <c r="H339" s="5" t="s">
        <v>97</v>
      </c>
      <c r="I339" s="5" t="s">
        <v>57</v>
      </c>
    </row>
    <row r="340" spans="1:9" ht="75" x14ac:dyDescent="0.25">
      <c r="A340" s="5" t="s">
        <v>1686</v>
      </c>
      <c r="B340" s="5" t="s">
        <v>132</v>
      </c>
      <c r="C340" s="5" t="s">
        <v>629</v>
      </c>
      <c r="D340" s="5" t="s">
        <v>630</v>
      </c>
      <c r="E340" s="5" t="s">
        <v>1495</v>
      </c>
      <c r="F340" s="5" t="s">
        <v>1687</v>
      </c>
      <c r="G340" s="5" t="s">
        <v>55</v>
      </c>
      <c r="H340" s="5" t="s">
        <v>57</v>
      </c>
      <c r="I340" s="5" t="s">
        <v>76</v>
      </c>
    </row>
    <row r="341" spans="1:9" ht="75" x14ac:dyDescent="0.25">
      <c r="A341" s="5" t="s">
        <v>1688</v>
      </c>
      <c r="B341" s="5" t="s">
        <v>10</v>
      </c>
      <c r="C341" s="5" t="s">
        <v>629</v>
      </c>
      <c r="D341" s="5" t="s">
        <v>630</v>
      </c>
      <c r="E341" s="5" t="s">
        <v>1507</v>
      </c>
      <c r="F341" s="5" t="s">
        <v>1682</v>
      </c>
      <c r="G341" s="5" t="s">
        <v>55</v>
      </c>
      <c r="H341" s="5" t="s">
        <v>57</v>
      </c>
      <c r="I341" s="5" t="s">
        <v>120</v>
      </c>
    </row>
    <row r="342" spans="1:9" ht="60" x14ac:dyDescent="0.25">
      <c r="A342" s="5" t="s">
        <v>635</v>
      </c>
      <c r="B342" s="5" t="s">
        <v>10</v>
      </c>
      <c r="C342" s="5" t="s">
        <v>635</v>
      </c>
      <c r="D342" s="5" t="s">
        <v>623</v>
      </c>
      <c r="E342" s="5" t="s">
        <v>1680</v>
      </c>
      <c r="F342" s="5" t="s">
        <v>636</v>
      </c>
      <c r="G342" s="5" t="s">
        <v>55</v>
      </c>
      <c r="H342" s="5" t="s">
        <v>57</v>
      </c>
      <c r="I342" s="5" t="s">
        <v>265</v>
      </c>
    </row>
    <row r="343" spans="1:9" ht="60" x14ac:dyDescent="0.25">
      <c r="A343" s="5" t="s">
        <v>635</v>
      </c>
      <c r="B343" s="5" t="s">
        <v>123</v>
      </c>
      <c r="C343" s="5" t="s">
        <v>635</v>
      </c>
      <c r="D343" s="5" t="s">
        <v>623</v>
      </c>
      <c r="E343" s="5" t="s">
        <v>1680</v>
      </c>
      <c r="F343" s="5" t="s">
        <v>636</v>
      </c>
      <c r="G343" s="5" t="s">
        <v>55</v>
      </c>
      <c r="H343" s="5" t="s">
        <v>57</v>
      </c>
      <c r="I343" s="5" t="s">
        <v>265</v>
      </c>
    </row>
    <row r="344" spans="1:9" ht="90" x14ac:dyDescent="0.25">
      <c r="A344" s="5" t="s">
        <v>639</v>
      </c>
      <c r="B344" s="5" t="s">
        <v>10</v>
      </c>
      <c r="C344" s="5" t="s">
        <v>639</v>
      </c>
      <c r="D344" s="5" t="s">
        <v>640</v>
      </c>
      <c r="E344" s="5" t="s">
        <v>174</v>
      </c>
      <c r="F344" s="5" t="s">
        <v>641</v>
      </c>
      <c r="G344" s="5" t="s">
        <v>55</v>
      </c>
      <c r="H344" s="5" t="s">
        <v>57</v>
      </c>
      <c r="I344" s="5" t="s">
        <v>265</v>
      </c>
    </row>
    <row r="345" spans="1:9" ht="90" x14ac:dyDescent="0.25">
      <c r="A345" s="5" t="s">
        <v>639</v>
      </c>
      <c r="B345" s="5" t="s">
        <v>123</v>
      </c>
      <c r="C345" s="5" t="s">
        <v>639</v>
      </c>
      <c r="D345" s="5" t="s">
        <v>640</v>
      </c>
      <c r="E345" s="5" t="s">
        <v>174</v>
      </c>
      <c r="F345" s="5" t="s">
        <v>641</v>
      </c>
      <c r="G345" s="5" t="s">
        <v>55</v>
      </c>
      <c r="H345" s="5" t="s">
        <v>57</v>
      </c>
      <c r="I345" s="5" t="s">
        <v>265</v>
      </c>
    </row>
    <row r="346" spans="1:9" ht="90" x14ac:dyDescent="0.25">
      <c r="A346" s="5" t="s">
        <v>644</v>
      </c>
      <c r="B346" s="5" t="s">
        <v>10</v>
      </c>
      <c r="C346" s="5" t="s">
        <v>644</v>
      </c>
      <c r="D346" s="5" t="s">
        <v>640</v>
      </c>
      <c r="E346" s="5" t="s">
        <v>174</v>
      </c>
      <c r="F346" s="5" t="s">
        <v>641</v>
      </c>
      <c r="G346" s="5" t="s">
        <v>55</v>
      </c>
      <c r="H346" s="5" t="s">
        <v>57</v>
      </c>
      <c r="I346" s="5" t="s">
        <v>265</v>
      </c>
    </row>
    <row r="347" spans="1:9" ht="90" x14ac:dyDescent="0.25">
      <c r="A347" s="5" t="s">
        <v>644</v>
      </c>
      <c r="B347" s="5" t="s">
        <v>123</v>
      </c>
      <c r="C347" s="5" t="s">
        <v>644</v>
      </c>
      <c r="D347" s="5" t="s">
        <v>640</v>
      </c>
      <c r="E347" s="5" t="s">
        <v>174</v>
      </c>
      <c r="F347" s="5" t="s">
        <v>641</v>
      </c>
      <c r="G347" s="5" t="s">
        <v>55</v>
      </c>
      <c r="H347" s="5" t="s">
        <v>57</v>
      </c>
      <c r="I347" s="5" t="s">
        <v>265</v>
      </c>
    </row>
    <row r="348" spans="1:9" ht="90" x14ac:dyDescent="0.25">
      <c r="A348" s="5" t="s">
        <v>648</v>
      </c>
      <c r="B348" s="5" t="s">
        <v>51</v>
      </c>
      <c r="C348" s="5" t="s">
        <v>648</v>
      </c>
      <c r="D348" s="5" t="s">
        <v>649</v>
      </c>
      <c r="E348" s="5" t="s">
        <v>1689</v>
      </c>
      <c r="F348" s="5" t="s">
        <v>1690</v>
      </c>
      <c r="G348" s="5" t="s">
        <v>55</v>
      </c>
      <c r="H348" s="5" t="s">
        <v>57</v>
      </c>
      <c r="I348" s="5" t="s">
        <v>57</v>
      </c>
    </row>
    <row r="349" spans="1:9" ht="90" x14ac:dyDescent="0.25">
      <c r="A349" s="5" t="s">
        <v>1691</v>
      </c>
      <c r="B349" s="5" t="s">
        <v>132</v>
      </c>
      <c r="C349" s="5" t="s">
        <v>648</v>
      </c>
      <c r="D349" s="5" t="s">
        <v>649</v>
      </c>
      <c r="E349" s="5" t="s">
        <v>1500</v>
      </c>
      <c r="F349" s="5" t="s">
        <v>1692</v>
      </c>
      <c r="G349" s="5" t="s">
        <v>55</v>
      </c>
      <c r="H349" s="5" t="s">
        <v>57</v>
      </c>
      <c r="I349" s="5" t="s">
        <v>265</v>
      </c>
    </row>
    <row r="350" spans="1:9" ht="90" x14ac:dyDescent="0.25">
      <c r="A350" s="5" t="s">
        <v>1693</v>
      </c>
      <c r="B350" s="5" t="s">
        <v>132</v>
      </c>
      <c r="C350" s="5" t="s">
        <v>648</v>
      </c>
      <c r="D350" s="5" t="s">
        <v>649</v>
      </c>
      <c r="E350" s="5" t="s">
        <v>1500</v>
      </c>
      <c r="F350" s="5" t="s">
        <v>1692</v>
      </c>
      <c r="G350" s="5" t="s">
        <v>15</v>
      </c>
      <c r="H350" s="5" t="s">
        <v>265</v>
      </c>
      <c r="I350" s="5" t="s">
        <v>120</v>
      </c>
    </row>
    <row r="351" spans="1:9" ht="90" x14ac:dyDescent="0.25">
      <c r="A351" s="5" t="s">
        <v>1694</v>
      </c>
      <c r="B351" s="5" t="s">
        <v>132</v>
      </c>
      <c r="C351" s="5" t="s">
        <v>648</v>
      </c>
      <c r="D351" s="5" t="s">
        <v>649</v>
      </c>
      <c r="E351" s="5" t="s">
        <v>1495</v>
      </c>
      <c r="F351" s="5" t="s">
        <v>1695</v>
      </c>
      <c r="G351" s="5" t="s">
        <v>55</v>
      </c>
      <c r="H351" s="5" t="s">
        <v>97</v>
      </c>
      <c r="I351" s="5" t="s">
        <v>57</v>
      </c>
    </row>
    <row r="352" spans="1:9" ht="90" x14ac:dyDescent="0.25">
      <c r="A352" s="5" t="s">
        <v>1694</v>
      </c>
      <c r="B352" s="5" t="s">
        <v>1415</v>
      </c>
      <c r="C352" s="5" t="s">
        <v>648</v>
      </c>
      <c r="D352" s="5" t="s">
        <v>649</v>
      </c>
      <c r="E352" s="5" t="s">
        <v>1495</v>
      </c>
      <c r="F352" s="5" t="s">
        <v>1695</v>
      </c>
      <c r="G352" s="5" t="s">
        <v>55</v>
      </c>
      <c r="H352" s="5" t="s">
        <v>97</v>
      </c>
      <c r="I352" s="5" t="s">
        <v>57</v>
      </c>
    </row>
    <row r="353" spans="1:9" ht="90" x14ac:dyDescent="0.25">
      <c r="A353" s="5" t="s">
        <v>1696</v>
      </c>
      <c r="B353" s="5" t="s">
        <v>132</v>
      </c>
      <c r="C353" s="5" t="s">
        <v>648</v>
      </c>
      <c r="D353" s="5" t="s">
        <v>649</v>
      </c>
      <c r="E353" s="5" t="s">
        <v>1505</v>
      </c>
      <c r="F353" s="5" t="s">
        <v>1692</v>
      </c>
      <c r="G353" s="5" t="s">
        <v>55</v>
      </c>
      <c r="H353" s="5" t="s">
        <v>57</v>
      </c>
      <c r="I353" s="5" t="s">
        <v>57</v>
      </c>
    </row>
    <row r="354" spans="1:9" ht="90" x14ac:dyDescent="0.25">
      <c r="A354" s="5" t="s">
        <v>1696</v>
      </c>
      <c r="B354" s="5" t="s">
        <v>1428</v>
      </c>
      <c r="C354" s="5" t="s">
        <v>648</v>
      </c>
      <c r="D354" s="5" t="s">
        <v>649</v>
      </c>
      <c r="E354" s="5" t="s">
        <v>1505</v>
      </c>
      <c r="F354" s="5" t="s">
        <v>1692</v>
      </c>
      <c r="G354" s="5" t="s">
        <v>55</v>
      </c>
      <c r="H354" s="5" t="s">
        <v>57</v>
      </c>
      <c r="I354" s="5" t="s">
        <v>57</v>
      </c>
    </row>
    <row r="355" spans="1:9" ht="90" x14ac:dyDescent="0.25">
      <c r="A355" s="5" t="s">
        <v>1697</v>
      </c>
      <c r="B355" s="5" t="s">
        <v>132</v>
      </c>
      <c r="C355" s="5" t="s">
        <v>648</v>
      </c>
      <c r="D355" s="5" t="s">
        <v>649</v>
      </c>
      <c r="E355" s="5" t="s">
        <v>57</v>
      </c>
      <c r="F355" s="5" t="s">
        <v>1692</v>
      </c>
      <c r="G355" s="5" t="s">
        <v>55</v>
      </c>
      <c r="H355" s="5" t="s">
        <v>97</v>
      </c>
      <c r="I355" s="5" t="s">
        <v>57</v>
      </c>
    </row>
    <row r="356" spans="1:9" ht="90" x14ac:dyDescent="0.25">
      <c r="A356" s="5" t="s">
        <v>1698</v>
      </c>
      <c r="B356" s="5" t="s">
        <v>132</v>
      </c>
      <c r="C356" s="5" t="s">
        <v>648</v>
      </c>
      <c r="D356" s="5" t="s">
        <v>649</v>
      </c>
      <c r="E356" s="5" t="s">
        <v>1495</v>
      </c>
      <c r="F356" s="5" t="s">
        <v>1692</v>
      </c>
      <c r="G356" s="5" t="s">
        <v>55</v>
      </c>
      <c r="H356" s="5" t="s">
        <v>57</v>
      </c>
      <c r="I356" s="5" t="s">
        <v>265</v>
      </c>
    </row>
    <row r="357" spans="1:9" ht="90" x14ac:dyDescent="0.25">
      <c r="A357" s="5" t="s">
        <v>1698</v>
      </c>
      <c r="B357" s="5" t="s">
        <v>1408</v>
      </c>
      <c r="C357" s="5" t="s">
        <v>648</v>
      </c>
      <c r="D357" s="5" t="s">
        <v>649</v>
      </c>
      <c r="E357" s="5" t="s">
        <v>1495</v>
      </c>
      <c r="F357" s="5" t="s">
        <v>1692</v>
      </c>
      <c r="G357" s="5" t="s">
        <v>55</v>
      </c>
      <c r="H357" s="5" t="s">
        <v>57</v>
      </c>
      <c r="I357" s="5" t="s">
        <v>265</v>
      </c>
    </row>
    <row r="358" spans="1:9" ht="150" x14ac:dyDescent="0.25">
      <c r="A358" s="5" t="s">
        <v>1699</v>
      </c>
      <c r="B358" s="5" t="s">
        <v>132</v>
      </c>
      <c r="C358" s="5" t="s">
        <v>648</v>
      </c>
      <c r="D358" s="5" t="s">
        <v>649</v>
      </c>
      <c r="E358" s="5" t="s">
        <v>1495</v>
      </c>
      <c r="F358" s="5" t="s">
        <v>1700</v>
      </c>
      <c r="G358" s="5" t="s">
        <v>55</v>
      </c>
      <c r="H358" s="5" t="s">
        <v>57</v>
      </c>
      <c r="I358" s="5" t="s">
        <v>120</v>
      </c>
    </row>
    <row r="359" spans="1:9" ht="150" x14ac:dyDescent="0.25">
      <c r="A359" s="5" t="s">
        <v>1701</v>
      </c>
      <c r="B359" s="5" t="s">
        <v>1428</v>
      </c>
      <c r="C359" s="5" t="s">
        <v>648</v>
      </c>
      <c r="D359" s="5" t="s">
        <v>649</v>
      </c>
      <c r="E359" s="5" t="s">
        <v>1495</v>
      </c>
      <c r="F359" s="5" t="s">
        <v>1700</v>
      </c>
      <c r="G359" s="5" t="s">
        <v>55</v>
      </c>
      <c r="H359" s="5" t="s">
        <v>57</v>
      </c>
      <c r="I359" s="5" t="s">
        <v>265</v>
      </c>
    </row>
    <row r="360" spans="1:9" ht="45" x14ac:dyDescent="0.25">
      <c r="A360" s="5" t="s">
        <v>1702</v>
      </c>
      <c r="B360" s="5" t="s">
        <v>10</v>
      </c>
      <c r="C360" s="5" t="s">
        <v>648</v>
      </c>
      <c r="D360" s="5" t="s">
        <v>649</v>
      </c>
      <c r="E360" s="5" t="s">
        <v>1505</v>
      </c>
      <c r="F360" s="5" t="s">
        <v>1703</v>
      </c>
      <c r="G360" s="5" t="s">
        <v>55</v>
      </c>
      <c r="H360" s="5" t="s">
        <v>97</v>
      </c>
      <c r="I360" s="5" t="s">
        <v>57</v>
      </c>
    </row>
    <row r="361" spans="1:9" ht="90" x14ac:dyDescent="0.25">
      <c r="A361" s="5" t="s">
        <v>1704</v>
      </c>
      <c r="B361" s="5" t="s">
        <v>10</v>
      </c>
      <c r="C361" s="5" t="s">
        <v>648</v>
      </c>
      <c r="D361" s="5" t="s">
        <v>649</v>
      </c>
      <c r="E361" s="5" t="s">
        <v>1507</v>
      </c>
      <c r="F361" s="5" t="s">
        <v>1692</v>
      </c>
      <c r="G361" s="5" t="s">
        <v>55</v>
      </c>
      <c r="H361" s="5" t="s">
        <v>57</v>
      </c>
      <c r="I361" s="5" t="s">
        <v>265</v>
      </c>
    </row>
    <row r="362" spans="1:9" ht="105" x14ac:dyDescent="0.25">
      <c r="A362" s="5" t="s">
        <v>654</v>
      </c>
      <c r="B362" s="5" t="s">
        <v>10</v>
      </c>
      <c r="C362" s="5" t="s">
        <v>654</v>
      </c>
      <c r="D362" s="5" t="s">
        <v>655</v>
      </c>
      <c r="E362" s="5" t="s">
        <v>500</v>
      </c>
      <c r="F362" s="5" t="s">
        <v>1705</v>
      </c>
      <c r="G362" s="5" t="s">
        <v>55</v>
      </c>
      <c r="H362" s="5" t="s">
        <v>57</v>
      </c>
      <c r="I362" s="5" t="s">
        <v>265</v>
      </c>
    </row>
    <row r="363" spans="1:9" ht="105" x14ac:dyDescent="0.25">
      <c r="A363" s="5" t="s">
        <v>654</v>
      </c>
      <c r="B363" s="5" t="s">
        <v>123</v>
      </c>
      <c r="C363" s="5" t="s">
        <v>654</v>
      </c>
      <c r="D363" s="5" t="s">
        <v>655</v>
      </c>
      <c r="E363" s="5" t="s">
        <v>500</v>
      </c>
      <c r="F363" s="5" t="s">
        <v>1705</v>
      </c>
      <c r="G363" s="5" t="s">
        <v>55</v>
      </c>
      <c r="H363" s="5" t="s">
        <v>57</v>
      </c>
      <c r="I363" s="5" t="s">
        <v>265</v>
      </c>
    </row>
    <row r="364" spans="1:9" ht="90" x14ac:dyDescent="0.25">
      <c r="A364" s="5" t="s">
        <v>659</v>
      </c>
      <c r="B364" s="5" t="s">
        <v>10</v>
      </c>
      <c r="C364" s="5" t="s">
        <v>659</v>
      </c>
      <c r="D364" s="5" t="s">
        <v>660</v>
      </c>
      <c r="E364" s="5" t="s">
        <v>500</v>
      </c>
      <c r="F364" s="5" t="s">
        <v>209</v>
      </c>
      <c r="G364" s="5" t="s">
        <v>55</v>
      </c>
      <c r="H364" s="5" t="s">
        <v>57</v>
      </c>
      <c r="I364" s="5" t="s">
        <v>39</v>
      </c>
    </row>
    <row r="365" spans="1:9" ht="90" x14ac:dyDescent="0.25">
      <c r="A365" s="5" t="s">
        <v>659</v>
      </c>
      <c r="B365" s="5" t="s">
        <v>123</v>
      </c>
      <c r="C365" s="5" t="s">
        <v>659</v>
      </c>
      <c r="D365" s="5" t="s">
        <v>660</v>
      </c>
      <c r="E365" s="5" t="s">
        <v>500</v>
      </c>
      <c r="F365" s="5" t="s">
        <v>209</v>
      </c>
      <c r="G365" s="5" t="s">
        <v>55</v>
      </c>
      <c r="H365" s="5" t="s">
        <v>57</v>
      </c>
      <c r="I365" s="5" t="s">
        <v>39</v>
      </c>
    </row>
    <row r="366" spans="1:9" ht="210" x14ac:dyDescent="0.25">
      <c r="A366" s="5" t="s">
        <v>665</v>
      </c>
      <c r="B366" s="5" t="s">
        <v>132</v>
      </c>
      <c r="C366" s="5" t="s">
        <v>665</v>
      </c>
      <c r="D366" s="5" t="s">
        <v>666</v>
      </c>
      <c r="E366" s="5" t="s">
        <v>1706</v>
      </c>
      <c r="F366" s="5" t="s">
        <v>1707</v>
      </c>
      <c r="G366" s="5" t="s">
        <v>15</v>
      </c>
      <c r="H366" s="5" t="s">
        <v>661</v>
      </c>
      <c r="I366" s="5" t="s">
        <v>265</v>
      </c>
    </row>
    <row r="367" spans="1:9" ht="210" x14ac:dyDescent="0.25">
      <c r="A367" s="5" t="s">
        <v>1708</v>
      </c>
      <c r="B367" s="5" t="s">
        <v>132</v>
      </c>
      <c r="C367" s="5" t="s">
        <v>665</v>
      </c>
      <c r="D367" s="5" t="s">
        <v>666</v>
      </c>
      <c r="E367" s="5" t="s">
        <v>1706</v>
      </c>
      <c r="F367" s="5" t="s">
        <v>1709</v>
      </c>
      <c r="G367" s="5" t="s">
        <v>55</v>
      </c>
      <c r="H367" s="5" t="s">
        <v>97</v>
      </c>
      <c r="I367" s="5" t="s">
        <v>57</v>
      </c>
    </row>
    <row r="368" spans="1:9" ht="210" x14ac:dyDescent="0.25">
      <c r="A368" s="5" t="s">
        <v>1708</v>
      </c>
      <c r="B368" s="5" t="s">
        <v>1415</v>
      </c>
      <c r="C368" s="5" t="s">
        <v>665</v>
      </c>
      <c r="D368" s="5" t="s">
        <v>666</v>
      </c>
      <c r="E368" s="5" t="s">
        <v>1706</v>
      </c>
      <c r="F368" s="5" t="s">
        <v>1709</v>
      </c>
      <c r="G368" s="5" t="s">
        <v>55</v>
      </c>
      <c r="H368" s="5" t="s">
        <v>97</v>
      </c>
      <c r="I368" s="5" t="s">
        <v>57</v>
      </c>
    </row>
    <row r="369" spans="1:9" ht="210" x14ac:dyDescent="0.25">
      <c r="A369" s="5" t="s">
        <v>1710</v>
      </c>
      <c r="B369" s="5" t="s">
        <v>132</v>
      </c>
      <c r="C369" s="5" t="s">
        <v>665</v>
      </c>
      <c r="D369" s="5" t="s">
        <v>666</v>
      </c>
      <c r="E369" s="5" t="s">
        <v>1706</v>
      </c>
      <c r="F369" s="5" t="s">
        <v>1707</v>
      </c>
      <c r="G369" s="5" t="s">
        <v>55</v>
      </c>
      <c r="H369" s="5" t="s">
        <v>97</v>
      </c>
      <c r="I369" s="5" t="s">
        <v>57</v>
      </c>
    </row>
    <row r="370" spans="1:9" ht="60" x14ac:dyDescent="0.25">
      <c r="A370" s="5" t="s">
        <v>1711</v>
      </c>
      <c r="B370" s="5" t="s">
        <v>132</v>
      </c>
      <c r="C370" s="5" t="s">
        <v>665</v>
      </c>
      <c r="D370" s="5" t="s">
        <v>666</v>
      </c>
      <c r="E370" s="5" t="s">
        <v>1706</v>
      </c>
      <c r="F370" s="5" t="s">
        <v>1712</v>
      </c>
      <c r="G370" s="5" t="s">
        <v>55</v>
      </c>
      <c r="H370" s="5" t="s">
        <v>57</v>
      </c>
      <c r="I370" s="5" t="s">
        <v>120</v>
      </c>
    </row>
    <row r="371" spans="1:9" ht="105" x14ac:dyDescent="0.25">
      <c r="A371" s="5" t="s">
        <v>1713</v>
      </c>
      <c r="B371" s="5" t="s">
        <v>10</v>
      </c>
      <c r="C371" s="5" t="s">
        <v>665</v>
      </c>
      <c r="D371" s="5" t="s">
        <v>666</v>
      </c>
      <c r="E371" s="5" t="s">
        <v>1706</v>
      </c>
      <c r="F371" s="5" t="s">
        <v>1714</v>
      </c>
      <c r="G371" s="5" t="s">
        <v>55</v>
      </c>
      <c r="H371" s="5" t="s">
        <v>57</v>
      </c>
      <c r="I371" s="5" t="s">
        <v>120</v>
      </c>
    </row>
    <row r="372" spans="1:9" ht="210" x14ac:dyDescent="0.25">
      <c r="A372" s="5" t="s">
        <v>1715</v>
      </c>
      <c r="B372" s="5" t="s">
        <v>10</v>
      </c>
      <c r="C372" s="5" t="s">
        <v>665</v>
      </c>
      <c r="D372" s="5" t="s">
        <v>666</v>
      </c>
      <c r="E372" s="5" t="s">
        <v>1716</v>
      </c>
      <c r="F372" s="5" t="s">
        <v>1707</v>
      </c>
      <c r="G372" s="5" t="s">
        <v>55</v>
      </c>
      <c r="H372" s="5" t="s">
        <v>57</v>
      </c>
      <c r="I372" s="5" t="s">
        <v>265</v>
      </c>
    </row>
    <row r="373" spans="1:9" ht="150" x14ac:dyDescent="0.25">
      <c r="A373" s="5" t="s">
        <v>1717</v>
      </c>
      <c r="B373" s="5" t="s">
        <v>10</v>
      </c>
      <c r="C373" s="5" t="s">
        <v>665</v>
      </c>
      <c r="D373" s="5" t="s">
        <v>666</v>
      </c>
      <c r="E373" s="5" t="s">
        <v>1718</v>
      </c>
      <c r="F373" s="5" t="s">
        <v>1719</v>
      </c>
      <c r="G373" s="5" t="s">
        <v>55</v>
      </c>
      <c r="H373" s="5" t="s">
        <v>57</v>
      </c>
      <c r="I373" s="5" t="s">
        <v>265</v>
      </c>
    </row>
    <row r="374" spans="1:9" ht="30" x14ac:dyDescent="0.25">
      <c r="A374" s="5" t="s">
        <v>672</v>
      </c>
      <c r="B374" s="5" t="s">
        <v>10</v>
      </c>
      <c r="C374" s="5" t="s">
        <v>672</v>
      </c>
      <c r="D374" s="5" t="s">
        <v>673</v>
      </c>
      <c r="E374" s="5" t="s">
        <v>174</v>
      </c>
      <c r="F374" s="5" t="s">
        <v>674</v>
      </c>
      <c r="G374" s="5" t="s">
        <v>55</v>
      </c>
      <c r="H374" s="5" t="s">
        <v>57</v>
      </c>
      <c r="I374" s="5" t="s">
        <v>265</v>
      </c>
    </row>
    <row r="375" spans="1:9" ht="30" x14ac:dyDescent="0.25">
      <c r="A375" s="5" t="s">
        <v>672</v>
      </c>
      <c r="B375" s="5" t="s">
        <v>123</v>
      </c>
      <c r="C375" s="5" t="s">
        <v>672</v>
      </c>
      <c r="D375" s="5" t="s">
        <v>673</v>
      </c>
      <c r="E375" s="5" t="s">
        <v>174</v>
      </c>
      <c r="F375" s="5" t="s">
        <v>674</v>
      </c>
      <c r="G375" s="5" t="s">
        <v>55</v>
      </c>
      <c r="H375" s="5" t="s">
        <v>57</v>
      </c>
      <c r="I375" s="5" t="s">
        <v>265</v>
      </c>
    </row>
    <row r="376" spans="1:9" x14ac:dyDescent="0.25">
      <c r="A376" s="5" t="s">
        <v>676</v>
      </c>
      <c r="B376" s="5" t="s">
        <v>10</v>
      </c>
      <c r="C376" s="5" t="s">
        <v>676</v>
      </c>
      <c r="D376" s="5" t="s">
        <v>677</v>
      </c>
      <c r="E376" s="5" t="s">
        <v>678</v>
      </c>
      <c r="F376" s="5" t="s">
        <v>225</v>
      </c>
      <c r="G376" s="5" t="s">
        <v>15</v>
      </c>
      <c r="H376" s="5" t="s">
        <v>57</v>
      </c>
      <c r="I376" s="5" t="s">
        <v>265</v>
      </c>
    </row>
    <row r="377" spans="1:9" ht="75" x14ac:dyDescent="0.25">
      <c r="A377" s="5" t="s">
        <v>681</v>
      </c>
      <c r="B377" s="5" t="s">
        <v>10</v>
      </c>
      <c r="C377" s="5" t="s">
        <v>681</v>
      </c>
      <c r="D377" s="5" t="s">
        <v>682</v>
      </c>
      <c r="E377" s="5" t="s">
        <v>174</v>
      </c>
      <c r="F377" s="5" t="s">
        <v>683</v>
      </c>
      <c r="G377" s="5" t="s">
        <v>55</v>
      </c>
      <c r="H377" s="5" t="s">
        <v>57</v>
      </c>
      <c r="I377" s="5" t="s">
        <v>265</v>
      </c>
    </row>
    <row r="378" spans="1:9" ht="75" x14ac:dyDescent="0.25">
      <c r="A378" s="5" t="s">
        <v>681</v>
      </c>
      <c r="B378" s="5" t="s">
        <v>123</v>
      </c>
      <c r="C378" s="5" t="s">
        <v>681</v>
      </c>
      <c r="D378" s="5" t="s">
        <v>682</v>
      </c>
      <c r="E378" s="5" t="s">
        <v>174</v>
      </c>
      <c r="F378" s="5" t="s">
        <v>683</v>
      </c>
      <c r="G378" s="5" t="s">
        <v>55</v>
      </c>
      <c r="H378" s="5" t="s">
        <v>57</v>
      </c>
      <c r="I378" s="5" t="s">
        <v>265</v>
      </c>
    </row>
    <row r="379" spans="1:9" ht="270" x14ac:dyDescent="0.25">
      <c r="A379" s="5" t="s">
        <v>687</v>
      </c>
      <c r="B379" s="5" t="s">
        <v>132</v>
      </c>
      <c r="C379" s="5" t="s">
        <v>687</v>
      </c>
      <c r="D379" s="5" t="s">
        <v>688</v>
      </c>
      <c r="E379" s="5" t="s">
        <v>689</v>
      </c>
      <c r="F379" s="5" t="s">
        <v>1720</v>
      </c>
      <c r="G379" s="5" t="s">
        <v>55</v>
      </c>
      <c r="H379" s="5" t="s">
        <v>57</v>
      </c>
      <c r="I379" s="5" t="s">
        <v>39</v>
      </c>
    </row>
    <row r="380" spans="1:9" ht="270" x14ac:dyDescent="0.25">
      <c r="A380" s="5" t="s">
        <v>1721</v>
      </c>
      <c r="B380" s="5" t="s">
        <v>1428</v>
      </c>
      <c r="C380" s="5" t="s">
        <v>687</v>
      </c>
      <c r="D380" s="5" t="s">
        <v>688</v>
      </c>
      <c r="E380" s="5" t="s">
        <v>689</v>
      </c>
      <c r="F380" s="5" t="s">
        <v>1720</v>
      </c>
      <c r="G380" s="5" t="s">
        <v>55</v>
      </c>
      <c r="H380" s="5" t="s">
        <v>57</v>
      </c>
      <c r="I380" s="5" t="s">
        <v>265</v>
      </c>
    </row>
    <row r="381" spans="1:9" ht="120" x14ac:dyDescent="0.25">
      <c r="A381" s="5" t="s">
        <v>1722</v>
      </c>
      <c r="B381" s="5" t="s">
        <v>132</v>
      </c>
      <c r="C381" s="5" t="s">
        <v>687</v>
      </c>
      <c r="D381" s="5" t="s">
        <v>688</v>
      </c>
      <c r="E381" s="5" t="s">
        <v>1723</v>
      </c>
      <c r="F381" s="5" t="s">
        <v>1724</v>
      </c>
      <c r="G381" s="5" t="s">
        <v>55</v>
      </c>
      <c r="H381" s="5" t="s">
        <v>57</v>
      </c>
      <c r="I381" s="5" t="s">
        <v>39</v>
      </c>
    </row>
    <row r="382" spans="1:9" ht="120" x14ac:dyDescent="0.25">
      <c r="A382" s="5" t="s">
        <v>1725</v>
      </c>
      <c r="B382" s="5" t="s">
        <v>132</v>
      </c>
      <c r="C382" s="5" t="s">
        <v>687</v>
      </c>
      <c r="D382" s="5" t="s">
        <v>688</v>
      </c>
      <c r="E382" s="5" t="s">
        <v>1723</v>
      </c>
      <c r="F382" s="5" t="s">
        <v>1724</v>
      </c>
      <c r="G382" s="5" t="s">
        <v>15</v>
      </c>
      <c r="H382" s="5" t="s">
        <v>97</v>
      </c>
      <c r="I382" s="5" t="s">
        <v>39</v>
      </c>
    </row>
    <row r="383" spans="1:9" ht="270" x14ac:dyDescent="0.25">
      <c r="A383" s="5" t="s">
        <v>1726</v>
      </c>
      <c r="B383" s="5" t="s">
        <v>132</v>
      </c>
      <c r="C383" s="5" t="s">
        <v>687</v>
      </c>
      <c r="D383" s="5" t="s">
        <v>688</v>
      </c>
      <c r="E383" s="5" t="s">
        <v>1723</v>
      </c>
      <c r="F383" s="5" t="s">
        <v>1727</v>
      </c>
      <c r="G383" s="5" t="s">
        <v>55</v>
      </c>
      <c r="H383" s="5" t="s">
        <v>57</v>
      </c>
      <c r="I383" s="5" t="s">
        <v>39</v>
      </c>
    </row>
    <row r="384" spans="1:9" ht="270" x14ac:dyDescent="0.25">
      <c r="A384" s="5" t="s">
        <v>1728</v>
      </c>
      <c r="B384" s="5" t="s">
        <v>1428</v>
      </c>
      <c r="C384" s="5" t="s">
        <v>687</v>
      </c>
      <c r="D384" s="5" t="s">
        <v>688</v>
      </c>
      <c r="E384" s="5" t="s">
        <v>1723</v>
      </c>
      <c r="F384" s="5" t="s">
        <v>1727</v>
      </c>
      <c r="G384" s="5" t="s">
        <v>55</v>
      </c>
      <c r="H384" s="5" t="s">
        <v>57</v>
      </c>
      <c r="I384" s="5" t="s">
        <v>120</v>
      </c>
    </row>
    <row r="385" spans="1:9" ht="120" x14ac:dyDescent="0.25">
      <c r="A385" s="5" t="s">
        <v>1729</v>
      </c>
      <c r="B385" s="5" t="s">
        <v>132</v>
      </c>
      <c r="C385" s="5" t="s">
        <v>687</v>
      </c>
      <c r="D385" s="5" t="s">
        <v>688</v>
      </c>
      <c r="E385" s="5" t="s">
        <v>1723</v>
      </c>
      <c r="F385" s="5" t="s">
        <v>1730</v>
      </c>
      <c r="G385" s="5" t="s">
        <v>55</v>
      </c>
      <c r="H385" s="5" t="s">
        <v>97</v>
      </c>
      <c r="I385" s="5" t="s">
        <v>57</v>
      </c>
    </row>
    <row r="386" spans="1:9" ht="120" x14ac:dyDescent="0.25">
      <c r="A386" s="5" t="s">
        <v>1729</v>
      </c>
      <c r="B386" s="5" t="s">
        <v>1415</v>
      </c>
      <c r="C386" s="5" t="s">
        <v>687</v>
      </c>
      <c r="D386" s="5" t="s">
        <v>688</v>
      </c>
      <c r="E386" s="5" t="s">
        <v>1723</v>
      </c>
      <c r="F386" s="5" t="s">
        <v>1730</v>
      </c>
      <c r="G386" s="5" t="s">
        <v>55</v>
      </c>
      <c r="H386" s="5" t="s">
        <v>97</v>
      </c>
      <c r="I386" s="5" t="s">
        <v>57</v>
      </c>
    </row>
    <row r="387" spans="1:9" ht="120" x14ac:dyDescent="0.25">
      <c r="A387" s="5" t="s">
        <v>1731</v>
      </c>
      <c r="B387" s="5" t="s">
        <v>132</v>
      </c>
      <c r="C387" s="5" t="s">
        <v>687</v>
      </c>
      <c r="D387" s="5" t="s">
        <v>688</v>
      </c>
      <c r="E387" s="5" t="s">
        <v>1723</v>
      </c>
      <c r="F387" s="5" t="s">
        <v>1724</v>
      </c>
      <c r="G387" s="5" t="s">
        <v>55</v>
      </c>
      <c r="H387" s="5" t="s">
        <v>97</v>
      </c>
      <c r="I387" s="5" t="s">
        <v>57</v>
      </c>
    </row>
    <row r="388" spans="1:9" ht="120" x14ac:dyDescent="0.25">
      <c r="A388" s="5" t="s">
        <v>1731</v>
      </c>
      <c r="B388" s="5" t="s">
        <v>1408</v>
      </c>
      <c r="C388" s="5" t="s">
        <v>687</v>
      </c>
      <c r="D388" s="5" t="s">
        <v>688</v>
      </c>
      <c r="E388" s="5" t="s">
        <v>1723</v>
      </c>
      <c r="F388" s="5" t="s">
        <v>1724</v>
      </c>
      <c r="G388" s="5" t="s">
        <v>55</v>
      </c>
      <c r="H388" s="5" t="s">
        <v>97</v>
      </c>
      <c r="I388" s="5" t="s">
        <v>57</v>
      </c>
    </row>
    <row r="389" spans="1:9" ht="45" x14ac:dyDescent="0.25">
      <c r="A389" s="5" t="s">
        <v>1732</v>
      </c>
      <c r="B389" s="5" t="s">
        <v>132</v>
      </c>
      <c r="C389" s="5" t="s">
        <v>687</v>
      </c>
      <c r="D389" s="5" t="s">
        <v>688</v>
      </c>
      <c r="E389" s="5" t="s">
        <v>1723</v>
      </c>
      <c r="F389" s="5" t="s">
        <v>1733</v>
      </c>
      <c r="G389" s="5" t="s">
        <v>55</v>
      </c>
      <c r="H389" s="5" t="s">
        <v>97</v>
      </c>
      <c r="I389" s="5" t="s">
        <v>57</v>
      </c>
    </row>
    <row r="390" spans="1:9" ht="120" x14ac:dyDescent="0.25">
      <c r="A390" s="5" t="s">
        <v>1734</v>
      </c>
      <c r="B390" s="5" t="s">
        <v>10</v>
      </c>
      <c r="C390" s="5" t="s">
        <v>687</v>
      </c>
      <c r="D390" s="5" t="s">
        <v>688</v>
      </c>
      <c r="E390" s="5" t="s">
        <v>689</v>
      </c>
      <c r="F390" s="5" t="s">
        <v>1724</v>
      </c>
      <c r="G390" s="5" t="s">
        <v>55</v>
      </c>
      <c r="H390" s="5" t="s">
        <v>57</v>
      </c>
      <c r="I390" s="5" t="s">
        <v>39</v>
      </c>
    </row>
    <row r="391" spans="1:9" ht="120" x14ac:dyDescent="0.25">
      <c r="A391" s="5" t="s">
        <v>1735</v>
      </c>
      <c r="B391" s="5" t="s">
        <v>10</v>
      </c>
      <c r="C391" s="5" t="s">
        <v>687</v>
      </c>
      <c r="D391" s="5" t="s">
        <v>688</v>
      </c>
      <c r="E391" s="5" t="s">
        <v>1723</v>
      </c>
      <c r="F391" s="5" t="s">
        <v>1724</v>
      </c>
      <c r="G391" s="5" t="s">
        <v>55</v>
      </c>
      <c r="H391" s="5" t="s">
        <v>97</v>
      </c>
      <c r="I391" s="5" t="s">
        <v>57</v>
      </c>
    </row>
    <row r="392" spans="1:9" ht="45" x14ac:dyDescent="0.25">
      <c r="A392" s="5" t="s">
        <v>1736</v>
      </c>
      <c r="B392" s="5" t="s">
        <v>10</v>
      </c>
      <c r="C392" s="5" t="s">
        <v>687</v>
      </c>
      <c r="D392" s="5" t="s">
        <v>688</v>
      </c>
      <c r="E392" s="5" t="s">
        <v>689</v>
      </c>
      <c r="F392" s="5" t="s">
        <v>1737</v>
      </c>
      <c r="G392" s="5" t="s">
        <v>55</v>
      </c>
      <c r="H392" s="5" t="s">
        <v>97</v>
      </c>
      <c r="I392" s="5" t="s">
        <v>57</v>
      </c>
    </row>
    <row r="393" spans="1:9" x14ac:dyDescent="0.25">
      <c r="A393" s="5" t="s">
        <v>1738</v>
      </c>
      <c r="B393" s="5" t="s">
        <v>10</v>
      </c>
      <c r="C393" s="5" t="s">
        <v>687</v>
      </c>
      <c r="D393" s="5" t="s">
        <v>688</v>
      </c>
      <c r="E393" s="5" t="s">
        <v>689</v>
      </c>
      <c r="F393" s="5" t="s">
        <v>1739</v>
      </c>
      <c r="G393" s="5" t="s">
        <v>55</v>
      </c>
      <c r="H393" s="5" t="s">
        <v>57</v>
      </c>
      <c r="I393" s="5" t="s">
        <v>57</v>
      </c>
    </row>
    <row r="394" spans="1:9" ht="60" x14ac:dyDescent="0.25">
      <c r="A394" s="5" t="s">
        <v>694</v>
      </c>
      <c r="B394" s="5" t="s">
        <v>10</v>
      </c>
      <c r="C394" s="5" t="s">
        <v>694</v>
      </c>
      <c r="D394" s="5" t="s">
        <v>695</v>
      </c>
      <c r="E394" s="5" t="s">
        <v>506</v>
      </c>
      <c r="F394" s="5" t="s">
        <v>1740</v>
      </c>
      <c r="G394" s="5" t="s">
        <v>55</v>
      </c>
      <c r="H394" s="5" t="s">
        <v>57</v>
      </c>
      <c r="I394" s="5" t="s">
        <v>265</v>
      </c>
    </row>
    <row r="395" spans="1:9" ht="60" x14ac:dyDescent="0.25">
      <c r="A395" s="5" t="s">
        <v>694</v>
      </c>
      <c r="B395" s="5" t="s">
        <v>123</v>
      </c>
      <c r="C395" s="5" t="s">
        <v>694</v>
      </c>
      <c r="D395" s="5" t="s">
        <v>695</v>
      </c>
      <c r="E395" s="5" t="s">
        <v>506</v>
      </c>
      <c r="F395" s="5" t="s">
        <v>1740</v>
      </c>
      <c r="G395" s="5" t="s">
        <v>55</v>
      </c>
      <c r="H395" s="5" t="s">
        <v>57</v>
      </c>
      <c r="I395" s="5" t="s">
        <v>265</v>
      </c>
    </row>
    <row r="396" spans="1:9" ht="75" x14ac:dyDescent="0.25">
      <c r="A396" s="5" t="s">
        <v>700</v>
      </c>
      <c r="B396" s="5" t="s">
        <v>10</v>
      </c>
      <c r="C396" s="5" t="s">
        <v>700</v>
      </c>
      <c r="D396" s="5" t="s">
        <v>701</v>
      </c>
      <c r="E396" s="5" t="s">
        <v>702</v>
      </c>
      <c r="F396" s="5" t="s">
        <v>1741</v>
      </c>
      <c r="G396" s="5" t="s">
        <v>55</v>
      </c>
      <c r="H396" s="5" t="s">
        <v>57</v>
      </c>
      <c r="I396" s="5" t="s">
        <v>39</v>
      </c>
    </row>
    <row r="397" spans="1:9" ht="75" x14ac:dyDescent="0.25">
      <c r="A397" s="5" t="s">
        <v>700</v>
      </c>
      <c r="B397" s="5" t="s">
        <v>123</v>
      </c>
      <c r="C397" s="5" t="s">
        <v>700</v>
      </c>
      <c r="D397" s="5" t="s">
        <v>701</v>
      </c>
      <c r="E397" s="5" t="s">
        <v>702</v>
      </c>
      <c r="F397" s="5" t="s">
        <v>1741</v>
      </c>
      <c r="G397" s="5" t="s">
        <v>55</v>
      </c>
      <c r="H397" s="5" t="s">
        <v>57</v>
      </c>
      <c r="I397" s="5" t="s">
        <v>265</v>
      </c>
    </row>
    <row r="398" spans="1:9" x14ac:dyDescent="0.25">
      <c r="A398" s="5" t="s">
        <v>705</v>
      </c>
      <c r="B398" s="5" t="s">
        <v>706</v>
      </c>
      <c r="C398" s="5" t="s">
        <v>705</v>
      </c>
      <c r="D398" s="5" t="s">
        <v>707</v>
      </c>
      <c r="E398" s="5" t="s">
        <v>57</v>
      </c>
      <c r="F398" s="5" t="s">
        <v>522</v>
      </c>
      <c r="G398" s="5" t="s">
        <v>15</v>
      </c>
      <c r="H398" s="5" t="s">
        <v>57</v>
      </c>
      <c r="I398" s="5" t="s">
        <v>57</v>
      </c>
    </row>
    <row r="399" spans="1:9" ht="75" x14ac:dyDescent="0.25">
      <c r="A399" s="5" t="s">
        <v>709</v>
      </c>
      <c r="B399" s="5" t="s">
        <v>10</v>
      </c>
      <c r="C399" s="5" t="s">
        <v>709</v>
      </c>
      <c r="D399" s="5" t="s">
        <v>710</v>
      </c>
      <c r="E399" s="5" t="s">
        <v>506</v>
      </c>
      <c r="F399" s="5" t="s">
        <v>1742</v>
      </c>
      <c r="G399" s="5" t="s">
        <v>55</v>
      </c>
      <c r="H399" s="5" t="s">
        <v>57</v>
      </c>
      <c r="I399" s="5" t="s">
        <v>265</v>
      </c>
    </row>
    <row r="400" spans="1:9" ht="75" x14ac:dyDescent="0.25">
      <c r="A400" s="5" t="s">
        <v>709</v>
      </c>
      <c r="B400" s="5" t="s">
        <v>123</v>
      </c>
      <c r="C400" s="5" t="s">
        <v>709</v>
      </c>
      <c r="D400" s="5" t="s">
        <v>710</v>
      </c>
      <c r="E400" s="5" t="s">
        <v>506</v>
      </c>
      <c r="F400" s="5" t="s">
        <v>1742</v>
      </c>
      <c r="G400" s="5" t="s">
        <v>55</v>
      </c>
      <c r="H400" s="5" t="s">
        <v>57</v>
      </c>
      <c r="I400" s="5" t="s">
        <v>265</v>
      </c>
    </row>
    <row r="401" spans="1:9" ht="75" x14ac:dyDescent="0.25">
      <c r="A401" s="5" t="s">
        <v>714</v>
      </c>
      <c r="B401" s="5" t="s">
        <v>10</v>
      </c>
      <c r="C401" s="5" t="s">
        <v>714</v>
      </c>
      <c r="D401" s="5" t="s">
        <v>715</v>
      </c>
      <c r="E401" s="5" t="s">
        <v>506</v>
      </c>
      <c r="F401" s="5" t="s">
        <v>1743</v>
      </c>
      <c r="G401" s="5" t="s">
        <v>55</v>
      </c>
      <c r="H401" s="5" t="s">
        <v>57</v>
      </c>
      <c r="I401" s="5" t="s">
        <v>265</v>
      </c>
    </row>
    <row r="402" spans="1:9" ht="75" x14ac:dyDescent="0.25">
      <c r="A402" s="5" t="s">
        <v>714</v>
      </c>
      <c r="B402" s="5" t="s">
        <v>123</v>
      </c>
      <c r="C402" s="5" t="s">
        <v>714</v>
      </c>
      <c r="D402" s="5" t="s">
        <v>715</v>
      </c>
      <c r="E402" s="5" t="s">
        <v>506</v>
      </c>
      <c r="F402" s="5" t="s">
        <v>1743</v>
      </c>
      <c r="G402" s="5" t="s">
        <v>55</v>
      </c>
      <c r="H402" s="5" t="s">
        <v>57</v>
      </c>
      <c r="I402" s="5" t="s">
        <v>265</v>
      </c>
    </row>
    <row r="403" spans="1:9" ht="105" x14ac:dyDescent="0.25">
      <c r="A403" s="5" t="s">
        <v>719</v>
      </c>
      <c r="B403" s="5" t="s">
        <v>10</v>
      </c>
      <c r="C403" s="5" t="s">
        <v>719</v>
      </c>
      <c r="D403" s="5" t="s">
        <v>715</v>
      </c>
      <c r="E403" s="5" t="s">
        <v>1744</v>
      </c>
      <c r="F403" s="5" t="s">
        <v>720</v>
      </c>
      <c r="G403" s="5" t="s">
        <v>55</v>
      </c>
      <c r="H403" s="5" t="s">
        <v>57</v>
      </c>
      <c r="I403" s="5" t="s">
        <v>265</v>
      </c>
    </row>
    <row r="404" spans="1:9" ht="105" x14ac:dyDescent="0.25">
      <c r="A404" s="5" t="s">
        <v>719</v>
      </c>
      <c r="B404" s="5" t="s">
        <v>123</v>
      </c>
      <c r="C404" s="5" t="s">
        <v>719</v>
      </c>
      <c r="D404" s="5" t="s">
        <v>715</v>
      </c>
      <c r="E404" s="5" t="s">
        <v>1744</v>
      </c>
      <c r="F404" s="5" t="s">
        <v>720</v>
      </c>
      <c r="G404" s="5" t="s">
        <v>55</v>
      </c>
      <c r="H404" s="5" t="s">
        <v>57</v>
      </c>
      <c r="I404" s="5" t="s">
        <v>265</v>
      </c>
    </row>
    <row r="405" spans="1:9" ht="75" x14ac:dyDescent="0.25">
      <c r="A405" s="5" t="s">
        <v>723</v>
      </c>
      <c r="B405" s="5" t="s">
        <v>10</v>
      </c>
      <c r="C405" s="5" t="s">
        <v>723</v>
      </c>
      <c r="D405" s="5" t="s">
        <v>724</v>
      </c>
      <c r="E405" s="5" t="s">
        <v>273</v>
      </c>
      <c r="F405" s="5" t="s">
        <v>424</v>
      </c>
      <c r="G405" s="5" t="s">
        <v>55</v>
      </c>
      <c r="H405" s="5" t="s">
        <v>57</v>
      </c>
      <c r="I405" s="5" t="s">
        <v>265</v>
      </c>
    </row>
    <row r="406" spans="1:9" ht="75" x14ac:dyDescent="0.25">
      <c r="A406" s="5" t="s">
        <v>723</v>
      </c>
      <c r="B406" s="5" t="s">
        <v>123</v>
      </c>
      <c r="C406" s="5" t="s">
        <v>723</v>
      </c>
      <c r="D406" s="5" t="s">
        <v>724</v>
      </c>
      <c r="E406" s="5" t="s">
        <v>273</v>
      </c>
      <c r="F406" s="5" t="s">
        <v>424</v>
      </c>
      <c r="G406" s="5" t="s">
        <v>55</v>
      </c>
      <c r="H406" s="5" t="s">
        <v>57</v>
      </c>
      <c r="I406" s="5" t="s">
        <v>265</v>
      </c>
    </row>
    <row r="407" spans="1:9" ht="60" x14ac:dyDescent="0.25">
      <c r="A407" s="5" t="s">
        <v>729</v>
      </c>
      <c r="B407" s="5" t="s">
        <v>132</v>
      </c>
      <c r="C407" s="5" t="s">
        <v>729</v>
      </c>
      <c r="D407" s="5" t="s">
        <v>730</v>
      </c>
      <c r="E407" s="5" t="s">
        <v>1745</v>
      </c>
      <c r="F407" s="5" t="s">
        <v>1746</v>
      </c>
      <c r="G407" s="5" t="s">
        <v>55</v>
      </c>
      <c r="H407" s="5" t="s">
        <v>57</v>
      </c>
      <c r="I407" s="5" t="s">
        <v>120</v>
      </c>
    </row>
    <row r="408" spans="1:9" ht="60" x14ac:dyDescent="0.25">
      <c r="A408" s="5" t="s">
        <v>1747</v>
      </c>
      <c r="B408" s="5" t="s">
        <v>1428</v>
      </c>
      <c r="C408" s="5" t="s">
        <v>729</v>
      </c>
      <c r="D408" s="5" t="s">
        <v>730</v>
      </c>
      <c r="E408" s="5" t="s">
        <v>1745</v>
      </c>
      <c r="F408" s="5" t="s">
        <v>1746</v>
      </c>
      <c r="G408" s="5" t="s">
        <v>55</v>
      </c>
      <c r="H408" s="5" t="s">
        <v>57</v>
      </c>
      <c r="I408" s="5" t="s">
        <v>120</v>
      </c>
    </row>
    <row r="409" spans="1:9" ht="60" x14ac:dyDescent="0.25">
      <c r="A409" s="5" t="s">
        <v>1748</v>
      </c>
      <c r="B409" s="5" t="s">
        <v>132</v>
      </c>
      <c r="C409" s="5" t="s">
        <v>729</v>
      </c>
      <c r="D409" s="5" t="s">
        <v>730</v>
      </c>
      <c r="E409" s="5" t="s">
        <v>1749</v>
      </c>
      <c r="F409" s="5" t="s">
        <v>1750</v>
      </c>
      <c r="G409" s="5" t="s">
        <v>15</v>
      </c>
      <c r="H409" s="5" t="s">
        <v>265</v>
      </c>
      <c r="I409" s="5" t="s">
        <v>265</v>
      </c>
    </row>
    <row r="410" spans="1:9" ht="60" x14ac:dyDescent="0.25">
      <c r="A410" s="5" t="s">
        <v>1751</v>
      </c>
      <c r="B410" s="5" t="s">
        <v>132</v>
      </c>
      <c r="C410" s="5" t="s">
        <v>729</v>
      </c>
      <c r="D410" s="5" t="s">
        <v>730</v>
      </c>
      <c r="E410" s="5" t="s">
        <v>1745</v>
      </c>
      <c r="F410" s="5" t="s">
        <v>1750</v>
      </c>
      <c r="G410" s="5" t="s">
        <v>15</v>
      </c>
      <c r="H410" s="5" t="s">
        <v>97</v>
      </c>
      <c r="I410" s="5" t="s">
        <v>57</v>
      </c>
    </row>
    <row r="411" spans="1:9" ht="60" x14ac:dyDescent="0.25">
      <c r="A411" s="5" t="s">
        <v>1752</v>
      </c>
      <c r="B411" s="5" t="s">
        <v>10</v>
      </c>
      <c r="C411" s="5" t="s">
        <v>729</v>
      </c>
      <c r="D411" s="5" t="s">
        <v>730</v>
      </c>
      <c r="E411" s="5" t="s">
        <v>1753</v>
      </c>
      <c r="F411" s="5" t="s">
        <v>1750</v>
      </c>
      <c r="G411" s="5" t="s">
        <v>55</v>
      </c>
      <c r="H411" s="5" t="s">
        <v>57</v>
      </c>
      <c r="I411" s="5" t="s">
        <v>265</v>
      </c>
    </row>
    <row r="412" spans="1:9" ht="60" x14ac:dyDescent="0.25">
      <c r="A412" s="5" t="s">
        <v>1752</v>
      </c>
      <c r="B412" s="5" t="s">
        <v>123</v>
      </c>
      <c r="C412" s="5" t="s">
        <v>729</v>
      </c>
      <c r="D412" s="5" t="s">
        <v>730</v>
      </c>
      <c r="E412" s="5" t="s">
        <v>1753</v>
      </c>
      <c r="F412" s="5" t="s">
        <v>1750</v>
      </c>
      <c r="G412" s="5" t="s">
        <v>55</v>
      </c>
      <c r="H412" s="5" t="s">
        <v>57</v>
      </c>
      <c r="I412" s="5" t="s">
        <v>120</v>
      </c>
    </row>
    <row r="413" spans="1:9" ht="60" x14ac:dyDescent="0.25">
      <c r="A413" s="5" t="s">
        <v>1754</v>
      </c>
      <c r="B413" s="5" t="s">
        <v>10</v>
      </c>
      <c r="C413" s="5" t="s">
        <v>729</v>
      </c>
      <c r="D413" s="5" t="s">
        <v>730</v>
      </c>
      <c r="E413" s="5" t="s">
        <v>1745</v>
      </c>
      <c r="F413" s="5" t="s">
        <v>1746</v>
      </c>
      <c r="G413" s="5" t="s">
        <v>55</v>
      </c>
      <c r="H413" s="5" t="s">
        <v>57</v>
      </c>
      <c r="I413" s="5" t="s">
        <v>265</v>
      </c>
    </row>
    <row r="414" spans="1:9" ht="45" x14ac:dyDescent="0.25">
      <c r="A414" s="5" t="s">
        <v>1755</v>
      </c>
      <c r="B414" s="5" t="s">
        <v>10</v>
      </c>
      <c r="C414" s="5" t="s">
        <v>729</v>
      </c>
      <c r="D414" s="5" t="s">
        <v>730</v>
      </c>
      <c r="E414" s="5" t="s">
        <v>1745</v>
      </c>
      <c r="F414" s="5" t="s">
        <v>1756</v>
      </c>
      <c r="G414" s="5" t="s">
        <v>55</v>
      </c>
      <c r="H414" s="5" t="s">
        <v>97</v>
      </c>
      <c r="I414" s="5" t="s">
        <v>57</v>
      </c>
    </row>
    <row r="415" spans="1:9" x14ac:dyDescent="0.25">
      <c r="A415" s="5" t="s">
        <v>737</v>
      </c>
      <c r="B415" s="5" t="s">
        <v>132</v>
      </c>
      <c r="C415" s="5" t="s">
        <v>737</v>
      </c>
      <c r="D415" s="5" t="s">
        <v>738</v>
      </c>
      <c r="E415" s="5" t="s">
        <v>1547</v>
      </c>
      <c r="F415" s="5" t="s">
        <v>1757</v>
      </c>
      <c r="G415" s="5" t="s">
        <v>15</v>
      </c>
      <c r="H415" s="5" t="s">
        <v>57</v>
      </c>
      <c r="I415" s="5" t="s">
        <v>39</v>
      </c>
    </row>
    <row r="416" spans="1:9" x14ac:dyDescent="0.25">
      <c r="A416" s="5" t="s">
        <v>1758</v>
      </c>
      <c r="B416" s="5" t="s">
        <v>132</v>
      </c>
      <c r="C416" s="5" t="s">
        <v>737</v>
      </c>
      <c r="D416" s="5" t="s">
        <v>738</v>
      </c>
      <c r="E416" s="5" t="s">
        <v>235</v>
      </c>
      <c r="F416" s="5" t="s">
        <v>1759</v>
      </c>
      <c r="G416" s="5" t="s">
        <v>55</v>
      </c>
      <c r="H416" s="5" t="s">
        <v>57</v>
      </c>
      <c r="I416" s="5" t="s">
        <v>661</v>
      </c>
    </row>
    <row r="417" spans="1:9" x14ac:dyDescent="0.25">
      <c r="A417" s="5" t="s">
        <v>1760</v>
      </c>
      <c r="B417" s="5" t="s">
        <v>1428</v>
      </c>
      <c r="C417" s="5" t="s">
        <v>737</v>
      </c>
      <c r="D417" s="5" t="s">
        <v>738</v>
      </c>
      <c r="E417" s="5" t="s">
        <v>235</v>
      </c>
      <c r="F417" s="5" t="s">
        <v>1759</v>
      </c>
      <c r="G417" s="5" t="s">
        <v>55</v>
      </c>
      <c r="H417" s="5" t="s">
        <v>57</v>
      </c>
      <c r="I417" s="5" t="s">
        <v>120</v>
      </c>
    </row>
    <row r="418" spans="1:9" ht="30" x14ac:dyDescent="0.25">
      <c r="A418" s="5" t="s">
        <v>1761</v>
      </c>
      <c r="B418" s="5" t="s">
        <v>132</v>
      </c>
      <c r="C418" s="5" t="s">
        <v>737</v>
      </c>
      <c r="D418" s="5" t="s">
        <v>738</v>
      </c>
      <c r="E418" s="5" t="s">
        <v>235</v>
      </c>
      <c r="F418" s="5" t="s">
        <v>1762</v>
      </c>
      <c r="G418" s="5" t="s">
        <v>15</v>
      </c>
      <c r="H418" s="5" t="s">
        <v>57</v>
      </c>
      <c r="I418" s="5" t="s">
        <v>120</v>
      </c>
    </row>
    <row r="419" spans="1:9" ht="225" x14ac:dyDescent="0.25">
      <c r="A419" s="5" t="s">
        <v>1763</v>
      </c>
      <c r="B419" s="5" t="s">
        <v>132</v>
      </c>
      <c r="C419" s="5" t="s">
        <v>737</v>
      </c>
      <c r="D419" s="5" t="s">
        <v>738</v>
      </c>
      <c r="E419" s="5" t="s">
        <v>235</v>
      </c>
      <c r="F419" s="5" t="s">
        <v>1764</v>
      </c>
      <c r="G419" s="5" t="s">
        <v>55</v>
      </c>
      <c r="H419" s="5" t="s">
        <v>57</v>
      </c>
      <c r="I419" s="5" t="s">
        <v>92</v>
      </c>
    </row>
    <row r="420" spans="1:9" ht="225" x14ac:dyDescent="0.25">
      <c r="A420" s="5" t="s">
        <v>1765</v>
      </c>
      <c r="B420" s="5" t="s">
        <v>1428</v>
      </c>
      <c r="C420" s="5" t="s">
        <v>737</v>
      </c>
      <c r="D420" s="5" t="s">
        <v>738</v>
      </c>
      <c r="E420" s="5" t="s">
        <v>235</v>
      </c>
      <c r="F420" s="5" t="s">
        <v>1764</v>
      </c>
      <c r="G420" s="5" t="s">
        <v>55</v>
      </c>
      <c r="H420" s="5" t="s">
        <v>57</v>
      </c>
      <c r="I420" s="5" t="s">
        <v>92</v>
      </c>
    </row>
    <row r="421" spans="1:9" ht="390" x14ac:dyDescent="0.25">
      <c r="A421" s="5" t="s">
        <v>1766</v>
      </c>
      <c r="B421" s="5" t="s">
        <v>132</v>
      </c>
      <c r="C421" s="5" t="s">
        <v>737</v>
      </c>
      <c r="D421" s="5" t="s">
        <v>738</v>
      </c>
      <c r="E421" s="5" t="s">
        <v>1547</v>
      </c>
      <c r="F421" s="5" t="s">
        <v>1767</v>
      </c>
      <c r="G421" s="5" t="s">
        <v>55</v>
      </c>
      <c r="H421" s="5" t="s">
        <v>57</v>
      </c>
      <c r="I421" s="5" t="s">
        <v>39</v>
      </c>
    </row>
    <row r="422" spans="1:9" ht="390" x14ac:dyDescent="0.25">
      <c r="A422" s="5" t="s">
        <v>1768</v>
      </c>
      <c r="B422" s="5" t="s">
        <v>1428</v>
      </c>
      <c r="C422" s="5" t="s">
        <v>737</v>
      </c>
      <c r="D422" s="5" t="s">
        <v>738</v>
      </c>
      <c r="E422" s="5" t="s">
        <v>1547</v>
      </c>
      <c r="F422" s="5" t="s">
        <v>1767</v>
      </c>
      <c r="G422" s="5" t="s">
        <v>55</v>
      </c>
      <c r="H422" s="5" t="s">
        <v>57</v>
      </c>
      <c r="I422" s="5" t="s">
        <v>120</v>
      </c>
    </row>
    <row r="423" spans="1:9" ht="45" x14ac:dyDescent="0.25">
      <c r="A423" s="5" t="s">
        <v>1769</v>
      </c>
      <c r="B423" s="5" t="s">
        <v>132</v>
      </c>
      <c r="C423" s="5" t="s">
        <v>737</v>
      </c>
      <c r="D423" s="5" t="s">
        <v>738</v>
      </c>
      <c r="E423" s="5" t="s">
        <v>1547</v>
      </c>
      <c r="F423" s="5" t="s">
        <v>1770</v>
      </c>
      <c r="G423" s="5" t="s">
        <v>55</v>
      </c>
      <c r="H423" s="5" t="s">
        <v>57</v>
      </c>
      <c r="I423" s="5" t="s">
        <v>39</v>
      </c>
    </row>
    <row r="424" spans="1:9" ht="45" x14ac:dyDescent="0.25">
      <c r="A424" s="5" t="s">
        <v>1771</v>
      </c>
      <c r="B424" s="5" t="s">
        <v>1428</v>
      </c>
      <c r="C424" s="5" t="s">
        <v>737</v>
      </c>
      <c r="D424" s="5" t="s">
        <v>738</v>
      </c>
      <c r="E424" s="5" t="s">
        <v>1547</v>
      </c>
      <c r="F424" s="5" t="s">
        <v>1770</v>
      </c>
      <c r="G424" s="5" t="s">
        <v>55</v>
      </c>
      <c r="H424" s="5" t="s">
        <v>57</v>
      </c>
      <c r="I424" s="5" t="s">
        <v>265</v>
      </c>
    </row>
    <row r="425" spans="1:9" ht="105" x14ac:dyDescent="0.25">
      <c r="A425" s="5" t="s">
        <v>1772</v>
      </c>
      <c r="B425" s="5" t="s">
        <v>132</v>
      </c>
      <c r="C425" s="5" t="s">
        <v>737</v>
      </c>
      <c r="D425" s="5" t="s">
        <v>738</v>
      </c>
      <c r="E425" s="5" t="s">
        <v>1547</v>
      </c>
      <c r="F425" s="5" t="s">
        <v>1773</v>
      </c>
      <c r="G425" s="5" t="s">
        <v>55</v>
      </c>
      <c r="H425" s="5" t="s">
        <v>57</v>
      </c>
      <c r="I425" s="5" t="s">
        <v>265</v>
      </c>
    </row>
    <row r="426" spans="1:9" ht="105" x14ac:dyDescent="0.25">
      <c r="A426" s="5" t="s">
        <v>1774</v>
      </c>
      <c r="B426" s="5" t="s">
        <v>1013</v>
      </c>
      <c r="C426" s="5" t="s">
        <v>737</v>
      </c>
      <c r="D426" s="5" t="s">
        <v>738</v>
      </c>
      <c r="E426" s="5" t="s">
        <v>1547</v>
      </c>
      <c r="F426" s="5" t="s">
        <v>1773</v>
      </c>
      <c r="G426" s="5" t="s">
        <v>55</v>
      </c>
      <c r="H426" s="5" t="s">
        <v>57</v>
      </c>
      <c r="I426" s="5" t="s">
        <v>265</v>
      </c>
    </row>
    <row r="427" spans="1:9" ht="60" x14ac:dyDescent="0.25">
      <c r="A427" s="5" t="s">
        <v>1775</v>
      </c>
      <c r="B427" s="5" t="s">
        <v>132</v>
      </c>
      <c r="C427" s="5" t="s">
        <v>737</v>
      </c>
      <c r="D427" s="5" t="s">
        <v>738</v>
      </c>
      <c r="E427" s="5" t="s">
        <v>1547</v>
      </c>
      <c r="F427" s="5" t="s">
        <v>1776</v>
      </c>
      <c r="G427" s="5" t="s">
        <v>15</v>
      </c>
      <c r="H427" s="5" t="s">
        <v>97</v>
      </c>
      <c r="I427" s="5" t="s">
        <v>57</v>
      </c>
    </row>
    <row r="428" spans="1:9" ht="60" x14ac:dyDescent="0.25">
      <c r="A428" s="5" t="s">
        <v>1775</v>
      </c>
      <c r="B428" s="5" t="s">
        <v>1415</v>
      </c>
      <c r="C428" s="5" t="s">
        <v>737</v>
      </c>
      <c r="D428" s="5" t="s">
        <v>738</v>
      </c>
      <c r="E428" s="5" t="s">
        <v>1547</v>
      </c>
      <c r="F428" s="5" t="s">
        <v>1776</v>
      </c>
      <c r="G428" s="5" t="s">
        <v>15</v>
      </c>
      <c r="H428" s="5" t="s">
        <v>97</v>
      </c>
      <c r="I428" s="5" t="s">
        <v>57</v>
      </c>
    </row>
    <row r="429" spans="1:9" ht="60" x14ac:dyDescent="0.25">
      <c r="A429" s="5" t="s">
        <v>1775</v>
      </c>
      <c r="B429" s="5" t="s">
        <v>1510</v>
      </c>
      <c r="C429" s="5" t="s">
        <v>737</v>
      </c>
      <c r="D429" s="5" t="s">
        <v>738</v>
      </c>
      <c r="E429" s="5" t="s">
        <v>1547</v>
      </c>
      <c r="F429" s="5" t="s">
        <v>1776</v>
      </c>
      <c r="G429" s="5" t="s">
        <v>15</v>
      </c>
      <c r="H429" s="5" t="s">
        <v>97</v>
      </c>
      <c r="I429" s="5" t="s">
        <v>57</v>
      </c>
    </row>
    <row r="430" spans="1:9" ht="60" x14ac:dyDescent="0.25">
      <c r="A430" s="5" t="s">
        <v>1775</v>
      </c>
      <c r="B430" s="5" t="s">
        <v>1510</v>
      </c>
      <c r="C430" s="5" t="s">
        <v>737</v>
      </c>
      <c r="D430" s="5" t="s">
        <v>738</v>
      </c>
      <c r="E430" s="5" t="s">
        <v>1547</v>
      </c>
      <c r="F430" s="5" t="s">
        <v>1776</v>
      </c>
      <c r="G430" s="5" t="s">
        <v>15</v>
      </c>
      <c r="H430" s="5" t="s">
        <v>97</v>
      </c>
      <c r="I430" s="5" t="s">
        <v>57</v>
      </c>
    </row>
    <row r="431" spans="1:9" ht="60" x14ac:dyDescent="0.25">
      <c r="A431" s="5" t="s">
        <v>1777</v>
      </c>
      <c r="B431" s="5" t="s">
        <v>1415</v>
      </c>
      <c r="C431" s="5" t="s">
        <v>737</v>
      </c>
      <c r="D431" s="5" t="s">
        <v>738</v>
      </c>
      <c r="E431" s="5" t="s">
        <v>1547</v>
      </c>
      <c r="F431" s="5" t="s">
        <v>1778</v>
      </c>
      <c r="G431" s="5" t="s">
        <v>15</v>
      </c>
      <c r="H431" s="5" t="s">
        <v>97</v>
      </c>
      <c r="I431" s="5" t="s">
        <v>39</v>
      </c>
    </row>
    <row r="432" spans="1:9" ht="60" x14ac:dyDescent="0.25">
      <c r="A432" s="5" t="s">
        <v>1777</v>
      </c>
      <c r="B432" s="5" t="s">
        <v>1418</v>
      </c>
      <c r="C432" s="5" t="s">
        <v>737</v>
      </c>
      <c r="D432" s="5" t="s">
        <v>738</v>
      </c>
      <c r="E432" s="5" t="s">
        <v>1547</v>
      </c>
      <c r="F432" s="5" t="s">
        <v>1778</v>
      </c>
      <c r="G432" s="5" t="s">
        <v>15</v>
      </c>
      <c r="H432" s="5" t="s">
        <v>97</v>
      </c>
      <c r="I432" s="5" t="s">
        <v>39</v>
      </c>
    </row>
    <row r="433" spans="1:9" ht="75" x14ac:dyDescent="0.25">
      <c r="A433" s="5" t="s">
        <v>1779</v>
      </c>
      <c r="B433" s="5" t="s">
        <v>1415</v>
      </c>
      <c r="C433" s="5" t="s">
        <v>737</v>
      </c>
      <c r="D433" s="5" t="s">
        <v>738</v>
      </c>
      <c r="E433" s="5" t="s">
        <v>1547</v>
      </c>
      <c r="F433" s="5" t="s">
        <v>1780</v>
      </c>
      <c r="G433" s="5" t="s">
        <v>55</v>
      </c>
      <c r="H433" s="5" t="s">
        <v>97</v>
      </c>
      <c r="I433" s="5" t="s">
        <v>57</v>
      </c>
    </row>
    <row r="434" spans="1:9" ht="75" x14ac:dyDescent="0.25">
      <c r="A434" s="5" t="s">
        <v>1779</v>
      </c>
      <c r="B434" s="5" t="s">
        <v>1408</v>
      </c>
      <c r="C434" s="5" t="s">
        <v>737</v>
      </c>
      <c r="D434" s="5" t="s">
        <v>738</v>
      </c>
      <c r="E434" s="5" t="s">
        <v>1547</v>
      </c>
      <c r="F434" s="5" t="s">
        <v>1780</v>
      </c>
      <c r="G434" s="5" t="s">
        <v>55</v>
      </c>
      <c r="H434" s="5" t="s">
        <v>97</v>
      </c>
      <c r="I434" s="5" t="s">
        <v>57</v>
      </c>
    </row>
    <row r="435" spans="1:9" ht="165" x14ac:dyDescent="0.25">
      <c r="A435" s="5" t="s">
        <v>1781</v>
      </c>
      <c r="B435" s="5" t="s">
        <v>10</v>
      </c>
      <c r="C435" s="5" t="s">
        <v>737</v>
      </c>
      <c r="D435" s="5" t="s">
        <v>738</v>
      </c>
      <c r="E435" s="5" t="s">
        <v>1782</v>
      </c>
      <c r="F435" s="5" t="s">
        <v>1783</v>
      </c>
      <c r="G435" s="5" t="s">
        <v>55</v>
      </c>
      <c r="H435" s="5" t="s">
        <v>57</v>
      </c>
      <c r="I435" s="5" t="s">
        <v>39</v>
      </c>
    </row>
    <row r="436" spans="1:9" ht="165" x14ac:dyDescent="0.25">
      <c r="A436" s="5" t="s">
        <v>1784</v>
      </c>
      <c r="B436" s="5" t="s">
        <v>1428</v>
      </c>
      <c r="C436" s="5" t="s">
        <v>737</v>
      </c>
      <c r="D436" s="5" t="s">
        <v>738</v>
      </c>
      <c r="E436" s="5" t="s">
        <v>1782</v>
      </c>
      <c r="F436" s="5" t="s">
        <v>1783</v>
      </c>
      <c r="G436" s="5" t="s">
        <v>55</v>
      </c>
      <c r="H436" s="5" t="s">
        <v>57</v>
      </c>
      <c r="I436" s="5" t="s">
        <v>39</v>
      </c>
    </row>
    <row r="437" spans="1:9" ht="90" x14ac:dyDescent="0.25">
      <c r="A437" s="5" t="s">
        <v>1785</v>
      </c>
      <c r="B437" s="5" t="s">
        <v>10</v>
      </c>
      <c r="C437" s="5" t="s">
        <v>737</v>
      </c>
      <c r="D437" s="5" t="s">
        <v>738</v>
      </c>
      <c r="E437" s="5" t="s">
        <v>1547</v>
      </c>
      <c r="F437" s="5" t="s">
        <v>1786</v>
      </c>
      <c r="G437" s="5" t="s">
        <v>55</v>
      </c>
      <c r="H437" s="5" t="s">
        <v>57</v>
      </c>
      <c r="I437" s="5" t="s">
        <v>39</v>
      </c>
    </row>
    <row r="438" spans="1:9" ht="90" x14ac:dyDescent="0.25">
      <c r="A438" s="5" t="s">
        <v>1787</v>
      </c>
      <c r="B438" s="5" t="s">
        <v>1013</v>
      </c>
      <c r="C438" s="5" t="s">
        <v>737</v>
      </c>
      <c r="D438" s="5" t="s">
        <v>738</v>
      </c>
      <c r="E438" s="5" t="s">
        <v>1547</v>
      </c>
      <c r="F438" s="5" t="s">
        <v>1786</v>
      </c>
      <c r="G438" s="5" t="s">
        <v>55</v>
      </c>
      <c r="H438" s="5" t="s">
        <v>57</v>
      </c>
      <c r="I438" s="5" t="s">
        <v>39</v>
      </c>
    </row>
    <row r="439" spans="1:9" ht="75" x14ac:dyDescent="0.25">
      <c r="A439" s="5" t="s">
        <v>1788</v>
      </c>
      <c r="B439" s="5" t="s">
        <v>10</v>
      </c>
      <c r="C439" s="5" t="s">
        <v>737</v>
      </c>
      <c r="D439" s="5" t="s">
        <v>738</v>
      </c>
      <c r="E439" s="5" t="s">
        <v>1547</v>
      </c>
      <c r="F439" s="5" t="s">
        <v>1789</v>
      </c>
      <c r="G439" s="5" t="s">
        <v>55</v>
      </c>
      <c r="H439" s="5" t="s">
        <v>97</v>
      </c>
      <c r="I439" s="5" t="s">
        <v>57</v>
      </c>
    </row>
    <row r="440" spans="1:9" ht="75" x14ac:dyDescent="0.25">
      <c r="A440" s="5" t="s">
        <v>1790</v>
      </c>
      <c r="B440" s="5" t="s">
        <v>123</v>
      </c>
      <c r="C440" s="5" t="s">
        <v>737</v>
      </c>
      <c r="D440" s="5" t="s">
        <v>738</v>
      </c>
      <c r="E440" s="5" t="s">
        <v>1547</v>
      </c>
      <c r="F440" s="5" t="s">
        <v>1789</v>
      </c>
      <c r="G440" s="5" t="s">
        <v>55</v>
      </c>
      <c r="H440" s="5" t="s">
        <v>97</v>
      </c>
      <c r="I440" s="5" t="s">
        <v>57</v>
      </c>
    </row>
    <row r="441" spans="1:9" ht="135" x14ac:dyDescent="0.25">
      <c r="A441" s="5" t="s">
        <v>1791</v>
      </c>
      <c r="B441" s="5" t="s">
        <v>10</v>
      </c>
      <c r="C441" s="5" t="s">
        <v>737</v>
      </c>
      <c r="D441" s="5" t="s">
        <v>738</v>
      </c>
      <c r="E441" s="5" t="s">
        <v>1547</v>
      </c>
      <c r="F441" s="5" t="s">
        <v>1792</v>
      </c>
      <c r="G441" s="5" t="s">
        <v>55</v>
      </c>
      <c r="H441" s="5" t="s">
        <v>97</v>
      </c>
      <c r="I441" s="5" t="s">
        <v>57</v>
      </c>
    </row>
    <row r="442" spans="1:9" x14ac:dyDescent="0.25">
      <c r="A442" s="5" t="s">
        <v>1793</v>
      </c>
      <c r="B442" s="5" t="s">
        <v>10</v>
      </c>
      <c r="C442" s="5" t="s">
        <v>737</v>
      </c>
      <c r="D442" s="5" t="s">
        <v>738</v>
      </c>
      <c r="E442" s="5" t="s">
        <v>235</v>
      </c>
      <c r="F442" s="5" t="s">
        <v>1794</v>
      </c>
      <c r="G442" s="5" t="s">
        <v>15</v>
      </c>
      <c r="H442" s="5" t="s">
        <v>57</v>
      </c>
      <c r="I442" s="5" t="s">
        <v>39</v>
      </c>
    </row>
    <row r="443" spans="1:9" x14ac:dyDescent="0.25">
      <c r="A443" s="5" t="s">
        <v>1795</v>
      </c>
      <c r="B443" s="5" t="s">
        <v>10</v>
      </c>
      <c r="C443" s="5" t="s">
        <v>737</v>
      </c>
      <c r="D443" s="5" t="s">
        <v>738</v>
      </c>
      <c r="E443" s="5" t="s">
        <v>235</v>
      </c>
      <c r="F443" s="5" t="s">
        <v>1759</v>
      </c>
      <c r="G443" s="5" t="s">
        <v>55</v>
      </c>
      <c r="H443" s="5" t="s">
        <v>97</v>
      </c>
      <c r="I443" s="5" t="s">
        <v>57</v>
      </c>
    </row>
    <row r="444" spans="1:9" x14ac:dyDescent="0.25">
      <c r="A444" s="5" t="s">
        <v>1796</v>
      </c>
      <c r="B444" s="5" t="s">
        <v>123</v>
      </c>
      <c r="C444" s="5" t="s">
        <v>737</v>
      </c>
      <c r="D444" s="5" t="s">
        <v>738</v>
      </c>
      <c r="E444" s="5" t="s">
        <v>235</v>
      </c>
      <c r="F444" s="5" t="s">
        <v>1759</v>
      </c>
      <c r="G444" s="5" t="s">
        <v>55</v>
      </c>
      <c r="H444" s="5" t="s">
        <v>97</v>
      </c>
      <c r="I444" s="5" t="s">
        <v>57</v>
      </c>
    </row>
    <row r="445" spans="1:9" x14ac:dyDescent="0.25">
      <c r="A445" s="5" t="s">
        <v>1797</v>
      </c>
      <c r="B445" s="5" t="s">
        <v>1013</v>
      </c>
      <c r="C445" s="5" t="s">
        <v>745</v>
      </c>
      <c r="D445" s="5" t="s">
        <v>746</v>
      </c>
      <c r="E445" s="5" t="s">
        <v>235</v>
      </c>
      <c r="F445" s="5" t="s">
        <v>1759</v>
      </c>
      <c r="G445" s="5" t="s">
        <v>55</v>
      </c>
      <c r="H445" s="5" t="s">
        <v>57</v>
      </c>
      <c r="I445" s="5" t="s">
        <v>265</v>
      </c>
    </row>
    <row r="446" spans="1:9" x14ac:dyDescent="0.25">
      <c r="A446" s="5" t="s">
        <v>1798</v>
      </c>
      <c r="B446" s="5" t="s">
        <v>1013</v>
      </c>
      <c r="C446" s="5" t="s">
        <v>745</v>
      </c>
      <c r="D446" s="5" t="s">
        <v>746</v>
      </c>
      <c r="E446" s="5" t="s">
        <v>1547</v>
      </c>
      <c r="F446" s="5" t="s">
        <v>1759</v>
      </c>
      <c r="G446" s="5" t="s">
        <v>55</v>
      </c>
      <c r="H446" s="5" t="s">
        <v>57</v>
      </c>
      <c r="I446" s="5" t="s">
        <v>265</v>
      </c>
    </row>
    <row r="447" spans="1:9" ht="270" x14ac:dyDescent="0.25">
      <c r="A447" s="5" t="s">
        <v>1799</v>
      </c>
      <c r="B447" s="5" t="s">
        <v>132</v>
      </c>
      <c r="C447" s="5" t="s">
        <v>745</v>
      </c>
      <c r="D447" s="5" t="s">
        <v>746</v>
      </c>
      <c r="E447" s="5" t="s">
        <v>1547</v>
      </c>
      <c r="F447" s="5" t="s">
        <v>1800</v>
      </c>
      <c r="G447" s="5" t="s">
        <v>55</v>
      </c>
      <c r="H447" s="5" t="s">
        <v>57</v>
      </c>
      <c r="I447" s="5" t="s">
        <v>265</v>
      </c>
    </row>
    <row r="448" spans="1:9" ht="270" x14ac:dyDescent="0.25">
      <c r="A448" s="5" t="s">
        <v>1801</v>
      </c>
      <c r="B448" s="5" t="s">
        <v>1428</v>
      </c>
      <c r="C448" s="5" t="s">
        <v>745</v>
      </c>
      <c r="D448" s="5" t="s">
        <v>746</v>
      </c>
      <c r="E448" s="5" t="s">
        <v>1547</v>
      </c>
      <c r="F448" s="5" t="s">
        <v>1800</v>
      </c>
      <c r="G448" s="5" t="s">
        <v>55</v>
      </c>
      <c r="H448" s="5" t="s">
        <v>57</v>
      </c>
      <c r="I448" s="5" t="s">
        <v>265</v>
      </c>
    </row>
    <row r="449" spans="1:9" x14ac:dyDescent="0.25">
      <c r="A449" s="5" t="s">
        <v>1802</v>
      </c>
      <c r="B449" s="5" t="s">
        <v>1013</v>
      </c>
      <c r="C449" s="5" t="s">
        <v>751</v>
      </c>
      <c r="D449" s="5" t="s">
        <v>746</v>
      </c>
      <c r="E449" s="5" t="s">
        <v>235</v>
      </c>
      <c r="F449" s="5" t="s">
        <v>1759</v>
      </c>
      <c r="G449" s="5" t="s">
        <v>55</v>
      </c>
      <c r="H449" s="5" t="s">
        <v>57</v>
      </c>
      <c r="I449" s="5" t="s">
        <v>265</v>
      </c>
    </row>
    <row r="450" spans="1:9" ht="30" x14ac:dyDescent="0.25">
      <c r="A450" s="5" t="s">
        <v>1803</v>
      </c>
      <c r="B450" s="5" t="s">
        <v>1013</v>
      </c>
      <c r="C450" s="5" t="s">
        <v>751</v>
      </c>
      <c r="D450" s="5" t="s">
        <v>746</v>
      </c>
      <c r="E450" s="5" t="s">
        <v>1547</v>
      </c>
      <c r="F450" s="5" t="s">
        <v>1804</v>
      </c>
      <c r="G450" s="5" t="s">
        <v>55</v>
      </c>
      <c r="H450" s="5" t="s">
        <v>57</v>
      </c>
      <c r="I450" s="5" t="s">
        <v>265</v>
      </c>
    </row>
    <row r="451" spans="1:9" ht="270" x14ac:dyDescent="0.25">
      <c r="A451" s="5" t="s">
        <v>1805</v>
      </c>
      <c r="B451" s="5" t="s">
        <v>132</v>
      </c>
      <c r="C451" s="5" t="s">
        <v>751</v>
      </c>
      <c r="D451" s="5" t="s">
        <v>746</v>
      </c>
      <c r="E451" s="5" t="s">
        <v>1547</v>
      </c>
      <c r="F451" s="5" t="s">
        <v>1800</v>
      </c>
      <c r="G451" s="5" t="s">
        <v>55</v>
      </c>
      <c r="H451" s="5" t="s">
        <v>57</v>
      </c>
      <c r="I451" s="5" t="s">
        <v>265</v>
      </c>
    </row>
    <row r="452" spans="1:9" ht="270" x14ac:dyDescent="0.25">
      <c r="A452" s="5" t="s">
        <v>1806</v>
      </c>
      <c r="B452" s="5" t="s">
        <v>1428</v>
      </c>
      <c r="C452" s="5" t="s">
        <v>751</v>
      </c>
      <c r="D452" s="5" t="s">
        <v>746</v>
      </c>
      <c r="E452" s="5" t="s">
        <v>1547</v>
      </c>
      <c r="F452" s="5" t="s">
        <v>1800</v>
      </c>
      <c r="G452" s="5" t="s">
        <v>55</v>
      </c>
      <c r="H452" s="5" t="s">
        <v>57</v>
      </c>
      <c r="I452" s="5" t="s">
        <v>265</v>
      </c>
    </row>
    <row r="453" spans="1:9" ht="120" x14ac:dyDescent="0.25">
      <c r="A453" s="5" t="s">
        <v>756</v>
      </c>
      <c r="B453" s="5" t="s">
        <v>10</v>
      </c>
      <c r="C453" s="5" t="s">
        <v>756</v>
      </c>
      <c r="D453" s="5" t="s">
        <v>757</v>
      </c>
      <c r="E453" s="5" t="s">
        <v>174</v>
      </c>
      <c r="F453" s="5" t="s">
        <v>1807</v>
      </c>
      <c r="G453" s="5" t="s">
        <v>55</v>
      </c>
      <c r="H453" s="5" t="s">
        <v>57</v>
      </c>
      <c r="I453" s="5" t="s">
        <v>265</v>
      </c>
    </row>
    <row r="454" spans="1:9" ht="120" x14ac:dyDescent="0.25">
      <c r="A454" s="5" t="s">
        <v>756</v>
      </c>
      <c r="B454" s="5" t="s">
        <v>123</v>
      </c>
      <c r="C454" s="5" t="s">
        <v>756</v>
      </c>
      <c r="D454" s="5" t="s">
        <v>757</v>
      </c>
      <c r="E454" s="5" t="s">
        <v>174</v>
      </c>
      <c r="F454" s="5" t="s">
        <v>1807</v>
      </c>
      <c r="G454" s="5" t="s">
        <v>55</v>
      </c>
      <c r="H454" s="5" t="s">
        <v>57</v>
      </c>
      <c r="I454" s="5" t="s">
        <v>265</v>
      </c>
    </row>
    <row r="455" spans="1:9" ht="75" x14ac:dyDescent="0.25">
      <c r="A455" s="5" t="s">
        <v>760</v>
      </c>
      <c r="B455" s="5" t="s">
        <v>10</v>
      </c>
      <c r="C455" s="5" t="s">
        <v>760</v>
      </c>
      <c r="D455" s="5" t="s">
        <v>761</v>
      </c>
      <c r="E455" s="5" t="s">
        <v>762</v>
      </c>
      <c r="F455" s="5" t="s">
        <v>763</v>
      </c>
      <c r="G455" s="5" t="s">
        <v>15</v>
      </c>
      <c r="H455" s="5" t="s">
        <v>57</v>
      </c>
      <c r="I455" s="5" t="s">
        <v>265</v>
      </c>
    </row>
    <row r="456" spans="1:9" ht="150" x14ac:dyDescent="0.25">
      <c r="A456" s="5" t="s">
        <v>767</v>
      </c>
      <c r="B456" s="5" t="s">
        <v>132</v>
      </c>
      <c r="C456" s="5" t="s">
        <v>767</v>
      </c>
      <c r="D456" s="5" t="s">
        <v>768</v>
      </c>
      <c r="E456" s="5" t="s">
        <v>1808</v>
      </c>
      <c r="F456" s="5" t="s">
        <v>1809</v>
      </c>
      <c r="G456" s="5" t="s">
        <v>55</v>
      </c>
      <c r="H456" s="5" t="s">
        <v>57</v>
      </c>
      <c r="I456" s="5" t="s">
        <v>120</v>
      </c>
    </row>
    <row r="457" spans="1:9" ht="150" x14ac:dyDescent="0.25">
      <c r="A457" s="5" t="s">
        <v>1810</v>
      </c>
      <c r="B457" s="5" t="s">
        <v>1428</v>
      </c>
      <c r="C457" s="5" t="s">
        <v>767</v>
      </c>
      <c r="D457" s="5" t="s">
        <v>768</v>
      </c>
      <c r="E457" s="5" t="s">
        <v>1808</v>
      </c>
      <c r="F457" s="5" t="s">
        <v>1809</v>
      </c>
      <c r="G457" s="5" t="s">
        <v>55</v>
      </c>
      <c r="H457" s="5" t="s">
        <v>57</v>
      </c>
      <c r="I457" s="5" t="s">
        <v>265</v>
      </c>
    </row>
    <row r="458" spans="1:9" ht="45" x14ac:dyDescent="0.25">
      <c r="A458" s="5" t="s">
        <v>1811</v>
      </c>
      <c r="B458" s="5" t="s">
        <v>132</v>
      </c>
      <c r="C458" s="5" t="s">
        <v>767</v>
      </c>
      <c r="D458" s="5" t="s">
        <v>768</v>
      </c>
      <c r="E458" s="5" t="s">
        <v>1812</v>
      </c>
      <c r="F458" s="5" t="s">
        <v>1813</v>
      </c>
      <c r="G458" s="5" t="s">
        <v>55</v>
      </c>
      <c r="H458" s="5" t="s">
        <v>57</v>
      </c>
      <c r="I458" s="5" t="s">
        <v>57</v>
      </c>
    </row>
    <row r="459" spans="1:9" ht="45" x14ac:dyDescent="0.25">
      <c r="A459" s="5" t="s">
        <v>1811</v>
      </c>
      <c r="B459" s="5" t="s">
        <v>1428</v>
      </c>
      <c r="C459" s="5" t="s">
        <v>767</v>
      </c>
      <c r="D459" s="5" t="s">
        <v>768</v>
      </c>
      <c r="E459" s="5" t="s">
        <v>1812</v>
      </c>
      <c r="F459" s="5" t="s">
        <v>1813</v>
      </c>
      <c r="G459" s="5" t="s">
        <v>55</v>
      </c>
      <c r="H459" s="5" t="s">
        <v>57</v>
      </c>
      <c r="I459" s="5" t="s">
        <v>57</v>
      </c>
    </row>
    <row r="460" spans="1:9" ht="120" x14ac:dyDescent="0.25">
      <c r="A460" s="5" t="s">
        <v>1814</v>
      </c>
      <c r="B460" s="5" t="s">
        <v>132</v>
      </c>
      <c r="C460" s="5" t="s">
        <v>767</v>
      </c>
      <c r="D460" s="5" t="s">
        <v>768</v>
      </c>
      <c r="E460" s="5" t="s">
        <v>1815</v>
      </c>
      <c r="F460" s="5" t="s">
        <v>1816</v>
      </c>
      <c r="G460" s="5" t="s">
        <v>55</v>
      </c>
      <c r="H460" s="5" t="s">
        <v>97</v>
      </c>
      <c r="I460" s="5" t="s">
        <v>57</v>
      </c>
    </row>
    <row r="461" spans="1:9" ht="120" x14ac:dyDescent="0.25">
      <c r="A461" s="5" t="s">
        <v>1814</v>
      </c>
      <c r="B461" s="5" t="s">
        <v>1415</v>
      </c>
      <c r="C461" s="5" t="s">
        <v>767</v>
      </c>
      <c r="D461" s="5" t="s">
        <v>768</v>
      </c>
      <c r="E461" s="5" t="s">
        <v>1815</v>
      </c>
      <c r="F461" s="5" t="s">
        <v>1816</v>
      </c>
      <c r="G461" s="5" t="s">
        <v>55</v>
      </c>
      <c r="H461" s="5" t="s">
        <v>97</v>
      </c>
      <c r="I461" s="5" t="s">
        <v>57</v>
      </c>
    </row>
    <row r="462" spans="1:9" ht="120" x14ac:dyDescent="0.25">
      <c r="A462" s="5" t="s">
        <v>1817</v>
      </c>
      <c r="B462" s="5" t="s">
        <v>10</v>
      </c>
      <c r="C462" s="5" t="s">
        <v>767</v>
      </c>
      <c r="D462" s="5" t="s">
        <v>768</v>
      </c>
      <c r="E462" s="5" t="s">
        <v>174</v>
      </c>
      <c r="F462" s="5" t="s">
        <v>1818</v>
      </c>
      <c r="G462" s="5" t="s">
        <v>55</v>
      </c>
      <c r="H462" s="5" t="s">
        <v>57</v>
      </c>
      <c r="I462" s="5" t="s">
        <v>265</v>
      </c>
    </row>
    <row r="463" spans="1:9" ht="120" x14ac:dyDescent="0.25">
      <c r="A463" s="5" t="s">
        <v>1817</v>
      </c>
      <c r="B463" s="5" t="s">
        <v>123</v>
      </c>
      <c r="C463" s="5" t="s">
        <v>767</v>
      </c>
      <c r="D463" s="5" t="s">
        <v>768</v>
      </c>
      <c r="E463" s="5" t="s">
        <v>174</v>
      </c>
      <c r="F463" s="5" t="s">
        <v>1818</v>
      </c>
      <c r="G463" s="5" t="s">
        <v>55</v>
      </c>
      <c r="H463" s="5" t="s">
        <v>57</v>
      </c>
      <c r="I463" s="5" t="s">
        <v>265</v>
      </c>
    </row>
    <row r="464" spans="1:9" ht="105" x14ac:dyDescent="0.25">
      <c r="A464" s="5" t="s">
        <v>1819</v>
      </c>
      <c r="B464" s="5" t="s">
        <v>10</v>
      </c>
      <c r="C464" s="5" t="s">
        <v>767</v>
      </c>
      <c r="D464" s="5" t="s">
        <v>768</v>
      </c>
      <c r="E464" s="5" t="s">
        <v>1820</v>
      </c>
      <c r="F464" s="5" t="s">
        <v>1821</v>
      </c>
      <c r="G464" s="5" t="s">
        <v>55</v>
      </c>
      <c r="H464" s="5" t="s">
        <v>57</v>
      </c>
      <c r="I464" s="5" t="s">
        <v>57</v>
      </c>
    </row>
    <row r="465" spans="1:9" ht="105" x14ac:dyDescent="0.25">
      <c r="A465" s="5" t="s">
        <v>1822</v>
      </c>
      <c r="B465" s="5" t="s">
        <v>991</v>
      </c>
      <c r="C465" s="5" t="s">
        <v>767</v>
      </c>
      <c r="D465" s="5" t="s">
        <v>768</v>
      </c>
      <c r="E465" s="5" t="s">
        <v>1820</v>
      </c>
      <c r="F465" s="5" t="s">
        <v>1821</v>
      </c>
      <c r="G465" s="5" t="s">
        <v>55</v>
      </c>
      <c r="H465" s="5" t="s">
        <v>57</v>
      </c>
      <c r="I465" s="5" t="s">
        <v>57</v>
      </c>
    </row>
    <row r="466" spans="1:9" ht="60" x14ac:dyDescent="0.25">
      <c r="A466" s="5" t="s">
        <v>1823</v>
      </c>
      <c r="B466" s="5" t="s">
        <v>123</v>
      </c>
      <c r="C466" s="5" t="s">
        <v>767</v>
      </c>
      <c r="D466" s="5" t="s">
        <v>768</v>
      </c>
      <c r="E466" s="5" t="s">
        <v>1808</v>
      </c>
      <c r="F466" s="5" t="s">
        <v>1824</v>
      </c>
      <c r="G466" s="5" t="s">
        <v>55</v>
      </c>
      <c r="H466" s="5" t="s">
        <v>97</v>
      </c>
      <c r="I466" s="5" t="s">
        <v>57</v>
      </c>
    </row>
    <row r="467" spans="1:9" ht="75" x14ac:dyDescent="0.25">
      <c r="A467" s="5" t="s">
        <v>775</v>
      </c>
      <c r="B467" s="5" t="s">
        <v>132</v>
      </c>
      <c r="C467" s="5" t="s">
        <v>775</v>
      </c>
      <c r="D467" s="5" t="s">
        <v>776</v>
      </c>
      <c r="E467" s="5" t="s">
        <v>1825</v>
      </c>
      <c r="F467" s="5" t="s">
        <v>1826</v>
      </c>
      <c r="G467" s="5" t="s">
        <v>15</v>
      </c>
      <c r="H467" s="5" t="s">
        <v>97</v>
      </c>
      <c r="I467" s="5" t="s">
        <v>265</v>
      </c>
    </row>
    <row r="468" spans="1:9" ht="75" x14ac:dyDescent="0.25">
      <c r="A468" s="5" t="s">
        <v>1827</v>
      </c>
      <c r="B468" s="5" t="s">
        <v>132</v>
      </c>
      <c r="C468" s="5" t="s">
        <v>775</v>
      </c>
      <c r="D468" s="5" t="s">
        <v>776</v>
      </c>
      <c r="E468" s="5" t="s">
        <v>777</v>
      </c>
      <c r="F468" s="5" t="s">
        <v>1826</v>
      </c>
      <c r="G468" s="5" t="s">
        <v>55</v>
      </c>
      <c r="H468" s="5" t="s">
        <v>57</v>
      </c>
      <c r="I468" s="5" t="s">
        <v>57</v>
      </c>
    </row>
    <row r="469" spans="1:9" ht="75" x14ac:dyDescent="0.25">
      <c r="A469" s="5" t="s">
        <v>1827</v>
      </c>
      <c r="B469" s="5" t="s">
        <v>1428</v>
      </c>
      <c r="C469" s="5" t="s">
        <v>775</v>
      </c>
      <c r="D469" s="5" t="s">
        <v>776</v>
      </c>
      <c r="E469" s="5" t="s">
        <v>777</v>
      </c>
      <c r="F469" s="5" t="s">
        <v>1826</v>
      </c>
      <c r="G469" s="5" t="s">
        <v>55</v>
      </c>
      <c r="H469" s="5" t="s">
        <v>57</v>
      </c>
      <c r="I469" s="5" t="s">
        <v>57</v>
      </c>
    </row>
    <row r="470" spans="1:9" ht="30" x14ac:dyDescent="0.25">
      <c r="A470" s="5" t="s">
        <v>1828</v>
      </c>
      <c r="B470" s="5" t="s">
        <v>132</v>
      </c>
      <c r="C470" s="5" t="s">
        <v>775</v>
      </c>
      <c r="D470" s="5" t="s">
        <v>776</v>
      </c>
      <c r="E470" s="5" t="s">
        <v>777</v>
      </c>
      <c r="F470" s="5" t="s">
        <v>1829</v>
      </c>
      <c r="G470" s="5" t="s">
        <v>55</v>
      </c>
      <c r="H470" s="5" t="s">
        <v>57</v>
      </c>
      <c r="I470" s="5" t="s">
        <v>265</v>
      </c>
    </row>
    <row r="471" spans="1:9" ht="30" x14ac:dyDescent="0.25">
      <c r="A471" s="5" t="s">
        <v>1830</v>
      </c>
      <c r="B471" s="5" t="s">
        <v>1428</v>
      </c>
      <c r="C471" s="5" t="s">
        <v>775</v>
      </c>
      <c r="D471" s="5" t="s">
        <v>776</v>
      </c>
      <c r="E471" s="5" t="s">
        <v>777</v>
      </c>
      <c r="F471" s="5" t="s">
        <v>1829</v>
      </c>
      <c r="G471" s="5" t="s">
        <v>55</v>
      </c>
      <c r="H471" s="5" t="s">
        <v>57</v>
      </c>
      <c r="I471" s="5" t="s">
        <v>265</v>
      </c>
    </row>
    <row r="472" spans="1:9" ht="75" x14ac:dyDescent="0.25">
      <c r="A472" s="5" t="s">
        <v>1831</v>
      </c>
      <c r="B472" s="5" t="s">
        <v>132</v>
      </c>
      <c r="C472" s="5" t="s">
        <v>775</v>
      </c>
      <c r="D472" s="5" t="s">
        <v>776</v>
      </c>
      <c r="E472" s="5" t="s">
        <v>1825</v>
      </c>
      <c r="F472" s="5" t="s">
        <v>1826</v>
      </c>
      <c r="G472" s="5" t="s">
        <v>55</v>
      </c>
      <c r="H472" s="5" t="s">
        <v>97</v>
      </c>
      <c r="I472" s="5" t="s">
        <v>57</v>
      </c>
    </row>
    <row r="473" spans="1:9" ht="75" x14ac:dyDescent="0.25">
      <c r="A473" s="5" t="s">
        <v>1832</v>
      </c>
      <c r="B473" s="5" t="s">
        <v>10</v>
      </c>
      <c r="C473" s="5" t="s">
        <v>775</v>
      </c>
      <c r="D473" s="5" t="s">
        <v>776</v>
      </c>
      <c r="E473" s="5" t="s">
        <v>1825</v>
      </c>
      <c r="F473" s="5" t="s">
        <v>1833</v>
      </c>
      <c r="G473" s="5" t="s">
        <v>55</v>
      </c>
      <c r="H473" s="5" t="s">
        <v>57</v>
      </c>
      <c r="I473" s="5" t="s">
        <v>57</v>
      </c>
    </row>
    <row r="474" spans="1:9" ht="75" x14ac:dyDescent="0.25">
      <c r="A474" s="5" t="s">
        <v>1834</v>
      </c>
      <c r="B474" s="5" t="s">
        <v>10</v>
      </c>
      <c r="C474" s="5" t="s">
        <v>775</v>
      </c>
      <c r="D474" s="5" t="s">
        <v>776</v>
      </c>
      <c r="E474" s="5" t="s">
        <v>1825</v>
      </c>
      <c r="F474" s="5" t="s">
        <v>1826</v>
      </c>
      <c r="G474" s="5" t="s">
        <v>55</v>
      </c>
      <c r="H474" s="5" t="s">
        <v>97</v>
      </c>
      <c r="I474" s="5" t="s">
        <v>57</v>
      </c>
    </row>
    <row r="475" spans="1:9" ht="75" x14ac:dyDescent="0.25">
      <c r="A475" s="5" t="s">
        <v>1835</v>
      </c>
      <c r="B475" s="5" t="s">
        <v>123</v>
      </c>
      <c r="C475" s="5" t="s">
        <v>775</v>
      </c>
      <c r="D475" s="5" t="s">
        <v>776</v>
      </c>
      <c r="E475" s="5" t="s">
        <v>1825</v>
      </c>
      <c r="F475" s="5" t="s">
        <v>1826</v>
      </c>
      <c r="G475" s="5" t="s">
        <v>55</v>
      </c>
      <c r="H475" s="5" t="s">
        <v>97</v>
      </c>
      <c r="I475" s="5" t="s">
        <v>57</v>
      </c>
    </row>
    <row r="476" spans="1:9" ht="75" x14ac:dyDescent="0.25">
      <c r="A476" s="5" t="s">
        <v>1836</v>
      </c>
      <c r="B476" s="5" t="s">
        <v>10</v>
      </c>
      <c r="C476" s="5" t="s">
        <v>775</v>
      </c>
      <c r="D476" s="5" t="s">
        <v>776</v>
      </c>
      <c r="E476" s="5" t="s">
        <v>777</v>
      </c>
      <c r="F476" s="5" t="s">
        <v>1826</v>
      </c>
      <c r="G476" s="5" t="s">
        <v>55</v>
      </c>
      <c r="H476" s="5" t="s">
        <v>57</v>
      </c>
      <c r="I476" s="5" t="s">
        <v>265</v>
      </c>
    </row>
    <row r="477" spans="1:9" ht="75" x14ac:dyDescent="0.25">
      <c r="A477" s="5" t="s">
        <v>1836</v>
      </c>
      <c r="B477" s="5" t="s">
        <v>123</v>
      </c>
      <c r="C477" s="5" t="s">
        <v>775</v>
      </c>
      <c r="D477" s="5" t="s">
        <v>776</v>
      </c>
      <c r="E477" s="5" t="s">
        <v>777</v>
      </c>
      <c r="F477" s="5" t="s">
        <v>1826</v>
      </c>
      <c r="G477" s="5" t="s">
        <v>55</v>
      </c>
      <c r="H477" s="5" t="s">
        <v>57</v>
      </c>
      <c r="I477" s="5" t="s">
        <v>265</v>
      </c>
    </row>
    <row r="478" spans="1:9" ht="60" x14ac:dyDescent="0.25">
      <c r="A478" s="5" t="s">
        <v>1837</v>
      </c>
      <c r="B478" s="5" t="s">
        <v>10</v>
      </c>
      <c r="C478" s="5" t="s">
        <v>775</v>
      </c>
      <c r="D478" s="5" t="s">
        <v>776</v>
      </c>
      <c r="E478" s="5" t="s">
        <v>1825</v>
      </c>
      <c r="F478" s="5" t="s">
        <v>1838</v>
      </c>
      <c r="G478" s="5" t="s">
        <v>15</v>
      </c>
      <c r="H478" s="5" t="s">
        <v>57</v>
      </c>
      <c r="I478" s="5" t="s">
        <v>265</v>
      </c>
    </row>
    <row r="479" spans="1:9" ht="75" x14ac:dyDescent="0.25">
      <c r="A479" s="5" t="s">
        <v>1839</v>
      </c>
      <c r="B479" s="5" t="s">
        <v>10</v>
      </c>
      <c r="C479" s="5" t="s">
        <v>775</v>
      </c>
      <c r="D479" s="5" t="s">
        <v>776</v>
      </c>
      <c r="E479" s="5" t="s">
        <v>777</v>
      </c>
      <c r="F479" s="5" t="s">
        <v>1840</v>
      </c>
      <c r="G479" s="5" t="s">
        <v>15</v>
      </c>
      <c r="H479" s="5" t="s">
        <v>57</v>
      </c>
      <c r="I479" s="5" t="s">
        <v>265</v>
      </c>
    </row>
    <row r="480" spans="1:9" ht="75" x14ac:dyDescent="0.25">
      <c r="A480" s="5" t="s">
        <v>1841</v>
      </c>
      <c r="B480" s="5" t="s">
        <v>10</v>
      </c>
      <c r="C480" s="5" t="s">
        <v>775</v>
      </c>
      <c r="D480" s="5" t="s">
        <v>776</v>
      </c>
      <c r="E480" s="5" t="s">
        <v>777</v>
      </c>
      <c r="F480" s="5" t="s">
        <v>1842</v>
      </c>
      <c r="G480" s="5" t="s">
        <v>55</v>
      </c>
      <c r="H480" s="5" t="s">
        <v>97</v>
      </c>
      <c r="I480" s="5" t="s">
        <v>57</v>
      </c>
    </row>
    <row r="481" spans="1:9" ht="45" x14ac:dyDescent="0.25">
      <c r="A481" s="5" t="s">
        <v>782</v>
      </c>
      <c r="B481" s="5" t="s">
        <v>10</v>
      </c>
      <c r="C481" s="5" t="s">
        <v>782</v>
      </c>
      <c r="D481" s="5" t="s">
        <v>783</v>
      </c>
      <c r="E481" s="5" t="s">
        <v>174</v>
      </c>
      <c r="F481" s="5" t="s">
        <v>1843</v>
      </c>
      <c r="G481" s="5" t="s">
        <v>55</v>
      </c>
      <c r="H481" s="5" t="s">
        <v>57</v>
      </c>
      <c r="I481" s="5" t="s">
        <v>265</v>
      </c>
    </row>
    <row r="482" spans="1:9" ht="45" x14ac:dyDescent="0.25">
      <c r="A482" s="5" t="s">
        <v>782</v>
      </c>
      <c r="B482" s="5" t="s">
        <v>123</v>
      </c>
      <c r="C482" s="5" t="s">
        <v>782</v>
      </c>
      <c r="D482" s="5" t="s">
        <v>783</v>
      </c>
      <c r="E482" s="5" t="s">
        <v>174</v>
      </c>
      <c r="F482" s="5" t="s">
        <v>1843</v>
      </c>
      <c r="G482" s="5" t="s">
        <v>55</v>
      </c>
      <c r="H482" s="5" t="s">
        <v>57</v>
      </c>
      <c r="I482" s="5" t="s">
        <v>265</v>
      </c>
    </row>
    <row r="483" spans="1:9" ht="75" x14ac:dyDescent="0.25">
      <c r="A483" s="5" t="s">
        <v>786</v>
      </c>
      <c r="B483" s="5" t="s">
        <v>10</v>
      </c>
      <c r="C483" s="5" t="s">
        <v>786</v>
      </c>
      <c r="D483" s="5" t="s">
        <v>783</v>
      </c>
      <c r="E483" s="5" t="s">
        <v>174</v>
      </c>
      <c r="F483" s="5" t="s">
        <v>787</v>
      </c>
      <c r="G483" s="5" t="s">
        <v>15</v>
      </c>
      <c r="H483" s="5" t="s">
        <v>57</v>
      </c>
      <c r="I483" s="5" t="s">
        <v>265</v>
      </c>
    </row>
    <row r="484" spans="1:9" ht="90" x14ac:dyDescent="0.25">
      <c r="A484" s="5" t="s">
        <v>789</v>
      </c>
      <c r="B484" s="5" t="s">
        <v>10</v>
      </c>
      <c r="C484" s="5" t="s">
        <v>789</v>
      </c>
      <c r="D484" s="5" t="s">
        <v>790</v>
      </c>
      <c r="E484" s="5" t="s">
        <v>174</v>
      </c>
      <c r="F484" s="5" t="s">
        <v>1844</v>
      </c>
      <c r="G484" s="5" t="s">
        <v>15</v>
      </c>
      <c r="H484" s="5" t="s">
        <v>57</v>
      </c>
      <c r="I484" s="5" t="s">
        <v>265</v>
      </c>
    </row>
    <row r="485" spans="1:9" ht="105" x14ac:dyDescent="0.25">
      <c r="A485" s="5" t="s">
        <v>794</v>
      </c>
      <c r="B485" s="5" t="s">
        <v>10</v>
      </c>
      <c r="C485" s="5" t="s">
        <v>794</v>
      </c>
      <c r="D485" s="5" t="s">
        <v>795</v>
      </c>
      <c r="E485" s="5" t="s">
        <v>273</v>
      </c>
      <c r="F485" s="5" t="s">
        <v>1845</v>
      </c>
      <c r="G485" s="5" t="s">
        <v>55</v>
      </c>
      <c r="H485" s="5" t="s">
        <v>57</v>
      </c>
      <c r="I485" s="5" t="s">
        <v>265</v>
      </c>
    </row>
    <row r="486" spans="1:9" ht="105" x14ac:dyDescent="0.25">
      <c r="A486" s="5" t="s">
        <v>794</v>
      </c>
      <c r="B486" s="5" t="s">
        <v>123</v>
      </c>
      <c r="C486" s="5" t="s">
        <v>794</v>
      </c>
      <c r="D486" s="5" t="s">
        <v>795</v>
      </c>
      <c r="E486" s="5" t="s">
        <v>273</v>
      </c>
      <c r="F486" s="5" t="s">
        <v>1845</v>
      </c>
      <c r="G486" s="5" t="s">
        <v>55</v>
      </c>
      <c r="H486" s="5" t="s">
        <v>57</v>
      </c>
      <c r="I486" s="5" t="s">
        <v>265</v>
      </c>
    </row>
    <row r="487" spans="1:9" ht="75" x14ac:dyDescent="0.25">
      <c r="A487" s="5" t="s">
        <v>799</v>
      </c>
      <c r="B487" s="5" t="s">
        <v>10</v>
      </c>
      <c r="C487" s="5" t="s">
        <v>799</v>
      </c>
      <c r="D487" s="5" t="s">
        <v>800</v>
      </c>
      <c r="E487" s="5" t="s">
        <v>174</v>
      </c>
      <c r="F487" s="5" t="s">
        <v>1846</v>
      </c>
      <c r="G487" s="5" t="s">
        <v>55</v>
      </c>
      <c r="H487" s="5" t="s">
        <v>57</v>
      </c>
      <c r="I487" s="5" t="s">
        <v>265</v>
      </c>
    </row>
    <row r="488" spans="1:9" ht="75" x14ac:dyDescent="0.25">
      <c r="A488" s="5" t="s">
        <v>799</v>
      </c>
      <c r="B488" s="5" t="s">
        <v>123</v>
      </c>
      <c r="C488" s="5" t="s">
        <v>799</v>
      </c>
      <c r="D488" s="5" t="s">
        <v>800</v>
      </c>
      <c r="E488" s="5" t="s">
        <v>174</v>
      </c>
      <c r="F488" s="5" t="s">
        <v>1846</v>
      </c>
      <c r="G488" s="5" t="s">
        <v>55</v>
      </c>
      <c r="H488" s="5" t="s">
        <v>57</v>
      </c>
      <c r="I488" s="5" t="s">
        <v>265</v>
      </c>
    </row>
    <row r="489" spans="1:9" ht="45" x14ac:dyDescent="0.25">
      <c r="A489" s="5" t="s">
        <v>804</v>
      </c>
      <c r="B489" s="5" t="s">
        <v>10</v>
      </c>
      <c r="C489" s="5" t="s">
        <v>804</v>
      </c>
      <c r="D489" s="5" t="s">
        <v>800</v>
      </c>
      <c r="E489" s="5" t="s">
        <v>174</v>
      </c>
      <c r="F489" s="5" t="s">
        <v>1847</v>
      </c>
      <c r="G489" s="5" t="s">
        <v>55</v>
      </c>
      <c r="H489" s="5" t="s">
        <v>57</v>
      </c>
      <c r="I489" s="5" t="s">
        <v>265</v>
      </c>
    </row>
    <row r="490" spans="1:9" ht="45" x14ac:dyDescent="0.25">
      <c r="A490" s="5" t="s">
        <v>804</v>
      </c>
      <c r="B490" s="5" t="s">
        <v>123</v>
      </c>
      <c r="C490" s="5" t="s">
        <v>804</v>
      </c>
      <c r="D490" s="5" t="s">
        <v>800</v>
      </c>
      <c r="E490" s="5" t="s">
        <v>174</v>
      </c>
      <c r="F490" s="5" t="s">
        <v>1847</v>
      </c>
      <c r="G490" s="5" t="s">
        <v>55</v>
      </c>
      <c r="H490" s="5" t="s">
        <v>57</v>
      </c>
      <c r="I490" s="5" t="s">
        <v>265</v>
      </c>
    </row>
    <row r="491" spans="1:9" ht="30" x14ac:dyDescent="0.25">
      <c r="A491" s="5" t="s">
        <v>809</v>
      </c>
      <c r="B491" s="5" t="s">
        <v>132</v>
      </c>
      <c r="C491" s="5" t="s">
        <v>809</v>
      </c>
      <c r="D491" s="5" t="s">
        <v>776</v>
      </c>
      <c r="E491" s="5" t="s">
        <v>1825</v>
      </c>
      <c r="F491" s="5" t="s">
        <v>1848</v>
      </c>
      <c r="G491" s="5" t="s">
        <v>15</v>
      </c>
      <c r="H491" s="5" t="s">
        <v>265</v>
      </c>
      <c r="I491" s="5" t="s">
        <v>265</v>
      </c>
    </row>
    <row r="492" spans="1:9" ht="30" x14ac:dyDescent="0.25">
      <c r="A492" s="5" t="s">
        <v>1849</v>
      </c>
      <c r="B492" s="5" t="s">
        <v>132</v>
      </c>
      <c r="C492" s="5" t="s">
        <v>809</v>
      </c>
      <c r="D492" s="5" t="s">
        <v>776</v>
      </c>
      <c r="E492" s="5" t="s">
        <v>777</v>
      </c>
      <c r="F492" s="5" t="s">
        <v>1848</v>
      </c>
      <c r="G492" s="5" t="s">
        <v>55</v>
      </c>
      <c r="H492" s="5" t="s">
        <v>57</v>
      </c>
      <c r="I492" s="5" t="s">
        <v>57</v>
      </c>
    </row>
    <row r="493" spans="1:9" ht="30" x14ac:dyDescent="0.25">
      <c r="A493" s="5" t="s">
        <v>1849</v>
      </c>
      <c r="B493" s="5" t="s">
        <v>1428</v>
      </c>
      <c r="C493" s="5" t="s">
        <v>809</v>
      </c>
      <c r="D493" s="5" t="s">
        <v>776</v>
      </c>
      <c r="E493" s="5" t="s">
        <v>777</v>
      </c>
      <c r="F493" s="5" t="s">
        <v>1848</v>
      </c>
      <c r="G493" s="5" t="s">
        <v>55</v>
      </c>
      <c r="H493" s="5" t="s">
        <v>57</v>
      </c>
      <c r="I493" s="5" t="s">
        <v>57</v>
      </c>
    </row>
    <row r="494" spans="1:9" ht="90" x14ac:dyDescent="0.25">
      <c r="A494" s="5" t="s">
        <v>1850</v>
      </c>
      <c r="B494" s="5" t="s">
        <v>132</v>
      </c>
      <c r="C494" s="5" t="s">
        <v>809</v>
      </c>
      <c r="D494" s="5" t="s">
        <v>776</v>
      </c>
      <c r="E494" s="5" t="s">
        <v>1851</v>
      </c>
      <c r="F494" s="5" t="s">
        <v>1422</v>
      </c>
      <c r="G494" s="5" t="s">
        <v>55</v>
      </c>
      <c r="H494" s="5" t="s">
        <v>57</v>
      </c>
      <c r="I494" s="5" t="s">
        <v>265</v>
      </c>
    </row>
    <row r="495" spans="1:9" ht="90" x14ac:dyDescent="0.25">
      <c r="A495" s="5" t="s">
        <v>1852</v>
      </c>
      <c r="B495" s="5" t="s">
        <v>1428</v>
      </c>
      <c r="C495" s="5" t="s">
        <v>809</v>
      </c>
      <c r="D495" s="5" t="s">
        <v>776</v>
      </c>
      <c r="E495" s="5" t="s">
        <v>1851</v>
      </c>
      <c r="F495" s="5" t="s">
        <v>1422</v>
      </c>
      <c r="G495" s="5" t="s">
        <v>55</v>
      </c>
      <c r="H495" s="5" t="s">
        <v>57</v>
      </c>
      <c r="I495" s="5" t="s">
        <v>265</v>
      </c>
    </row>
    <row r="496" spans="1:9" ht="30" x14ac:dyDescent="0.25">
      <c r="A496" s="5" t="s">
        <v>1853</v>
      </c>
      <c r="B496" s="5" t="s">
        <v>132</v>
      </c>
      <c r="C496" s="5" t="s">
        <v>809</v>
      </c>
      <c r="D496" s="5" t="s">
        <v>776</v>
      </c>
      <c r="E496" s="5" t="s">
        <v>1825</v>
      </c>
      <c r="F496" s="5" t="s">
        <v>1848</v>
      </c>
      <c r="G496" s="5" t="s">
        <v>55</v>
      </c>
      <c r="H496" s="5" t="s">
        <v>97</v>
      </c>
      <c r="I496" s="5" t="s">
        <v>57</v>
      </c>
    </row>
    <row r="497" spans="1:9" ht="30" x14ac:dyDescent="0.25">
      <c r="A497" s="5" t="s">
        <v>1854</v>
      </c>
      <c r="B497" s="5" t="s">
        <v>10</v>
      </c>
      <c r="C497" s="5" t="s">
        <v>809</v>
      </c>
      <c r="D497" s="5" t="s">
        <v>776</v>
      </c>
      <c r="E497" s="5" t="s">
        <v>1825</v>
      </c>
      <c r="F497" s="5" t="s">
        <v>1855</v>
      </c>
      <c r="G497" s="5" t="s">
        <v>55</v>
      </c>
      <c r="H497" s="5" t="s">
        <v>57</v>
      </c>
      <c r="I497" s="5" t="s">
        <v>57</v>
      </c>
    </row>
    <row r="498" spans="1:9" ht="30" x14ac:dyDescent="0.25">
      <c r="A498" s="5" t="s">
        <v>1856</v>
      </c>
      <c r="B498" s="5" t="s">
        <v>10</v>
      </c>
      <c r="C498" s="5" t="s">
        <v>809</v>
      </c>
      <c r="D498" s="5" t="s">
        <v>776</v>
      </c>
      <c r="E498" s="5" t="s">
        <v>1825</v>
      </c>
      <c r="F498" s="5" t="s">
        <v>1848</v>
      </c>
      <c r="G498" s="5" t="s">
        <v>55</v>
      </c>
      <c r="H498" s="5" t="s">
        <v>97</v>
      </c>
      <c r="I498" s="5" t="s">
        <v>57</v>
      </c>
    </row>
    <row r="499" spans="1:9" ht="30" x14ac:dyDescent="0.25">
      <c r="A499" s="5" t="s">
        <v>1857</v>
      </c>
      <c r="B499" s="5" t="s">
        <v>10</v>
      </c>
      <c r="C499" s="5" t="s">
        <v>809</v>
      </c>
      <c r="D499" s="5" t="s">
        <v>776</v>
      </c>
      <c r="E499" s="5" t="s">
        <v>777</v>
      </c>
      <c r="F499" s="5" t="s">
        <v>1848</v>
      </c>
      <c r="G499" s="5" t="s">
        <v>55</v>
      </c>
      <c r="H499" s="5" t="s">
        <v>57</v>
      </c>
      <c r="I499" s="5" t="s">
        <v>265</v>
      </c>
    </row>
    <row r="500" spans="1:9" ht="30" x14ac:dyDescent="0.25">
      <c r="A500" s="5" t="s">
        <v>1857</v>
      </c>
      <c r="B500" s="5" t="s">
        <v>123</v>
      </c>
      <c r="C500" s="5" t="s">
        <v>809</v>
      </c>
      <c r="D500" s="5" t="s">
        <v>776</v>
      </c>
      <c r="E500" s="5" t="s">
        <v>777</v>
      </c>
      <c r="F500" s="5" t="s">
        <v>1848</v>
      </c>
      <c r="G500" s="5" t="s">
        <v>55</v>
      </c>
      <c r="H500" s="5" t="s">
        <v>57</v>
      </c>
      <c r="I500" s="5" t="s">
        <v>265</v>
      </c>
    </row>
    <row r="501" spans="1:9" ht="30" x14ac:dyDescent="0.25">
      <c r="A501" s="5" t="s">
        <v>1858</v>
      </c>
      <c r="B501" s="5" t="s">
        <v>10</v>
      </c>
      <c r="C501" s="5" t="s">
        <v>809</v>
      </c>
      <c r="D501" s="5" t="s">
        <v>776</v>
      </c>
      <c r="E501" s="5" t="s">
        <v>1825</v>
      </c>
      <c r="F501" s="5" t="s">
        <v>1848</v>
      </c>
      <c r="G501" s="5" t="s">
        <v>15</v>
      </c>
      <c r="H501" s="5" t="s">
        <v>57</v>
      </c>
      <c r="I501" s="5" t="s">
        <v>265</v>
      </c>
    </row>
    <row r="502" spans="1:9" ht="60" x14ac:dyDescent="0.25">
      <c r="A502" s="5" t="s">
        <v>1859</v>
      </c>
      <c r="B502" s="5" t="s">
        <v>10</v>
      </c>
      <c r="C502" s="5" t="s">
        <v>809</v>
      </c>
      <c r="D502" s="5" t="s">
        <v>776</v>
      </c>
      <c r="E502" s="5" t="s">
        <v>777</v>
      </c>
      <c r="F502" s="5" t="s">
        <v>1860</v>
      </c>
      <c r="G502" s="5" t="s">
        <v>15</v>
      </c>
      <c r="H502" s="5" t="s">
        <v>57</v>
      </c>
      <c r="I502" s="5" t="s">
        <v>120</v>
      </c>
    </row>
    <row r="503" spans="1:9" ht="30" x14ac:dyDescent="0.25">
      <c r="A503" s="5" t="s">
        <v>1861</v>
      </c>
      <c r="B503" s="5" t="s">
        <v>10</v>
      </c>
      <c r="C503" s="5" t="s">
        <v>809</v>
      </c>
      <c r="D503" s="5" t="s">
        <v>776</v>
      </c>
      <c r="E503" s="5" t="s">
        <v>777</v>
      </c>
      <c r="F503" s="5" t="s">
        <v>1848</v>
      </c>
      <c r="G503" s="5" t="s">
        <v>55</v>
      </c>
      <c r="H503" s="5" t="s">
        <v>97</v>
      </c>
      <c r="I503" s="5" t="s">
        <v>57</v>
      </c>
    </row>
    <row r="504" spans="1:9" ht="60" x14ac:dyDescent="0.25">
      <c r="A504" s="5" t="s">
        <v>815</v>
      </c>
      <c r="B504" s="5" t="s">
        <v>10</v>
      </c>
      <c r="C504" s="5" t="s">
        <v>815</v>
      </c>
      <c r="D504" s="5" t="s">
        <v>816</v>
      </c>
      <c r="E504" s="5" t="s">
        <v>273</v>
      </c>
      <c r="F504" s="5" t="s">
        <v>1862</v>
      </c>
      <c r="G504" s="5" t="s">
        <v>55</v>
      </c>
      <c r="H504" s="5" t="s">
        <v>57</v>
      </c>
      <c r="I504" s="5" t="s">
        <v>265</v>
      </c>
    </row>
    <row r="505" spans="1:9" ht="60" x14ac:dyDescent="0.25">
      <c r="A505" s="5" t="s">
        <v>815</v>
      </c>
      <c r="B505" s="5" t="s">
        <v>123</v>
      </c>
      <c r="C505" s="5" t="s">
        <v>815</v>
      </c>
      <c r="D505" s="5" t="s">
        <v>816</v>
      </c>
      <c r="E505" s="5" t="s">
        <v>273</v>
      </c>
      <c r="F505" s="5" t="s">
        <v>1862</v>
      </c>
      <c r="G505" s="5" t="s">
        <v>55</v>
      </c>
      <c r="H505" s="5" t="s">
        <v>57</v>
      </c>
      <c r="I505" s="5" t="s">
        <v>265</v>
      </c>
    </row>
    <row r="506" spans="1:9" ht="135" x14ac:dyDescent="0.25">
      <c r="A506" s="5" t="s">
        <v>821</v>
      </c>
      <c r="B506" s="5" t="s">
        <v>10</v>
      </c>
      <c r="C506" s="5" t="s">
        <v>821</v>
      </c>
      <c r="D506" s="5" t="s">
        <v>822</v>
      </c>
      <c r="E506" s="5" t="s">
        <v>188</v>
      </c>
      <c r="F506" s="5" t="s">
        <v>1863</v>
      </c>
      <c r="G506" s="5" t="s">
        <v>55</v>
      </c>
      <c r="H506" s="5" t="s">
        <v>57</v>
      </c>
      <c r="I506" s="5" t="s">
        <v>265</v>
      </c>
    </row>
    <row r="507" spans="1:9" ht="135" x14ac:dyDescent="0.25">
      <c r="A507" s="5" t="s">
        <v>821</v>
      </c>
      <c r="B507" s="5" t="s">
        <v>123</v>
      </c>
      <c r="C507" s="5" t="s">
        <v>821</v>
      </c>
      <c r="D507" s="5" t="s">
        <v>822</v>
      </c>
      <c r="E507" s="5" t="s">
        <v>188</v>
      </c>
      <c r="F507" s="5" t="s">
        <v>1863</v>
      </c>
      <c r="G507" s="5" t="s">
        <v>55</v>
      </c>
      <c r="H507" s="5" t="s">
        <v>57</v>
      </c>
      <c r="I507" s="5" t="s">
        <v>265</v>
      </c>
    </row>
    <row r="508" spans="1:9" ht="60" x14ac:dyDescent="0.25">
      <c r="A508" s="5" t="s">
        <v>1864</v>
      </c>
      <c r="B508" s="5" t="s">
        <v>10</v>
      </c>
      <c r="C508" s="5" t="s">
        <v>821</v>
      </c>
      <c r="D508" s="5" t="s">
        <v>822</v>
      </c>
      <c r="E508" s="5" t="s">
        <v>1865</v>
      </c>
      <c r="F508" s="5" t="s">
        <v>1866</v>
      </c>
      <c r="G508" s="5" t="s">
        <v>55</v>
      </c>
      <c r="H508" s="5" t="s">
        <v>57</v>
      </c>
      <c r="I508" s="5" t="s">
        <v>265</v>
      </c>
    </row>
    <row r="509" spans="1:9" ht="60" x14ac:dyDescent="0.25">
      <c r="A509" s="5" t="s">
        <v>1867</v>
      </c>
      <c r="B509" s="5" t="s">
        <v>1013</v>
      </c>
      <c r="C509" s="5" t="s">
        <v>821</v>
      </c>
      <c r="D509" s="5" t="s">
        <v>822</v>
      </c>
      <c r="E509" s="5" t="s">
        <v>1865</v>
      </c>
      <c r="F509" s="5" t="s">
        <v>1866</v>
      </c>
      <c r="G509" s="5" t="s">
        <v>55</v>
      </c>
      <c r="H509" s="5" t="s">
        <v>57</v>
      </c>
      <c r="I509" s="5" t="s">
        <v>265</v>
      </c>
    </row>
    <row r="510" spans="1:9" ht="75" x14ac:dyDescent="0.25">
      <c r="A510" s="5" t="s">
        <v>1868</v>
      </c>
      <c r="B510" s="5" t="s">
        <v>10</v>
      </c>
      <c r="C510" s="5" t="s">
        <v>821</v>
      </c>
      <c r="D510" s="5" t="s">
        <v>822</v>
      </c>
      <c r="E510" s="5" t="s">
        <v>1869</v>
      </c>
      <c r="F510" s="5" t="s">
        <v>1870</v>
      </c>
      <c r="G510" s="5" t="s">
        <v>55</v>
      </c>
      <c r="H510" s="5" t="s">
        <v>57</v>
      </c>
      <c r="I510" s="5" t="s">
        <v>265</v>
      </c>
    </row>
    <row r="511" spans="1:9" ht="75" x14ac:dyDescent="0.25">
      <c r="A511" s="5" t="s">
        <v>1871</v>
      </c>
      <c r="B511" s="5" t="s">
        <v>1428</v>
      </c>
      <c r="C511" s="5" t="s">
        <v>821</v>
      </c>
      <c r="D511" s="5" t="s">
        <v>822</v>
      </c>
      <c r="E511" s="5" t="s">
        <v>1869</v>
      </c>
      <c r="F511" s="5" t="s">
        <v>1870</v>
      </c>
      <c r="G511" s="5" t="s">
        <v>55</v>
      </c>
      <c r="H511" s="5" t="s">
        <v>57</v>
      </c>
      <c r="I511" s="5" t="s">
        <v>265</v>
      </c>
    </row>
    <row r="512" spans="1:9" ht="45" x14ac:dyDescent="0.25">
      <c r="A512" s="5" t="s">
        <v>1872</v>
      </c>
      <c r="B512" s="5" t="s">
        <v>10</v>
      </c>
      <c r="C512" s="5" t="s">
        <v>821</v>
      </c>
      <c r="D512" s="5" t="s">
        <v>822</v>
      </c>
      <c r="E512" s="5" t="s">
        <v>188</v>
      </c>
      <c r="F512" s="5" t="s">
        <v>1873</v>
      </c>
      <c r="G512" s="5" t="s">
        <v>55</v>
      </c>
      <c r="H512" s="5" t="s">
        <v>97</v>
      </c>
      <c r="I512" s="5" t="s">
        <v>57</v>
      </c>
    </row>
    <row r="513" spans="1:9" ht="45" x14ac:dyDescent="0.25">
      <c r="A513" s="5" t="s">
        <v>1874</v>
      </c>
      <c r="B513" s="5" t="s">
        <v>123</v>
      </c>
      <c r="C513" s="5" t="s">
        <v>821</v>
      </c>
      <c r="D513" s="5" t="s">
        <v>822</v>
      </c>
      <c r="E513" s="5" t="s">
        <v>188</v>
      </c>
      <c r="F513" s="5" t="s">
        <v>1873</v>
      </c>
      <c r="G513" s="5" t="s">
        <v>55</v>
      </c>
      <c r="H513" s="5" t="s">
        <v>97</v>
      </c>
      <c r="I513" s="5" t="s">
        <v>57</v>
      </c>
    </row>
    <row r="514" spans="1:9" ht="75" x14ac:dyDescent="0.25">
      <c r="A514" s="5" t="s">
        <v>1875</v>
      </c>
      <c r="B514" s="5" t="s">
        <v>10</v>
      </c>
      <c r="C514" s="5" t="s">
        <v>821</v>
      </c>
      <c r="D514" s="5" t="s">
        <v>822</v>
      </c>
      <c r="E514" s="5" t="s">
        <v>1876</v>
      </c>
      <c r="F514" s="5" t="s">
        <v>1870</v>
      </c>
      <c r="G514" s="5" t="s">
        <v>55</v>
      </c>
      <c r="H514" s="5" t="s">
        <v>97</v>
      </c>
      <c r="I514" s="5" t="s">
        <v>57</v>
      </c>
    </row>
    <row r="515" spans="1:9" ht="150" x14ac:dyDescent="0.25">
      <c r="A515" s="5" t="s">
        <v>1877</v>
      </c>
      <c r="B515" s="5" t="s">
        <v>132</v>
      </c>
      <c r="C515" s="5" t="s">
        <v>821</v>
      </c>
      <c r="D515" s="5" t="s">
        <v>822</v>
      </c>
      <c r="E515" s="5" t="s">
        <v>1865</v>
      </c>
      <c r="F515" s="5" t="s">
        <v>1878</v>
      </c>
      <c r="G515" s="5" t="s">
        <v>15</v>
      </c>
      <c r="H515" s="5" t="s">
        <v>661</v>
      </c>
      <c r="I515" s="5" t="s">
        <v>265</v>
      </c>
    </row>
    <row r="516" spans="1:9" ht="150" x14ac:dyDescent="0.25">
      <c r="A516" s="5" t="s">
        <v>1879</v>
      </c>
      <c r="B516" s="5" t="s">
        <v>132</v>
      </c>
      <c r="C516" s="5" t="s">
        <v>821</v>
      </c>
      <c r="D516" s="5" t="s">
        <v>822</v>
      </c>
      <c r="E516" s="5" t="s">
        <v>188</v>
      </c>
      <c r="F516" s="5" t="s">
        <v>1878</v>
      </c>
      <c r="G516" s="5" t="s">
        <v>55</v>
      </c>
      <c r="H516" s="5" t="s">
        <v>57</v>
      </c>
      <c r="I516" s="5" t="s">
        <v>57</v>
      </c>
    </row>
    <row r="517" spans="1:9" ht="150" x14ac:dyDescent="0.25">
      <c r="A517" s="5" t="s">
        <v>1879</v>
      </c>
      <c r="B517" s="5" t="s">
        <v>1428</v>
      </c>
      <c r="C517" s="5" t="s">
        <v>821</v>
      </c>
      <c r="D517" s="5" t="s">
        <v>822</v>
      </c>
      <c r="E517" s="5" t="s">
        <v>188</v>
      </c>
      <c r="F517" s="5" t="s">
        <v>1878</v>
      </c>
      <c r="G517" s="5" t="s">
        <v>55</v>
      </c>
      <c r="H517" s="5" t="s">
        <v>57</v>
      </c>
      <c r="I517" s="5" t="s">
        <v>57</v>
      </c>
    </row>
    <row r="518" spans="1:9" ht="30" x14ac:dyDescent="0.25">
      <c r="A518" s="5" t="s">
        <v>1880</v>
      </c>
      <c r="B518" s="5" t="s">
        <v>132</v>
      </c>
      <c r="C518" s="5" t="s">
        <v>821</v>
      </c>
      <c r="D518" s="5" t="s">
        <v>822</v>
      </c>
      <c r="E518" s="5" t="s">
        <v>1865</v>
      </c>
      <c r="F518" s="5" t="s">
        <v>57</v>
      </c>
      <c r="G518" s="5" t="s">
        <v>55</v>
      </c>
      <c r="H518" s="5" t="s">
        <v>97</v>
      </c>
      <c r="I518" s="5" t="s">
        <v>57</v>
      </c>
    </row>
    <row r="519" spans="1:9" ht="240" x14ac:dyDescent="0.25">
      <c r="A519" s="5" t="s">
        <v>1881</v>
      </c>
      <c r="B519" s="5" t="s">
        <v>132</v>
      </c>
      <c r="C519" s="5" t="s">
        <v>821</v>
      </c>
      <c r="D519" s="5" t="s">
        <v>822</v>
      </c>
      <c r="E519" s="5" t="s">
        <v>1865</v>
      </c>
      <c r="F519" s="5" t="s">
        <v>1882</v>
      </c>
      <c r="G519" s="5" t="s">
        <v>55</v>
      </c>
      <c r="H519" s="5" t="s">
        <v>57</v>
      </c>
      <c r="I519" s="5" t="s">
        <v>265</v>
      </c>
    </row>
    <row r="520" spans="1:9" ht="240" x14ac:dyDescent="0.25">
      <c r="A520" s="5" t="s">
        <v>1881</v>
      </c>
      <c r="B520" s="5" t="s">
        <v>1408</v>
      </c>
      <c r="C520" s="5" t="s">
        <v>821</v>
      </c>
      <c r="D520" s="5" t="s">
        <v>822</v>
      </c>
      <c r="E520" s="5" t="s">
        <v>1865</v>
      </c>
      <c r="F520" s="5" t="s">
        <v>1882</v>
      </c>
      <c r="G520" s="5" t="s">
        <v>55</v>
      </c>
      <c r="H520" s="5" t="s">
        <v>57</v>
      </c>
      <c r="I520" s="5" t="s">
        <v>265</v>
      </c>
    </row>
    <row r="521" spans="1:9" ht="240" x14ac:dyDescent="0.25">
      <c r="A521" s="5" t="s">
        <v>1881</v>
      </c>
      <c r="B521" s="5" t="s">
        <v>1013</v>
      </c>
      <c r="C521" s="5" t="s">
        <v>821</v>
      </c>
      <c r="D521" s="5" t="s">
        <v>822</v>
      </c>
      <c r="E521" s="5" t="s">
        <v>1865</v>
      </c>
      <c r="F521" s="5" t="s">
        <v>1882</v>
      </c>
      <c r="G521" s="5" t="s">
        <v>55</v>
      </c>
      <c r="H521" s="5" t="s">
        <v>57</v>
      </c>
      <c r="I521" s="5" t="s">
        <v>265</v>
      </c>
    </row>
    <row r="522" spans="1:9" ht="120" x14ac:dyDescent="0.25">
      <c r="A522" s="5" t="s">
        <v>1883</v>
      </c>
      <c r="B522" s="5" t="s">
        <v>132</v>
      </c>
      <c r="C522" s="5" t="s">
        <v>821</v>
      </c>
      <c r="D522" s="5" t="s">
        <v>822</v>
      </c>
      <c r="E522" s="5" t="s">
        <v>1865</v>
      </c>
      <c r="F522" s="5" t="s">
        <v>1884</v>
      </c>
      <c r="G522" s="5" t="s">
        <v>55</v>
      </c>
      <c r="H522" s="5" t="s">
        <v>57</v>
      </c>
      <c r="I522" s="5" t="s">
        <v>265</v>
      </c>
    </row>
    <row r="523" spans="1:9" ht="120" x14ac:dyDescent="0.25">
      <c r="A523" s="5" t="s">
        <v>1885</v>
      </c>
      <c r="B523" s="5" t="s">
        <v>1428</v>
      </c>
      <c r="C523" s="5" t="s">
        <v>821</v>
      </c>
      <c r="D523" s="5" t="s">
        <v>822</v>
      </c>
      <c r="E523" s="5" t="s">
        <v>1865</v>
      </c>
      <c r="F523" s="5" t="s">
        <v>1884</v>
      </c>
      <c r="G523" s="5" t="s">
        <v>55</v>
      </c>
      <c r="H523" s="5" t="s">
        <v>57</v>
      </c>
      <c r="I523" s="5" t="s">
        <v>265</v>
      </c>
    </row>
    <row r="524" spans="1:9" ht="150" x14ac:dyDescent="0.25">
      <c r="A524" s="5" t="s">
        <v>1886</v>
      </c>
      <c r="B524" s="5" t="s">
        <v>132</v>
      </c>
      <c r="C524" s="5" t="s">
        <v>821</v>
      </c>
      <c r="D524" s="5" t="s">
        <v>822</v>
      </c>
      <c r="E524" s="5" t="s">
        <v>1876</v>
      </c>
      <c r="F524" s="5" t="s">
        <v>1887</v>
      </c>
      <c r="G524" s="5" t="s">
        <v>55</v>
      </c>
      <c r="H524" s="5" t="s">
        <v>97</v>
      </c>
      <c r="I524" s="5" t="s">
        <v>57</v>
      </c>
    </row>
    <row r="525" spans="1:9" ht="150" x14ac:dyDescent="0.25">
      <c r="A525" s="5" t="s">
        <v>1886</v>
      </c>
      <c r="B525" s="5" t="s">
        <v>1415</v>
      </c>
      <c r="C525" s="5" t="s">
        <v>821</v>
      </c>
      <c r="D525" s="5" t="s">
        <v>822</v>
      </c>
      <c r="E525" s="5" t="s">
        <v>1876</v>
      </c>
      <c r="F525" s="5" t="s">
        <v>1887</v>
      </c>
      <c r="G525" s="5" t="s">
        <v>55</v>
      </c>
      <c r="H525" s="5" t="s">
        <v>97</v>
      </c>
      <c r="I525" s="5" t="s">
        <v>57</v>
      </c>
    </row>
    <row r="526" spans="1:9" ht="150" x14ac:dyDescent="0.25">
      <c r="A526" s="5" t="s">
        <v>1886</v>
      </c>
      <c r="B526" s="5" t="s">
        <v>1013</v>
      </c>
      <c r="C526" s="5" t="s">
        <v>821</v>
      </c>
      <c r="D526" s="5" t="s">
        <v>822</v>
      </c>
      <c r="E526" s="5" t="s">
        <v>1876</v>
      </c>
      <c r="F526" s="5" t="s">
        <v>1887</v>
      </c>
      <c r="G526" s="5" t="s">
        <v>55</v>
      </c>
      <c r="H526" s="5" t="s">
        <v>97</v>
      </c>
      <c r="I526" s="5" t="s">
        <v>57</v>
      </c>
    </row>
    <row r="527" spans="1:9" ht="45" x14ac:dyDescent="0.25">
      <c r="A527" s="5" t="s">
        <v>1888</v>
      </c>
      <c r="B527" s="5" t="s">
        <v>123</v>
      </c>
      <c r="C527" s="5" t="s">
        <v>821</v>
      </c>
      <c r="D527" s="5" t="s">
        <v>822</v>
      </c>
      <c r="E527" s="5" t="s">
        <v>1865</v>
      </c>
      <c r="F527" s="5" t="s">
        <v>1889</v>
      </c>
      <c r="G527" s="5" t="s">
        <v>55</v>
      </c>
      <c r="H527" s="5" t="s">
        <v>97</v>
      </c>
      <c r="I527" s="5" t="s">
        <v>57</v>
      </c>
    </row>
    <row r="528" spans="1:9" ht="240" x14ac:dyDescent="0.25">
      <c r="A528" s="5" t="s">
        <v>1890</v>
      </c>
      <c r="B528" s="5" t="s">
        <v>1531</v>
      </c>
      <c r="C528" s="5" t="s">
        <v>821</v>
      </c>
      <c r="D528" s="5" t="s">
        <v>822</v>
      </c>
      <c r="E528" s="5" t="s">
        <v>1865</v>
      </c>
      <c r="F528" s="5" t="s">
        <v>1882</v>
      </c>
      <c r="G528" s="5" t="s">
        <v>55</v>
      </c>
      <c r="H528" s="5" t="s">
        <v>97</v>
      </c>
      <c r="I528" s="5" t="s">
        <v>57</v>
      </c>
    </row>
    <row r="529" spans="1:9" ht="45" x14ac:dyDescent="0.25">
      <c r="A529" s="5" t="s">
        <v>829</v>
      </c>
      <c r="B529" s="5" t="s">
        <v>10</v>
      </c>
      <c r="C529" s="5" t="s">
        <v>829</v>
      </c>
      <c r="D529" s="5" t="s">
        <v>830</v>
      </c>
      <c r="E529" s="5" t="s">
        <v>831</v>
      </c>
      <c r="F529" s="5" t="s">
        <v>832</v>
      </c>
      <c r="G529" s="5" t="s">
        <v>15</v>
      </c>
      <c r="H529" s="5" t="s">
        <v>57</v>
      </c>
      <c r="I529" s="5" t="s">
        <v>120</v>
      </c>
    </row>
    <row r="530" spans="1:9" ht="45" x14ac:dyDescent="0.25">
      <c r="A530" s="5" t="s">
        <v>829</v>
      </c>
      <c r="B530" s="5" t="s">
        <v>123</v>
      </c>
      <c r="C530" s="5" t="s">
        <v>829</v>
      </c>
      <c r="D530" s="5" t="s">
        <v>830</v>
      </c>
      <c r="E530" s="5" t="s">
        <v>831</v>
      </c>
      <c r="F530" s="5" t="s">
        <v>832</v>
      </c>
      <c r="G530" s="5" t="s">
        <v>15</v>
      </c>
      <c r="H530" s="5" t="s">
        <v>57</v>
      </c>
      <c r="I530" s="5" t="s">
        <v>120</v>
      </c>
    </row>
    <row r="531" spans="1:9" ht="90" x14ac:dyDescent="0.25">
      <c r="A531" s="5" t="s">
        <v>835</v>
      </c>
      <c r="B531" s="5" t="s">
        <v>10</v>
      </c>
      <c r="C531" s="5" t="s">
        <v>835</v>
      </c>
      <c r="D531" s="5" t="s">
        <v>836</v>
      </c>
      <c r="E531" s="5" t="s">
        <v>174</v>
      </c>
      <c r="F531" s="5" t="s">
        <v>837</v>
      </c>
      <c r="G531" s="5" t="s">
        <v>55</v>
      </c>
      <c r="H531" s="5" t="s">
        <v>57</v>
      </c>
      <c r="I531" s="5" t="s">
        <v>265</v>
      </c>
    </row>
    <row r="532" spans="1:9" ht="90" x14ac:dyDescent="0.25">
      <c r="A532" s="5" t="s">
        <v>835</v>
      </c>
      <c r="B532" s="5" t="s">
        <v>123</v>
      </c>
      <c r="C532" s="5" t="s">
        <v>835</v>
      </c>
      <c r="D532" s="5" t="s">
        <v>836</v>
      </c>
      <c r="E532" s="5" t="s">
        <v>174</v>
      </c>
      <c r="F532" s="5" t="s">
        <v>837</v>
      </c>
      <c r="G532" s="5" t="s">
        <v>55</v>
      </c>
      <c r="H532" s="5" t="s">
        <v>57</v>
      </c>
      <c r="I532" s="5" t="s">
        <v>265</v>
      </c>
    </row>
    <row r="533" spans="1:9" ht="120" x14ac:dyDescent="0.25">
      <c r="A533" s="5" t="s">
        <v>840</v>
      </c>
      <c r="B533" s="5" t="s">
        <v>10</v>
      </c>
      <c r="C533" s="5" t="s">
        <v>840</v>
      </c>
      <c r="D533" s="5" t="s">
        <v>836</v>
      </c>
      <c r="E533" s="5" t="s">
        <v>174</v>
      </c>
      <c r="F533" s="5" t="s">
        <v>1891</v>
      </c>
      <c r="G533" s="5" t="s">
        <v>55</v>
      </c>
      <c r="H533" s="5" t="s">
        <v>57</v>
      </c>
      <c r="I533" s="5" t="s">
        <v>265</v>
      </c>
    </row>
    <row r="534" spans="1:9" ht="120" x14ac:dyDescent="0.25">
      <c r="A534" s="5" t="s">
        <v>840</v>
      </c>
      <c r="B534" s="5" t="s">
        <v>123</v>
      </c>
      <c r="C534" s="5" t="s">
        <v>840</v>
      </c>
      <c r="D534" s="5" t="s">
        <v>836</v>
      </c>
      <c r="E534" s="5" t="s">
        <v>174</v>
      </c>
      <c r="F534" s="5" t="s">
        <v>1891</v>
      </c>
      <c r="G534" s="5" t="s">
        <v>55</v>
      </c>
      <c r="H534" s="5" t="s">
        <v>57</v>
      </c>
      <c r="I534" s="5" t="s">
        <v>265</v>
      </c>
    </row>
    <row r="535" spans="1:9" ht="45" x14ac:dyDescent="0.25">
      <c r="A535" s="5" t="s">
        <v>844</v>
      </c>
      <c r="B535" s="5" t="s">
        <v>10</v>
      </c>
      <c r="C535" s="5" t="s">
        <v>844</v>
      </c>
      <c r="D535" s="5" t="s">
        <v>836</v>
      </c>
      <c r="E535" s="5" t="s">
        <v>174</v>
      </c>
      <c r="F535" s="5" t="s">
        <v>845</v>
      </c>
      <c r="G535" s="5" t="s">
        <v>55</v>
      </c>
      <c r="H535" s="5" t="s">
        <v>57</v>
      </c>
      <c r="I535" s="5" t="s">
        <v>265</v>
      </c>
    </row>
    <row r="536" spans="1:9" ht="45" x14ac:dyDescent="0.25">
      <c r="A536" s="5" t="s">
        <v>844</v>
      </c>
      <c r="B536" s="5" t="s">
        <v>123</v>
      </c>
      <c r="C536" s="5" t="s">
        <v>844</v>
      </c>
      <c r="D536" s="5" t="s">
        <v>836</v>
      </c>
      <c r="E536" s="5" t="s">
        <v>174</v>
      </c>
      <c r="F536" s="5" t="s">
        <v>845</v>
      </c>
      <c r="G536" s="5" t="s">
        <v>55</v>
      </c>
      <c r="H536" s="5" t="s">
        <v>57</v>
      </c>
      <c r="I536" s="5" t="s">
        <v>265</v>
      </c>
    </row>
    <row r="537" spans="1:9" ht="45" x14ac:dyDescent="0.25">
      <c r="A537" s="5" t="s">
        <v>847</v>
      </c>
      <c r="B537" s="5" t="s">
        <v>10</v>
      </c>
      <c r="C537" s="5" t="s">
        <v>847</v>
      </c>
      <c r="D537" s="5" t="s">
        <v>836</v>
      </c>
      <c r="E537" s="5" t="s">
        <v>174</v>
      </c>
      <c r="F537" s="5" t="s">
        <v>1892</v>
      </c>
      <c r="G537" s="5" t="s">
        <v>15</v>
      </c>
      <c r="H537" s="5" t="s">
        <v>57</v>
      </c>
      <c r="I537" s="5" t="s">
        <v>265</v>
      </c>
    </row>
    <row r="538" spans="1:9" ht="120" x14ac:dyDescent="0.25">
      <c r="A538" s="5" t="s">
        <v>850</v>
      </c>
      <c r="B538" s="5" t="s">
        <v>10</v>
      </c>
      <c r="C538" s="5" t="s">
        <v>850</v>
      </c>
      <c r="D538" s="5" t="s">
        <v>836</v>
      </c>
      <c r="E538" s="5" t="s">
        <v>174</v>
      </c>
      <c r="F538" s="5" t="s">
        <v>1893</v>
      </c>
      <c r="G538" s="5" t="s">
        <v>55</v>
      </c>
      <c r="H538" s="5" t="s">
        <v>57</v>
      </c>
      <c r="I538" s="5" t="s">
        <v>265</v>
      </c>
    </row>
    <row r="539" spans="1:9" ht="120" x14ac:dyDescent="0.25">
      <c r="A539" s="5" t="s">
        <v>850</v>
      </c>
      <c r="B539" s="5" t="s">
        <v>123</v>
      </c>
      <c r="C539" s="5" t="s">
        <v>850</v>
      </c>
      <c r="D539" s="5" t="s">
        <v>836</v>
      </c>
      <c r="E539" s="5" t="s">
        <v>174</v>
      </c>
      <c r="F539" s="5" t="s">
        <v>1893</v>
      </c>
      <c r="G539" s="5" t="s">
        <v>55</v>
      </c>
      <c r="H539" s="5" t="s">
        <v>57</v>
      </c>
      <c r="I539" s="5" t="s">
        <v>265</v>
      </c>
    </row>
    <row r="540" spans="1:9" ht="90" x14ac:dyDescent="0.25">
      <c r="A540" s="5" t="s">
        <v>854</v>
      </c>
      <c r="B540" s="5" t="s">
        <v>10</v>
      </c>
      <c r="C540" s="5" t="s">
        <v>854</v>
      </c>
      <c r="D540" s="5" t="s">
        <v>836</v>
      </c>
      <c r="E540" s="5" t="s">
        <v>174</v>
      </c>
      <c r="F540" s="5" t="s">
        <v>1894</v>
      </c>
      <c r="G540" s="5" t="s">
        <v>55</v>
      </c>
      <c r="H540" s="5" t="s">
        <v>57</v>
      </c>
      <c r="I540" s="5" t="s">
        <v>265</v>
      </c>
    </row>
    <row r="541" spans="1:9" ht="90" x14ac:dyDescent="0.25">
      <c r="A541" s="5" t="s">
        <v>854</v>
      </c>
      <c r="B541" s="5" t="s">
        <v>123</v>
      </c>
      <c r="C541" s="5" t="s">
        <v>854</v>
      </c>
      <c r="D541" s="5" t="s">
        <v>836</v>
      </c>
      <c r="E541" s="5" t="s">
        <v>174</v>
      </c>
      <c r="F541" s="5" t="s">
        <v>1894</v>
      </c>
      <c r="G541" s="5" t="s">
        <v>55</v>
      </c>
      <c r="H541" s="5" t="s">
        <v>57</v>
      </c>
      <c r="I541" s="5" t="s">
        <v>265</v>
      </c>
    </row>
    <row r="542" spans="1:9" ht="105" x14ac:dyDescent="0.25">
      <c r="A542" s="5" t="s">
        <v>856</v>
      </c>
      <c r="B542" s="5" t="s">
        <v>10</v>
      </c>
      <c r="C542" s="5" t="s">
        <v>856</v>
      </c>
      <c r="D542" s="5" t="s">
        <v>836</v>
      </c>
      <c r="E542" s="5" t="s">
        <v>174</v>
      </c>
      <c r="F542" s="5" t="s">
        <v>1895</v>
      </c>
      <c r="G542" s="5" t="s">
        <v>15</v>
      </c>
      <c r="H542" s="5" t="s">
        <v>57</v>
      </c>
      <c r="I542" s="5" t="s">
        <v>265</v>
      </c>
    </row>
    <row r="543" spans="1:9" ht="165" x14ac:dyDescent="0.25">
      <c r="A543" s="5" t="s">
        <v>861</v>
      </c>
      <c r="B543" s="5" t="s">
        <v>132</v>
      </c>
      <c r="C543" s="5" t="s">
        <v>861</v>
      </c>
      <c r="D543" s="5" t="s">
        <v>862</v>
      </c>
      <c r="E543" s="5" t="s">
        <v>863</v>
      </c>
      <c r="F543" s="5" t="s">
        <v>1896</v>
      </c>
      <c r="G543" s="5" t="s">
        <v>55</v>
      </c>
      <c r="H543" s="5" t="s">
        <v>57</v>
      </c>
      <c r="I543" s="5" t="s">
        <v>92</v>
      </c>
    </row>
    <row r="544" spans="1:9" ht="165" x14ac:dyDescent="0.25">
      <c r="A544" s="5" t="s">
        <v>1897</v>
      </c>
      <c r="B544" s="5" t="s">
        <v>1428</v>
      </c>
      <c r="C544" s="5" t="s">
        <v>861</v>
      </c>
      <c r="D544" s="5" t="s">
        <v>862</v>
      </c>
      <c r="E544" s="5" t="s">
        <v>863</v>
      </c>
      <c r="F544" s="5" t="s">
        <v>1896</v>
      </c>
      <c r="G544" s="5" t="s">
        <v>55</v>
      </c>
      <c r="H544" s="5" t="s">
        <v>57</v>
      </c>
      <c r="I544" s="5" t="s">
        <v>265</v>
      </c>
    </row>
    <row r="545" spans="1:9" ht="60" x14ac:dyDescent="0.25">
      <c r="A545" s="5" t="s">
        <v>1898</v>
      </c>
      <c r="B545" s="5" t="s">
        <v>132</v>
      </c>
      <c r="C545" s="5" t="s">
        <v>861</v>
      </c>
      <c r="D545" s="5" t="s">
        <v>862</v>
      </c>
      <c r="E545" s="5" t="s">
        <v>863</v>
      </c>
      <c r="F545" s="5" t="s">
        <v>1899</v>
      </c>
      <c r="G545" s="5" t="s">
        <v>15</v>
      </c>
      <c r="H545" s="5" t="s">
        <v>57</v>
      </c>
      <c r="I545" s="5" t="s">
        <v>56</v>
      </c>
    </row>
    <row r="546" spans="1:9" ht="180" x14ac:dyDescent="0.25">
      <c r="A546" s="5" t="s">
        <v>1900</v>
      </c>
      <c r="B546" s="5" t="s">
        <v>132</v>
      </c>
      <c r="C546" s="5" t="s">
        <v>861</v>
      </c>
      <c r="D546" s="5" t="s">
        <v>862</v>
      </c>
      <c r="E546" s="5" t="s">
        <v>863</v>
      </c>
      <c r="F546" s="5" t="s">
        <v>1901</v>
      </c>
      <c r="G546" s="5" t="s">
        <v>55</v>
      </c>
      <c r="H546" s="5" t="s">
        <v>57</v>
      </c>
      <c r="I546" s="5" t="s">
        <v>120</v>
      </c>
    </row>
    <row r="547" spans="1:9" ht="90" x14ac:dyDescent="0.25">
      <c r="A547" s="5" t="s">
        <v>867</v>
      </c>
      <c r="B547" s="5" t="s">
        <v>51</v>
      </c>
      <c r="C547" s="5" t="s">
        <v>867</v>
      </c>
      <c r="D547" s="5" t="s">
        <v>868</v>
      </c>
      <c r="E547" s="5" t="s">
        <v>1902</v>
      </c>
      <c r="F547" s="5" t="s">
        <v>869</v>
      </c>
      <c r="G547" s="5" t="s">
        <v>55</v>
      </c>
      <c r="H547" s="5" t="s">
        <v>57</v>
      </c>
      <c r="I547" s="5" t="s">
        <v>57</v>
      </c>
    </row>
    <row r="548" spans="1:9" ht="165" x14ac:dyDescent="0.25">
      <c r="A548" s="5" t="s">
        <v>871</v>
      </c>
      <c r="B548" s="5" t="s">
        <v>10</v>
      </c>
      <c r="C548" s="5" t="s">
        <v>871</v>
      </c>
      <c r="D548" s="5" t="s">
        <v>872</v>
      </c>
      <c r="E548" s="5" t="s">
        <v>273</v>
      </c>
      <c r="F548" s="5" t="s">
        <v>1903</v>
      </c>
      <c r="G548" s="5" t="s">
        <v>55</v>
      </c>
      <c r="H548" s="5" t="s">
        <v>57</v>
      </c>
      <c r="I548" s="5" t="s">
        <v>39</v>
      </c>
    </row>
    <row r="549" spans="1:9" ht="165" x14ac:dyDescent="0.25">
      <c r="A549" s="5" t="s">
        <v>871</v>
      </c>
      <c r="B549" s="5" t="s">
        <v>123</v>
      </c>
      <c r="C549" s="5" t="s">
        <v>871</v>
      </c>
      <c r="D549" s="5" t="s">
        <v>872</v>
      </c>
      <c r="E549" s="5" t="s">
        <v>273</v>
      </c>
      <c r="F549" s="5" t="s">
        <v>1903</v>
      </c>
      <c r="G549" s="5" t="s">
        <v>55</v>
      </c>
      <c r="H549" s="5" t="s">
        <v>57</v>
      </c>
      <c r="I549" s="5" t="s">
        <v>39</v>
      </c>
    </row>
    <row r="550" spans="1:9" ht="45" x14ac:dyDescent="0.25">
      <c r="A550" s="5" t="s">
        <v>876</v>
      </c>
      <c r="B550" s="5" t="s">
        <v>10</v>
      </c>
      <c r="C550" s="5" t="s">
        <v>876</v>
      </c>
      <c r="D550" s="5" t="s">
        <v>877</v>
      </c>
      <c r="E550" s="5" t="s">
        <v>878</v>
      </c>
      <c r="F550" s="5" t="s">
        <v>1904</v>
      </c>
      <c r="G550" s="5" t="s">
        <v>55</v>
      </c>
      <c r="H550" s="5" t="s">
        <v>57</v>
      </c>
      <c r="I550" s="5" t="s">
        <v>265</v>
      </c>
    </row>
    <row r="551" spans="1:9" ht="45" x14ac:dyDescent="0.25">
      <c r="A551" s="5" t="s">
        <v>876</v>
      </c>
      <c r="B551" s="5" t="s">
        <v>123</v>
      </c>
      <c r="C551" s="5" t="s">
        <v>876</v>
      </c>
      <c r="D551" s="5" t="s">
        <v>877</v>
      </c>
      <c r="E551" s="5" t="s">
        <v>878</v>
      </c>
      <c r="F551" s="5" t="s">
        <v>1904</v>
      </c>
      <c r="G551" s="5" t="s">
        <v>55</v>
      </c>
      <c r="H551" s="5" t="s">
        <v>57</v>
      </c>
      <c r="I551" s="5" t="s">
        <v>265</v>
      </c>
    </row>
    <row r="552" spans="1:9" ht="60" x14ac:dyDescent="0.25">
      <c r="A552" s="5" t="s">
        <v>881</v>
      </c>
      <c r="B552" s="5" t="s">
        <v>10</v>
      </c>
      <c r="C552" s="5" t="s">
        <v>881</v>
      </c>
      <c r="D552" s="5" t="s">
        <v>882</v>
      </c>
      <c r="E552" s="5" t="s">
        <v>883</v>
      </c>
      <c r="F552" s="5" t="s">
        <v>1905</v>
      </c>
      <c r="G552" s="5" t="s">
        <v>15</v>
      </c>
      <c r="H552" s="5" t="s">
        <v>57</v>
      </c>
      <c r="I552" s="5" t="s">
        <v>265</v>
      </c>
    </row>
    <row r="553" spans="1:9" ht="150" x14ac:dyDescent="0.25">
      <c r="A553" s="5" t="s">
        <v>887</v>
      </c>
      <c r="B553" s="5" t="s">
        <v>10</v>
      </c>
      <c r="C553" s="5" t="s">
        <v>887</v>
      </c>
      <c r="D553" s="5" t="s">
        <v>888</v>
      </c>
      <c r="E553" s="5" t="s">
        <v>889</v>
      </c>
      <c r="F553" s="5" t="s">
        <v>1906</v>
      </c>
      <c r="G553" s="5" t="s">
        <v>15</v>
      </c>
      <c r="H553" s="5" t="s">
        <v>57</v>
      </c>
      <c r="I553" s="5" t="s">
        <v>265</v>
      </c>
    </row>
    <row r="554" spans="1:9" ht="150" x14ac:dyDescent="0.25">
      <c r="A554" s="5" t="s">
        <v>887</v>
      </c>
      <c r="B554" s="5" t="s">
        <v>123</v>
      </c>
      <c r="C554" s="5" t="s">
        <v>887</v>
      </c>
      <c r="D554" s="5" t="s">
        <v>888</v>
      </c>
      <c r="E554" s="5" t="s">
        <v>889</v>
      </c>
      <c r="F554" s="5" t="s">
        <v>1906</v>
      </c>
      <c r="G554" s="5" t="s">
        <v>15</v>
      </c>
      <c r="H554" s="5" t="s">
        <v>57</v>
      </c>
      <c r="I554" s="5" t="s">
        <v>120</v>
      </c>
    </row>
    <row r="555" spans="1:9" ht="60" x14ac:dyDescent="0.25">
      <c r="A555" s="5" t="s">
        <v>895</v>
      </c>
      <c r="B555" s="5" t="s">
        <v>10</v>
      </c>
      <c r="C555" s="5" t="s">
        <v>895</v>
      </c>
      <c r="D555" s="5" t="s">
        <v>896</v>
      </c>
      <c r="E555" s="5" t="s">
        <v>897</v>
      </c>
      <c r="F555" s="5" t="s">
        <v>1907</v>
      </c>
      <c r="G555" s="5" t="s">
        <v>55</v>
      </c>
      <c r="H555" s="5" t="s">
        <v>57</v>
      </c>
      <c r="I555" s="5" t="s">
        <v>120</v>
      </c>
    </row>
    <row r="556" spans="1:9" ht="60" x14ac:dyDescent="0.25">
      <c r="A556" s="5" t="s">
        <v>1908</v>
      </c>
      <c r="B556" s="5" t="s">
        <v>1428</v>
      </c>
      <c r="C556" s="5" t="s">
        <v>895</v>
      </c>
      <c r="D556" s="5" t="s">
        <v>896</v>
      </c>
      <c r="E556" s="5" t="s">
        <v>897</v>
      </c>
      <c r="F556" s="5" t="s">
        <v>1907</v>
      </c>
      <c r="G556" s="5" t="s">
        <v>55</v>
      </c>
      <c r="H556" s="5" t="s">
        <v>57</v>
      </c>
      <c r="I556" s="5" t="s">
        <v>265</v>
      </c>
    </row>
    <row r="557" spans="1:9" x14ac:dyDescent="0.25">
      <c r="A557" s="5" t="s">
        <v>902</v>
      </c>
      <c r="B557" s="5" t="s">
        <v>132</v>
      </c>
      <c r="C557" s="5" t="s">
        <v>902</v>
      </c>
      <c r="D557" s="5" t="s">
        <v>903</v>
      </c>
      <c r="E557" s="5" t="s">
        <v>904</v>
      </c>
      <c r="F557" s="5" t="s">
        <v>1759</v>
      </c>
      <c r="G557" s="5" t="s">
        <v>55</v>
      </c>
      <c r="H557" s="5" t="s">
        <v>57</v>
      </c>
      <c r="I557" s="5" t="s">
        <v>265</v>
      </c>
    </row>
    <row r="558" spans="1:9" x14ac:dyDescent="0.25">
      <c r="A558" s="5" t="s">
        <v>1909</v>
      </c>
      <c r="B558" s="5" t="s">
        <v>1428</v>
      </c>
      <c r="C558" s="5" t="s">
        <v>902</v>
      </c>
      <c r="D558" s="5" t="s">
        <v>903</v>
      </c>
      <c r="E558" s="5" t="s">
        <v>904</v>
      </c>
      <c r="F558" s="5" t="s">
        <v>1759</v>
      </c>
      <c r="G558" s="5" t="s">
        <v>55</v>
      </c>
      <c r="H558" s="5" t="s">
        <v>57</v>
      </c>
      <c r="I558" s="5" t="s">
        <v>265</v>
      </c>
    </row>
    <row r="559" spans="1:9" ht="30" x14ac:dyDescent="0.25">
      <c r="A559" s="5" t="s">
        <v>1910</v>
      </c>
      <c r="B559" s="5" t="s">
        <v>1415</v>
      </c>
      <c r="C559" s="5" t="s">
        <v>902</v>
      </c>
      <c r="D559" s="5" t="s">
        <v>903</v>
      </c>
      <c r="E559" s="5" t="s">
        <v>1911</v>
      </c>
      <c r="F559" s="5" t="s">
        <v>1912</v>
      </c>
      <c r="G559" s="5" t="s">
        <v>15</v>
      </c>
      <c r="H559" s="5" t="s">
        <v>120</v>
      </c>
      <c r="I559" s="5" t="s">
        <v>265</v>
      </c>
    </row>
    <row r="560" spans="1:9" ht="30" x14ac:dyDescent="0.25">
      <c r="A560" s="5" t="s">
        <v>1910</v>
      </c>
      <c r="B560" s="5" t="s">
        <v>1418</v>
      </c>
      <c r="C560" s="5" t="s">
        <v>902</v>
      </c>
      <c r="D560" s="5" t="s">
        <v>903</v>
      </c>
      <c r="E560" s="5" t="s">
        <v>1911</v>
      </c>
      <c r="F560" s="5" t="s">
        <v>1912</v>
      </c>
      <c r="G560" s="5" t="s">
        <v>15</v>
      </c>
      <c r="H560" s="5" t="s">
        <v>120</v>
      </c>
      <c r="I560" s="5" t="s">
        <v>265</v>
      </c>
    </row>
    <row r="561" spans="1:9" ht="30" x14ac:dyDescent="0.25">
      <c r="A561" s="5" t="s">
        <v>1913</v>
      </c>
      <c r="B561" s="5" t="s">
        <v>10</v>
      </c>
      <c r="C561" s="5" t="s">
        <v>902</v>
      </c>
      <c r="D561" s="5" t="s">
        <v>903</v>
      </c>
      <c r="E561" s="5" t="s">
        <v>904</v>
      </c>
      <c r="F561" s="5" t="s">
        <v>1912</v>
      </c>
      <c r="G561" s="5" t="s">
        <v>55</v>
      </c>
      <c r="H561" s="5" t="s">
        <v>57</v>
      </c>
      <c r="I561" s="5" t="s">
        <v>265</v>
      </c>
    </row>
    <row r="562" spans="1:9" ht="30" x14ac:dyDescent="0.25">
      <c r="A562" s="5" t="s">
        <v>1913</v>
      </c>
      <c r="B562" s="5" t="s">
        <v>123</v>
      </c>
      <c r="C562" s="5" t="s">
        <v>902</v>
      </c>
      <c r="D562" s="5" t="s">
        <v>903</v>
      </c>
      <c r="E562" s="5" t="s">
        <v>904</v>
      </c>
      <c r="F562" s="5" t="s">
        <v>1912</v>
      </c>
      <c r="G562" s="5" t="s">
        <v>55</v>
      </c>
      <c r="H562" s="5" t="s">
        <v>57</v>
      </c>
      <c r="I562" s="5" t="s">
        <v>265</v>
      </c>
    </row>
    <row r="563" spans="1:9" ht="30" x14ac:dyDescent="0.25">
      <c r="A563" s="5" t="s">
        <v>1914</v>
      </c>
      <c r="B563" s="5" t="s">
        <v>123</v>
      </c>
      <c r="C563" s="5" t="s">
        <v>902</v>
      </c>
      <c r="D563" s="5" t="s">
        <v>903</v>
      </c>
      <c r="E563" s="5" t="s">
        <v>1911</v>
      </c>
      <c r="F563" s="5" t="s">
        <v>57</v>
      </c>
      <c r="G563" s="5" t="s">
        <v>55</v>
      </c>
      <c r="H563" s="5" t="s">
        <v>97</v>
      </c>
      <c r="I563" s="5" t="s">
        <v>57</v>
      </c>
    </row>
    <row r="564" spans="1:9" ht="105" x14ac:dyDescent="0.25">
      <c r="A564" s="5" t="s">
        <v>911</v>
      </c>
      <c r="B564" s="5" t="s">
        <v>10</v>
      </c>
      <c r="C564" s="5" t="s">
        <v>911</v>
      </c>
      <c r="D564" s="5" t="s">
        <v>912</v>
      </c>
      <c r="E564" s="5" t="s">
        <v>1915</v>
      </c>
      <c r="F564" s="5" t="s">
        <v>1916</v>
      </c>
      <c r="G564" s="5" t="s">
        <v>15</v>
      </c>
      <c r="H564" s="5" t="s">
        <v>57</v>
      </c>
      <c r="I564" s="5" t="s">
        <v>57</v>
      </c>
    </row>
    <row r="565" spans="1:9" ht="105" x14ac:dyDescent="0.25">
      <c r="A565" s="5" t="s">
        <v>1917</v>
      </c>
      <c r="B565" s="5" t="s">
        <v>991</v>
      </c>
      <c r="C565" s="5" t="s">
        <v>911</v>
      </c>
      <c r="D565" s="5" t="s">
        <v>912</v>
      </c>
      <c r="E565" s="5" t="s">
        <v>1915</v>
      </c>
      <c r="F565" s="5" t="s">
        <v>1916</v>
      </c>
      <c r="G565" s="5" t="s">
        <v>15</v>
      </c>
      <c r="H565" s="5" t="s">
        <v>57</v>
      </c>
      <c r="I565" s="5" t="s">
        <v>57</v>
      </c>
    </row>
    <row r="566" spans="1:9" ht="150" x14ac:dyDescent="0.25">
      <c r="A566" s="5" t="s">
        <v>917</v>
      </c>
      <c r="B566" s="5" t="s">
        <v>1415</v>
      </c>
      <c r="C566" s="5" t="s">
        <v>917</v>
      </c>
      <c r="D566" s="5" t="s">
        <v>918</v>
      </c>
      <c r="E566" s="5" t="s">
        <v>1607</v>
      </c>
      <c r="F566" s="5" t="s">
        <v>1918</v>
      </c>
      <c r="G566" s="5" t="s">
        <v>15</v>
      </c>
      <c r="H566" s="5" t="s">
        <v>907</v>
      </c>
      <c r="I566" s="5" t="s">
        <v>265</v>
      </c>
    </row>
    <row r="567" spans="1:9" ht="150" x14ac:dyDescent="0.25">
      <c r="A567" s="5" t="s">
        <v>917</v>
      </c>
      <c r="B567" s="5" t="s">
        <v>1418</v>
      </c>
      <c r="C567" s="5" t="s">
        <v>917</v>
      </c>
      <c r="D567" s="5" t="s">
        <v>918</v>
      </c>
      <c r="E567" s="5" t="s">
        <v>1607</v>
      </c>
      <c r="F567" s="5" t="s">
        <v>1918</v>
      </c>
      <c r="G567" s="5" t="s">
        <v>15</v>
      </c>
      <c r="H567" s="5" t="s">
        <v>907</v>
      </c>
      <c r="I567" s="5" t="s">
        <v>265</v>
      </c>
    </row>
    <row r="568" spans="1:9" ht="60" x14ac:dyDescent="0.25">
      <c r="A568" s="5" t="s">
        <v>1919</v>
      </c>
      <c r="B568" s="5" t="s">
        <v>132</v>
      </c>
      <c r="C568" s="5" t="s">
        <v>917</v>
      </c>
      <c r="D568" s="5" t="s">
        <v>918</v>
      </c>
      <c r="E568" s="5" t="s">
        <v>125</v>
      </c>
      <c r="F568" s="5" t="s">
        <v>1920</v>
      </c>
      <c r="G568" s="5" t="s">
        <v>55</v>
      </c>
      <c r="H568" s="5" t="s">
        <v>57</v>
      </c>
      <c r="I568" s="5" t="s">
        <v>265</v>
      </c>
    </row>
    <row r="569" spans="1:9" ht="60" x14ac:dyDescent="0.25">
      <c r="A569" s="5" t="s">
        <v>1921</v>
      </c>
      <c r="B569" s="5" t="s">
        <v>1428</v>
      </c>
      <c r="C569" s="5" t="s">
        <v>917</v>
      </c>
      <c r="D569" s="5" t="s">
        <v>918</v>
      </c>
      <c r="E569" s="5" t="s">
        <v>125</v>
      </c>
      <c r="F569" s="5" t="s">
        <v>1920</v>
      </c>
      <c r="G569" s="5" t="s">
        <v>55</v>
      </c>
      <c r="H569" s="5" t="s">
        <v>57</v>
      </c>
      <c r="I569" s="5" t="s">
        <v>265</v>
      </c>
    </row>
    <row r="570" spans="1:9" ht="345" x14ac:dyDescent="0.25">
      <c r="A570" s="5" t="s">
        <v>1922</v>
      </c>
      <c r="B570" s="5" t="s">
        <v>132</v>
      </c>
      <c r="C570" s="5" t="s">
        <v>917</v>
      </c>
      <c r="D570" s="5" t="s">
        <v>918</v>
      </c>
      <c r="E570" s="5" t="s">
        <v>125</v>
      </c>
      <c r="F570" s="5" t="s">
        <v>1923</v>
      </c>
      <c r="G570" s="5" t="s">
        <v>55</v>
      </c>
      <c r="H570" s="5" t="s">
        <v>57</v>
      </c>
      <c r="I570" s="5" t="s">
        <v>120</v>
      </c>
    </row>
    <row r="571" spans="1:9" ht="345" x14ac:dyDescent="0.25">
      <c r="A571" s="5" t="s">
        <v>1924</v>
      </c>
      <c r="B571" s="5" t="s">
        <v>1428</v>
      </c>
      <c r="C571" s="5" t="s">
        <v>917</v>
      </c>
      <c r="D571" s="5" t="s">
        <v>918</v>
      </c>
      <c r="E571" s="5" t="s">
        <v>125</v>
      </c>
      <c r="F571" s="5" t="s">
        <v>1923</v>
      </c>
      <c r="G571" s="5" t="s">
        <v>55</v>
      </c>
      <c r="H571" s="5" t="s">
        <v>57</v>
      </c>
      <c r="I571" s="5" t="s">
        <v>120</v>
      </c>
    </row>
    <row r="572" spans="1:9" ht="75" x14ac:dyDescent="0.25">
      <c r="A572" s="5" t="s">
        <v>924</v>
      </c>
      <c r="B572" s="5" t="s">
        <v>10</v>
      </c>
      <c r="C572" s="5" t="s">
        <v>924</v>
      </c>
      <c r="D572" s="5" t="s">
        <v>925</v>
      </c>
      <c r="E572" s="5" t="s">
        <v>273</v>
      </c>
      <c r="F572" s="5" t="s">
        <v>1925</v>
      </c>
      <c r="G572" s="5" t="s">
        <v>55</v>
      </c>
      <c r="H572" s="5" t="s">
        <v>57</v>
      </c>
      <c r="I572" s="5" t="s">
        <v>120</v>
      </c>
    </row>
    <row r="573" spans="1:9" ht="75" x14ac:dyDescent="0.25">
      <c r="A573" s="5" t="s">
        <v>924</v>
      </c>
      <c r="B573" s="5" t="s">
        <v>123</v>
      </c>
      <c r="C573" s="5" t="s">
        <v>924</v>
      </c>
      <c r="D573" s="5" t="s">
        <v>925</v>
      </c>
      <c r="E573" s="5" t="s">
        <v>273</v>
      </c>
      <c r="F573" s="5" t="s">
        <v>1925</v>
      </c>
      <c r="G573" s="5" t="s">
        <v>55</v>
      </c>
      <c r="H573" s="5" t="s">
        <v>57</v>
      </c>
      <c r="I573" s="5" t="s">
        <v>265</v>
      </c>
    </row>
    <row r="574" spans="1:9" ht="30" x14ac:dyDescent="0.25">
      <c r="A574" s="5" t="s">
        <v>930</v>
      </c>
      <c r="B574" s="5" t="s">
        <v>132</v>
      </c>
      <c r="C574" s="5" t="s">
        <v>930</v>
      </c>
      <c r="D574" s="5" t="s">
        <v>124</v>
      </c>
      <c r="E574" s="5" t="s">
        <v>125</v>
      </c>
      <c r="F574" s="5" t="s">
        <v>1926</v>
      </c>
      <c r="G574" s="5" t="s">
        <v>55</v>
      </c>
      <c r="H574" s="5" t="s">
        <v>57</v>
      </c>
      <c r="I574" s="5" t="s">
        <v>907</v>
      </c>
    </row>
    <row r="575" spans="1:9" ht="30" x14ac:dyDescent="0.25">
      <c r="A575" s="5" t="s">
        <v>1927</v>
      </c>
      <c r="B575" s="5" t="s">
        <v>1428</v>
      </c>
      <c r="C575" s="5" t="s">
        <v>930</v>
      </c>
      <c r="D575" s="5" t="s">
        <v>124</v>
      </c>
      <c r="E575" s="5" t="s">
        <v>125</v>
      </c>
      <c r="F575" s="5" t="s">
        <v>1926</v>
      </c>
      <c r="G575" s="5" t="s">
        <v>55</v>
      </c>
      <c r="H575" s="5" t="s">
        <v>57</v>
      </c>
      <c r="I575" s="5" t="s">
        <v>661</v>
      </c>
    </row>
    <row r="576" spans="1:9" ht="150" x14ac:dyDescent="0.25">
      <c r="A576" s="5" t="s">
        <v>1928</v>
      </c>
      <c r="B576" s="5" t="s">
        <v>132</v>
      </c>
      <c r="C576" s="5" t="s">
        <v>930</v>
      </c>
      <c r="D576" s="5" t="s">
        <v>124</v>
      </c>
      <c r="E576" s="5" t="s">
        <v>125</v>
      </c>
      <c r="F576" s="5" t="s">
        <v>1929</v>
      </c>
      <c r="G576" s="5" t="s">
        <v>55</v>
      </c>
      <c r="H576" s="5" t="s">
        <v>57</v>
      </c>
      <c r="I576" s="5" t="s">
        <v>265</v>
      </c>
    </row>
    <row r="577" spans="1:9" ht="150" x14ac:dyDescent="0.25">
      <c r="A577" s="5" t="s">
        <v>1930</v>
      </c>
      <c r="B577" s="5" t="s">
        <v>1428</v>
      </c>
      <c r="C577" s="5" t="s">
        <v>930</v>
      </c>
      <c r="D577" s="5" t="s">
        <v>124</v>
      </c>
      <c r="E577" s="5" t="s">
        <v>125</v>
      </c>
      <c r="F577" s="5" t="s">
        <v>1929</v>
      </c>
      <c r="G577" s="5" t="s">
        <v>55</v>
      </c>
      <c r="H577" s="5" t="s">
        <v>57</v>
      </c>
      <c r="I577" s="5" t="s">
        <v>265</v>
      </c>
    </row>
    <row r="578" spans="1:9" ht="30" x14ac:dyDescent="0.25">
      <c r="A578" s="5" t="s">
        <v>1931</v>
      </c>
      <c r="B578" s="5" t="s">
        <v>1415</v>
      </c>
      <c r="C578" s="5" t="s">
        <v>930</v>
      </c>
      <c r="D578" s="5" t="s">
        <v>124</v>
      </c>
      <c r="E578" s="5" t="s">
        <v>1607</v>
      </c>
      <c r="F578" s="5" t="s">
        <v>1932</v>
      </c>
      <c r="G578" s="5" t="s">
        <v>15</v>
      </c>
      <c r="H578" s="5" t="s">
        <v>97</v>
      </c>
      <c r="I578" s="5" t="s">
        <v>661</v>
      </c>
    </row>
    <row r="579" spans="1:9" ht="30" x14ac:dyDescent="0.25">
      <c r="A579" s="5" t="s">
        <v>1931</v>
      </c>
      <c r="B579" s="5" t="s">
        <v>1418</v>
      </c>
      <c r="C579" s="5" t="s">
        <v>930</v>
      </c>
      <c r="D579" s="5" t="s">
        <v>124</v>
      </c>
      <c r="E579" s="5" t="s">
        <v>1607</v>
      </c>
      <c r="F579" s="5" t="s">
        <v>1932</v>
      </c>
      <c r="G579" s="5" t="s">
        <v>15</v>
      </c>
      <c r="H579" s="5" t="s">
        <v>97</v>
      </c>
      <c r="I579" s="5" t="s">
        <v>661</v>
      </c>
    </row>
    <row r="580" spans="1:9" ht="30" x14ac:dyDescent="0.25">
      <c r="A580" s="5" t="s">
        <v>1933</v>
      </c>
      <c r="B580" s="5" t="s">
        <v>1415</v>
      </c>
      <c r="C580" s="5" t="s">
        <v>930</v>
      </c>
      <c r="D580" s="5" t="s">
        <v>124</v>
      </c>
      <c r="E580" s="5" t="s">
        <v>1607</v>
      </c>
      <c r="F580" s="5" t="s">
        <v>1932</v>
      </c>
      <c r="G580" s="5" t="s">
        <v>55</v>
      </c>
      <c r="H580" s="5" t="s">
        <v>57</v>
      </c>
      <c r="I580" s="5" t="s">
        <v>265</v>
      </c>
    </row>
    <row r="581" spans="1:9" ht="30" x14ac:dyDescent="0.25">
      <c r="A581" s="5" t="s">
        <v>1933</v>
      </c>
      <c r="B581" s="5" t="s">
        <v>1013</v>
      </c>
      <c r="C581" s="5" t="s">
        <v>930</v>
      </c>
      <c r="D581" s="5" t="s">
        <v>124</v>
      </c>
      <c r="E581" s="5" t="s">
        <v>1607</v>
      </c>
      <c r="F581" s="5" t="s">
        <v>1932</v>
      </c>
      <c r="G581" s="5" t="s">
        <v>55</v>
      </c>
      <c r="H581" s="5" t="s">
        <v>57</v>
      </c>
      <c r="I581" s="5" t="s">
        <v>265</v>
      </c>
    </row>
    <row r="582" spans="1:9" ht="30" x14ac:dyDescent="0.25">
      <c r="A582" s="5" t="s">
        <v>1934</v>
      </c>
      <c r="B582" s="5" t="s">
        <v>1415</v>
      </c>
      <c r="C582" s="5" t="s">
        <v>930</v>
      </c>
      <c r="D582" s="5" t="s">
        <v>124</v>
      </c>
      <c r="E582" s="5" t="s">
        <v>1607</v>
      </c>
      <c r="F582" s="5" t="s">
        <v>1932</v>
      </c>
      <c r="G582" s="5" t="s">
        <v>55</v>
      </c>
      <c r="H582" s="5" t="s">
        <v>97</v>
      </c>
      <c r="I582" s="5" t="s">
        <v>57</v>
      </c>
    </row>
    <row r="583" spans="1:9" ht="30" x14ac:dyDescent="0.25">
      <c r="A583" s="5" t="s">
        <v>1935</v>
      </c>
      <c r="B583" s="5" t="s">
        <v>10</v>
      </c>
      <c r="C583" s="5" t="s">
        <v>930</v>
      </c>
      <c r="D583" s="5" t="s">
        <v>124</v>
      </c>
      <c r="E583" s="5" t="s">
        <v>1607</v>
      </c>
      <c r="F583" s="5" t="s">
        <v>1932</v>
      </c>
      <c r="G583" s="5" t="s">
        <v>15</v>
      </c>
      <c r="H583" s="5" t="s">
        <v>57</v>
      </c>
      <c r="I583" s="5" t="s">
        <v>57</v>
      </c>
    </row>
    <row r="584" spans="1:9" ht="30" x14ac:dyDescent="0.25">
      <c r="A584" s="5" t="s">
        <v>1936</v>
      </c>
      <c r="B584" s="5" t="s">
        <v>123</v>
      </c>
      <c r="C584" s="5" t="s">
        <v>930</v>
      </c>
      <c r="D584" s="5" t="s">
        <v>124</v>
      </c>
      <c r="E584" s="5" t="s">
        <v>1607</v>
      </c>
      <c r="F584" s="5" t="s">
        <v>1932</v>
      </c>
      <c r="G584" s="5" t="s">
        <v>15</v>
      </c>
      <c r="H584" s="5" t="s">
        <v>57</v>
      </c>
      <c r="I584" s="5" t="s">
        <v>57</v>
      </c>
    </row>
    <row r="585" spans="1:9" ht="30" x14ac:dyDescent="0.25">
      <c r="A585" s="5" t="s">
        <v>1937</v>
      </c>
      <c r="B585" s="5" t="s">
        <v>10</v>
      </c>
      <c r="C585" s="5" t="s">
        <v>930</v>
      </c>
      <c r="D585" s="5" t="s">
        <v>124</v>
      </c>
      <c r="E585" s="5" t="s">
        <v>1607</v>
      </c>
      <c r="F585" s="5" t="s">
        <v>1932</v>
      </c>
      <c r="G585" s="5" t="s">
        <v>15</v>
      </c>
      <c r="H585" s="5" t="s">
        <v>57</v>
      </c>
      <c r="I585" s="5" t="s">
        <v>661</v>
      </c>
    </row>
    <row r="586" spans="1:9" ht="30" x14ac:dyDescent="0.25">
      <c r="A586" s="5" t="s">
        <v>1938</v>
      </c>
      <c r="B586" s="5" t="s">
        <v>1013</v>
      </c>
      <c r="C586" s="5" t="s">
        <v>930</v>
      </c>
      <c r="D586" s="5" t="s">
        <v>124</v>
      </c>
      <c r="E586" s="5" t="s">
        <v>1607</v>
      </c>
      <c r="F586" s="5" t="s">
        <v>1932</v>
      </c>
      <c r="G586" s="5" t="s">
        <v>15</v>
      </c>
      <c r="H586" s="5" t="s">
        <v>57</v>
      </c>
      <c r="I586" s="5" t="s">
        <v>120</v>
      </c>
    </row>
    <row r="587" spans="1:9" x14ac:dyDescent="0.25">
      <c r="A587" s="5" t="s">
        <v>1939</v>
      </c>
      <c r="B587" s="5" t="s">
        <v>10</v>
      </c>
      <c r="C587" s="5" t="s">
        <v>930</v>
      </c>
      <c r="D587" s="5" t="s">
        <v>124</v>
      </c>
      <c r="E587" s="5" t="s">
        <v>125</v>
      </c>
      <c r="F587" s="5" t="s">
        <v>1940</v>
      </c>
      <c r="G587" s="5" t="s">
        <v>55</v>
      </c>
      <c r="H587" s="5" t="s">
        <v>97</v>
      </c>
      <c r="I587" s="5" t="s">
        <v>57</v>
      </c>
    </row>
    <row r="588" spans="1:9" x14ac:dyDescent="0.25">
      <c r="A588" s="5" t="s">
        <v>1941</v>
      </c>
      <c r="B588" s="5" t="s">
        <v>123</v>
      </c>
      <c r="C588" s="5" t="s">
        <v>930</v>
      </c>
      <c r="D588" s="5" t="s">
        <v>124</v>
      </c>
      <c r="E588" s="5" t="s">
        <v>125</v>
      </c>
      <c r="F588" s="5" t="s">
        <v>1940</v>
      </c>
      <c r="G588" s="5" t="s">
        <v>55</v>
      </c>
      <c r="H588" s="5" t="s">
        <v>97</v>
      </c>
      <c r="I588" s="5" t="s">
        <v>57</v>
      </c>
    </row>
    <row r="589" spans="1:9" ht="30" x14ac:dyDescent="0.25">
      <c r="A589" s="5" t="s">
        <v>1942</v>
      </c>
      <c r="B589" s="5" t="s">
        <v>10</v>
      </c>
      <c r="C589" s="5" t="s">
        <v>930</v>
      </c>
      <c r="D589" s="5" t="s">
        <v>124</v>
      </c>
      <c r="E589" s="5" t="s">
        <v>1016</v>
      </c>
      <c r="F589" s="5" t="s">
        <v>1932</v>
      </c>
      <c r="G589" s="5" t="s">
        <v>55</v>
      </c>
      <c r="H589" s="5" t="s">
        <v>57</v>
      </c>
      <c r="I589" s="5" t="s">
        <v>661</v>
      </c>
    </row>
    <row r="590" spans="1:9" ht="30" x14ac:dyDescent="0.25">
      <c r="A590" s="5" t="s">
        <v>1942</v>
      </c>
      <c r="B590" s="5" t="s">
        <v>123</v>
      </c>
      <c r="C590" s="5" t="s">
        <v>930</v>
      </c>
      <c r="D590" s="5" t="s">
        <v>124</v>
      </c>
      <c r="E590" s="5" t="s">
        <v>1016</v>
      </c>
      <c r="F590" s="5" t="s">
        <v>1932</v>
      </c>
      <c r="G590" s="5" t="s">
        <v>55</v>
      </c>
      <c r="H590" s="5" t="s">
        <v>57</v>
      </c>
      <c r="I590" s="5" t="s">
        <v>120</v>
      </c>
    </row>
    <row r="591" spans="1:9" ht="90" x14ac:dyDescent="0.25">
      <c r="A591" s="5" t="s">
        <v>1943</v>
      </c>
      <c r="B591" s="5" t="s">
        <v>10</v>
      </c>
      <c r="C591" s="5" t="s">
        <v>930</v>
      </c>
      <c r="D591" s="5" t="s">
        <v>124</v>
      </c>
      <c r="E591" s="5" t="s">
        <v>1944</v>
      </c>
      <c r="F591" s="5" t="s">
        <v>1945</v>
      </c>
      <c r="G591" s="5" t="s">
        <v>55</v>
      </c>
      <c r="H591" s="5" t="s">
        <v>57</v>
      </c>
      <c r="I591" s="5" t="s">
        <v>661</v>
      </c>
    </row>
    <row r="592" spans="1:9" ht="90" x14ac:dyDescent="0.25">
      <c r="A592" s="5" t="s">
        <v>1946</v>
      </c>
      <c r="B592" s="5" t="s">
        <v>1428</v>
      </c>
      <c r="C592" s="5" t="s">
        <v>930</v>
      </c>
      <c r="D592" s="5" t="s">
        <v>124</v>
      </c>
      <c r="E592" s="5" t="s">
        <v>1944</v>
      </c>
      <c r="F592" s="5" t="s">
        <v>1945</v>
      </c>
      <c r="G592" s="5" t="s">
        <v>55</v>
      </c>
      <c r="H592" s="5" t="s">
        <v>57</v>
      </c>
      <c r="I592" s="5" t="s">
        <v>56</v>
      </c>
    </row>
    <row r="593" spans="1:9" ht="105" x14ac:dyDescent="0.25">
      <c r="A593" s="5" t="s">
        <v>938</v>
      </c>
      <c r="B593" s="5" t="s">
        <v>132</v>
      </c>
      <c r="C593" s="5" t="s">
        <v>938</v>
      </c>
      <c r="D593" s="5" t="s">
        <v>124</v>
      </c>
      <c r="E593" s="5" t="s">
        <v>125</v>
      </c>
      <c r="F593" s="5" t="s">
        <v>1947</v>
      </c>
      <c r="G593" s="5" t="s">
        <v>55</v>
      </c>
      <c r="H593" s="5" t="s">
        <v>57</v>
      </c>
      <c r="I593" s="5" t="s">
        <v>907</v>
      </c>
    </row>
    <row r="594" spans="1:9" ht="105" x14ac:dyDescent="0.25">
      <c r="A594" s="5" t="s">
        <v>1948</v>
      </c>
      <c r="B594" s="5" t="s">
        <v>1428</v>
      </c>
      <c r="C594" s="5" t="s">
        <v>938</v>
      </c>
      <c r="D594" s="5" t="s">
        <v>124</v>
      </c>
      <c r="E594" s="5" t="s">
        <v>125</v>
      </c>
      <c r="F594" s="5" t="s">
        <v>1947</v>
      </c>
      <c r="G594" s="5" t="s">
        <v>55</v>
      </c>
      <c r="H594" s="5" t="s">
        <v>57</v>
      </c>
      <c r="I594" s="5" t="s">
        <v>92</v>
      </c>
    </row>
    <row r="595" spans="1:9" ht="45" x14ac:dyDescent="0.25">
      <c r="A595" s="5" t="s">
        <v>1949</v>
      </c>
      <c r="B595" s="5" t="s">
        <v>132</v>
      </c>
      <c r="C595" s="5" t="s">
        <v>938</v>
      </c>
      <c r="D595" s="5" t="s">
        <v>124</v>
      </c>
      <c r="E595" s="5" t="s">
        <v>125</v>
      </c>
      <c r="F595" s="5" t="s">
        <v>1950</v>
      </c>
      <c r="G595" s="5" t="s">
        <v>15</v>
      </c>
      <c r="H595" s="5" t="s">
        <v>57</v>
      </c>
      <c r="I595" s="5" t="s">
        <v>92</v>
      </c>
    </row>
    <row r="596" spans="1:9" ht="30" x14ac:dyDescent="0.25">
      <c r="A596" s="5" t="s">
        <v>1951</v>
      </c>
      <c r="B596" s="5" t="s">
        <v>132</v>
      </c>
      <c r="C596" s="5" t="s">
        <v>938</v>
      </c>
      <c r="D596" s="5" t="s">
        <v>124</v>
      </c>
      <c r="E596" s="5" t="s">
        <v>125</v>
      </c>
      <c r="F596" s="5" t="s">
        <v>1952</v>
      </c>
      <c r="G596" s="5" t="s">
        <v>55</v>
      </c>
      <c r="H596" s="5" t="s">
        <v>57</v>
      </c>
      <c r="I596" s="5" t="s">
        <v>661</v>
      </c>
    </row>
    <row r="597" spans="1:9" ht="30" x14ac:dyDescent="0.25">
      <c r="A597" s="5" t="s">
        <v>1953</v>
      </c>
      <c r="B597" s="5" t="s">
        <v>1428</v>
      </c>
      <c r="C597" s="5" t="s">
        <v>938</v>
      </c>
      <c r="D597" s="5" t="s">
        <v>124</v>
      </c>
      <c r="E597" s="5" t="s">
        <v>125</v>
      </c>
      <c r="F597" s="5" t="s">
        <v>1952</v>
      </c>
      <c r="G597" s="5" t="s">
        <v>55</v>
      </c>
      <c r="H597" s="5" t="s">
        <v>57</v>
      </c>
      <c r="I597" s="5" t="s">
        <v>265</v>
      </c>
    </row>
    <row r="598" spans="1:9" ht="180" x14ac:dyDescent="0.25">
      <c r="A598" s="5" t="s">
        <v>1954</v>
      </c>
      <c r="B598" s="5" t="s">
        <v>132</v>
      </c>
      <c r="C598" s="5" t="s">
        <v>938</v>
      </c>
      <c r="D598" s="5" t="s">
        <v>124</v>
      </c>
      <c r="E598" s="5" t="s">
        <v>125</v>
      </c>
      <c r="F598" s="5" t="s">
        <v>1955</v>
      </c>
      <c r="G598" s="5" t="s">
        <v>55</v>
      </c>
      <c r="H598" s="5" t="s">
        <v>57</v>
      </c>
      <c r="I598" s="5" t="s">
        <v>661</v>
      </c>
    </row>
    <row r="599" spans="1:9" ht="180" x14ac:dyDescent="0.25">
      <c r="A599" s="5" t="s">
        <v>1956</v>
      </c>
      <c r="B599" s="5" t="s">
        <v>1428</v>
      </c>
      <c r="C599" s="5" t="s">
        <v>938</v>
      </c>
      <c r="D599" s="5" t="s">
        <v>124</v>
      </c>
      <c r="E599" s="5" t="s">
        <v>125</v>
      </c>
      <c r="F599" s="5" t="s">
        <v>1955</v>
      </c>
      <c r="G599" s="5" t="s">
        <v>55</v>
      </c>
      <c r="H599" s="5" t="s">
        <v>57</v>
      </c>
      <c r="I599" s="5" t="s">
        <v>661</v>
      </c>
    </row>
    <row r="600" spans="1:9" x14ac:dyDescent="0.25">
      <c r="A600" s="5" t="s">
        <v>944</v>
      </c>
      <c r="B600" s="5" t="s">
        <v>132</v>
      </c>
      <c r="C600" s="5" t="s">
        <v>944</v>
      </c>
      <c r="D600" s="5" t="s">
        <v>945</v>
      </c>
      <c r="E600" s="5" t="s">
        <v>1957</v>
      </c>
      <c r="F600" s="5" t="s">
        <v>1958</v>
      </c>
      <c r="G600" s="5" t="s">
        <v>15</v>
      </c>
      <c r="H600" s="5" t="s">
        <v>57</v>
      </c>
      <c r="I600" s="5" t="s">
        <v>76</v>
      </c>
    </row>
    <row r="601" spans="1:9" x14ac:dyDescent="0.25">
      <c r="A601" s="5" t="s">
        <v>1959</v>
      </c>
      <c r="B601" s="5" t="s">
        <v>1428</v>
      </c>
      <c r="C601" s="5" t="s">
        <v>944</v>
      </c>
      <c r="D601" s="5" t="s">
        <v>945</v>
      </c>
      <c r="E601" s="5" t="s">
        <v>1957</v>
      </c>
      <c r="F601" s="5" t="s">
        <v>1958</v>
      </c>
      <c r="G601" s="5" t="s">
        <v>15</v>
      </c>
      <c r="H601" s="5" t="s">
        <v>57</v>
      </c>
      <c r="I601" s="5" t="s">
        <v>265</v>
      </c>
    </row>
    <row r="602" spans="1:9" ht="165" x14ac:dyDescent="0.25">
      <c r="A602" s="5" t="s">
        <v>1960</v>
      </c>
      <c r="B602" s="5" t="s">
        <v>132</v>
      </c>
      <c r="C602" s="5" t="s">
        <v>944</v>
      </c>
      <c r="D602" s="5" t="s">
        <v>945</v>
      </c>
      <c r="E602" s="5" t="s">
        <v>1957</v>
      </c>
      <c r="F602" s="5" t="s">
        <v>1961</v>
      </c>
      <c r="G602" s="5" t="s">
        <v>15</v>
      </c>
      <c r="H602" s="5" t="s">
        <v>57</v>
      </c>
      <c r="I602" s="5" t="s">
        <v>1962</v>
      </c>
    </row>
    <row r="603" spans="1:9" ht="165" x14ac:dyDescent="0.25">
      <c r="A603" s="5" t="s">
        <v>1960</v>
      </c>
      <c r="B603" s="5" t="s">
        <v>1423</v>
      </c>
      <c r="C603" s="5" t="s">
        <v>944</v>
      </c>
      <c r="D603" s="5" t="s">
        <v>945</v>
      </c>
      <c r="E603" s="5" t="s">
        <v>1957</v>
      </c>
      <c r="F603" s="5" t="s">
        <v>1961</v>
      </c>
      <c r="G603" s="5" t="s">
        <v>15</v>
      </c>
      <c r="H603" s="5" t="s">
        <v>57</v>
      </c>
      <c r="I603" s="5" t="s">
        <v>1962</v>
      </c>
    </row>
    <row r="604" spans="1:9" ht="45" x14ac:dyDescent="0.25">
      <c r="A604" s="5" t="s">
        <v>1963</v>
      </c>
      <c r="B604" s="5" t="s">
        <v>132</v>
      </c>
      <c r="C604" s="5" t="s">
        <v>944</v>
      </c>
      <c r="D604" s="5" t="s">
        <v>945</v>
      </c>
      <c r="E604" s="5" t="s">
        <v>946</v>
      </c>
      <c r="F604" s="5" t="s">
        <v>1964</v>
      </c>
      <c r="G604" s="5" t="s">
        <v>15</v>
      </c>
      <c r="H604" s="5" t="s">
        <v>57</v>
      </c>
      <c r="I604" s="5" t="s">
        <v>57</v>
      </c>
    </row>
    <row r="605" spans="1:9" ht="45" x14ac:dyDescent="0.25">
      <c r="A605" s="5" t="s">
        <v>1963</v>
      </c>
      <c r="B605" s="5" t="s">
        <v>1428</v>
      </c>
      <c r="C605" s="5" t="s">
        <v>944</v>
      </c>
      <c r="D605" s="5" t="s">
        <v>945</v>
      </c>
      <c r="E605" s="5" t="s">
        <v>946</v>
      </c>
      <c r="F605" s="5" t="s">
        <v>1964</v>
      </c>
      <c r="G605" s="5" t="s">
        <v>15</v>
      </c>
      <c r="H605" s="5" t="s">
        <v>57</v>
      </c>
      <c r="I605" s="5" t="s">
        <v>57</v>
      </c>
    </row>
    <row r="606" spans="1:9" x14ac:dyDescent="0.25">
      <c r="A606" s="5" t="s">
        <v>1965</v>
      </c>
      <c r="B606" s="5" t="s">
        <v>132</v>
      </c>
      <c r="C606" s="5" t="s">
        <v>944</v>
      </c>
      <c r="D606" s="5" t="s">
        <v>945</v>
      </c>
      <c r="E606" s="5" t="s">
        <v>1957</v>
      </c>
      <c r="F606" s="5" t="s">
        <v>1966</v>
      </c>
      <c r="G606" s="5" t="s">
        <v>55</v>
      </c>
      <c r="H606" s="5" t="s">
        <v>57</v>
      </c>
      <c r="I606" s="5" t="s">
        <v>92</v>
      </c>
    </row>
    <row r="607" spans="1:9" x14ac:dyDescent="0.25">
      <c r="A607" s="5" t="s">
        <v>1967</v>
      </c>
      <c r="B607" s="5" t="s">
        <v>1428</v>
      </c>
      <c r="C607" s="5" t="s">
        <v>944</v>
      </c>
      <c r="D607" s="5" t="s">
        <v>945</v>
      </c>
      <c r="E607" s="5" t="s">
        <v>1957</v>
      </c>
      <c r="F607" s="5" t="s">
        <v>1966</v>
      </c>
      <c r="G607" s="5" t="s">
        <v>55</v>
      </c>
      <c r="H607" s="5" t="s">
        <v>57</v>
      </c>
      <c r="I607" s="5" t="s">
        <v>92</v>
      </c>
    </row>
    <row r="608" spans="1:9" ht="45" x14ac:dyDescent="0.25">
      <c r="A608" s="5" t="s">
        <v>1968</v>
      </c>
      <c r="B608" s="5" t="s">
        <v>1415</v>
      </c>
      <c r="C608" s="5" t="s">
        <v>944</v>
      </c>
      <c r="D608" s="5" t="s">
        <v>945</v>
      </c>
      <c r="E608" s="5" t="s">
        <v>1957</v>
      </c>
      <c r="F608" s="5" t="s">
        <v>1964</v>
      </c>
      <c r="G608" s="5" t="s">
        <v>15</v>
      </c>
      <c r="H608" s="5" t="s">
        <v>97</v>
      </c>
      <c r="I608" s="5" t="s">
        <v>826</v>
      </c>
    </row>
    <row r="609" spans="1:9" ht="45" x14ac:dyDescent="0.25">
      <c r="A609" s="5" t="s">
        <v>1968</v>
      </c>
      <c r="B609" s="5" t="s">
        <v>1418</v>
      </c>
      <c r="C609" s="5" t="s">
        <v>944</v>
      </c>
      <c r="D609" s="5" t="s">
        <v>945</v>
      </c>
      <c r="E609" s="5" t="s">
        <v>1957</v>
      </c>
      <c r="F609" s="5" t="s">
        <v>1964</v>
      </c>
      <c r="G609" s="5" t="s">
        <v>15</v>
      </c>
      <c r="H609" s="5" t="s">
        <v>97</v>
      </c>
      <c r="I609" s="5" t="s">
        <v>826</v>
      </c>
    </row>
    <row r="610" spans="1:9" ht="45" x14ac:dyDescent="0.25">
      <c r="A610" s="5" t="s">
        <v>1968</v>
      </c>
      <c r="B610" s="5" t="s">
        <v>1510</v>
      </c>
      <c r="C610" s="5" t="s">
        <v>944</v>
      </c>
      <c r="D610" s="5" t="s">
        <v>945</v>
      </c>
      <c r="E610" s="5" t="s">
        <v>1957</v>
      </c>
      <c r="F610" s="5" t="s">
        <v>1964</v>
      </c>
      <c r="G610" s="5" t="s">
        <v>15</v>
      </c>
      <c r="H610" s="5" t="s">
        <v>97</v>
      </c>
      <c r="I610" s="5" t="s">
        <v>826</v>
      </c>
    </row>
    <row r="611" spans="1:9" ht="45" x14ac:dyDescent="0.25">
      <c r="A611" s="5" t="s">
        <v>1969</v>
      </c>
      <c r="B611" s="5" t="s">
        <v>1415</v>
      </c>
      <c r="C611" s="5" t="s">
        <v>944</v>
      </c>
      <c r="D611" s="5" t="s">
        <v>945</v>
      </c>
      <c r="E611" s="5" t="s">
        <v>1957</v>
      </c>
      <c r="F611" s="5" t="s">
        <v>1964</v>
      </c>
      <c r="G611" s="5" t="s">
        <v>15</v>
      </c>
      <c r="H611" s="5" t="s">
        <v>97</v>
      </c>
      <c r="I611" s="5" t="s">
        <v>57</v>
      </c>
    </row>
    <row r="612" spans="1:9" ht="45" x14ac:dyDescent="0.25">
      <c r="A612" s="5" t="s">
        <v>1969</v>
      </c>
      <c r="B612" s="5" t="s">
        <v>1408</v>
      </c>
      <c r="C612" s="5" t="s">
        <v>944</v>
      </c>
      <c r="D612" s="5" t="s">
        <v>945</v>
      </c>
      <c r="E612" s="5" t="s">
        <v>1957</v>
      </c>
      <c r="F612" s="5" t="s">
        <v>1964</v>
      </c>
      <c r="G612" s="5" t="s">
        <v>15</v>
      </c>
      <c r="H612" s="5" t="s">
        <v>97</v>
      </c>
      <c r="I612" s="5" t="s">
        <v>57</v>
      </c>
    </row>
    <row r="613" spans="1:9" ht="30" x14ac:dyDescent="0.25">
      <c r="A613" s="5" t="s">
        <v>1970</v>
      </c>
      <c r="B613" s="5" t="s">
        <v>10</v>
      </c>
      <c r="C613" s="5" t="s">
        <v>944</v>
      </c>
      <c r="D613" s="5" t="s">
        <v>945</v>
      </c>
      <c r="E613" s="5" t="s">
        <v>1957</v>
      </c>
      <c r="F613" s="5" t="s">
        <v>1971</v>
      </c>
      <c r="G613" s="5" t="s">
        <v>15</v>
      </c>
      <c r="H613" s="5" t="s">
        <v>57</v>
      </c>
      <c r="I613" s="5" t="s">
        <v>1962</v>
      </c>
    </row>
    <row r="614" spans="1:9" ht="30" x14ac:dyDescent="0.25">
      <c r="A614" s="5" t="s">
        <v>1972</v>
      </c>
      <c r="B614" s="5" t="s">
        <v>1013</v>
      </c>
      <c r="C614" s="5" t="s">
        <v>944</v>
      </c>
      <c r="D614" s="5" t="s">
        <v>945</v>
      </c>
      <c r="E614" s="5" t="s">
        <v>1957</v>
      </c>
      <c r="F614" s="5" t="s">
        <v>1971</v>
      </c>
      <c r="G614" s="5" t="s">
        <v>15</v>
      </c>
      <c r="H614" s="5" t="s">
        <v>57</v>
      </c>
      <c r="I614" s="5" t="s">
        <v>1962</v>
      </c>
    </row>
    <row r="615" spans="1:9" x14ac:dyDescent="0.25">
      <c r="A615" s="5" t="s">
        <v>1973</v>
      </c>
      <c r="B615" s="5" t="s">
        <v>10</v>
      </c>
      <c r="C615" s="5" t="s">
        <v>944</v>
      </c>
      <c r="D615" s="5" t="s">
        <v>945</v>
      </c>
      <c r="E615" s="5" t="s">
        <v>946</v>
      </c>
      <c r="F615" s="5" t="s">
        <v>1974</v>
      </c>
      <c r="G615" s="5" t="s">
        <v>55</v>
      </c>
      <c r="H615" s="5" t="s">
        <v>97</v>
      </c>
      <c r="I615" s="5" t="s">
        <v>57</v>
      </c>
    </row>
    <row r="616" spans="1:9" x14ac:dyDescent="0.25">
      <c r="A616" s="5" t="s">
        <v>1975</v>
      </c>
      <c r="B616" s="5" t="s">
        <v>123</v>
      </c>
      <c r="C616" s="5" t="s">
        <v>944</v>
      </c>
      <c r="D616" s="5" t="s">
        <v>945</v>
      </c>
      <c r="E616" s="5" t="s">
        <v>946</v>
      </c>
      <c r="F616" s="5" t="s">
        <v>1974</v>
      </c>
      <c r="G616" s="5" t="s">
        <v>55</v>
      </c>
      <c r="H616" s="5" t="s">
        <v>97</v>
      </c>
      <c r="I616" s="5" t="s">
        <v>57</v>
      </c>
    </row>
    <row r="617" spans="1:9" ht="45" x14ac:dyDescent="0.25">
      <c r="A617" s="5" t="s">
        <v>1976</v>
      </c>
      <c r="B617" s="5" t="s">
        <v>10</v>
      </c>
      <c r="C617" s="5" t="s">
        <v>944</v>
      </c>
      <c r="D617" s="5" t="s">
        <v>945</v>
      </c>
      <c r="E617" s="5" t="s">
        <v>946</v>
      </c>
      <c r="F617" s="5" t="s">
        <v>1964</v>
      </c>
      <c r="G617" s="5" t="s">
        <v>15</v>
      </c>
      <c r="H617" s="5" t="s">
        <v>57</v>
      </c>
      <c r="I617" s="5" t="s">
        <v>1962</v>
      </c>
    </row>
    <row r="618" spans="1:9" ht="45" x14ac:dyDescent="0.25">
      <c r="A618" s="5" t="s">
        <v>1976</v>
      </c>
      <c r="B618" s="5" t="s">
        <v>123</v>
      </c>
      <c r="C618" s="5" t="s">
        <v>944</v>
      </c>
      <c r="D618" s="5" t="s">
        <v>945</v>
      </c>
      <c r="E618" s="5" t="s">
        <v>946</v>
      </c>
      <c r="F618" s="5" t="s">
        <v>1964</v>
      </c>
      <c r="G618" s="5" t="s">
        <v>15</v>
      </c>
      <c r="H618" s="5" t="s">
        <v>57</v>
      </c>
      <c r="I618" s="5" t="s">
        <v>1501</v>
      </c>
    </row>
    <row r="619" spans="1:9" ht="345" x14ac:dyDescent="0.25">
      <c r="A619" s="5" t="s">
        <v>1977</v>
      </c>
      <c r="B619" s="5" t="s">
        <v>10</v>
      </c>
      <c r="C619" s="5" t="s">
        <v>944</v>
      </c>
      <c r="D619" s="5" t="s">
        <v>945</v>
      </c>
      <c r="E619" s="5" t="s">
        <v>946</v>
      </c>
      <c r="F619" s="5" t="s">
        <v>1978</v>
      </c>
      <c r="G619" s="5" t="s">
        <v>15</v>
      </c>
      <c r="H619" s="5" t="s">
        <v>57</v>
      </c>
      <c r="I619" s="5" t="s">
        <v>1962</v>
      </c>
    </row>
    <row r="620" spans="1:9" ht="345" x14ac:dyDescent="0.25">
      <c r="A620" s="5" t="s">
        <v>1979</v>
      </c>
      <c r="B620" s="5" t="s">
        <v>1428</v>
      </c>
      <c r="C620" s="5" t="s">
        <v>944</v>
      </c>
      <c r="D620" s="5" t="s">
        <v>945</v>
      </c>
      <c r="E620" s="5" t="s">
        <v>946</v>
      </c>
      <c r="F620" s="5" t="s">
        <v>1978</v>
      </c>
      <c r="G620" s="5" t="s">
        <v>15</v>
      </c>
      <c r="H620" s="5" t="s">
        <v>57</v>
      </c>
      <c r="I620" s="5" t="s">
        <v>1252</v>
      </c>
    </row>
    <row r="621" spans="1:9" ht="90" x14ac:dyDescent="0.25">
      <c r="A621" s="5" t="s">
        <v>952</v>
      </c>
      <c r="B621" s="5" t="s">
        <v>10</v>
      </c>
      <c r="C621" s="5" t="s">
        <v>952</v>
      </c>
      <c r="D621" s="5" t="s">
        <v>953</v>
      </c>
      <c r="E621" s="5" t="s">
        <v>954</v>
      </c>
      <c r="F621" s="5" t="s">
        <v>1980</v>
      </c>
      <c r="G621" s="5" t="s">
        <v>55</v>
      </c>
      <c r="H621" s="5" t="s">
        <v>1981</v>
      </c>
      <c r="I621" s="5" t="s">
        <v>956</v>
      </c>
    </row>
    <row r="622" spans="1:9" ht="90" x14ac:dyDescent="0.25">
      <c r="A622" s="5" t="s">
        <v>1982</v>
      </c>
      <c r="B622" s="5" t="s">
        <v>1428</v>
      </c>
      <c r="C622" s="5" t="s">
        <v>952</v>
      </c>
      <c r="D622" s="5" t="s">
        <v>953</v>
      </c>
      <c r="E622" s="5" t="s">
        <v>954</v>
      </c>
      <c r="F622" s="5" t="s">
        <v>1980</v>
      </c>
      <c r="G622" s="5" t="s">
        <v>55</v>
      </c>
      <c r="H622" s="5" t="s">
        <v>1981</v>
      </c>
      <c r="I622" s="5" t="s">
        <v>956</v>
      </c>
    </row>
    <row r="623" spans="1:9" ht="75" x14ac:dyDescent="0.25">
      <c r="A623" s="5" t="s">
        <v>1983</v>
      </c>
      <c r="B623" s="5" t="s">
        <v>132</v>
      </c>
      <c r="C623" s="5" t="s">
        <v>959</v>
      </c>
      <c r="D623" s="5" t="s">
        <v>960</v>
      </c>
      <c r="E623" s="5" t="s">
        <v>1984</v>
      </c>
      <c r="F623" s="5" t="s">
        <v>1985</v>
      </c>
      <c r="G623" s="5" t="s">
        <v>15</v>
      </c>
      <c r="H623" s="5" t="s">
        <v>39</v>
      </c>
      <c r="I623" s="5" t="s">
        <v>934</v>
      </c>
    </row>
    <row r="624" spans="1:9" ht="105" x14ac:dyDescent="0.25">
      <c r="A624" s="5" t="s">
        <v>1986</v>
      </c>
      <c r="B624" s="5" t="s">
        <v>132</v>
      </c>
      <c r="C624" s="5" t="s">
        <v>959</v>
      </c>
      <c r="D624" s="5" t="s">
        <v>960</v>
      </c>
      <c r="E624" s="5" t="s">
        <v>1984</v>
      </c>
      <c r="F624" s="5" t="s">
        <v>1987</v>
      </c>
      <c r="G624" s="5" t="s">
        <v>15</v>
      </c>
      <c r="H624" s="5" t="s">
        <v>57</v>
      </c>
      <c r="I624" s="5" t="s">
        <v>39</v>
      </c>
    </row>
    <row r="625" spans="1:9" ht="105" x14ac:dyDescent="0.25">
      <c r="A625" s="5" t="s">
        <v>1986</v>
      </c>
      <c r="B625" s="5" t="s">
        <v>1408</v>
      </c>
      <c r="C625" s="5" t="s">
        <v>959</v>
      </c>
      <c r="D625" s="5" t="s">
        <v>960</v>
      </c>
      <c r="E625" s="5" t="s">
        <v>1984</v>
      </c>
      <c r="F625" s="5" t="s">
        <v>1987</v>
      </c>
      <c r="G625" s="5" t="s">
        <v>15</v>
      </c>
      <c r="H625" s="5" t="s">
        <v>57</v>
      </c>
      <c r="I625" s="5" t="s">
        <v>39</v>
      </c>
    </row>
    <row r="626" spans="1:9" ht="30" x14ac:dyDescent="0.25">
      <c r="A626" s="5" t="s">
        <v>1988</v>
      </c>
      <c r="B626" s="5" t="s">
        <v>132</v>
      </c>
      <c r="C626" s="5" t="s">
        <v>959</v>
      </c>
      <c r="D626" s="5" t="s">
        <v>960</v>
      </c>
      <c r="E626" s="5" t="s">
        <v>1984</v>
      </c>
      <c r="F626" s="5" t="s">
        <v>1989</v>
      </c>
      <c r="G626" s="5" t="s">
        <v>15</v>
      </c>
      <c r="H626" s="5" t="s">
        <v>57</v>
      </c>
      <c r="I626" s="5" t="s">
        <v>39</v>
      </c>
    </row>
    <row r="627" spans="1:9" ht="75" x14ac:dyDescent="0.25">
      <c r="A627" s="5" t="s">
        <v>959</v>
      </c>
      <c r="B627" s="5" t="s">
        <v>10</v>
      </c>
      <c r="C627" s="5" t="s">
        <v>959</v>
      </c>
      <c r="D627" s="5" t="s">
        <v>960</v>
      </c>
      <c r="E627" s="5" t="s">
        <v>961</v>
      </c>
      <c r="F627" s="5" t="s">
        <v>1990</v>
      </c>
      <c r="G627" s="5" t="s">
        <v>15</v>
      </c>
      <c r="H627" s="5" t="s">
        <v>57</v>
      </c>
      <c r="I627" s="5" t="s">
        <v>265</v>
      </c>
    </row>
    <row r="628" spans="1:9" ht="60" x14ac:dyDescent="0.25">
      <c r="A628" s="5" t="s">
        <v>1991</v>
      </c>
      <c r="B628" s="5" t="s">
        <v>10</v>
      </c>
      <c r="C628" s="5" t="s">
        <v>959</v>
      </c>
      <c r="D628" s="5" t="s">
        <v>960</v>
      </c>
      <c r="E628" s="5" t="s">
        <v>1984</v>
      </c>
      <c r="F628" s="5" t="s">
        <v>1992</v>
      </c>
      <c r="G628" s="5" t="s">
        <v>55</v>
      </c>
      <c r="H628" s="5" t="s">
        <v>57</v>
      </c>
      <c r="I628" s="5" t="s">
        <v>57</v>
      </c>
    </row>
    <row r="629" spans="1:9" ht="60" x14ac:dyDescent="0.25">
      <c r="A629" s="5" t="s">
        <v>1993</v>
      </c>
      <c r="B629" s="5" t="s">
        <v>10</v>
      </c>
      <c r="C629" s="5" t="s">
        <v>959</v>
      </c>
      <c r="D629" s="5" t="s">
        <v>960</v>
      </c>
      <c r="E629" s="5" t="s">
        <v>1984</v>
      </c>
      <c r="F629" s="5" t="s">
        <v>1994</v>
      </c>
      <c r="G629" s="5" t="s">
        <v>15</v>
      </c>
      <c r="H629" s="5" t="s">
        <v>57</v>
      </c>
      <c r="I629" s="5" t="s">
        <v>661</v>
      </c>
    </row>
    <row r="630" spans="1:9" ht="75" x14ac:dyDescent="0.25">
      <c r="A630" s="5" t="s">
        <v>1995</v>
      </c>
      <c r="B630" s="5" t="s">
        <v>10</v>
      </c>
      <c r="C630" s="5" t="s">
        <v>959</v>
      </c>
      <c r="D630" s="5" t="s">
        <v>960</v>
      </c>
      <c r="E630" s="5" t="s">
        <v>961</v>
      </c>
      <c r="F630" s="5" t="s">
        <v>1985</v>
      </c>
      <c r="G630" s="5" t="s">
        <v>15</v>
      </c>
      <c r="H630" s="5" t="s">
        <v>57</v>
      </c>
      <c r="I630" s="5" t="s">
        <v>39</v>
      </c>
    </row>
    <row r="631" spans="1:9" x14ac:dyDescent="0.25">
      <c r="A631" s="5" t="s">
        <v>1996</v>
      </c>
      <c r="B631" s="5" t="s">
        <v>10</v>
      </c>
      <c r="C631" s="5" t="s">
        <v>959</v>
      </c>
      <c r="D631" s="5" t="s">
        <v>960</v>
      </c>
      <c r="E631" s="5" t="s">
        <v>1984</v>
      </c>
      <c r="F631" s="5" t="s">
        <v>1997</v>
      </c>
      <c r="G631" s="5" t="s">
        <v>55</v>
      </c>
      <c r="H631" s="5" t="s">
        <v>97</v>
      </c>
      <c r="I631" s="5" t="s">
        <v>57</v>
      </c>
    </row>
    <row r="632" spans="1:9" ht="45" x14ac:dyDescent="0.25">
      <c r="A632" s="5" t="s">
        <v>965</v>
      </c>
      <c r="B632" s="5" t="s">
        <v>51</v>
      </c>
      <c r="C632" s="5" t="s">
        <v>965</v>
      </c>
      <c r="D632" s="5" t="s">
        <v>966</v>
      </c>
      <c r="E632" s="5" t="s">
        <v>1998</v>
      </c>
      <c r="F632" s="5" t="s">
        <v>1999</v>
      </c>
      <c r="G632" s="5" t="s">
        <v>15</v>
      </c>
      <c r="H632" s="5" t="s">
        <v>120</v>
      </c>
      <c r="I632" s="5" t="s">
        <v>57</v>
      </c>
    </row>
    <row r="633" spans="1:9" ht="150" x14ac:dyDescent="0.25">
      <c r="A633" s="5" t="s">
        <v>971</v>
      </c>
      <c r="B633" s="5" t="s">
        <v>10</v>
      </c>
      <c r="C633" s="5" t="s">
        <v>971</v>
      </c>
      <c r="D633" s="5" t="s">
        <v>972</v>
      </c>
      <c r="E633" s="5" t="s">
        <v>2000</v>
      </c>
      <c r="F633" s="5" t="s">
        <v>2001</v>
      </c>
      <c r="G633" s="5" t="s">
        <v>15</v>
      </c>
      <c r="H633" s="5" t="s">
        <v>57</v>
      </c>
      <c r="I633" s="5" t="s">
        <v>57</v>
      </c>
    </row>
    <row r="634" spans="1:9" ht="150" x14ac:dyDescent="0.25">
      <c r="A634" s="5" t="s">
        <v>2002</v>
      </c>
      <c r="B634" s="5" t="s">
        <v>991</v>
      </c>
      <c r="C634" s="5" t="s">
        <v>971</v>
      </c>
      <c r="D634" s="5" t="s">
        <v>972</v>
      </c>
      <c r="E634" s="5" t="s">
        <v>2000</v>
      </c>
      <c r="F634" s="5" t="s">
        <v>2001</v>
      </c>
      <c r="G634" s="5" t="s">
        <v>15</v>
      </c>
      <c r="H634" s="5" t="s">
        <v>57</v>
      </c>
      <c r="I634" s="5" t="s">
        <v>57</v>
      </c>
    </row>
    <row r="635" spans="1:9" ht="180" x14ac:dyDescent="0.25">
      <c r="A635" s="5" t="s">
        <v>2003</v>
      </c>
      <c r="B635" s="5" t="s">
        <v>132</v>
      </c>
      <c r="C635" s="5" t="s">
        <v>971</v>
      </c>
      <c r="D635" s="5" t="s">
        <v>972</v>
      </c>
      <c r="E635" s="5" t="s">
        <v>2004</v>
      </c>
      <c r="F635" s="5" t="s">
        <v>2005</v>
      </c>
      <c r="G635" s="5" t="s">
        <v>15</v>
      </c>
      <c r="H635" s="5" t="s">
        <v>97</v>
      </c>
      <c r="I635" s="5" t="s">
        <v>57</v>
      </c>
    </row>
    <row r="636" spans="1:9" ht="180" x14ac:dyDescent="0.25">
      <c r="A636" s="5" t="s">
        <v>2006</v>
      </c>
      <c r="B636" s="5" t="s">
        <v>1013</v>
      </c>
      <c r="C636" s="5" t="s">
        <v>971</v>
      </c>
      <c r="D636" s="5" t="s">
        <v>972</v>
      </c>
      <c r="E636" s="5" t="s">
        <v>2004</v>
      </c>
      <c r="F636" s="5" t="s">
        <v>2005</v>
      </c>
      <c r="G636" s="5" t="s">
        <v>15</v>
      </c>
      <c r="H636" s="5" t="s">
        <v>97</v>
      </c>
      <c r="I636" s="5" t="s">
        <v>57</v>
      </c>
    </row>
    <row r="637" spans="1:9" ht="60" x14ac:dyDescent="0.25">
      <c r="A637" s="5" t="s">
        <v>976</v>
      </c>
      <c r="B637" s="5" t="s">
        <v>51</v>
      </c>
      <c r="C637" s="5" t="s">
        <v>976</v>
      </c>
      <c r="D637" s="5" t="s">
        <v>977</v>
      </c>
      <c r="E637" s="5" t="s">
        <v>978</v>
      </c>
      <c r="F637" s="5" t="s">
        <v>2007</v>
      </c>
      <c r="G637" s="5" t="s">
        <v>15</v>
      </c>
      <c r="H637" s="5" t="s">
        <v>57</v>
      </c>
      <c r="I637" s="5" t="s">
        <v>57</v>
      </c>
    </row>
    <row r="638" spans="1:9" ht="30" x14ac:dyDescent="0.25">
      <c r="A638" s="5" t="s">
        <v>980</v>
      </c>
      <c r="B638" s="5" t="s">
        <v>51</v>
      </c>
      <c r="C638" s="5" t="s">
        <v>980</v>
      </c>
      <c r="D638" s="5" t="s">
        <v>981</v>
      </c>
      <c r="E638" s="5" t="s">
        <v>2008</v>
      </c>
      <c r="F638" s="5" t="s">
        <v>983</v>
      </c>
      <c r="G638" s="5" t="s">
        <v>55</v>
      </c>
      <c r="H638" s="5" t="s">
        <v>57</v>
      </c>
      <c r="I638" s="5" t="s">
        <v>57</v>
      </c>
    </row>
    <row r="639" spans="1:9" ht="60" x14ac:dyDescent="0.25">
      <c r="A639" s="5" t="s">
        <v>985</v>
      </c>
      <c r="B639" s="5" t="s">
        <v>132</v>
      </c>
      <c r="C639" s="5" t="s">
        <v>985</v>
      </c>
      <c r="D639" s="5" t="s">
        <v>986</v>
      </c>
      <c r="E639" s="5" t="s">
        <v>1607</v>
      </c>
      <c r="F639" s="5" t="s">
        <v>987</v>
      </c>
      <c r="G639" s="5" t="s">
        <v>15</v>
      </c>
      <c r="H639" s="5" t="s">
        <v>39</v>
      </c>
      <c r="I639" s="5" t="s">
        <v>661</v>
      </c>
    </row>
    <row r="640" spans="1:9" ht="60" x14ac:dyDescent="0.25">
      <c r="A640" s="5" t="s">
        <v>2009</v>
      </c>
      <c r="B640" s="5" t="s">
        <v>10</v>
      </c>
      <c r="C640" s="5" t="s">
        <v>985</v>
      </c>
      <c r="D640" s="5" t="s">
        <v>986</v>
      </c>
      <c r="E640" s="5" t="s">
        <v>125</v>
      </c>
      <c r="F640" s="5" t="s">
        <v>987</v>
      </c>
      <c r="G640" s="5" t="s">
        <v>15</v>
      </c>
      <c r="H640" s="5" t="s">
        <v>97</v>
      </c>
      <c r="I640" s="5" t="s">
        <v>57</v>
      </c>
    </row>
    <row r="641" spans="1:9" ht="30" x14ac:dyDescent="0.25">
      <c r="A641" s="5" t="s">
        <v>990</v>
      </c>
      <c r="B641" s="5" t="s">
        <v>991</v>
      </c>
      <c r="C641" s="5" t="s">
        <v>990</v>
      </c>
      <c r="D641" s="5" t="s">
        <v>992</v>
      </c>
      <c r="E641" s="5" t="s">
        <v>993</v>
      </c>
      <c r="F641" s="5" t="s">
        <v>1999</v>
      </c>
      <c r="G641" s="5" t="s">
        <v>15</v>
      </c>
      <c r="H641" s="5" t="s">
        <v>57</v>
      </c>
      <c r="I641" s="5" t="s">
        <v>57</v>
      </c>
    </row>
    <row r="642" spans="1:9" x14ac:dyDescent="0.25">
      <c r="A642" s="5" t="s">
        <v>996</v>
      </c>
      <c r="B642" s="5" t="s">
        <v>132</v>
      </c>
      <c r="C642" s="5" t="s">
        <v>996</v>
      </c>
      <c r="D642" s="5" t="s">
        <v>997</v>
      </c>
      <c r="E642" s="5" t="s">
        <v>1607</v>
      </c>
      <c r="F642" s="5" t="s">
        <v>1466</v>
      </c>
      <c r="G642" s="5" t="s">
        <v>15</v>
      </c>
      <c r="H642" s="5" t="s">
        <v>39</v>
      </c>
      <c r="I642" s="5" t="s">
        <v>57</v>
      </c>
    </row>
    <row r="643" spans="1:9" x14ac:dyDescent="0.25">
      <c r="A643" s="5" t="s">
        <v>2010</v>
      </c>
      <c r="B643" s="5" t="s">
        <v>132</v>
      </c>
      <c r="C643" s="5" t="s">
        <v>996</v>
      </c>
      <c r="D643" s="5" t="s">
        <v>997</v>
      </c>
      <c r="E643" s="5" t="s">
        <v>1607</v>
      </c>
      <c r="F643" s="5" t="s">
        <v>1466</v>
      </c>
      <c r="G643" s="5" t="s">
        <v>15</v>
      </c>
      <c r="H643" s="5" t="s">
        <v>97</v>
      </c>
      <c r="I643" s="5" t="s">
        <v>57</v>
      </c>
    </row>
    <row r="644" spans="1:9" x14ac:dyDescent="0.25">
      <c r="A644" s="5" t="s">
        <v>2011</v>
      </c>
      <c r="B644" s="5" t="s">
        <v>10</v>
      </c>
      <c r="C644" s="5" t="s">
        <v>996</v>
      </c>
      <c r="D644" s="5" t="s">
        <v>997</v>
      </c>
      <c r="E644" s="5" t="s">
        <v>125</v>
      </c>
      <c r="F644" s="5" t="s">
        <v>1466</v>
      </c>
      <c r="G644" s="5" t="s">
        <v>15</v>
      </c>
      <c r="H644" s="5" t="s">
        <v>97</v>
      </c>
      <c r="I644" s="5" t="s">
        <v>57</v>
      </c>
    </row>
    <row r="645" spans="1:9" ht="60" x14ac:dyDescent="0.25">
      <c r="A645" s="5" t="s">
        <v>2012</v>
      </c>
      <c r="B645" s="5" t="s">
        <v>1013</v>
      </c>
      <c r="C645" s="5" t="s">
        <v>996</v>
      </c>
      <c r="D645" s="5" t="s">
        <v>997</v>
      </c>
      <c r="E645" s="5" t="s">
        <v>1016</v>
      </c>
      <c r="F645" s="5" t="s">
        <v>987</v>
      </c>
      <c r="G645" s="5" t="s">
        <v>15</v>
      </c>
      <c r="H645" s="5" t="s">
        <v>57</v>
      </c>
      <c r="I645" s="5" t="s">
        <v>56</v>
      </c>
    </row>
    <row r="646" spans="1:9" x14ac:dyDescent="0.25">
      <c r="A646" s="5" t="s">
        <v>1001</v>
      </c>
      <c r="B646" s="5" t="s">
        <v>51</v>
      </c>
      <c r="C646" s="5" t="s">
        <v>1001</v>
      </c>
      <c r="D646" s="5" t="s">
        <v>1002</v>
      </c>
      <c r="E646" s="5" t="s">
        <v>1003</v>
      </c>
      <c r="F646" s="5" t="s">
        <v>54</v>
      </c>
      <c r="G646" s="5" t="s">
        <v>55</v>
      </c>
      <c r="H646" s="5" t="s">
        <v>57</v>
      </c>
      <c r="I646" s="5" t="s">
        <v>57</v>
      </c>
    </row>
    <row r="647" spans="1:9" ht="45" x14ac:dyDescent="0.25">
      <c r="A647" s="5" t="s">
        <v>1006</v>
      </c>
      <c r="B647" s="5" t="s">
        <v>2013</v>
      </c>
      <c r="C647" s="5" t="s">
        <v>1006</v>
      </c>
      <c r="D647" s="5" t="s">
        <v>1007</v>
      </c>
      <c r="E647" s="5" t="s">
        <v>2014</v>
      </c>
      <c r="F647" s="5" t="s">
        <v>1009</v>
      </c>
      <c r="G647" s="5" t="s">
        <v>15</v>
      </c>
      <c r="H647" s="5" t="s">
        <v>97</v>
      </c>
      <c r="I647" s="5" t="s">
        <v>57</v>
      </c>
    </row>
    <row r="648" spans="1:9" ht="45" x14ac:dyDescent="0.25">
      <c r="A648" s="5" t="s">
        <v>1006</v>
      </c>
      <c r="B648" s="5" t="s">
        <v>10</v>
      </c>
      <c r="C648" s="5" t="s">
        <v>1006</v>
      </c>
      <c r="D648" s="5" t="s">
        <v>1007</v>
      </c>
      <c r="E648" s="5" t="s">
        <v>2014</v>
      </c>
      <c r="F648" s="5" t="s">
        <v>1009</v>
      </c>
      <c r="G648" s="5" t="s">
        <v>15</v>
      </c>
      <c r="H648" s="5" t="s">
        <v>97</v>
      </c>
      <c r="I648" s="5" t="s">
        <v>57</v>
      </c>
    </row>
    <row r="649" spans="1:9" ht="45" x14ac:dyDescent="0.25">
      <c r="A649" s="5" t="s">
        <v>2015</v>
      </c>
      <c r="B649" s="5" t="s">
        <v>1013</v>
      </c>
      <c r="C649" s="5" t="s">
        <v>1006</v>
      </c>
      <c r="D649" s="5" t="s">
        <v>1007</v>
      </c>
      <c r="E649" s="5" t="s">
        <v>2014</v>
      </c>
      <c r="F649" s="5" t="s">
        <v>1009</v>
      </c>
      <c r="G649" s="5" t="s">
        <v>15</v>
      </c>
      <c r="H649" s="5" t="s">
        <v>97</v>
      </c>
      <c r="I649" s="5" t="s">
        <v>57</v>
      </c>
    </row>
    <row r="650" spans="1:9" ht="45" x14ac:dyDescent="0.25">
      <c r="A650" s="5" t="s">
        <v>2016</v>
      </c>
      <c r="B650" s="5" t="s">
        <v>1013</v>
      </c>
      <c r="C650" s="5" t="s">
        <v>1006</v>
      </c>
      <c r="D650" s="5" t="s">
        <v>1007</v>
      </c>
      <c r="E650" s="5" t="s">
        <v>2014</v>
      </c>
      <c r="F650" s="5" t="s">
        <v>1009</v>
      </c>
      <c r="G650" s="5" t="s">
        <v>15</v>
      </c>
      <c r="H650" s="5" t="s">
        <v>57</v>
      </c>
      <c r="I650" s="5" t="s">
        <v>120</v>
      </c>
    </row>
    <row r="651" spans="1:9" x14ac:dyDescent="0.25">
      <c r="A651" s="5" t="s">
        <v>1012</v>
      </c>
      <c r="B651" s="5" t="s">
        <v>1013</v>
      </c>
      <c r="C651" s="5" t="s">
        <v>1014</v>
      </c>
      <c r="D651" s="5" t="s">
        <v>1015</v>
      </c>
      <c r="E651" s="5" t="s">
        <v>1016</v>
      </c>
      <c r="F651" s="5" t="s">
        <v>54</v>
      </c>
      <c r="G651" s="5" t="s">
        <v>15</v>
      </c>
      <c r="H651" s="5" t="s">
        <v>57</v>
      </c>
      <c r="I651" s="5" t="s">
        <v>120</v>
      </c>
    </row>
    <row r="652" spans="1:9" ht="45" x14ac:dyDescent="0.25">
      <c r="A652" s="5" t="s">
        <v>1018</v>
      </c>
      <c r="B652" s="5" t="s">
        <v>51</v>
      </c>
      <c r="C652" s="5" t="s">
        <v>1018</v>
      </c>
      <c r="D652" s="5" t="s">
        <v>1019</v>
      </c>
      <c r="E652" s="5" t="s">
        <v>2017</v>
      </c>
      <c r="F652" s="5" t="s">
        <v>1021</v>
      </c>
      <c r="G652" s="5" t="s">
        <v>15</v>
      </c>
      <c r="H652" s="5" t="s">
        <v>57</v>
      </c>
      <c r="I652" s="5" t="s">
        <v>57</v>
      </c>
    </row>
    <row r="653" spans="1:9" ht="105" x14ac:dyDescent="0.25">
      <c r="A653" s="5" t="s">
        <v>2018</v>
      </c>
      <c r="B653" s="5" t="s">
        <v>10</v>
      </c>
      <c r="C653" s="5" t="s">
        <v>1024</v>
      </c>
      <c r="D653" s="5" t="s">
        <v>1025</v>
      </c>
      <c r="E653" s="5" t="s">
        <v>235</v>
      </c>
      <c r="F653" s="5" t="s">
        <v>2019</v>
      </c>
      <c r="G653" s="5" t="s">
        <v>15</v>
      </c>
      <c r="H653" s="5" t="s">
        <v>57</v>
      </c>
      <c r="I653" s="5" t="s">
        <v>120</v>
      </c>
    </row>
    <row r="654" spans="1:9" ht="105" x14ac:dyDescent="0.25">
      <c r="A654" s="5" t="s">
        <v>2020</v>
      </c>
      <c r="B654" s="5" t="s">
        <v>10</v>
      </c>
      <c r="C654" s="5" t="s">
        <v>1024</v>
      </c>
      <c r="D654" s="5" t="s">
        <v>1025</v>
      </c>
      <c r="E654" s="5" t="s">
        <v>1547</v>
      </c>
      <c r="F654" s="5" t="s">
        <v>2021</v>
      </c>
      <c r="G654" s="5" t="s">
        <v>15</v>
      </c>
      <c r="H654" s="5" t="s">
        <v>57</v>
      </c>
      <c r="I654" s="5" t="s">
        <v>120</v>
      </c>
    </row>
    <row r="655" spans="1:9" ht="75" x14ac:dyDescent="0.25">
      <c r="A655" s="5" t="s">
        <v>1029</v>
      </c>
      <c r="B655" s="5" t="s">
        <v>10</v>
      </c>
      <c r="C655" s="5" t="s">
        <v>1030</v>
      </c>
      <c r="D655" s="5" t="s">
        <v>1031</v>
      </c>
      <c r="E655" s="5" t="s">
        <v>235</v>
      </c>
      <c r="F655" s="5" t="s">
        <v>2022</v>
      </c>
      <c r="G655" s="5" t="s">
        <v>15</v>
      </c>
      <c r="H655" s="5" t="s">
        <v>57</v>
      </c>
      <c r="I655" s="5" t="s">
        <v>39</v>
      </c>
    </row>
    <row r="656" spans="1:9" ht="60" x14ac:dyDescent="0.25">
      <c r="A656" s="5" t="s">
        <v>1034</v>
      </c>
      <c r="B656" s="5" t="s">
        <v>51</v>
      </c>
      <c r="C656" s="5" t="s">
        <v>1034</v>
      </c>
      <c r="D656" s="5" t="s">
        <v>1035</v>
      </c>
      <c r="E656" s="5" t="s">
        <v>2023</v>
      </c>
      <c r="F656" s="5" t="s">
        <v>1037</v>
      </c>
      <c r="G656" s="5" t="s">
        <v>15</v>
      </c>
      <c r="H656" s="5" t="s">
        <v>57</v>
      </c>
      <c r="I656" s="5" t="s">
        <v>57</v>
      </c>
    </row>
    <row r="657" spans="1:9" ht="45" x14ac:dyDescent="0.25">
      <c r="A657" s="5" t="s">
        <v>1038</v>
      </c>
      <c r="B657" s="5" t="s">
        <v>51</v>
      </c>
      <c r="C657" s="5" t="s">
        <v>1038</v>
      </c>
      <c r="D657" s="5" t="s">
        <v>1039</v>
      </c>
      <c r="E657" s="5" t="s">
        <v>2024</v>
      </c>
      <c r="F657" s="5" t="s">
        <v>54</v>
      </c>
      <c r="G657" s="5" t="s">
        <v>15</v>
      </c>
      <c r="H657" s="5" t="s">
        <v>57</v>
      </c>
      <c r="I657" s="5" t="s">
        <v>57</v>
      </c>
    </row>
    <row r="658" spans="1:9" ht="225" x14ac:dyDescent="0.25">
      <c r="A658" s="5" t="s">
        <v>1040</v>
      </c>
      <c r="B658" s="5" t="s">
        <v>10</v>
      </c>
      <c r="C658" s="5" t="s">
        <v>1041</v>
      </c>
      <c r="D658" s="5" t="s">
        <v>1042</v>
      </c>
      <c r="E658" s="5" t="s">
        <v>946</v>
      </c>
      <c r="F658" s="5" t="s">
        <v>2025</v>
      </c>
      <c r="G658" s="5" t="s">
        <v>15</v>
      </c>
      <c r="H658" s="5" t="s">
        <v>57</v>
      </c>
      <c r="I658" s="5" t="s">
        <v>56</v>
      </c>
    </row>
    <row r="659" spans="1:9" ht="195" x14ac:dyDescent="0.25">
      <c r="A659" s="5" t="s">
        <v>2026</v>
      </c>
      <c r="B659" s="5" t="s">
        <v>10</v>
      </c>
      <c r="C659" s="5" t="s">
        <v>1047</v>
      </c>
      <c r="D659" s="5" t="s">
        <v>1048</v>
      </c>
      <c r="E659" s="5" t="s">
        <v>2027</v>
      </c>
      <c r="F659" s="5" t="s">
        <v>2028</v>
      </c>
      <c r="G659" s="5" t="s">
        <v>15</v>
      </c>
      <c r="H659" s="5" t="s">
        <v>57</v>
      </c>
      <c r="I659" s="5" t="s">
        <v>265</v>
      </c>
    </row>
    <row r="660" spans="1:9" ht="195" x14ac:dyDescent="0.25">
      <c r="A660" s="5" t="s">
        <v>2029</v>
      </c>
      <c r="B660" s="5" t="s">
        <v>10</v>
      </c>
      <c r="C660" s="5" t="s">
        <v>1047</v>
      </c>
      <c r="D660" s="5" t="s">
        <v>1048</v>
      </c>
      <c r="E660" s="5" t="s">
        <v>2030</v>
      </c>
      <c r="F660" s="5" t="s">
        <v>1050</v>
      </c>
      <c r="G660" s="5" t="s">
        <v>15</v>
      </c>
      <c r="H660" s="5" t="s">
        <v>57</v>
      </c>
      <c r="I660" s="5" t="s">
        <v>265</v>
      </c>
    </row>
    <row r="661" spans="1:9" ht="195" x14ac:dyDescent="0.25">
      <c r="A661" s="5" t="s">
        <v>2031</v>
      </c>
      <c r="B661" s="5" t="s">
        <v>10</v>
      </c>
      <c r="C661" s="5" t="s">
        <v>1047</v>
      </c>
      <c r="D661" s="5" t="s">
        <v>1048</v>
      </c>
      <c r="E661" s="5" t="s">
        <v>2032</v>
      </c>
      <c r="F661" s="5" t="s">
        <v>2028</v>
      </c>
      <c r="G661" s="5" t="s">
        <v>15</v>
      </c>
      <c r="H661" s="5" t="s">
        <v>57</v>
      </c>
      <c r="I661" s="5" t="s">
        <v>265</v>
      </c>
    </row>
    <row r="662" spans="1:9" x14ac:dyDescent="0.25">
      <c r="A662" s="5" t="s">
        <v>1055</v>
      </c>
      <c r="B662" s="5" t="s">
        <v>10</v>
      </c>
      <c r="C662" s="5" t="s">
        <v>1055</v>
      </c>
      <c r="D662" s="5" t="s">
        <v>1056</v>
      </c>
      <c r="E662" s="5" t="s">
        <v>2033</v>
      </c>
      <c r="F662" s="5" t="s">
        <v>54</v>
      </c>
      <c r="G662" s="5" t="s">
        <v>15</v>
      </c>
      <c r="H662" s="5" t="s">
        <v>57</v>
      </c>
      <c r="I662" s="5" t="s">
        <v>57</v>
      </c>
    </row>
    <row r="663" spans="1:9" x14ac:dyDescent="0.25">
      <c r="A663" s="5" t="s">
        <v>1055</v>
      </c>
      <c r="B663" s="5" t="s">
        <v>132</v>
      </c>
      <c r="C663" s="5" t="s">
        <v>1055</v>
      </c>
      <c r="D663" s="5" t="s">
        <v>1056</v>
      </c>
      <c r="E663" s="5" t="s">
        <v>2033</v>
      </c>
      <c r="F663" s="5" t="s">
        <v>54</v>
      </c>
      <c r="G663" s="5" t="s">
        <v>15</v>
      </c>
      <c r="H663" s="5" t="s">
        <v>57</v>
      </c>
      <c r="I663" s="5" t="s">
        <v>57</v>
      </c>
    </row>
    <row r="664" spans="1:9" x14ac:dyDescent="0.25">
      <c r="A664" s="5" t="s">
        <v>2034</v>
      </c>
      <c r="B664" s="5" t="s">
        <v>51</v>
      </c>
      <c r="C664" s="5" t="s">
        <v>1055</v>
      </c>
      <c r="D664" s="5" t="s">
        <v>1056</v>
      </c>
      <c r="E664" s="5" t="s">
        <v>2033</v>
      </c>
      <c r="F664" s="5" t="s">
        <v>54</v>
      </c>
      <c r="G664" s="5" t="s">
        <v>15</v>
      </c>
      <c r="H664" s="5" t="s">
        <v>57</v>
      </c>
      <c r="I664" s="5" t="s">
        <v>57</v>
      </c>
    </row>
    <row r="665" spans="1:9" ht="240" x14ac:dyDescent="0.25">
      <c r="A665" s="5" t="s">
        <v>1060</v>
      </c>
      <c r="B665" s="5" t="s">
        <v>132</v>
      </c>
      <c r="C665" s="5" t="s">
        <v>1060</v>
      </c>
      <c r="D665" s="5" t="s">
        <v>1061</v>
      </c>
      <c r="E665" s="5" t="s">
        <v>1957</v>
      </c>
      <c r="F665" s="5" t="s">
        <v>2035</v>
      </c>
      <c r="G665" s="5" t="s">
        <v>15</v>
      </c>
      <c r="H665" s="5" t="s">
        <v>661</v>
      </c>
      <c r="I665" s="5" t="s">
        <v>56</v>
      </c>
    </row>
    <row r="666" spans="1:9" ht="240" x14ac:dyDescent="0.25">
      <c r="A666" s="5" t="s">
        <v>2036</v>
      </c>
      <c r="B666" s="5" t="s">
        <v>132</v>
      </c>
      <c r="C666" s="5" t="s">
        <v>1060</v>
      </c>
      <c r="D666" s="5" t="s">
        <v>1061</v>
      </c>
      <c r="E666" s="5" t="s">
        <v>1957</v>
      </c>
      <c r="F666" s="5" t="s">
        <v>2035</v>
      </c>
      <c r="G666" s="5" t="s">
        <v>15</v>
      </c>
      <c r="H666" s="5" t="s">
        <v>97</v>
      </c>
      <c r="I666" s="5" t="s">
        <v>57</v>
      </c>
    </row>
    <row r="667" spans="1:9" ht="240" x14ac:dyDescent="0.25">
      <c r="A667" s="5" t="s">
        <v>2036</v>
      </c>
      <c r="B667" s="5" t="s">
        <v>1408</v>
      </c>
      <c r="C667" s="5" t="s">
        <v>1060</v>
      </c>
      <c r="D667" s="5" t="s">
        <v>1061</v>
      </c>
      <c r="E667" s="5" t="s">
        <v>1957</v>
      </c>
      <c r="F667" s="5" t="s">
        <v>2035</v>
      </c>
      <c r="G667" s="5" t="s">
        <v>15</v>
      </c>
      <c r="H667" s="5" t="s">
        <v>97</v>
      </c>
      <c r="I667" s="5" t="s">
        <v>57</v>
      </c>
    </row>
    <row r="668" spans="1:9" ht="240" x14ac:dyDescent="0.25">
      <c r="A668" s="5" t="s">
        <v>2037</v>
      </c>
      <c r="B668" s="5" t="s">
        <v>10</v>
      </c>
      <c r="C668" s="5" t="s">
        <v>1060</v>
      </c>
      <c r="D668" s="5" t="s">
        <v>1061</v>
      </c>
      <c r="E668" s="5" t="s">
        <v>1957</v>
      </c>
      <c r="F668" s="5" t="s">
        <v>2035</v>
      </c>
      <c r="G668" s="5" t="s">
        <v>15</v>
      </c>
      <c r="H668" s="5" t="s">
        <v>97</v>
      </c>
      <c r="I668" s="5" t="s">
        <v>57</v>
      </c>
    </row>
    <row r="669" spans="1:9" ht="240" x14ac:dyDescent="0.25">
      <c r="A669" s="5" t="s">
        <v>2038</v>
      </c>
      <c r="B669" s="5" t="s">
        <v>132</v>
      </c>
      <c r="C669" s="5" t="s">
        <v>1060</v>
      </c>
      <c r="D669" s="5" t="s">
        <v>1061</v>
      </c>
      <c r="E669" s="5" t="s">
        <v>1957</v>
      </c>
      <c r="F669" s="5" t="s">
        <v>2035</v>
      </c>
      <c r="G669" s="5" t="s">
        <v>15</v>
      </c>
      <c r="H669" s="5" t="s">
        <v>97</v>
      </c>
      <c r="I669" s="5" t="s">
        <v>57</v>
      </c>
    </row>
    <row r="670" spans="1:9" ht="240" x14ac:dyDescent="0.25">
      <c r="A670" s="5" t="s">
        <v>2039</v>
      </c>
      <c r="B670" s="5" t="s">
        <v>10</v>
      </c>
      <c r="C670" s="5" t="s">
        <v>1060</v>
      </c>
      <c r="D670" s="5" t="s">
        <v>1061</v>
      </c>
      <c r="E670" s="5" t="s">
        <v>946</v>
      </c>
      <c r="F670" s="5" t="s">
        <v>2035</v>
      </c>
      <c r="G670" s="5" t="s">
        <v>15</v>
      </c>
      <c r="H670" s="5" t="s">
        <v>97</v>
      </c>
      <c r="I670" s="5" t="s">
        <v>57</v>
      </c>
    </row>
    <row r="671" spans="1:9" ht="240" x14ac:dyDescent="0.25">
      <c r="A671" s="5" t="s">
        <v>2040</v>
      </c>
      <c r="B671" s="5" t="s">
        <v>10</v>
      </c>
      <c r="C671" s="5" t="s">
        <v>1060</v>
      </c>
      <c r="D671" s="5" t="s">
        <v>1061</v>
      </c>
      <c r="E671" s="5" t="s">
        <v>946</v>
      </c>
      <c r="F671" s="5" t="s">
        <v>2041</v>
      </c>
      <c r="G671" s="5" t="s">
        <v>15</v>
      </c>
      <c r="H671" s="5" t="s">
        <v>57</v>
      </c>
      <c r="I671" s="5" t="s">
        <v>92</v>
      </c>
    </row>
    <row r="672" spans="1:9" ht="240" x14ac:dyDescent="0.25">
      <c r="A672" s="5" t="s">
        <v>2042</v>
      </c>
      <c r="B672" s="5" t="s">
        <v>10</v>
      </c>
      <c r="C672" s="5" t="s">
        <v>1060</v>
      </c>
      <c r="D672" s="5" t="s">
        <v>1061</v>
      </c>
      <c r="E672" s="5" t="s">
        <v>946</v>
      </c>
      <c r="F672" s="5" t="s">
        <v>2035</v>
      </c>
      <c r="G672" s="5" t="s">
        <v>15</v>
      </c>
      <c r="H672" s="5" t="s">
        <v>57</v>
      </c>
      <c r="I672" s="5" t="s">
        <v>92</v>
      </c>
    </row>
    <row r="673" spans="1:9" ht="240" x14ac:dyDescent="0.25">
      <c r="A673" s="5" t="s">
        <v>2043</v>
      </c>
      <c r="B673" s="5" t="s">
        <v>10</v>
      </c>
      <c r="C673" s="5" t="s">
        <v>1060</v>
      </c>
      <c r="D673" s="5" t="s">
        <v>1061</v>
      </c>
      <c r="E673" s="5" t="s">
        <v>1957</v>
      </c>
      <c r="F673" s="5" t="s">
        <v>2035</v>
      </c>
      <c r="G673" s="5" t="s">
        <v>15</v>
      </c>
      <c r="H673" s="5" t="s">
        <v>57</v>
      </c>
      <c r="I673" s="5" t="s">
        <v>76</v>
      </c>
    </row>
    <row r="674" spans="1:9" x14ac:dyDescent="0.25">
      <c r="A674" s="5" t="s">
        <v>2044</v>
      </c>
      <c r="B674" s="5" t="s">
        <v>10</v>
      </c>
      <c r="C674" s="5" t="s">
        <v>1060</v>
      </c>
      <c r="D674" s="5" t="s">
        <v>1061</v>
      </c>
      <c r="E674" s="5" t="s">
        <v>57</v>
      </c>
      <c r="F674" s="5" t="s">
        <v>2045</v>
      </c>
      <c r="G674" s="5" t="s">
        <v>57</v>
      </c>
      <c r="H674" s="5" t="s">
        <v>57</v>
      </c>
      <c r="I674" s="5" t="s">
        <v>57</v>
      </c>
    </row>
    <row r="675" spans="1:9" x14ac:dyDescent="0.25">
      <c r="A675" s="5" t="s">
        <v>2046</v>
      </c>
      <c r="B675" s="5" t="s">
        <v>10</v>
      </c>
      <c r="C675" s="5" t="s">
        <v>1060</v>
      </c>
      <c r="D675" s="5" t="s">
        <v>1061</v>
      </c>
      <c r="E675" s="5" t="s">
        <v>57</v>
      </c>
      <c r="F675" s="5" t="s">
        <v>2045</v>
      </c>
      <c r="G675" s="5" t="s">
        <v>57</v>
      </c>
      <c r="H675" s="5" t="s">
        <v>57</v>
      </c>
      <c r="I675" s="5" t="s">
        <v>57</v>
      </c>
    </row>
    <row r="676" spans="1:9" ht="240" x14ac:dyDescent="0.25">
      <c r="A676" s="5" t="s">
        <v>2047</v>
      </c>
      <c r="B676" s="5" t="s">
        <v>10</v>
      </c>
      <c r="C676" s="5" t="s">
        <v>1060</v>
      </c>
      <c r="D676" s="5" t="s">
        <v>1061</v>
      </c>
      <c r="E676" s="5" t="s">
        <v>57</v>
      </c>
      <c r="F676" s="5" t="s">
        <v>2035</v>
      </c>
      <c r="G676" s="5" t="s">
        <v>15</v>
      </c>
      <c r="H676" s="5" t="s">
        <v>697</v>
      </c>
      <c r="I676" s="5" t="s">
        <v>56</v>
      </c>
    </row>
    <row r="677" spans="1:9" x14ac:dyDescent="0.25">
      <c r="A677" s="5" t="s">
        <v>2048</v>
      </c>
      <c r="B677" s="5" t="s">
        <v>10</v>
      </c>
      <c r="C677" s="5" t="s">
        <v>1060</v>
      </c>
      <c r="D677" s="5" t="s">
        <v>1061</v>
      </c>
      <c r="E677" s="5" t="s">
        <v>946</v>
      </c>
      <c r="F677" s="5" t="s">
        <v>2045</v>
      </c>
      <c r="G677" s="5" t="s">
        <v>57</v>
      </c>
      <c r="H677" s="5" t="s">
        <v>57</v>
      </c>
      <c r="I677" s="5" t="s">
        <v>57</v>
      </c>
    </row>
    <row r="678" spans="1:9" ht="240" x14ac:dyDescent="0.25">
      <c r="A678" s="5" t="s">
        <v>2049</v>
      </c>
      <c r="B678" s="5" t="s">
        <v>991</v>
      </c>
      <c r="C678" s="5" t="s">
        <v>1060</v>
      </c>
      <c r="D678" s="5" t="s">
        <v>1061</v>
      </c>
      <c r="E678" s="5" t="s">
        <v>1957</v>
      </c>
      <c r="F678" s="5" t="s">
        <v>2035</v>
      </c>
      <c r="G678" s="5" t="s">
        <v>15</v>
      </c>
      <c r="H678" s="5" t="s">
        <v>57</v>
      </c>
      <c r="I678" s="5" t="s">
        <v>57</v>
      </c>
    </row>
    <row r="679" spans="1:9" ht="360" x14ac:dyDescent="0.25">
      <c r="A679" s="5" t="s">
        <v>1068</v>
      </c>
      <c r="B679" s="5" t="s">
        <v>132</v>
      </c>
      <c r="C679" s="5" t="s">
        <v>1068</v>
      </c>
      <c r="D679" s="5" t="s">
        <v>1069</v>
      </c>
      <c r="E679" s="5" t="s">
        <v>2050</v>
      </c>
      <c r="F679" s="5" t="s">
        <v>2051</v>
      </c>
      <c r="G679" s="5" t="s">
        <v>15</v>
      </c>
      <c r="H679" s="5" t="s">
        <v>1962</v>
      </c>
      <c r="I679" s="5" t="s">
        <v>39</v>
      </c>
    </row>
    <row r="680" spans="1:9" ht="360" x14ac:dyDescent="0.25">
      <c r="A680" s="5" t="s">
        <v>2052</v>
      </c>
      <c r="B680" s="5" t="s">
        <v>132</v>
      </c>
      <c r="C680" s="5" t="s">
        <v>1068</v>
      </c>
      <c r="D680" s="5" t="s">
        <v>1069</v>
      </c>
      <c r="E680" s="5" t="s">
        <v>2050</v>
      </c>
      <c r="F680" s="5" t="s">
        <v>2051</v>
      </c>
      <c r="G680" s="5" t="s">
        <v>15</v>
      </c>
      <c r="H680" s="5" t="s">
        <v>97</v>
      </c>
      <c r="I680" s="5" t="s">
        <v>57</v>
      </c>
    </row>
    <row r="681" spans="1:9" ht="360" x14ac:dyDescent="0.25">
      <c r="A681" s="5" t="s">
        <v>2052</v>
      </c>
      <c r="B681" s="5" t="s">
        <v>1408</v>
      </c>
      <c r="C681" s="5" t="s">
        <v>1068</v>
      </c>
      <c r="D681" s="5" t="s">
        <v>1069</v>
      </c>
      <c r="E681" s="5" t="s">
        <v>2050</v>
      </c>
      <c r="F681" s="5" t="s">
        <v>2051</v>
      </c>
      <c r="G681" s="5" t="s">
        <v>15</v>
      </c>
      <c r="H681" s="5" t="s">
        <v>97</v>
      </c>
      <c r="I681" s="5" t="s">
        <v>57</v>
      </c>
    </row>
    <row r="682" spans="1:9" ht="360" x14ac:dyDescent="0.25">
      <c r="A682" s="5" t="s">
        <v>2053</v>
      </c>
      <c r="B682" s="5" t="s">
        <v>10</v>
      </c>
      <c r="C682" s="5" t="s">
        <v>1068</v>
      </c>
      <c r="D682" s="5" t="s">
        <v>1069</v>
      </c>
      <c r="E682" s="5" t="s">
        <v>1070</v>
      </c>
      <c r="F682" s="5" t="s">
        <v>2051</v>
      </c>
      <c r="G682" s="5" t="s">
        <v>15</v>
      </c>
      <c r="H682" s="5" t="s">
        <v>97</v>
      </c>
      <c r="I682" s="5" t="s">
        <v>57</v>
      </c>
    </row>
    <row r="683" spans="1:9" ht="360" x14ac:dyDescent="0.25">
      <c r="A683" s="5" t="s">
        <v>2054</v>
      </c>
      <c r="B683" s="5" t="s">
        <v>10</v>
      </c>
      <c r="C683" s="5" t="s">
        <v>1068</v>
      </c>
      <c r="D683" s="5" t="s">
        <v>1069</v>
      </c>
      <c r="E683" s="5" t="s">
        <v>1070</v>
      </c>
      <c r="F683" s="5" t="s">
        <v>2051</v>
      </c>
      <c r="G683" s="5" t="s">
        <v>15</v>
      </c>
      <c r="H683" s="5" t="s">
        <v>57</v>
      </c>
      <c r="I683" s="5" t="s">
        <v>661</v>
      </c>
    </row>
    <row r="684" spans="1:9" x14ac:dyDescent="0.25">
      <c r="A684" s="5" t="s">
        <v>2055</v>
      </c>
      <c r="B684" s="5" t="s">
        <v>10</v>
      </c>
      <c r="C684" s="5" t="s">
        <v>1068</v>
      </c>
      <c r="D684" s="5" t="s">
        <v>1069</v>
      </c>
      <c r="E684" s="5" t="s">
        <v>57</v>
      </c>
      <c r="F684" s="5" t="s">
        <v>2056</v>
      </c>
      <c r="G684" s="5" t="s">
        <v>15</v>
      </c>
      <c r="H684" s="5" t="s">
        <v>57</v>
      </c>
      <c r="I684" s="5" t="s">
        <v>92</v>
      </c>
    </row>
    <row r="685" spans="1:9" x14ac:dyDescent="0.25">
      <c r="A685" s="5" t="s">
        <v>2057</v>
      </c>
      <c r="B685" s="5" t="s">
        <v>1013</v>
      </c>
      <c r="C685" s="5" t="s">
        <v>1068</v>
      </c>
      <c r="D685" s="5" t="s">
        <v>1069</v>
      </c>
      <c r="E685" s="5" t="s">
        <v>57</v>
      </c>
      <c r="F685" s="5" t="s">
        <v>2056</v>
      </c>
      <c r="G685" s="5" t="s">
        <v>15</v>
      </c>
      <c r="H685" s="5" t="s">
        <v>57</v>
      </c>
      <c r="I685" s="5" t="s">
        <v>92</v>
      </c>
    </row>
    <row r="686" spans="1:9" ht="360" x14ac:dyDescent="0.25">
      <c r="A686" s="5" t="s">
        <v>2058</v>
      </c>
      <c r="B686" s="5" t="s">
        <v>10</v>
      </c>
      <c r="C686" s="5" t="s">
        <v>1068</v>
      </c>
      <c r="D686" s="5" t="s">
        <v>1069</v>
      </c>
      <c r="E686" s="5" t="s">
        <v>2050</v>
      </c>
      <c r="F686" s="5" t="s">
        <v>2051</v>
      </c>
      <c r="G686" s="5" t="s">
        <v>15</v>
      </c>
      <c r="H686" s="5" t="s">
        <v>57</v>
      </c>
      <c r="I686" s="5" t="s">
        <v>76</v>
      </c>
    </row>
    <row r="687" spans="1:9" ht="360" x14ac:dyDescent="0.25">
      <c r="A687" s="5" t="s">
        <v>2059</v>
      </c>
      <c r="B687" s="5" t="s">
        <v>10</v>
      </c>
      <c r="C687" s="5" t="s">
        <v>1068</v>
      </c>
      <c r="D687" s="5" t="s">
        <v>1069</v>
      </c>
      <c r="E687" s="5" t="s">
        <v>57</v>
      </c>
      <c r="F687" s="5" t="s">
        <v>2051</v>
      </c>
      <c r="G687" s="5" t="s">
        <v>15</v>
      </c>
      <c r="H687" s="5" t="s">
        <v>57</v>
      </c>
      <c r="I687" s="5" t="s">
        <v>921</v>
      </c>
    </row>
    <row r="688" spans="1:9" ht="360" x14ac:dyDescent="0.25">
      <c r="A688" s="5" t="s">
        <v>2060</v>
      </c>
      <c r="B688" s="5" t="s">
        <v>1428</v>
      </c>
      <c r="C688" s="5" t="s">
        <v>1068</v>
      </c>
      <c r="D688" s="5" t="s">
        <v>1069</v>
      </c>
      <c r="E688" s="5" t="s">
        <v>57</v>
      </c>
      <c r="F688" s="5" t="s">
        <v>2051</v>
      </c>
      <c r="G688" s="5" t="s">
        <v>15</v>
      </c>
      <c r="H688" s="5" t="s">
        <v>57</v>
      </c>
      <c r="I688" s="5" t="s">
        <v>921</v>
      </c>
    </row>
    <row r="689" spans="1:9" ht="45" x14ac:dyDescent="0.25">
      <c r="A689" s="5" t="s">
        <v>1076</v>
      </c>
      <c r="B689" s="5" t="s">
        <v>51</v>
      </c>
      <c r="C689" s="5" t="s">
        <v>1076</v>
      </c>
      <c r="D689" s="5" t="s">
        <v>1077</v>
      </c>
      <c r="E689" s="5" t="s">
        <v>2061</v>
      </c>
      <c r="F689" s="5" t="s">
        <v>2062</v>
      </c>
      <c r="G689" s="5" t="s">
        <v>15</v>
      </c>
      <c r="H689" s="5" t="s">
        <v>265</v>
      </c>
      <c r="I689" s="5" t="s">
        <v>57</v>
      </c>
    </row>
    <row r="690" spans="1:9" ht="45" x14ac:dyDescent="0.25">
      <c r="A690" s="5" t="s">
        <v>2063</v>
      </c>
      <c r="B690" s="5" t="s">
        <v>51</v>
      </c>
      <c r="C690" s="5" t="s">
        <v>1076</v>
      </c>
      <c r="D690" s="5" t="s">
        <v>1077</v>
      </c>
      <c r="E690" s="5" t="s">
        <v>2061</v>
      </c>
      <c r="F690" s="5" t="s">
        <v>2062</v>
      </c>
      <c r="G690" s="5" t="s">
        <v>15</v>
      </c>
      <c r="H690" s="5" t="s">
        <v>265</v>
      </c>
      <c r="I690" s="5" t="s">
        <v>57</v>
      </c>
    </row>
    <row r="691" spans="1:9" ht="180" x14ac:dyDescent="0.25">
      <c r="A691" s="5" t="s">
        <v>1080</v>
      </c>
      <c r="B691" s="5" t="s">
        <v>10</v>
      </c>
      <c r="C691" s="5" t="s">
        <v>1081</v>
      </c>
      <c r="D691" s="5" t="s">
        <v>1082</v>
      </c>
      <c r="E691" s="5" t="s">
        <v>946</v>
      </c>
      <c r="F691" s="5" t="s">
        <v>2064</v>
      </c>
      <c r="G691" s="5" t="s">
        <v>15</v>
      </c>
      <c r="H691" s="5" t="s">
        <v>57</v>
      </c>
      <c r="I691" s="5" t="s">
        <v>39</v>
      </c>
    </row>
    <row r="692" spans="1:9" ht="60" x14ac:dyDescent="0.25">
      <c r="A692" s="5" t="s">
        <v>1085</v>
      </c>
      <c r="B692" s="5" t="s">
        <v>10</v>
      </c>
      <c r="C692" s="5" t="s">
        <v>1086</v>
      </c>
      <c r="D692" s="5" t="s">
        <v>1087</v>
      </c>
      <c r="E692" s="5" t="s">
        <v>1396</v>
      </c>
      <c r="F692" s="5" t="s">
        <v>1088</v>
      </c>
      <c r="G692" s="5" t="s">
        <v>15</v>
      </c>
      <c r="H692" s="5" t="s">
        <v>57</v>
      </c>
      <c r="I692" s="5" t="s">
        <v>39</v>
      </c>
    </row>
    <row r="693" spans="1:9" ht="240" x14ac:dyDescent="0.25">
      <c r="A693" s="5" t="s">
        <v>1092</v>
      </c>
      <c r="B693" s="5" t="s">
        <v>132</v>
      </c>
      <c r="C693" s="5" t="s">
        <v>1092</v>
      </c>
      <c r="D693" s="5" t="s">
        <v>1093</v>
      </c>
      <c r="E693" s="5" t="s">
        <v>2050</v>
      </c>
      <c r="F693" s="5" t="s">
        <v>2065</v>
      </c>
      <c r="G693" s="5" t="s">
        <v>15</v>
      </c>
      <c r="H693" s="5" t="s">
        <v>57</v>
      </c>
      <c r="I693" s="5" t="s">
        <v>661</v>
      </c>
    </row>
    <row r="694" spans="1:9" ht="240" x14ac:dyDescent="0.25">
      <c r="A694" s="5" t="s">
        <v>2066</v>
      </c>
      <c r="B694" s="5" t="s">
        <v>132</v>
      </c>
      <c r="C694" s="5" t="s">
        <v>1092</v>
      </c>
      <c r="D694" s="5" t="s">
        <v>1093</v>
      </c>
      <c r="E694" s="5" t="s">
        <v>2050</v>
      </c>
      <c r="F694" s="5" t="s">
        <v>2065</v>
      </c>
      <c r="G694" s="5" t="s">
        <v>15</v>
      </c>
      <c r="H694" s="5" t="s">
        <v>120</v>
      </c>
      <c r="I694" s="5" t="s">
        <v>661</v>
      </c>
    </row>
    <row r="695" spans="1:9" ht="240" x14ac:dyDescent="0.25">
      <c r="A695" s="5" t="s">
        <v>2067</v>
      </c>
      <c r="B695" s="5" t="s">
        <v>132</v>
      </c>
      <c r="C695" s="5" t="s">
        <v>1092</v>
      </c>
      <c r="D695" s="5" t="s">
        <v>1093</v>
      </c>
      <c r="E695" s="5" t="s">
        <v>2050</v>
      </c>
      <c r="F695" s="5" t="s">
        <v>2065</v>
      </c>
      <c r="G695" s="5" t="s">
        <v>15</v>
      </c>
      <c r="H695" s="5" t="s">
        <v>97</v>
      </c>
      <c r="I695" s="5" t="s">
        <v>57</v>
      </c>
    </row>
    <row r="696" spans="1:9" ht="240" x14ac:dyDescent="0.25">
      <c r="A696" s="5" t="s">
        <v>2068</v>
      </c>
      <c r="B696" s="5" t="s">
        <v>10</v>
      </c>
      <c r="C696" s="5" t="s">
        <v>1092</v>
      </c>
      <c r="D696" s="5" t="s">
        <v>1093</v>
      </c>
      <c r="E696" s="5" t="s">
        <v>2050</v>
      </c>
      <c r="F696" s="5" t="s">
        <v>2065</v>
      </c>
      <c r="G696" s="5" t="s">
        <v>15</v>
      </c>
      <c r="H696" s="5" t="s">
        <v>97</v>
      </c>
      <c r="I696" s="5" t="s">
        <v>57</v>
      </c>
    </row>
    <row r="697" spans="1:9" ht="240" x14ac:dyDescent="0.25">
      <c r="A697" s="5" t="s">
        <v>2067</v>
      </c>
      <c r="B697" s="5" t="s">
        <v>1415</v>
      </c>
      <c r="C697" s="5" t="s">
        <v>1092</v>
      </c>
      <c r="D697" s="5" t="s">
        <v>1093</v>
      </c>
      <c r="E697" s="5" t="s">
        <v>2050</v>
      </c>
      <c r="F697" s="5" t="s">
        <v>2065</v>
      </c>
      <c r="G697" s="5" t="s">
        <v>15</v>
      </c>
      <c r="H697" s="5" t="s">
        <v>97</v>
      </c>
      <c r="I697" s="5" t="s">
        <v>57</v>
      </c>
    </row>
    <row r="698" spans="1:9" ht="240" x14ac:dyDescent="0.25">
      <c r="A698" s="5" t="s">
        <v>2069</v>
      </c>
      <c r="B698" s="5" t="s">
        <v>132</v>
      </c>
      <c r="C698" s="5" t="s">
        <v>1092</v>
      </c>
      <c r="D698" s="5" t="s">
        <v>1093</v>
      </c>
      <c r="E698" s="5" t="s">
        <v>1070</v>
      </c>
      <c r="F698" s="5" t="s">
        <v>2065</v>
      </c>
      <c r="G698" s="5" t="s">
        <v>15</v>
      </c>
      <c r="H698" s="5" t="s">
        <v>97</v>
      </c>
      <c r="I698" s="5" t="s">
        <v>57</v>
      </c>
    </row>
    <row r="699" spans="1:9" ht="240" x14ac:dyDescent="0.25">
      <c r="A699" s="5" t="s">
        <v>2069</v>
      </c>
      <c r="B699" s="5" t="s">
        <v>1408</v>
      </c>
      <c r="C699" s="5" t="s">
        <v>1092</v>
      </c>
      <c r="D699" s="5" t="s">
        <v>1093</v>
      </c>
      <c r="E699" s="5" t="s">
        <v>1070</v>
      </c>
      <c r="F699" s="5" t="s">
        <v>2065</v>
      </c>
      <c r="G699" s="5" t="s">
        <v>15</v>
      </c>
      <c r="H699" s="5" t="s">
        <v>97</v>
      </c>
      <c r="I699" s="5" t="s">
        <v>57</v>
      </c>
    </row>
    <row r="700" spans="1:9" ht="240" x14ac:dyDescent="0.25">
      <c r="A700" s="5" t="s">
        <v>2070</v>
      </c>
      <c r="B700" s="5" t="s">
        <v>10</v>
      </c>
      <c r="C700" s="5" t="s">
        <v>1092</v>
      </c>
      <c r="D700" s="5" t="s">
        <v>1093</v>
      </c>
      <c r="E700" s="5" t="s">
        <v>1070</v>
      </c>
      <c r="F700" s="5" t="s">
        <v>2065</v>
      </c>
      <c r="G700" s="5" t="s">
        <v>15</v>
      </c>
      <c r="H700" s="5" t="s">
        <v>97</v>
      </c>
      <c r="I700" s="5" t="s">
        <v>57</v>
      </c>
    </row>
    <row r="701" spans="1:9" ht="240" x14ac:dyDescent="0.25">
      <c r="A701" s="5" t="s">
        <v>2071</v>
      </c>
      <c r="B701" s="5" t="s">
        <v>10</v>
      </c>
      <c r="C701" s="5" t="s">
        <v>1092</v>
      </c>
      <c r="D701" s="5" t="s">
        <v>1093</v>
      </c>
      <c r="E701" s="5" t="s">
        <v>1070</v>
      </c>
      <c r="F701" s="5" t="s">
        <v>2065</v>
      </c>
      <c r="G701" s="5" t="s">
        <v>15</v>
      </c>
      <c r="H701" s="5" t="s">
        <v>97</v>
      </c>
      <c r="I701" s="5" t="s">
        <v>57</v>
      </c>
    </row>
    <row r="702" spans="1:9" x14ac:dyDescent="0.25">
      <c r="A702" s="5" t="s">
        <v>2072</v>
      </c>
      <c r="B702" s="5" t="s">
        <v>10</v>
      </c>
      <c r="C702" s="5" t="s">
        <v>1092</v>
      </c>
      <c r="D702" s="5" t="s">
        <v>1093</v>
      </c>
      <c r="E702" s="5" t="s">
        <v>57</v>
      </c>
      <c r="F702" s="5" t="s">
        <v>2073</v>
      </c>
      <c r="G702" s="5" t="s">
        <v>15</v>
      </c>
      <c r="H702" s="5" t="s">
        <v>57</v>
      </c>
      <c r="I702" s="5" t="s">
        <v>56</v>
      </c>
    </row>
    <row r="703" spans="1:9" ht="240" x14ac:dyDescent="0.25">
      <c r="A703" s="5" t="s">
        <v>2074</v>
      </c>
      <c r="B703" s="5" t="s">
        <v>10</v>
      </c>
      <c r="C703" s="5" t="s">
        <v>1092</v>
      </c>
      <c r="D703" s="5" t="s">
        <v>1093</v>
      </c>
      <c r="E703" s="5" t="s">
        <v>57</v>
      </c>
      <c r="F703" s="5" t="s">
        <v>2065</v>
      </c>
      <c r="G703" s="5" t="s">
        <v>15</v>
      </c>
      <c r="H703" s="5" t="s">
        <v>265</v>
      </c>
      <c r="I703" s="5" t="s">
        <v>57</v>
      </c>
    </row>
    <row r="704" spans="1:9" ht="240" x14ac:dyDescent="0.25">
      <c r="A704" s="5" t="s">
        <v>2075</v>
      </c>
      <c r="B704" s="5" t="s">
        <v>123</v>
      </c>
      <c r="C704" s="5" t="s">
        <v>1092</v>
      </c>
      <c r="D704" s="5" t="s">
        <v>1093</v>
      </c>
      <c r="E704" s="5" t="s">
        <v>1070</v>
      </c>
      <c r="F704" s="5" t="s">
        <v>2065</v>
      </c>
      <c r="G704" s="5" t="s">
        <v>15</v>
      </c>
      <c r="H704" s="5" t="s">
        <v>97</v>
      </c>
      <c r="I704" s="5" t="s">
        <v>57</v>
      </c>
    </row>
    <row r="705" spans="1:9" ht="360" x14ac:dyDescent="0.25">
      <c r="A705" s="5" t="s">
        <v>1099</v>
      </c>
      <c r="B705" s="5" t="s">
        <v>2013</v>
      </c>
      <c r="C705" s="5" t="s">
        <v>1099</v>
      </c>
      <c r="D705" s="5" t="s">
        <v>1100</v>
      </c>
      <c r="E705" s="5" t="s">
        <v>1296</v>
      </c>
      <c r="F705" s="5" t="s">
        <v>2076</v>
      </c>
      <c r="G705" s="5" t="s">
        <v>15</v>
      </c>
      <c r="H705" s="5" t="s">
        <v>97</v>
      </c>
      <c r="I705" s="5" t="s">
        <v>57</v>
      </c>
    </row>
    <row r="706" spans="1:9" ht="360" x14ac:dyDescent="0.25">
      <c r="A706" s="5" t="s">
        <v>2077</v>
      </c>
      <c r="B706" s="5" t="s">
        <v>2013</v>
      </c>
      <c r="C706" s="5" t="s">
        <v>1099</v>
      </c>
      <c r="D706" s="5" t="s">
        <v>1100</v>
      </c>
      <c r="E706" s="5" t="s">
        <v>2078</v>
      </c>
      <c r="F706" s="5" t="s">
        <v>2076</v>
      </c>
      <c r="G706" s="5" t="s">
        <v>15</v>
      </c>
      <c r="H706" s="5" t="s">
        <v>97</v>
      </c>
      <c r="I706" s="5" t="s">
        <v>57</v>
      </c>
    </row>
    <row r="707" spans="1:9" ht="360" x14ac:dyDescent="0.25">
      <c r="A707" s="5" t="s">
        <v>2077</v>
      </c>
      <c r="B707" s="5" t="s">
        <v>10</v>
      </c>
      <c r="C707" s="5" t="s">
        <v>1099</v>
      </c>
      <c r="D707" s="5" t="s">
        <v>1100</v>
      </c>
      <c r="E707" s="5" t="s">
        <v>2078</v>
      </c>
      <c r="F707" s="5" t="s">
        <v>2076</v>
      </c>
      <c r="G707" s="5" t="s">
        <v>15</v>
      </c>
      <c r="H707" s="5" t="s">
        <v>97</v>
      </c>
      <c r="I707" s="5" t="s">
        <v>57</v>
      </c>
    </row>
    <row r="708" spans="1:9" ht="360" x14ac:dyDescent="0.25">
      <c r="A708" s="5" t="s">
        <v>2079</v>
      </c>
      <c r="B708" s="5" t="s">
        <v>1013</v>
      </c>
      <c r="C708" s="5" t="s">
        <v>1099</v>
      </c>
      <c r="D708" s="5" t="s">
        <v>1100</v>
      </c>
      <c r="E708" s="5" t="s">
        <v>2078</v>
      </c>
      <c r="F708" s="5" t="s">
        <v>2076</v>
      </c>
      <c r="G708" s="5" t="s">
        <v>15</v>
      </c>
      <c r="H708" s="5" t="s">
        <v>97</v>
      </c>
      <c r="I708" s="5" t="s">
        <v>57</v>
      </c>
    </row>
    <row r="709" spans="1:9" ht="360" x14ac:dyDescent="0.25">
      <c r="A709" s="5" t="s">
        <v>2080</v>
      </c>
      <c r="B709" s="5" t="s">
        <v>10</v>
      </c>
      <c r="C709" s="5" t="s">
        <v>1099</v>
      </c>
      <c r="D709" s="5" t="s">
        <v>1100</v>
      </c>
      <c r="E709" s="5" t="s">
        <v>1296</v>
      </c>
      <c r="F709" s="5" t="s">
        <v>2076</v>
      </c>
      <c r="G709" s="5" t="s">
        <v>15</v>
      </c>
      <c r="H709" s="5" t="s">
        <v>97</v>
      </c>
      <c r="I709" s="5" t="s">
        <v>57</v>
      </c>
    </row>
    <row r="710" spans="1:9" ht="360" x14ac:dyDescent="0.25">
      <c r="A710" s="5" t="s">
        <v>2081</v>
      </c>
      <c r="B710" s="5" t="s">
        <v>1428</v>
      </c>
      <c r="C710" s="5" t="s">
        <v>1099</v>
      </c>
      <c r="D710" s="5" t="s">
        <v>1100</v>
      </c>
      <c r="E710" s="5" t="s">
        <v>1296</v>
      </c>
      <c r="F710" s="5" t="s">
        <v>2076</v>
      </c>
      <c r="G710" s="5" t="s">
        <v>15</v>
      </c>
      <c r="H710" s="5" t="s">
        <v>97</v>
      </c>
      <c r="I710" s="5" t="s">
        <v>57</v>
      </c>
    </row>
    <row r="711" spans="1:9" ht="360" x14ac:dyDescent="0.25">
      <c r="A711" s="5" t="s">
        <v>2082</v>
      </c>
      <c r="B711" s="5" t="s">
        <v>10</v>
      </c>
      <c r="C711" s="5" t="s">
        <v>1099</v>
      </c>
      <c r="D711" s="5" t="s">
        <v>1100</v>
      </c>
      <c r="E711" s="5" t="s">
        <v>2078</v>
      </c>
      <c r="F711" s="5" t="s">
        <v>2076</v>
      </c>
      <c r="G711" s="5" t="s">
        <v>15</v>
      </c>
      <c r="H711" s="5" t="s">
        <v>57</v>
      </c>
      <c r="I711" s="5" t="s">
        <v>1252</v>
      </c>
    </row>
    <row r="712" spans="1:9" ht="360" x14ac:dyDescent="0.25">
      <c r="A712" s="5" t="s">
        <v>2083</v>
      </c>
      <c r="B712" s="5" t="s">
        <v>1013</v>
      </c>
      <c r="C712" s="5" t="s">
        <v>1099</v>
      </c>
      <c r="D712" s="5" t="s">
        <v>1100</v>
      </c>
      <c r="E712" s="5" t="s">
        <v>2078</v>
      </c>
      <c r="F712" s="5" t="s">
        <v>2076</v>
      </c>
      <c r="G712" s="5" t="s">
        <v>15</v>
      </c>
      <c r="H712" s="5" t="s">
        <v>57</v>
      </c>
      <c r="I712" s="5" t="s">
        <v>1252</v>
      </c>
    </row>
    <row r="713" spans="1:9" ht="360" x14ac:dyDescent="0.25">
      <c r="A713" s="5" t="s">
        <v>2084</v>
      </c>
      <c r="B713" s="5" t="s">
        <v>10</v>
      </c>
      <c r="C713" s="5" t="s">
        <v>1099</v>
      </c>
      <c r="D713" s="5" t="s">
        <v>1100</v>
      </c>
      <c r="E713" s="5" t="s">
        <v>1296</v>
      </c>
      <c r="F713" s="5" t="s">
        <v>2076</v>
      </c>
      <c r="G713" s="5" t="s">
        <v>15</v>
      </c>
      <c r="H713" s="5" t="s">
        <v>57</v>
      </c>
      <c r="I713" s="5" t="s">
        <v>120</v>
      </c>
    </row>
    <row r="714" spans="1:9" ht="360" x14ac:dyDescent="0.25">
      <c r="A714" s="5" t="s">
        <v>2085</v>
      </c>
      <c r="B714" s="5" t="s">
        <v>1423</v>
      </c>
      <c r="C714" s="5" t="s">
        <v>1099</v>
      </c>
      <c r="D714" s="5" t="s">
        <v>1100</v>
      </c>
      <c r="E714" s="5" t="s">
        <v>1296</v>
      </c>
      <c r="F714" s="5" t="s">
        <v>2076</v>
      </c>
      <c r="G714" s="5" t="s">
        <v>15</v>
      </c>
      <c r="H714" s="5" t="s">
        <v>57</v>
      </c>
      <c r="I714" s="5" t="s">
        <v>120</v>
      </c>
    </row>
    <row r="715" spans="1:9" ht="360" x14ac:dyDescent="0.25">
      <c r="A715" s="5" t="s">
        <v>2086</v>
      </c>
      <c r="B715" s="5" t="s">
        <v>10</v>
      </c>
      <c r="C715" s="5" t="s">
        <v>1099</v>
      </c>
      <c r="D715" s="5" t="s">
        <v>1100</v>
      </c>
      <c r="E715" s="5" t="s">
        <v>2078</v>
      </c>
      <c r="F715" s="5" t="s">
        <v>2076</v>
      </c>
      <c r="G715" s="5" t="s">
        <v>15</v>
      </c>
      <c r="H715" s="5" t="s">
        <v>57</v>
      </c>
      <c r="I715" s="5" t="s">
        <v>120</v>
      </c>
    </row>
    <row r="716" spans="1:9" ht="360" x14ac:dyDescent="0.25">
      <c r="A716" s="5" t="s">
        <v>2087</v>
      </c>
      <c r="B716" s="5" t="s">
        <v>10</v>
      </c>
      <c r="C716" s="5" t="s">
        <v>1099</v>
      </c>
      <c r="D716" s="5" t="s">
        <v>1100</v>
      </c>
      <c r="E716" s="5" t="s">
        <v>1296</v>
      </c>
      <c r="F716" s="5" t="s">
        <v>2076</v>
      </c>
      <c r="G716" s="5" t="s">
        <v>15</v>
      </c>
      <c r="H716" s="5" t="s">
        <v>57</v>
      </c>
      <c r="I716" s="5" t="s">
        <v>120</v>
      </c>
    </row>
    <row r="717" spans="1:9" ht="360" x14ac:dyDescent="0.25">
      <c r="A717" s="5" t="s">
        <v>2088</v>
      </c>
      <c r="B717" s="5" t="s">
        <v>1428</v>
      </c>
      <c r="C717" s="5" t="s">
        <v>1099</v>
      </c>
      <c r="D717" s="5" t="s">
        <v>1100</v>
      </c>
      <c r="E717" s="5" t="s">
        <v>1296</v>
      </c>
      <c r="F717" s="5" t="s">
        <v>2076</v>
      </c>
      <c r="G717" s="5" t="s">
        <v>15</v>
      </c>
      <c r="H717" s="5" t="s">
        <v>57</v>
      </c>
      <c r="I717" s="5" t="s">
        <v>120</v>
      </c>
    </row>
    <row r="718" spans="1:9" ht="360" x14ac:dyDescent="0.25">
      <c r="A718" s="5" t="s">
        <v>2089</v>
      </c>
      <c r="B718" s="5" t="s">
        <v>132</v>
      </c>
      <c r="C718" s="5" t="s">
        <v>1099</v>
      </c>
      <c r="D718" s="5" t="s">
        <v>1100</v>
      </c>
      <c r="E718" s="5" t="s">
        <v>2090</v>
      </c>
      <c r="F718" s="5" t="s">
        <v>2076</v>
      </c>
      <c r="G718" s="5" t="s">
        <v>15</v>
      </c>
      <c r="H718" s="5" t="s">
        <v>57</v>
      </c>
      <c r="I718" s="5" t="s">
        <v>265</v>
      </c>
    </row>
    <row r="719" spans="1:9" ht="360" x14ac:dyDescent="0.25">
      <c r="A719" s="5" t="s">
        <v>2089</v>
      </c>
      <c r="B719" s="5" t="s">
        <v>1423</v>
      </c>
      <c r="C719" s="5" t="s">
        <v>1099</v>
      </c>
      <c r="D719" s="5" t="s">
        <v>1100</v>
      </c>
      <c r="E719" s="5" t="s">
        <v>2090</v>
      </c>
      <c r="F719" s="5" t="s">
        <v>2076</v>
      </c>
      <c r="G719" s="5" t="s">
        <v>15</v>
      </c>
      <c r="H719" s="5" t="s">
        <v>57</v>
      </c>
      <c r="I719" s="5" t="s">
        <v>265</v>
      </c>
    </row>
    <row r="720" spans="1:9" ht="360" x14ac:dyDescent="0.25">
      <c r="A720" s="5" t="s">
        <v>2091</v>
      </c>
      <c r="B720" s="5" t="s">
        <v>1415</v>
      </c>
      <c r="C720" s="5" t="s">
        <v>1099</v>
      </c>
      <c r="D720" s="5" t="s">
        <v>1100</v>
      </c>
      <c r="E720" s="5" t="s">
        <v>2078</v>
      </c>
      <c r="F720" s="5" t="s">
        <v>2076</v>
      </c>
      <c r="G720" s="5" t="s">
        <v>15</v>
      </c>
      <c r="H720" s="5" t="s">
        <v>57</v>
      </c>
      <c r="I720" s="5" t="s">
        <v>120</v>
      </c>
    </row>
    <row r="721" spans="1:9" ht="360" x14ac:dyDescent="0.25">
      <c r="A721" s="5" t="s">
        <v>2091</v>
      </c>
      <c r="B721" s="5" t="s">
        <v>1418</v>
      </c>
      <c r="C721" s="5" t="s">
        <v>1099</v>
      </c>
      <c r="D721" s="5" t="s">
        <v>1100</v>
      </c>
      <c r="E721" s="5" t="s">
        <v>2078</v>
      </c>
      <c r="F721" s="5" t="s">
        <v>2076</v>
      </c>
      <c r="G721" s="5" t="s">
        <v>15</v>
      </c>
      <c r="H721" s="5" t="s">
        <v>57</v>
      </c>
      <c r="I721" s="5" t="s">
        <v>120</v>
      </c>
    </row>
    <row r="722" spans="1:9" ht="360" x14ac:dyDescent="0.25">
      <c r="A722" s="5" t="s">
        <v>2091</v>
      </c>
      <c r="B722" s="5" t="s">
        <v>1013</v>
      </c>
      <c r="C722" s="5" t="s">
        <v>1099</v>
      </c>
      <c r="D722" s="5" t="s">
        <v>1100</v>
      </c>
      <c r="E722" s="5" t="s">
        <v>2078</v>
      </c>
      <c r="F722" s="5" t="s">
        <v>2076</v>
      </c>
      <c r="G722" s="5" t="s">
        <v>15</v>
      </c>
      <c r="H722" s="5" t="s">
        <v>57</v>
      </c>
      <c r="I722" s="5" t="s">
        <v>661</v>
      </c>
    </row>
    <row r="723" spans="1:9" ht="360" x14ac:dyDescent="0.25">
      <c r="A723" s="5" t="s">
        <v>2092</v>
      </c>
      <c r="B723" s="5" t="s">
        <v>123</v>
      </c>
      <c r="C723" s="5" t="s">
        <v>1099</v>
      </c>
      <c r="D723" s="5" t="s">
        <v>1100</v>
      </c>
      <c r="E723" s="5" t="s">
        <v>1296</v>
      </c>
      <c r="F723" s="5" t="s">
        <v>2076</v>
      </c>
      <c r="G723" s="5" t="s">
        <v>15</v>
      </c>
      <c r="H723" s="5" t="s">
        <v>97</v>
      </c>
      <c r="I723" s="5" t="s">
        <v>57</v>
      </c>
    </row>
    <row r="724" spans="1:9" ht="360" x14ac:dyDescent="0.25">
      <c r="A724" s="5" t="s">
        <v>2093</v>
      </c>
      <c r="B724" s="5" t="s">
        <v>123</v>
      </c>
      <c r="C724" s="5" t="s">
        <v>1099</v>
      </c>
      <c r="D724" s="5" t="s">
        <v>1100</v>
      </c>
      <c r="E724" s="5" t="s">
        <v>2078</v>
      </c>
      <c r="F724" s="5" t="s">
        <v>2076</v>
      </c>
      <c r="G724" s="5" t="s">
        <v>15</v>
      </c>
      <c r="H724" s="5" t="s">
        <v>97</v>
      </c>
      <c r="I724" s="5" t="s">
        <v>57</v>
      </c>
    </row>
    <row r="725" spans="1:9" ht="360" x14ac:dyDescent="0.25">
      <c r="A725" s="5" t="s">
        <v>2094</v>
      </c>
      <c r="B725" s="5" t="s">
        <v>1527</v>
      </c>
      <c r="C725" s="5" t="s">
        <v>1099</v>
      </c>
      <c r="D725" s="5" t="s">
        <v>1100</v>
      </c>
      <c r="E725" s="5" t="s">
        <v>2078</v>
      </c>
      <c r="F725" s="5" t="s">
        <v>2076</v>
      </c>
      <c r="G725" s="5" t="s">
        <v>15</v>
      </c>
      <c r="H725" s="5" t="s">
        <v>97</v>
      </c>
      <c r="I725" s="5" t="s">
        <v>57</v>
      </c>
    </row>
    <row r="726" spans="1:9" ht="360" x14ac:dyDescent="0.25">
      <c r="A726" s="5" t="s">
        <v>2095</v>
      </c>
      <c r="B726" s="5" t="s">
        <v>1531</v>
      </c>
      <c r="C726" s="5" t="s">
        <v>1099</v>
      </c>
      <c r="D726" s="5" t="s">
        <v>1100</v>
      </c>
      <c r="E726" s="5" t="s">
        <v>2078</v>
      </c>
      <c r="F726" s="5" t="s">
        <v>2076</v>
      </c>
      <c r="G726" s="5" t="s">
        <v>15</v>
      </c>
      <c r="H726" s="5" t="s">
        <v>97</v>
      </c>
      <c r="I726" s="5" t="s">
        <v>57</v>
      </c>
    </row>
    <row r="727" spans="1:9" ht="360" x14ac:dyDescent="0.25">
      <c r="A727" s="5" t="s">
        <v>2096</v>
      </c>
      <c r="B727" s="5" t="s">
        <v>1531</v>
      </c>
      <c r="C727" s="5" t="s">
        <v>1099</v>
      </c>
      <c r="D727" s="5" t="s">
        <v>1100</v>
      </c>
      <c r="E727" s="5" t="s">
        <v>2078</v>
      </c>
      <c r="F727" s="5" t="s">
        <v>2076</v>
      </c>
      <c r="G727" s="5" t="s">
        <v>15</v>
      </c>
      <c r="H727" s="5" t="s">
        <v>97</v>
      </c>
      <c r="I727" s="5" t="s">
        <v>57</v>
      </c>
    </row>
    <row r="728" spans="1:9" ht="360" x14ac:dyDescent="0.25">
      <c r="A728" s="5" t="s">
        <v>2097</v>
      </c>
      <c r="B728" s="5" t="s">
        <v>1531</v>
      </c>
      <c r="C728" s="5" t="s">
        <v>1099</v>
      </c>
      <c r="D728" s="5" t="s">
        <v>1100</v>
      </c>
      <c r="E728" s="5" t="s">
        <v>2098</v>
      </c>
      <c r="F728" s="5" t="s">
        <v>2076</v>
      </c>
      <c r="G728" s="5" t="s">
        <v>15</v>
      </c>
      <c r="H728" s="5" t="s">
        <v>97</v>
      </c>
      <c r="I728" s="5" t="s">
        <v>57</v>
      </c>
    </row>
    <row r="729" spans="1:9" ht="360" x14ac:dyDescent="0.25">
      <c r="A729" s="5" t="s">
        <v>2099</v>
      </c>
      <c r="B729" s="5" t="s">
        <v>1402</v>
      </c>
      <c r="C729" s="5" t="s">
        <v>1099</v>
      </c>
      <c r="D729" s="5" t="s">
        <v>1100</v>
      </c>
      <c r="E729" s="5" t="s">
        <v>2078</v>
      </c>
      <c r="F729" s="5" t="s">
        <v>2076</v>
      </c>
      <c r="G729" s="5" t="s">
        <v>15</v>
      </c>
      <c r="H729" s="5" t="s">
        <v>97</v>
      </c>
      <c r="I729" s="5" t="s">
        <v>57</v>
      </c>
    </row>
    <row r="730" spans="1:9" ht="360" x14ac:dyDescent="0.25">
      <c r="A730" s="5" t="s">
        <v>2099</v>
      </c>
      <c r="B730" s="5" t="s">
        <v>1529</v>
      </c>
      <c r="C730" s="5" t="s">
        <v>1099</v>
      </c>
      <c r="D730" s="5" t="s">
        <v>1100</v>
      </c>
      <c r="E730" s="5" t="s">
        <v>2078</v>
      </c>
      <c r="F730" s="5" t="s">
        <v>2076</v>
      </c>
      <c r="G730" s="5" t="s">
        <v>15</v>
      </c>
      <c r="H730" s="5" t="s">
        <v>97</v>
      </c>
      <c r="I730" s="5" t="s">
        <v>57</v>
      </c>
    </row>
    <row r="731" spans="1:9" ht="360" x14ac:dyDescent="0.25">
      <c r="A731" s="5" t="s">
        <v>2100</v>
      </c>
      <c r="B731" s="5" t="s">
        <v>51</v>
      </c>
      <c r="C731" s="5" t="s">
        <v>1099</v>
      </c>
      <c r="D731" s="5" t="s">
        <v>1100</v>
      </c>
      <c r="E731" s="5" t="s">
        <v>2090</v>
      </c>
      <c r="F731" s="5" t="s">
        <v>2076</v>
      </c>
      <c r="G731" s="5" t="s">
        <v>15</v>
      </c>
      <c r="H731" s="5" t="s">
        <v>57</v>
      </c>
      <c r="I731" s="5" t="s">
        <v>57</v>
      </c>
    </row>
    <row r="732" spans="1:9" ht="360" x14ac:dyDescent="0.25">
      <c r="A732" s="5" t="s">
        <v>2101</v>
      </c>
      <c r="B732" s="5" t="s">
        <v>51</v>
      </c>
      <c r="C732" s="5" t="s">
        <v>1099</v>
      </c>
      <c r="D732" s="5" t="s">
        <v>1100</v>
      </c>
      <c r="E732" s="5" t="s">
        <v>2090</v>
      </c>
      <c r="F732" s="5" t="s">
        <v>2076</v>
      </c>
      <c r="G732" s="5" t="s">
        <v>15</v>
      </c>
      <c r="H732" s="5" t="s">
        <v>57</v>
      </c>
      <c r="I732" s="5" t="s">
        <v>57</v>
      </c>
    </row>
    <row r="733" spans="1:9" ht="375" x14ac:dyDescent="0.25">
      <c r="A733" s="5" t="s">
        <v>1108</v>
      </c>
      <c r="B733" s="5" t="s">
        <v>2013</v>
      </c>
      <c r="C733" s="5" t="s">
        <v>1108</v>
      </c>
      <c r="D733" s="5" t="s">
        <v>1109</v>
      </c>
      <c r="E733" s="5" t="s">
        <v>1296</v>
      </c>
      <c r="F733" s="5" t="s">
        <v>1110</v>
      </c>
      <c r="G733" s="5" t="s">
        <v>15</v>
      </c>
      <c r="H733" s="5" t="s">
        <v>97</v>
      </c>
      <c r="I733" s="5" t="s">
        <v>57</v>
      </c>
    </row>
    <row r="734" spans="1:9" ht="375" x14ac:dyDescent="0.25">
      <c r="A734" s="5" t="s">
        <v>2102</v>
      </c>
      <c r="B734" s="5" t="s">
        <v>132</v>
      </c>
      <c r="C734" s="5" t="s">
        <v>1108</v>
      </c>
      <c r="D734" s="5" t="s">
        <v>1109</v>
      </c>
      <c r="E734" s="5" t="s">
        <v>2103</v>
      </c>
      <c r="F734" s="5" t="s">
        <v>1110</v>
      </c>
      <c r="G734" s="5" t="s">
        <v>15</v>
      </c>
      <c r="H734" s="5" t="s">
        <v>57</v>
      </c>
      <c r="I734" s="5" t="s">
        <v>120</v>
      </c>
    </row>
    <row r="735" spans="1:9" ht="375" x14ac:dyDescent="0.25">
      <c r="A735" s="5" t="s">
        <v>2102</v>
      </c>
      <c r="B735" s="5" t="s">
        <v>1423</v>
      </c>
      <c r="C735" s="5" t="s">
        <v>1108</v>
      </c>
      <c r="D735" s="5" t="s">
        <v>1109</v>
      </c>
      <c r="E735" s="5" t="s">
        <v>2103</v>
      </c>
      <c r="F735" s="5" t="s">
        <v>1110</v>
      </c>
      <c r="G735" s="5" t="s">
        <v>15</v>
      </c>
      <c r="H735" s="5" t="s">
        <v>57</v>
      </c>
      <c r="I735" s="5" t="s">
        <v>120</v>
      </c>
    </row>
    <row r="736" spans="1:9" ht="375" x14ac:dyDescent="0.25">
      <c r="A736" s="5" t="s">
        <v>2104</v>
      </c>
      <c r="B736" s="5" t="s">
        <v>1415</v>
      </c>
      <c r="C736" s="5" t="s">
        <v>1108</v>
      </c>
      <c r="D736" s="5" t="s">
        <v>1109</v>
      </c>
      <c r="E736" s="5" t="s">
        <v>2090</v>
      </c>
      <c r="F736" s="5" t="s">
        <v>1110</v>
      </c>
      <c r="G736" s="5" t="s">
        <v>15</v>
      </c>
      <c r="H736" s="5" t="s">
        <v>57</v>
      </c>
      <c r="I736" s="5" t="s">
        <v>39</v>
      </c>
    </row>
    <row r="737" spans="1:9" ht="375" x14ac:dyDescent="0.25">
      <c r="A737" s="5" t="s">
        <v>2104</v>
      </c>
      <c r="B737" s="5" t="s">
        <v>1418</v>
      </c>
      <c r="C737" s="5" t="s">
        <v>1108</v>
      </c>
      <c r="D737" s="5" t="s">
        <v>1109</v>
      </c>
      <c r="E737" s="5" t="s">
        <v>2090</v>
      </c>
      <c r="F737" s="5" t="s">
        <v>1110</v>
      </c>
      <c r="G737" s="5" t="s">
        <v>15</v>
      </c>
      <c r="H737" s="5" t="s">
        <v>57</v>
      </c>
      <c r="I737" s="5" t="s">
        <v>39</v>
      </c>
    </row>
    <row r="738" spans="1:9" ht="375" x14ac:dyDescent="0.25">
      <c r="A738" s="5" t="s">
        <v>2104</v>
      </c>
      <c r="B738" s="5" t="s">
        <v>1013</v>
      </c>
      <c r="C738" s="5" t="s">
        <v>1108</v>
      </c>
      <c r="D738" s="5" t="s">
        <v>1109</v>
      </c>
      <c r="E738" s="5" t="s">
        <v>2090</v>
      </c>
      <c r="F738" s="5" t="s">
        <v>1110</v>
      </c>
      <c r="G738" s="5" t="s">
        <v>15</v>
      </c>
      <c r="H738" s="5" t="s">
        <v>57</v>
      </c>
      <c r="I738" s="5" t="s">
        <v>39</v>
      </c>
    </row>
    <row r="739" spans="1:9" ht="375" x14ac:dyDescent="0.25">
      <c r="A739" s="5" t="s">
        <v>2105</v>
      </c>
      <c r="B739" s="5" t="s">
        <v>10</v>
      </c>
      <c r="C739" s="5" t="s">
        <v>1108</v>
      </c>
      <c r="D739" s="5" t="s">
        <v>1109</v>
      </c>
      <c r="E739" s="5" t="s">
        <v>1296</v>
      </c>
      <c r="F739" s="5" t="s">
        <v>1110</v>
      </c>
      <c r="G739" s="5" t="s">
        <v>15</v>
      </c>
      <c r="H739" s="5" t="s">
        <v>97</v>
      </c>
      <c r="I739" s="5" t="s">
        <v>57</v>
      </c>
    </row>
    <row r="740" spans="1:9" ht="375" x14ac:dyDescent="0.25">
      <c r="A740" s="5" t="s">
        <v>2106</v>
      </c>
      <c r="B740" s="5" t="s">
        <v>1428</v>
      </c>
      <c r="C740" s="5" t="s">
        <v>1108</v>
      </c>
      <c r="D740" s="5" t="s">
        <v>1109</v>
      </c>
      <c r="E740" s="5" t="s">
        <v>1296</v>
      </c>
      <c r="F740" s="5" t="s">
        <v>1110</v>
      </c>
      <c r="G740" s="5" t="s">
        <v>15</v>
      </c>
      <c r="H740" s="5" t="s">
        <v>97</v>
      </c>
      <c r="I740" s="5" t="s">
        <v>57</v>
      </c>
    </row>
    <row r="741" spans="1:9" ht="375" x14ac:dyDescent="0.25">
      <c r="A741" s="5" t="s">
        <v>2107</v>
      </c>
      <c r="B741" s="5" t="s">
        <v>10</v>
      </c>
      <c r="C741" s="5" t="s">
        <v>1108</v>
      </c>
      <c r="D741" s="5" t="s">
        <v>1109</v>
      </c>
      <c r="E741" s="5" t="s">
        <v>1296</v>
      </c>
      <c r="F741" s="5" t="s">
        <v>1110</v>
      </c>
      <c r="G741" s="5" t="s">
        <v>15</v>
      </c>
      <c r="H741" s="5" t="s">
        <v>57</v>
      </c>
      <c r="I741" s="5" t="s">
        <v>39</v>
      </c>
    </row>
    <row r="742" spans="1:9" ht="375" x14ac:dyDescent="0.25">
      <c r="A742" s="5" t="s">
        <v>2108</v>
      </c>
      <c r="B742" s="5" t="s">
        <v>1423</v>
      </c>
      <c r="C742" s="5" t="s">
        <v>1108</v>
      </c>
      <c r="D742" s="5" t="s">
        <v>1109</v>
      </c>
      <c r="E742" s="5" t="s">
        <v>1296</v>
      </c>
      <c r="F742" s="5" t="s">
        <v>1110</v>
      </c>
      <c r="G742" s="5" t="s">
        <v>15</v>
      </c>
      <c r="H742" s="5" t="s">
        <v>57</v>
      </c>
      <c r="I742" s="5" t="s">
        <v>39</v>
      </c>
    </row>
    <row r="743" spans="1:9" ht="375" x14ac:dyDescent="0.25">
      <c r="A743" s="5" t="s">
        <v>2109</v>
      </c>
      <c r="B743" s="5" t="s">
        <v>10</v>
      </c>
      <c r="C743" s="5" t="s">
        <v>1108</v>
      </c>
      <c r="D743" s="5" t="s">
        <v>1109</v>
      </c>
      <c r="E743" s="5" t="s">
        <v>2078</v>
      </c>
      <c r="F743" s="5" t="s">
        <v>1110</v>
      </c>
      <c r="G743" s="5" t="s">
        <v>15</v>
      </c>
      <c r="H743" s="5" t="s">
        <v>57</v>
      </c>
      <c r="I743" s="5" t="s">
        <v>661</v>
      </c>
    </row>
    <row r="744" spans="1:9" ht="375" x14ac:dyDescent="0.25">
      <c r="A744" s="5" t="s">
        <v>2110</v>
      </c>
      <c r="B744" s="5" t="s">
        <v>10</v>
      </c>
      <c r="C744" s="5" t="s">
        <v>1108</v>
      </c>
      <c r="D744" s="5" t="s">
        <v>1109</v>
      </c>
      <c r="E744" s="5" t="s">
        <v>1296</v>
      </c>
      <c r="F744" s="5" t="s">
        <v>1110</v>
      </c>
      <c r="G744" s="5" t="s">
        <v>15</v>
      </c>
      <c r="H744" s="5" t="s">
        <v>57</v>
      </c>
      <c r="I744" s="5" t="s">
        <v>39</v>
      </c>
    </row>
    <row r="745" spans="1:9" ht="375" x14ac:dyDescent="0.25">
      <c r="A745" s="5" t="s">
        <v>2111</v>
      </c>
      <c r="B745" s="5" t="s">
        <v>1428</v>
      </c>
      <c r="C745" s="5" t="s">
        <v>1108</v>
      </c>
      <c r="D745" s="5" t="s">
        <v>1109</v>
      </c>
      <c r="E745" s="5" t="s">
        <v>1296</v>
      </c>
      <c r="F745" s="5" t="s">
        <v>1110</v>
      </c>
      <c r="G745" s="5" t="s">
        <v>15</v>
      </c>
      <c r="H745" s="5" t="s">
        <v>57</v>
      </c>
      <c r="I745" s="5" t="s">
        <v>39</v>
      </c>
    </row>
    <row r="746" spans="1:9" ht="375" x14ac:dyDescent="0.25">
      <c r="A746" s="5" t="s">
        <v>2112</v>
      </c>
      <c r="B746" s="5" t="s">
        <v>10</v>
      </c>
      <c r="C746" s="5" t="s">
        <v>1108</v>
      </c>
      <c r="D746" s="5" t="s">
        <v>1109</v>
      </c>
      <c r="E746" s="5" t="s">
        <v>2078</v>
      </c>
      <c r="F746" s="5" t="s">
        <v>2113</v>
      </c>
      <c r="G746" s="5" t="s">
        <v>15</v>
      </c>
      <c r="H746" s="5" t="s">
        <v>57</v>
      </c>
      <c r="I746" s="5" t="s">
        <v>39</v>
      </c>
    </row>
    <row r="747" spans="1:9" ht="375" x14ac:dyDescent="0.25">
      <c r="A747" s="5" t="s">
        <v>2114</v>
      </c>
      <c r="B747" s="5" t="s">
        <v>10</v>
      </c>
      <c r="C747" s="5" t="s">
        <v>1108</v>
      </c>
      <c r="D747" s="5" t="s">
        <v>1109</v>
      </c>
      <c r="E747" s="5" t="s">
        <v>2078</v>
      </c>
      <c r="F747" s="5" t="s">
        <v>1110</v>
      </c>
      <c r="G747" s="5" t="s">
        <v>15</v>
      </c>
      <c r="H747" s="5" t="s">
        <v>57</v>
      </c>
      <c r="I747" s="5" t="s">
        <v>120</v>
      </c>
    </row>
    <row r="748" spans="1:9" ht="375" x14ac:dyDescent="0.25">
      <c r="A748" s="5" t="s">
        <v>2115</v>
      </c>
      <c r="B748" s="5" t="s">
        <v>10</v>
      </c>
      <c r="C748" s="5" t="s">
        <v>1108</v>
      </c>
      <c r="D748" s="5" t="s">
        <v>1109</v>
      </c>
      <c r="E748" s="5" t="s">
        <v>1296</v>
      </c>
      <c r="F748" s="5" t="s">
        <v>1110</v>
      </c>
      <c r="G748" s="5" t="s">
        <v>15</v>
      </c>
      <c r="H748" s="5" t="s">
        <v>57</v>
      </c>
      <c r="I748" s="5" t="s">
        <v>120</v>
      </c>
    </row>
    <row r="749" spans="1:9" ht="375" x14ac:dyDescent="0.25">
      <c r="A749" s="5" t="s">
        <v>2116</v>
      </c>
      <c r="B749" s="5" t="s">
        <v>1423</v>
      </c>
      <c r="C749" s="5" t="s">
        <v>1108</v>
      </c>
      <c r="D749" s="5" t="s">
        <v>1109</v>
      </c>
      <c r="E749" s="5" t="s">
        <v>1296</v>
      </c>
      <c r="F749" s="5" t="s">
        <v>1110</v>
      </c>
      <c r="G749" s="5" t="s">
        <v>15</v>
      </c>
      <c r="H749" s="5" t="s">
        <v>57</v>
      </c>
      <c r="I749" s="5" t="s">
        <v>120</v>
      </c>
    </row>
    <row r="750" spans="1:9" ht="375" x14ac:dyDescent="0.25">
      <c r="A750" s="5" t="s">
        <v>2117</v>
      </c>
      <c r="B750" s="5" t="s">
        <v>123</v>
      </c>
      <c r="C750" s="5" t="s">
        <v>1108</v>
      </c>
      <c r="D750" s="5" t="s">
        <v>1109</v>
      </c>
      <c r="E750" s="5" t="s">
        <v>1296</v>
      </c>
      <c r="F750" s="5" t="s">
        <v>1110</v>
      </c>
      <c r="G750" s="5" t="s">
        <v>15</v>
      </c>
      <c r="H750" s="5" t="s">
        <v>97</v>
      </c>
      <c r="I750" s="5" t="s">
        <v>57</v>
      </c>
    </row>
    <row r="751" spans="1:9" ht="375" x14ac:dyDescent="0.25">
      <c r="A751" s="5" t="s">
        <v>2118</v>
      </c>
      <c r="B751" s="5" t="s">
        <v>123</v>
      </c>
      <c r="C751" s="5" t="s">
        <v>1108</v>
      </c>
      <c r="D751" s="5" t="s">
        <v>1109</v>
      </c>
      <c r="E751" s="5" t="s">
        <v>2090</v>
      </c>
      <c r="F751" s="5" t="s">
        <v>1110</v>
      </c>
      <c r="G751" s="5" t="s">
        <v>15</v>
      </c>
      <c r="H751" s="5" t="s">
        <v>97</v>
      </c>
      <c r="I751" s="5" t="s">
        <v>57</v>
      </c>
    </row>
    <row r="752" spans="1:9" ht="375" x14ac:dyDescent="0.25">
      <c r="A752" s="5" t="s">
        <v>2119</v>
      </c>
      <c r="B752" s="5" t="s">
        <v>1527</v>
      </c>
      <c r="C752" s="5" t="s">
        <v>1108</v>
      </c>
      <c r="D752" s="5" t="s">
        <v>1109</v>
      </c>
      <c r="E752" s="5" t="s">
        <v>2090</v>
      </c>
      <c r="F752" s="5" t="s">
        <v>1110</v>
      </c>
      <c r="G752" s="5" t="s">
        <v>15</v>
      </c>
      <c r="H752" s="5" t="s">
        <v>97</v>
      </c>
      <c r="I752" s="5" t="s">
        <v>57</v>
      </c>
    </row>
    <row r="753" spans="1:9" ht="375" x14ac:dyDescent="0.25">
      <c r="A753" s="5" t="s">
        <v>2120</v>
      </c>
      <c r="B753" s="5" t="s">
        <v>1402</v>
      </c>
      <c r="C753" s="5" t="s">
        <v>1108</v>
      </c>
      <c r="D753" s="5" t="s">
        <v>1109</v>
      </c>
      <c r="E753" s="5" t="s">
        <v>2078</v>
      </c>
      <c r="F753" s="5" t="s">
        <v>1110</v>
      </c>
      <c r="G753" s="5" t="s">
        <v>15</v>
      </c>
      <c r="H753" s="5" t="s">
        <v>97</v>
      </c>
      <c r="I753" s="5" t="s">
        <v>57</v>
      </c>
    </row>
    <row r="754" spans="1:9" ht="375" x14ac:dyDescent="0.25">
      <c r="A754" s="5" t="s">
        <v>2120</v>
      </c>
      <c r="B754" s="5" t="s">
        <v>1529</v>
      </c>
      <c r="C754" s="5" t="s">
        <v>1108</v>
      </c>
      <c r="D754" s="5" t="s">
        <v>1109</v>
      </c>
      <c r="E754" s="5" t="s">
        <v>2078</v>
      </c>
      <c r="F754" s="5" t="s">
        <v>1110</v>
      </c>
      <c r="G754" s="5" t="s">
        <v>15</v>
      </c>
      <c r="H754" s="5" t="s">
        <v>97</v>
      </c>
      <c r="I754" s="5" t="s">
        <v>57</v>
      </c>
    </row>
    <row r="755" spans="1:9" ht="375" x14ac:dyDescent="0.25">
      <c r="A755" s="5" t="s">
        <v>2121</v>
      </c>
      <c r="B755" s="5" t="s">
        <v>1531</v>
      </c>
      <c r="C755" s="5" t="s">
        <v>1108</v>
      </c>
      <c r="D755" s="5" t="s">
        <v>1109</v>
      </c>
      <c r="E755" s="5" t="s">
        <v>1296</v>
      </c>
      <c r="F755" s="5" t="s">
        <v>1110</v>
      </c>
      <c r="G755" s="5" t="s">
        <v>15</v>
      </c>
      <c r="H755" s="5" t="s">
        <v>97</v>
      </c>
      <c r="I755" s="5" t="s">
        <v>57</v>
      </c>
    </row>
    <row r="756" spans="1:9" ht="375" x14ac:dyDescent="0.25">
      <c r="A756" s="5" t="s">
        <v>2122</v>
      </c>
      <c r="B756" s="5" t="s">
        <v>1531</v>
      </c>
      <c r="C756" s="5" t="s">
        <v>1108</v>
      </c>
      <c r="D756" s="5" t="s">
        <v>1109</v>
      </c>
      <c r="E756" s="5" t="s">
        <v>2078</v>
      </c>
      <c r="F756" s="5" t="s">
        <v>1110</v>
      </c>
      <c r="G756" s="5" t="s">
        <v>15</v>
      </c>
      <c r="H756" s="5" t="s">
        <v>97</v>
      </c>
      <c r="I756" s="5" t="s">
        <v>57</v>
      </c>
    </row>
    <row r="757" spans="1:9" ht="375" x14ac:dyDescent="0.25">
      <c r="A757" s="5" t="s">
        <v>2123</v>
      </c>
      <c r="B757" s="5" t="s">
        <v>1531</v>
      </c>
      <c r="C757" s="5" t="s">
        <v>1108</v>
      </c>
      <c r="D757" s="5" t="s">
        <v>1109</v>
      </c>
      <c r="E757" s="5" t="s">
        <v>2090</v>
      </c>
      <c r="F757" s="5" t="s">
        <v>1110</v>
      </c>
      <c r="G757" s="5" t="s">
        <v>15</v>
      </c>
      <c r="H757" s="5" t="s">
        <v>97</v>
      </c>
      <c r="I757" s="5" t="s">
        <v>57</v>
      </c>
    </row>
    <row r="758" spans="1:9" ht="105" x14ac:dyDescent="0.25">
      <c r="A758" s="5" t="s">
        <v>1116</v>
      </c>
      <c r="B758" s="5" t="s">
        <v>132</v>
      </c>
      <c r="C758" s="5" t="s">
        <v>1116</v>
      </c>
      <c r="D758" s="5" t="s">
        <v>1117</v>
      </c>
      <c r="E758" s="5" t="s">
        <v>1396</v>
      </c>
      <c r="F758" s="5" t="s">
        <v>1118</v>
      </c>
      <c r="G758" s="5" t="s">
        <v>15</v>
      </c>
      <c r="H758" s="5" t="s">
        <v>57</v>
      </c>
      <c r="I758" s="5" t="s">
        <v>92</v>
      </c>
    </row>
    <row r="759" spans="1:9" ht="105" x14ac:dyDescent="0.25">
      <c r="A759" s="5" t="s">
        <v>2124</v>
      </c>
      <c r="B759" s="5" t="s">
        <v>132</v>
      </c>
      <c r="C759" s="5" t="s">
        <v>1116</v>
      </c>
      <c r="D759" s="5" t="s">
        <v>1117</v>
      </c>
      <c r="E759" s="5" t="s">
        <v>1396</v>
      </c>
      <c r="F759" s="5" t="s">
        <v>1118</v>
      </c>
      <c r="G759" s="5" t="s">
        <v>15</v>
      </c>
      <c r="H759" s="5" t="s">
        <v>120</v>
      </c>
      <c r="I759" s="5" t="s">
        <v>92</v>
      </c>
    </row>
    <row r="760" spans="1:9" ht="105" x14ac:dyDescent="0.25">
      <c r="A760" s="5" t="s">
        <v>2125</v>
      </c>
      <c r="B760" s="5" t="s">
        <v>132</v>
      </c>
      <c r="C760" s="5" t="s">
        <v>1116</v>
      </c>
      <c r="D760" s="5" t="s">
        <v>1117</v>
      </c>
      <c r="E760" s="5" t="s">
        <v>1396</v>
      </c>
      <c r="F760" s="5" t="s">
        <v>1118</v>
      </c>
      <c r="G760" s="5" t="s">
        <v>15</v>
      </c>
      <c r="H760" s="5" t="s">
        <v>97</v>
      </c>
      <c r="I760" s="5" t="s">
        <v>57</v>
      </c>
    </row>
    <row r="761" spans="1:9" ht="105" x14ac:dyDescent="0.25">
      <c r="A761" s="5" t="s">
        <v>2126</v>
      </c>
      <c r="B761" s="5" t="s">
        <v>10</v>
      </c>
      <c r="C761" s="5" t="s">
        <v>1116</v>
      </c>
      <c r="D761" s="5" t="s">
        <v>1117</v>
      </c>
      <c r="E761" s="5" t="s">
        <v>13</v>
      </c>
      <c r="F761" s="5" t="s">
        <v>1118</v>
      </c>
      <c r="G761" s="5" t="s">
        <v>15</v>
      </c>
      <c r="H761" s="5" t="s">
        <v>97</v>
      </c>
      <c r="I761" s="5" t="s">
        <v>57</v>
      </c>
    </row>
    <row r="762" spans="1:9" ht="105" x14ac:dyDescent="0.25">
      <c r="A762" s="5" t="s">
        <v>2127</v>
      </c>
      <c r="B762" s="5" t="s">
        <v>10</v>
      </c>
      <c r="C762" s="5" t="s">
        <v>1116</v>
      </c>
      <c r="D762" s="5" t="s">
        <v>1117</v>
      </c>
      <c r="E762" s="5" t="s">
        <v>57</v>
      </c>
      <c r="F762" s="5" t="s">
        <v>1118</v>
      </c>
      <c r="G762" s="5" t="s">
        <v>15</v>
      </c>
      <c r="H762" s="5" t="s">
        <v>97</v>
      </c>
      <c r="I762" s="5" t="s">
        <v>57</v>
      </c>
    </row>
    <row r="763" spans="1:9" ht="120" x14ac:dyDescent="0.25">
      <c r="A763" s="5" t="s">
        <v>1123</v>
      </c>
      <c r="B763" s="5" t="s">
        <v>132</v>
      </c>
      <c r="C763" s="5" t="s">
        <v>1123</v>
      </c>
      <c r="D763" s="5" t="s">
        <v>1117</v>
      </c>
      <c r="E763" s="5" t="s">
        <v>1396</v>
      </c>
      <c r="F763" s="5" t="s">
        <v>1124</v>
      </c>
      <c r="G763" s="5" t="s">
        <v>15</v>
      </c>
      <c r="H763" s="5" t="s">
        <v>57</v>
      </c>
      <c r="I763" s="5" t="s">
        <v>39</v>
      </c>
    </row>
    <row r="764" spans="1:9" ht="120" x14ac:dyDescent="0.25">
      <c r="A764" s="5" t="s">
        <v>2128</v>
      </c>
      <c r="B764" s="5" t="s">
        <v>132</v>
      </c>
      <c r="C764" s="5" t="s">
        <v>1123</v>
      </c>
      <c r="D764" s="5" t="s">
        <v>1117</v>
      </c>
      <c r="E764" s="5" t="s">
        <v>1396</v>
      </c>
      <c r="F764" s="5" t="s">
        <v>1124</v>
      </c>
      <c r="G764" s="5" t="s">
        <v>15</v>
      </c>
      <c r="H764" s="5" t="s">
        <v>120</v>
      </c>
      <c r="I764" s="5" t="s">
        <v>39</v>
      </c>
    </row>
    <row r="765" spans="1:9" ht="120" x14ac:dyDescent="0.25">
      <c r="A765" s="5" t="s">
        <v>2129</v>
      </c>
      <c r="B765" s="5" t="s">
        <v>132</v>
      </c>
      <c r="C765" s="5" t="s">
        <v>1123</v>
      </c>
      <c r="D765" s="5" t="s">
        <v>1117</v>
      </c>
      <c r="E765" s="5" t="s">
        <v>1396</v>
      </c>
      <c r="F765" s="5" t="s">
        <v>1124</v>
      </c>
      <c r="G765" s="5" t="s">
        <v>15</v>
      </c>
      <c r="H765" s="5" t="s">
        <v>97</v>
      </c>
      <c r="I765" s="5" t="s">
        <v>57</v>
      </c>
    </row>
    <row r="766" spans="1:9" ht="120" x14ac:dyDescent="0.25">
      <c r="A766" s="5" t="s">
        <v>2130</v>
      </c>
      <c r="B766" s="5" t="s">
        <v>10</v>
      </c>
      <c r="C766" s="5" t="s">
        <v>1123</v>
      </c>
      <c r="D766" s="5" t="s">
        <v>1117</v>
      </c>
      <c r="E766" s="5" t="s">
        <v>13</v>
      </c>
      <c r="F766" s="5" t="s">
        <v>1124</v>
      </c>
      <c r="G766" s="5" t="s">
        <v>15</v>
      </c>
      <c r="H766" s="5" t="s">
        <v>97</v>
      </c>
      <c r="I766" s="5" t="s">
        <v>57</v>
      </c>
    </row>
    <row r="767" spans="1:9" ht="120" x14ac:dyDescent="0.25">
      <c r="A767" s="5" t="s">
        <v>2131</v>
      </c>
      <c r="B767" s="5" t="s">
        <v>1428</v>
      </c>
      <c r="C767" s="5" t="s">
        <v>1123</v>
      </c>
      <c r="D767" s="5" t="s">
        <v>1117</v>
      </c>
      <c r="E767" s="5" t="s">
        <v>13</v>
      </c>
      <c r="F767" s="5" t="s">
        <v>1124</v>
      </c>
      <c r="G767" s="5" t="s">
        <v>15</v>
      </c>
      <c r="H767" s="5" t="s">
        <v>97</v>
      </c>
      <c r="I767" s="5" t="s">
        <v>57</v>
      </c>
    </row>
    <row r="768" spans="1:9" ht="120" x14ac:dyDescent="0.25">
      <c r="A768" s="5" t="s">
        <v>2132</v>
      </c>
      <c r="B768" s="5" t="s">
        <v>10</v>
      </c>
      <c r="C768" s="5" t="s">
        <v>1123</v>
      </c>
      <c r="D768" s="5" t="s">
        <v>1117</v>
      </c>
      <c r="E768" s="5" t="s">
        <v>57</v>
      </c>
      <c r="F768" s="5" t="s">
        <v>1124</v>
      </c>
      <c r="G768" s="5" t="s">
        <v>15</v>
      </c>
      <c r="H768" s="5" t="s">
        <v>97</v>
      </c>
      <c r="I768" s="5" t="s">
        <v>57</v>
      </c>
    </row>
    <row r="769" spans="1:9" ht="45" x14ac:dyDescent="0.25">
      <c r="A769" s="5" t="s">
        <v>2133</v>
      </c>
      <c r="B769" s="5" t="s">
        <v>10</v>
      </c>
      <c r="C769" s="5" t="s">
        <v>1123</v>
      </c>
      <c r="D769" s="5" t="s">
        <v>1117</v>
      </c>
      <c r="E769" s="5" t="s">
        <v>13</v>
      </c>
      <c r="F769" s="5" t="s">
        <v>2134</v>
      </c>
      <c r="G769" s="5" t="s">
        <v>15</v>
      </c>
      <c r="H769" s="5" t="s">
        <v>57</v>
      </c>
      <c r="I769" s="5" t="s">
        <v>120</v>
      </c>
    </row>
    <row r="770" spans="1:9" ht="360" x14ac:dyDescent="0.25">
      <c r="A770" s="5" t="s">
        <v>1129</v>
      </c>
      <c r="B770" s="5" t="s">
        <v>132</v>
      </c>
      <c r="C770" s="5" t="s">
        <v>1129</v>
      </c>
      <c r="D770" s="5" t="s">
        <v>1130</v>
      </c>
      <c r="E770" s="5" t="s">
        <v>1519</v>
      </c>
      <c r="F770" s="5" t="s">
        <v>2135</v>
      </c>
      <c r="G770" s="5" t="s">
        <v>15</v>
      </c>
      <c r="H770" s="5" t="s">
        <v>57</v>
      </c>
      <c r="I770" s="5" t="s">
        <v>265</v>
      </c>
    </row>
    <row r="771" spans="1:9" ht="360" x14ac:dyDescent="0.25">
      <c r="A771" s="5" t="s">
        <v>1129</v>
      </c>
      <c r="B771" s="5" t="s">
        <v>1423</v>
      </c>
      <c r="C771" s="5" t="s">
        <v>1129</v>
      </c>
      <c r="D771" s="5" t="s">
        <v>1130</v>
      </c>
      <c r="E771" s="5" t="s">
        <v>1519</v>
      </c>
      <c r="F771" s="5" t="s">
        <v>2135</v>
      </c>
      <c r="G771" s="5" t="s">
        <v>15</v>
      </c>
      <c r="H771" s="5" t="s">
        <v>57</v>
      </c>
      <c r="I771" s="5" t="s">
        <v>265</v>
      </c>
    </row>
    <row r="772" spans="1:9" ht="90" x14ac:dyDescent="0.25">
      <c r="A772" s="5" t="s">
        <v>2136</v>
      </c>
      <c r="B772" s="5" t="s">
        <v>132</v>
      </c>
      <c r="C772" s="5" t="s">
        <v>1129</v>
      </c>
      <c r="D772" s="5" t="s">
        <v>1130</v>
      </c>
      <c r="E772" s="5" t="s">
        <v>145</v>
      </c>
      <c r="F772" s="5" t="s">
        <v>2137</v>
      </c>
      <c r="G772" s="5" t="s">
        <v>15</v>
      </c>
      <c r="H772" s="5" t="s">
        <v>57</v>
      </c>
      <c r="I772" s="5" t="s">
        <v>265</v>
      </c>
    </row>
    <row r="773" spans="1:9" ht="90" x14ac:dyDescent="0.25">
      <c r="A773" s="5" t="s">
        <v>2136</v>
      </c>
      <c r="B773" s="5" t="s">
        <v>1013</v>
      </c>
      <c r="C773" s="5" t="s">
        <v>1129</v>
      </c>
      <c r="D773" s="5" t="s">
        <v>1130</v>
      </c>
      <c r="E773" s="5" t="s">
        <v>145</v>
      </c>
      <c r="F773" s="5" t="s">
        <v>2137</v>
      </c>
      <c r="G773" s="5" t="s">
        <v>15</v>
      </c>
      <c r="H773" s="5" t="s">
        <v>57</v>
      </c>
      <c r="I773" s="5" t="s">
        <v>265</v>
      </c>
    </row>
    <row r="774" spans="1:9" ht="360" x14ac:dyDescent="0.25">
      <c r="A774" s="5" t="s">
        <v>2138</v>
      </c>
      <c r="B774" s="5" t="s">
        <v>10</v>
      </c>
      <c r="C774" s="5" t="s">
        <v>1129</v>
      </c>
      <c r="D774" s="5" t="s">
        <v>1130</v>
      </c>
      <c r="E774" s="5" t="s">
        <v>1519</v>
      </c>
      <c r="F774" s="5" t="s">
        <v>2135</v>
      </c>
      <c r="G774" s="5" t="s">
        <v>15</v>
      </c>
      <c r="H774" s="5" t="s">
        <v>97</v>
      </c>
      <c r="I774" s="5" t="s">
        <v>57</v>
      </c>
    </row>
    <row r="775" spans="1:9" ht="360" x14ac:dyDescent="0.25">
      <c r="A775" s="5" t="s">
        <v>2139</v>
      </c>
      <c r="B775" s="5" t="s">
        <v>132</v>
      </c>
      <c r="C775" s="5" t="s">
        <v>1129</v>
      </c>
      <c r="D775" s="5" t="s">
        <v>1130</v>
      </c>
      <c r="E775" s="5" t="s">
        <v>1519</v>
      </c>
      <c r="F775" s="5" t="s">
        <v>2135</v>
      </c>
      <c r="G775" s="5" t="s">
        <v>15</v>
      </c>
      <c r="H775" s="5" t="s">
        <v>97</v>
      </c>
      <c r="I775" s="5" t="s">
        <v>57</v>
      </c>
    </row>
    <row r="776" spans="1:9" ht="360" x14ac:dyDescent="0.25">
      <c r="A776" s="5" t="s">
        <v>2139</v>
      </c>
      <c r="B776" s="5" t="s">
        <v>1415</v>
      </c>
      <c r="C776" s="5" t="s">
        <v>1129</v>
      </c>
      <c r="D776" s="5" t="s">
        <v>1130</v>
      </c>
      <c r="E776" s="5" t="s">
        <v>1519</v>
      </c>
      <c r="F776" s="5" t="s">
        <v>2135</v>
      </c>
      <c r="G776" s="5" t="s">
        <v>15</v>
      </c>
      <c r="H776" s="5" t="s">
        <v>97</v>
      </c>
      <c r="I776" s="5" t="s">
        <v>57</v>
      </c>
    </row>
    <row r="777" spans="1:9" ht="360" x14ac:dyDescent="0.25">
      <c r="A777" s="5" t="s">
        <v>2140</v>
      </c>
      <c r="B777" s="5" t="s">
        <v>132</v>
      </c>
      <c r="C777" s="5" t="s">
        <v>1129</v>
      </c>
      <c r="D777" s="5" t="s">
        <v>1130</v>
      </c>
      <c r="E777" s="5" t="s">
        <v>145</v>
      </c>
      <c r="F777" s="5" t="s">
        <v>2135</v>
      </c>
      <c r="G777" s="5" t="s">
        <v>15</v>
      </c>
      <c r="H777" s="5" t="s">
        <v>97</v>
      </c>
      <c r="I777" s="5" t="s">
        <v>57</v>
      </c>
    </row>
    <row r="778" spans="1:9" ht="360" x14ac:dyDescent="0.25">
      <c r="A778" s="5" t="s">
        <v>2141</v>
      </c>
      <c r="B778" s="5" t="s">
        <v>10</v>
      </c>
      <c r="C778" s="5" t="s">
        <v>1129</v>
      </c>
      <c r="D778" s="5" t="s">
        <v>1130</v>
      </c>
      <c r="E778" s="5" t="s">
        <v>145</v>
      </c>
      <c r="F778" s="5" t="s">
        <v>2135</v>
      </c>
      <c r="G778" s="5" t="s">
        <v>15</v>
      </c>
      <c r="H778" s="5" t="s">
        <v>97</v>
      </c>
      <c r="I778" s="5" t="s">
        <v>57</v>
      </c>
    </row>
    <row r="779" spans="1:9" ht="360" x14ac:dyDescent="0.25">
      <c r="A779" s="5" t="s">
        <v>2142</v>
      </c>
      <c r="B779" s="5" t="s">
        <v>1428</v>
      </c>
      <c r="C779" s="5" t="s">
        <v>1129</v>
      </c>
      <c r="D779" s="5" t="s">
        <v>1130</v>
      </c>
      <c r="E779" s="5" t="s">
        <v>145</v>
      </c>
      <c r="F779" s="5" t="s">
        <v>2135</v>
      </c>
      <c r="G779" s="5" t="s">
        <v>15</v>
      </c>
      <c r="H779" s="5" t="s">
        <v>97</v>
      </c>
      <c r="I779" s="5" t="s">
        <v>57</v>
      </c>
    </row>
    <row r="780" spans="1:9" ht="360" x14ac:dyDescent="0.25">
      <c r="A780" s="5" t="s">
        <v>2143</v>
      </c>
      <c r="B780" s="5" t="s">
        <v>10</v>
      </c>
      <c r="C780" s="5" t="s">
        <v>1129</v>
      </c>
      <c r="D780" s="5" t="s">
        <v>1130</v>
      </c>
      <c r="E780" s="5" t="s">
        <v>145</v>
      </c>
      <c r="F780" s="5" t="s">
        <v>2135</v>
      </c>
      <c r="G780" s="5" t="s">
        <v>15</v>
      </c>
      <c r="H780" s="5" t="s">
        <v>57</v>
      </c>
      <c r="I780" s="5" t="s">
        <v>265</v>
      </c>
    </row>
    <row r="781" spans="1:9" ht="360" x14ac:dyDescent="0.25">
      <c r="A781" s="5" t="s">
        <v>2144</v>
      </c>
      <c r="B781" s="5" t="s">
        <v>1428</v>
      </c>
      <c r="C781" s="5" t="s">
        <v>1129</v>
      </c>
      <c r="D781" s="5" t="s">
        <v>1130</v>
      </c>
      <c r="E781" s="5" t="s">
        <v>145</v>
      </c>
      <c r="F781" s="5" t="s">
        <v>2135</v>
      </c>
      <c r="G781" s="5" t="s">
        <v>15</v>
      </c>
      <c r="H781" s="5" t="s">
        <v>57</v>
      </c>
      <c r="I781" s="5" t="s">
        <v>265</v>
      </c>
    </row>
    <row r="782" spans="1:9" ht="90" x14ac:dyDescent="0.25">
      <c r="A782" s="5" t="s">
        <v>2145</v>
      </c>
      <c r="B782" s="5" t="s">
        <v>10</v>
      </c>
      <c r="C782" s="5" t="s">
        <v>1129</v>
      </c>
      <c r="D782" s="5" t="s">
        <v>1130</v>
      </c>
      <c r="E782" s="5" t="s">
        <v>145</v>
      </c>
      <c r="F782" s="5" t="s">
        <v>2137</v>
      </c>
      <c r="G782" s="5" t="s">
        <v>15</v>
      </c>
      <c r="H782" s="5" t="s">
        <v>57</v>
      </c>
      <c r="I782" s="5" t="s">
        <v>265</v>
      </c>
    </row>
    <row r="783" spans="1:9" ht="360" x14ac:dyDescent="0.25">
      <c r="A783" s="5" t="s">
        <v>2146</v>
      </c>
      <c r="B783" s="5" t="s">
        <v>123</v>
      </c>
      <c r="C783" s="5" t="s">
        <v>1129</v>
      </c>
      <c r="D783" s="5" t="s">
        <v>1130</v>
      </c>
      <c r="E783" s="5" t="s">
        <v>145</v>
      </c>
      <c r="F783" s="5" t="s">
        <v>2135</v>
      </c>
      <c r="G783" s="5" t="s">
        <v>15</v>
      </c>
      <c r="H783" s="5" t="s">
        <v>97</v>
      </c>
      <c r="I783" s="5" t="s">
        <v>57</v>
      </c>
    </row>
    <row r="784" spans="1:9" ht="360" x14ac:dyDescent="0.25">
      <c r="A784" s="5" t="s">
        <v>2147</v>
      </c>
      <c r="B784" s="5" t="s">
        <v>123</v>
      </c>
      <c r="C784" s="5" t="s">
        <v>1129</v>
      </c>
      <c r="D784" s="5" t="s">
        <v>1130</v>
      </c>
      <c r="E784" s="5" t="s">
        <v>1519</v>
      </c>
      <c r="F784" s="5" t="s">
        <v>2135</v>
      </c>
      <c r="G784" s="5" t="s">
        <v>15</v>
      </c>
      <c r="H784" s="5" t="s">
        <v>97</v>
      </c>
      <c r="I784" s="5" t="s">
        <v>57</v>
      </c>
    </row>
    <row r="785" spans="1:9" ht="90" x14ac:dyDescent="0.25">
      <c r="A785" s="5" t="s">
        <v>2148</v>
      </c>
      <c r="B785" s="5" t="s">
        <v>1527</v>
      </c>
      <c r="C785" s="5" t="s">
        <v>1129</v>
      </c>
      <c r="D785" s="5" t="s">
        <v>1130</v>
      </c>
      <c r="E785" s="5" t="s">
        <v>1519</v>
      </c>
      <c r="F785" s="5" t="s">
        <v>2137</v>
      </c>
      <c r="G785" s="5" t="s">
        <v>15</v>
      </c>
      <c r="H785" s="5" t="s">
        <v>97</v>
      </c>
      <c r="I785" s="5" t="s">
        <v>57</v>
      </c>
    </row>
    <row r="786" spans="1:9" ht="90" x14ac:dyDescent="0.25">
      <c r="A786" s="5" t="s">
        <v>2149</v>
      </c>
      <c r="B786" s="5" t="s">
        <v>1402</v>
      </c>
      <c r="C786" s="5" t="s">
        <v>1129</v>
      </c>
      <c r="D786" s="5" t="s">
        <v>1130</v>
      </c>
      <c r="E786" s="5" t="s">
        <v>1519</v>
      </c>
      <c r="F786" s="5" t="s">
        <v>2137</v>
      </c>
      <c r="G786" s="5" t="s">
        <v>15</v>
      </c>
      <c r="H786" s="5" t="s">
        <v>97</v>
      </c>
      <c r="I786" s="5" t="s">
        <v>57</v>
      </c>
    </row>
    <row r="787" spans="1:9" ht="90" x14ac:dyDescent="0.25">
      <c r="A787" s="5" t="s">
        <v>2149</v>
      </c>
      <c r="B787" s="5" t="s">
        <v>1529</v>
      </c>
      <c r="C787" s="5" t="s">
        <v>1129</v>
      </c>
      <c r="D787" s="5" t="s">
        <v>1130</v>
      </c>
      <c r="E787" s="5" t="s">
        <v>1519</v>
      </c>
      <c r="F787" s="5" t="s">
        <v>2137</v>
      </c>
      <c r="G787" s="5" t="s">
        <v>15</v>
      </c>
      <c r="H787" s="5" t="s">
        <v>97</v>
      </c>
      <c r="I787" s="5" t="s">
        <v>57</v>
      </c>
    </row>
    <row r="788" spans="1:9" ht="90" x14ac:dyDescent="0.25">
      <c r="A788" s="5" t="s">
        <v>2150</v>
      </c>
      <c r="B788" s="5" t="s">
        <v>1531</v>
      </c>
      <c r="C788" s="5" t="s">
        <v>1129</v>
      </c>
      <c r="D788" s="5" t="s">
        <v>1130</v>
      </c>
      <c r="E788" s="5" t="s">
        <v>1519</v>
      </c>
      <c r="F788" s="5" t="s">
        <v>2137</v>
      </c>
      <c r="G788" s="5" t="s">
        <v>15</v>
      </c>
      <c r="H788" s="5" t="s">
        <v>97</v>
      </c>
      <c r="I788" s="5" t="s">
        <v>57</v>
      </c>
    </row>
    <row r="789" spans="1:9" ht="90" x14ac:dyDescent="0.25">
      <c r="A789" s="5" t="s">
        <v>2151</v>
      </c>
      <c r="B789" s="5" t="s">
        <v>1531</v>
      </c>
      <c r="C789" s="5" t="s">
        <v>1129</v>
      </c>
      <c r="D789" s="5" t="s">
        <v>1130</v>
      </c>
      <c r="E789" s="5" t="s">
        <v>145</v>
      </c>
      <c r="F789" s="5" t="s">
        <v>2137</v>
      </c>
      <c r="G789" s="5" t="s">
        <v>15</v>
      </c>
      <c r="H789" s="5" t="s">
        <v>97</v>
      </c>
      <c r="I789" s="5" t="s">
        <v>57</v>
      </c>
    </row>
    <row r="790" spans="1:9" ht="60" x14ac:dyDescent="0.25">
      <c r="A790" s="5" t="s">
        <v>1137</v>
      </c>
      <c r="B790" s="5" t="s">
        <v>132</v>
      </c>
      <c r="C790" s="5" t="s">
        <v>1137</v>
      </c>
      <c r="D790" s="5" t="s">
        <v>1138</v>
      </c>
      <c r="E790" s="5" t="s">
        <v>2152</v>
      </c>
      <c r="F790" s="5" t="s">
        <v>1140</v>
      </c>
      <c r="G790" s="5" t="s">
        <v>15</v>
      </c>
      <c r="H790" s="5" t="s">
        <v>57</v>
      </c>
      <c r="I790" s="5" t="s">
        <v>661</v>
      </c>
    </row>
    <row r="791" spans="1:9" ht="60" x14ac:dyDescent="0.25">
      <c r="A791" s="5" t="s">
        <v>2153</v>
      </c>
      <c r="B791" s="5" t="s">
        <v>132</v>
      </c>
      <c r="C791" s="5" t="s">
        <v>1137</v>
      </c>
      <c r="D791" s="5" t="s">
        <v>1138</v>
      </c>
      <c r="E791" s="5" t="s">
        <v>1396</v>
      </c>
      <c r="F791" s="5" t="s">
        <v>1140</v>
      </c>
      <c r="G791" s="5" t="s">
        <v>15</v>
      </c>
      <c r="H791" s="5" t="s">
        <v>57</v>
      </c>
      <c r="I791" s="5" t="s">
        <v>661</v>
      </c>
    </row>
    <row r="792" spans="1:9" ht="60" x14ac:dyDescent="0.25">
      <c r="A792" s="5" t="s">
        <v>2154</v>
      </c>
      <c r="B792" s="5" t="s">
        <v>10</v>
      </c>
      <c r="C792" s="5" t="s">
        <v>1137</v>
      </c>
      <c r="D792" s="5" t="s">
        <v>1138</v>
      </c>
      <c r="E792" s="5" t="s">
        <v>13</v>
      </c>
      <c r="F792" s="5" t="s">
        <v>1140</v>
      </c>
      <c r="G792" s="5" t="s">
        <v>15</v>
      </c>
      <c r="H792" s="5" t="s">
        <v>97</v>
      </c>
      <c r="I792" s="5" t="s">
        <v>57</v>
      </c>
    </row>
    <row r="793" spans="1:9" ht="60" x14ac:dyDescent="0.25">
      <c r="A793" s="5" t="s">
        <v>2155</v>
      </c>
      <c r="B793" s="5" t="s">
        <v>10</v>
      </c>
      <c r="C793" s="5" t="s">
        <v>1137</v>
      </c>
      <c r="D793" s="5" t="s">
        <v>1138</v>
      </c>
      <c r="E793" s="5" t="s">
        <v>13</v>
      </c>
      <c r="F793" s="5" t="s">
        <v>1140</v>
      </c>
      <c r="G793" s="5" t="s">
        <v>15</v>
      </c>
      <c r="H793" s="5" t="s">
        <v>57</v>
      </c>
      <c r="I793" s="5" t="s">
        <v>56</v>
      </c>
    </row>
    <row r="794" spans="1:9" ht="60" x14ac:dyDescent="0.25">
      <c r="A794" s="5" t="s">
        <v>2156</v>
      </c>
      <c r="B794" s="5" t="s">
        <v>10</v>
      </c>
      <c r="C794" s="5" t="s">
        <v>1137</v>
      </c>
      <c r="D794" s="5" t="s">
        <v>1138</v>
      </c>
      <c r="E794" s="5" t="s">
        <v>13</v>
      </c>
      <c r="F794" s="5" t="s">
        <v>1140</v>
      </c>
      <c r="G794" s="5" t="s">
        <v>15</v>
      </c>
      <c r="H794" s="5" t="s">
        <v>265</v>
      </c>
      <c r="I794" s="5" t="s">
        <v>57</v>
      </c>
    </row>
    <row r="795" spans="1:9" ht="45" x14ac:dyDescent="0.25">
      <c r="A795" s="5" t="s">
        <v>2157</v>
      </c>
      <c r="B795" s="5" t="s">
        <v>10</v>
      </c>
      <c r="C795" s="5" t="s">
        <v>1145</v>
      </c>
      <c r="D795" s="5" t="s">
        <v>1146</v>
      </c>
      <c r="E795" s="5" t="s">
        <v>13</v>
      </c>
      <c r="F795" s="5" t="s">
        <v>1147</v>
      </c>
      <c r="G795" s="5" t="s">
        <v>15</v>
      </c>
      <c r="H795" s="5" t="s">
        <v>57</v>
      </c>
      <c r="I795" s="5" t="s">
        <v>120</v>
      </c>
    </row>
    <row r="796" spans="1:9" ht="45" x14ac:dyDescent="0.25">
      <c r="A796" s="5" t="s">
        <v>2158</v>
      </c>
      <c r="B796" s="5" t="s">
        <v>10</v>
      </c>
      <c r="C796" s="5" t="s">
        <v>1145</v>
      </c>
      <c r="D796" s="5" t="s">
        <v>1146</v>
      </c>
      <c r="E796" s="5" t="s">
        <v>13</v>
      </c>
      <c r="F796" s="5" t="s">
        <v>1147</v>
      </c>
      <c r="G796" s="5" t="s">
        <v>15</v>
      </c>
      <c r="H796" s="5" t="s">
        <v>97</v>
      </c>
      <c r="I796" s="5" t="s">
        <v>57</v>
      </c>
    </row>
    <row r="797" spans="1:9" ht="45" x14ac:dyDescent="0.25">
      <c r="A797" s="5" t="s">
        <v>2159</v>
      </c>
      <c r="B797" s="5" t="s">
        <v>1428</v>
      </c>
      <c r="C797" s="5" t="s">
        <v>1145</v>
      </c>
      <c r="D797" s="5" t="s">
        <v>1146</v>
      </c>
      <c r="E797" s="5" t="s">
        <v>13</v>
      </c>
      <c r="F797" s="5" t="s">
        <v>1147</v>
      </c>
      <c r="G797" s="5" t="s">
        <v>15</v>
      </c>
      <c r="H797" s="5" t="s">
        <v>97</v>
      </c>
      <c r="I797" s="5" t="s">
        <v>57</v>
      </c>
    </row>
    <row r="798" spans="1:9" ht="45" x14ac:dyDescent="0.25">
      <c r="A798" s="5" t="s">
        <v>2160</v>
      </c>
      <c r="B798" s="5" t="s">
        <v>10</v>
      </c>
      <c r="C798" s="5" t="s">
        <v>1145</v>
      </c>
      <c r="D798" s="5" t="s">
        <v>1146</v>
      </c>
      <c r="E798" s="5" t="s">
        <v>13</v>
      </c>
      <c r="F798" s="5" t="s">
        <v>1147</v>
      </c>
      <c r="G798" s="5" t="s">
        <v>15</v>
      </c>
      <c r="H798" s="5" t="s">
        <v>265</v>
      </c>
      <c r="I798" s="5" t="s">
        <v>57</v>
      </c>
    </row>
    <row r="799" spans="1:9" ht="45" x14ac:dyDescent="0.25">
      <c r="A799" s="5" t="s">
        <v>2161</v>
      </c>
      <c r="B799" s="5" t="s">
        <v>10</v>
      </c>
      <c r="C799" s="5" t="s">
        <v>1145</v>
      </c>
      <c r="D799" s="5" t="s">
        <v>1146</v>
      </c>
      <c r="E799" s="5" t="s">
        <v>13</v>
      </c>
      <c r="F799" s="5" t="s">
        <v>1147</v>
      </c>
      <c r="G799" s="5" t="s">
        <v>15</v>
      </c>
      <c r="H799" s="5" t="s">
        <v>97</v>
      </c>
      <c r="I799" s="5" t="s">
        <v>57</v>
      </c>
    </row>
    <row r="800" spans="1:9" ht="45" x14ac:dyDescent="0.25">
      <c r="A800" s="5" t="s">
        <v>2162</v>
      </c>
      <c r="B800" s="5" t="s">
        <v>132</v>
      </c>
      <c r="C800" s="5" t="s">
        <v>1145</v>
      </c>
      <c r="D800" s="5" t="s">
        <v>1146</v>
      </c>
      <c r="E800" s="5" t="s">
        <v>1396</v>
      </c>
      <c r="F800" s="5" t="s">
        <v>1147</v>
      </c>
      <c r="G800" s="5" t="s">
        <v>15</v>
      </c>
      <c r="H800" s="5" t="s">
        <v>57</v>
      </c>
      <c r="I800" s="5" t="s">
        <v>265</v>
      </c>
    </row>
    <row r="801" spans="1:9" ht="45" x14ac:dyDescent="0.25">
      <c r="A801" s="5" t="s">
        <v>2163</v>
      </c>
      <c r="B801" s="5" t="s">
        <v>132</v>
      </c>
      <c r="C801" s="5" t="s">
        <v>1145</v>
      </c>
      <c r="D801" s="5" t="s">
        <v>1146</v>
      </c>
      <c r="E801" s="5" t="s">
        <v>13</v>
      </c>
      <c r="F801" s="5" t="s">
        <v>1147</v>
      </c>
      <c r="G801" s="5" t="s">
        <v>15</v>
      </c>
      <c r="H801" s="5" t="s">
        <v>57</v>
      </c>
      <c r="I801" s="5" t="s">
        <v>265</v>
      </c>
    </row>
    <row r="802" spans="1:9" ht="45" x14ac:dyDescent="0.25">
      <c r="A802" s="5" t="s">
        <v>2163</v>
      </c>
      <c r="B802" s="5" t="s">
        <v>1013</v>
      </c>
      <c r="C802" s="5" t="s">
        <v>1145</v>
      </c>
      <c r="D802" s="5" t="s">
        <v>1146</v>
      </c>
      <c r="E802" s="5" t="s">
        <v>13</v>
      </c>
      <c r="F802" s="5" t="s">
        <v>1147</v>
      </c>
      <c r="G802" s="5" t="s">
        <v>15</v>
      </c>
      <c r="H802" s="5" t="s">
        <v>57</v>
      </c>
      <c r="I802" s="5" t="s">
        <v>265</v>
      </c>
    </row>
    <row r="803" spans="1:9" ht="45" x14ac:dyDescent="0.25">
      <c r="A803" s="5" t="s">
        <v>2164</v>
      </c>
      <c r="B803" s="5" t="s">
        <v>1402</v>
      </c>
      <c r="C803" s="5" t="s">
        <v>1145</v>
      </c>
      <c r="D803" s="5" t="s">
        <v>1146</v>
      </c>
      <c r="E803" s="5" t="s">
        <v>1396</v>
      </c>
      <c r="F803" s="5" t="s">
        <v>1147</v>
      </c>
      <c r="G803" s="5" t="s">
        <v>15</v>
      </c>
      <c r="H803" s="5" t="s">
        <v>97</v>
      </c>
      <c r="I803" s="5" t="s">
        <v>57</v>
      </c>
    </row>
    <row r="804" spans="1:9" ht="45" x14ac:dyDescent="0.25">
      <c r="A804" s="5" t="s">
        <v>2164</v>
      </c>
      <c r="B804" s="5" t="s">
        <v>1529</v>
      </c>
      <c r="C804" s="5" t="s">
        <v>1145</v>
      </c>
      <c r="D804" s="5" t="s">
        <v>1146</v>
      </c>
      <c r="E804" s="5" t="s">
        <v>1396</v>
      </c>
      <c r="F804" s="5" t="s">
        <v>1147</v>
      </c>
      <c r="G804" s="5" t="s">
        <v>15</v>
      </c>
      <c r="H804" s="5" t="s">
        <v>97</v>
      </c>
      <c r="I804" s="5" t="s">
        <v>57</v>
      </c>
    </row>
    <row r="805" spans="1:9" ht="45" x14ac:dyDescent="0.25">
      <c r="A805" s="5" t="s">
        <v>2165</v>
      </c>
      <c r="B805" s="5" t="s">
        <v>10</v>
      </c>
      <c r="C805" s="5" t="s">
        <v>1152</v>
      </c>
      <c r="D805" s="5" t="s">
        <v>1153</v>
      </c>
      <c r="E805" s="5" t="s">
        <v>13</v>
      </c>
      <c r="F805" s="5" t="s">
        <v>2166</v>
      </c>
      <c r="G805" s="5" t="s">
        <v>15</v>
      </c>
      <c r="H805" s="5" t="s">
        <v>57</v>
      </c>
      <c r="I805" s="5" t="s">
        <v>56</v>
      </c>
    </row>
    <row r="806" spans="1:9" ht="45" x14ac:dyDescent="0.25">
      <c r="A806" s="5" t="s">
        <v>2167</v>
      </c>
      <c r="B806" s="5" t="s">
        <v>10</v>
      </c>
      <c r="C806" s="5" t="s">
        <v>1152</v>
      </c>
      <c r="D806" s="5" t="s">
        <v>1153</v>
      </c>
      <c r="E806" s="5" t="s">
        <v>13</v>
      </c>
      <c r="F806" s="5" t="s">
        <v>2166</v>
      </c>
      <c r="G806" s="5" t="s">
        <v>15</v>
      </c>
      <c r="H806" s="5" t="s">
        <v>97</v>
      </c>
      <c r="I806" s="5" t="s">
        <v>57</v>
      </c>
    </row>
    <row r="807" spans="1:9" ht="45" x14ac:dyDescent="0.25">
      <c r="A807" s="5" t="s">
        <v>2168</v>
      </c>
      <c r="B807" s="5" t="s">
        <v>10</v>
      </c>
      <c r="C807" s="5" t="s">
        <v>1152</v>
      </c>
      <c r="D807" s="5" t="s">
        <v>1153</v>
      </c>
      <c r="E807" s="5" t="s">
        <v>13</v>
      </c>
      <c r="F807" s="5" t="s">
        <v>2166</v>
      </c>
      <c r="G807" s="5" t="s">
        <v>15</v>
      </c>
      <c r="H807" s="5" t="s">
        <v>661</v>
      </c>
      <c r="I807" s="5" t="s">
        <v>57</v>
      </c>
    </row>
    <row r="808" spans="1:9" ht="45" x14ac:dyDescent="0.25">
      <c r="A808" s="5" t="s">
        <v>2169</v>
      </c>
      <c r="B808" s="5" t="s">
        <v>10</v>
      </c>
      <c r="C808" s="5" t="s">
        <v>1152</v>
      </c>
      <c r="D808" s="5" t="s">
        <v>1153</v>
      </c>
      <c r="E808" s="5" t="s">
        <v>13</v>
      </c>
      <c r="F808" s="5" t="s">
        <v>2166</v>
      </c>
      <c r="G808" s="5" t="s">
        <v>15</v>
      </c>
      <c r="H808" s="5" t="s">
        <v>97</v>
      </c>
      <c r="I808" s="5" t="s">
        <v>57</v>
      </c>
    </row>
    <row r="809" spans="1:9" ht="45" x14ac:dyDescent="0.25">
      <c r="A809" s="5" t="s">
        <v>2170</v>
      </c>
      <c r="B809" s="5" t="s">
        <v>132</v>
      </c>
      <c r="C809" s="5" t="s">
        <v>1152</v>
      </c>
      <c r="D809" s="5" t="s">
        <v>1153</v>
      </c>
      <c r="E809" s="5" t="s">
        <v>2171</v>
      </c>
      <c r="F809" s="5" t="s">
        <v>2172</v>
      </c>
      <c r="G809" s="5" t="s">
        <v>15</v>
      </c>
      <c r="H809" s="5" t="s">
        <v>57</v>
      </c>
      <c r="I809" s="5" t="s">
        <v>120</v>
      </c>
    </row>
    <row r="810" spans="1:9" ht="45" x14ac:dyDescent="0.25">
      <c r="A810" s="5" t="s">
        <v>2173</v>
      </c>
      <c r="B810" s="5" t="s">
        <v>132</v>
      </c>
      <c r="C810" s="5" t="s">
        <v>1152</v>
      </c>
      <c r="D810" s="5" t="s">
        <v>1153</v>
      </c>
      <c r="E810" s="5" t="s">
        <v>1396</v>
      </c>
      <c r="F810" s="5" t="s">
        <v>2166</v>
      </c>
      <c r="G810" s="5" t="s">
        <v>15</v>
      </c>
      <c r="H810" s="5" t="s">
        <v>57</v>
      </c>
      <c r="I810" s="5" t="s">
        <v>120</v>
      </c>
    </row>
    <row r="811" spans="1:9" ht="105" x14ac:dyDescent="0.25">
      <c r="A811" s="5" t="s">
        <v>2174</v>
      </c>
      <c r="B811" s="5" t="s">
        <v>10</v>
      </c>
      <c r="C811" s="5" t="s">
        <v>1159</v>
      </c>
      <c r="D811" s="5" t="s">
        <v>1160</v>
      </c>
      <c r="E811" s="5" t="s">
        <v>13</v>
      </c>
      <c r="F811" s="5" t="s">
        <v>1161</v>
      </c>
      <c r="G811" s="5" t="s">
        <v>15</v>
      </c>
      <c r="H811" s="5" t="s">
        <v>57</v>
      </c>
      <c r="I811" s="5" t="s">
        <v>120</v>
      </c>
    </row>
    <row r="812" spans="1:9" ht="105" x14ac:dyDescent="0.25">
      <c r="A812" s="5" t="s">
        <v>2175</v>
      </c>
      <c r="B812" s="5" t="s">
        <v>10</v>
      </c>
      <c r="C812" s="5" t="s">
        <v>1159</v>
      </c>
      <c r="D812" s="5" t="s">
        <v>1160</v>
      </c>
      <c r="E812" s="5" t="s">
        <v>13</v>
      </c>
      <c r="F812" s="5" t="s">
        <v>1161</v>
      </c>
      <c r="G812" s="5" t="s">
        <v>15</v>
      </c>
      <c r="H812" s="5" t="s">
        <v>97</v>
      </c>
      <c r="I812" s="5" t="s">
        <v>57</v>
      </c>
    </row>
    <row r="813" spans="1:9" ht="105" x14ac:dyDescent="0.25">
      <c r="A813" s="5" t="s">
        <v>2176</v>
      </c>
      <c r="B813" s="5" t="s">
        <v>1428</v>
      </c>
      <c r="C813" s="5" t="s">
        <v>1159</v>
      </c>
      <c r="D813" s="5" t="s">
        <v>1160</v>
      </c>
      <c r="E813" s="5" t="s">
        <v>13</v>
      </c>
      <c r="F813" s="5" t="s">
        <v>1161</v>
      </c>
      <c r="G813" s="5" t="s">
        <v>15</v>
      </c>
      <c r="H813" s="5" t="s">
        <v>97</v>
      </c>
      <c r="I813" s="5" t="s">
        <v>57</v>
      </c>
    </row>
    <row r="814" spans="1:9" ht="105" x14ac:dyDescent="0.25">
      <c r="A814" s="5" t="s">
        <v>2177</v>
      </c>
      <c r="B814" s="5" t="s">
        <v>10</v>
      </c>
      <c r="C814" s="5" t="s">
        <v>1159</v>
      </c>
      <c r="D814" s="5" t="s">
        <v>1160</v>
      </c>
      <c r="E814" s="5" t="s">
        <v>13</v>
      </c>
      <c r="F814" s="5" t="s">
        <v>1161</v>
      </c>
      <c r="G814" s="5" t="s">
        <v>15</v>
      </c>
      <c r="H814" s="5" t="s">
        <v>57</v>
      </c>
      <c r="I814" s="5" t="s">
        <v>265</v>
      </c>
    </row>
    <row r="815" spans="1:9" ht="105" x14ac:dyDescent="0.25">
      <c r="A815" s="5" t="s">
        <v>2178</v>
      </c>
      <c r="B815" s="5" t="s">
        <v>132</v>
      </c>
      <c r="C815" s="5" t="s">
        <v>1159</v>
      </c>
      <c r="D815" s="5" t="s">
        <v>1160</v>
      </c>
      <c r="E815" s="5" t="s">
        <v>2179</v>
      </c>
      <c r="F815" s="5" t="s">
        <v>1161</v>
      </c>
      <c r="G815" s="5" t="s">
        <v>15</v>
      </c>
      <c r="H815" s="5" t="s">
        <v>57</v>
      </c>
      <c r="I815" s="5" t="s">
        <v>265</v>
      </c>
    </row>
    <row r="816" spans="1:9" ht="105" x14ac:dyDescent="0.25">
      <c r="A816" s="5" t="s">
        <v>2180</v>
      </c>
      <c r="B816" s="5" t="s">
        <v>132</v>
      </c>
      <c r="C816" s="5" t="s">
        <v>1159</v>
      </c>
      <c r="D816" s="5" t="s">
        <v>1160</v>
      </c>
      <c r="E816" s="5" t="s">
        <v>1396</v>
      </c>
      <c r="F816" s="5" t="s">
        <v>1161</v>
      </c>
      <c r="G816" s="5" t="s">
        <v>15</v>
      </c>
      <c r="H816" s="5" t="s">
        <v>57</v>
      </c>
      <c r="I816" s="5" t="s">
        <v>265</v>
      </c>
    </row>
    <row r="817" spans="1:9" ht="105" x14ac:dyDescent="0.25">
      <c r="A817" s="5" t="s">
        <v>2180</v>
      </c>
      <c r="B817" s="5" t="s">
        <v>1013</v>
      </c>
      <c r="C817" s="5" t="s">
        <v>1159</v>
      </c>
      <c r="D817" s="5" t="s">
        <v>1160</v>
      </c>
      <c r="E817" s="5" t="s">
        <v>1396</v>
      </c>
      <c r="F817" s="5" t="s">
        <v>1161</v>
      </c>
      <c r="G817" s="5" t="s">
        <v>15</v>
      </c>
      <c r="H817" s="5" t="s">
        <v>57</v>
      </c>
      <c r="I817" s="5" t="s">
        <v>265</v>
      </c>
    </row>
    <row r="818" spans="1:9" ht="105" x14ac:dyDescent="0.25">
      <c r="A818" s="5" t="s">
        <v>2181</v>
      </c>
      <c r="B818" s="5" t="s">
        <v>1402</v>
      </c>
      <c r="C818" s="5" t="s">
        <v>1159</v>
      </c>
      <c r="D818" s="5" t="s">
        <v>1160</v>
      </c>
      <c r="E818" s="5" t="s">
        <v>1396</v>
      </c>
      <c r="F818" s="5" t="s">
        <v>1161</v>
      </c>
      <c r="G818" s="5" t="s">
        <v>15</v>
      </c>
      <c r="H818" s="5" t="s">
        <v>97</v>
      </c>
      <c r="I818" s="5" t="s">
        <v>57</v>
      </c>
    </row>
    <row r="819" spans="1:9" ht="105" x14ac:dyDescent="0.25">
      <c r="A819" s="5" t="s">
        <v>2181</v>
      </c>
      <c r="B819" s="5" t="s">
        <v>1529</v>
      </c>
      <c r="C819" s="5" t="s">
        <v>1159</v>
      </c>
      <c r="D819" s="5" t="s">
        <v>1160</v>
      </c>
      <c r="E819" s="5" t="s">
        <v>1396</v>
      </c>
      <c r="F819" s="5" t="s">
        <v>1161</v>
      </c>
      <c r="G819" s="5" t="s">
        <v>15</v>
      </c>
      <c r="H819" s="5" t="s">
        <v>97</v>
      </c>
      <c r="I819" s="5" t="s">
        <v>57</v>
      </c>
    </row>
    <row r="820" spans="1:9" ht="409.5" x14ac:dyDescent="0.25">
      <c r="A820" s="5" t="s">
        <v>1166</v>
      </c>
      <c r="B820" s="5" t="s">
        <v>2013</v>
      </c>
      <c r="C820" s="5" t="s">
        <v>1166</v>
      </c>
      <c r="D820" s="5" t="s">
        <v>1167</v>
      </c>
      <c r="E820" s="5" t="s">
        <v>1296</v>
      </c>
      <c r="F820" s="5" t="s">
        <v>1168</v>
      </c>
      <c r="G820" s="5" t="s">
        <v>15</v>
      </c>
      <c r="H820" s="5" t="s">
        <v>97</v>
      </c>
      <c r="I820" s="5" t="s">
        <v>57</v>
      </c>
    </row>
    <row r="821" spans="1:9" ht="409.5" x14ac:dyDescent="0.25">
      <c r="A821" s="5" t="s">
        <v>2182</v>
      </c>
      <c r="B821" s="5" t="s">
        <v>2013</v>
      </c>
      <c r="C821" s="5" t="s">
        <v>1166</v>
      </c>
      <c r="D821" s="5" t="s">
        <v>1167</v>
      </c>
      <c r="E821" s="5" t="s">
        <v>2078</v>
      </c>
      <c r="F821" s="5" t="s">
        <v>1168</v>
      </c>
      <c r="G821" s="5" t="s">
        <v>15</v>
      </c>
      <c r="H821" s="5" t="s">
        <v>97</v>
      </c>
      <c r="I821" s="5" t="s">
        <v>57</v>
      </c>
    </row>
    <row r="822" spans="1:9" ht="409.5" x14ac:dyDescent="0.25">
      <c r="A822" s="5" t="s">
        <v>2182</v>
      </c>
      <c r="B822" s="5" t="s">
        <v>10</v>
      </c>
      <c r="C822" s="5" t="s">
        <v>1166</v>
      </c>
      <c r="D822" s="5" t="s">
        <v>1167</v>
      </c>
      <c r="E822" s="5" t="s">
        <v>2078</v>
      </c>
      <c r="F822" s="5" t="s">
        <v>1168</v>
      </c>
      <c r="G822" s="5" t="s">
        <v>15</v>
      </c>
      <c r="H822" s="5" t="s">
        <v>97</v>
      </c>
      <c r="I822" s="5" t="s">
        <v>57</v>
      </c>
    </row>
    <row r="823" spans="1:9" ht="409.5" x14ac:dyDescent="0.25">
      <c r="A823" s="5" t="s">
        <v>2183</v>
      </c>
      <c r="B823" s="5" t="s">
        <v>1013</v>
      </c>
      <c r="C823" s="5" t="s">
        <v>1166</v>
      </c>
      <c r="D823" s="5" t="s">
        <v>1167</v>
      </c>
      <c r="E823" s="5" t="s">
        <v>2078</v>
      </c>
      <c r="F823" s="5" t="s">
        <v>1168</v>
      </c>
      <c r="G823" s="5" t="s">
        <v>15</v>
      </c>
      <c r="H823" s="5" t="s">
        <v>97</v>
      </c>
      <c r="I823" s="5" t="s">
        <v>57</v>
      </c>
    </row>
    <row r="824" spans="1:9" ht="409.5" x14ac:dyDescent="0.25">
      <c r="A824" s="5" t="s">
        <v>2184</v>
      </c>
      <c r="B824" s="5" t="s">
        <v>2013</v>
      </c>
      <c r="C824" s="5" t="s">
        <v>1166</v>
      </c>
      <c r="D824" s="5" t="s">
        <v>1167</v>
      </c>
      <c r="E824" s="5" t="s">
        <v>2078</v>
      </c>
      <c r="F824" s="5" t="s">
        <v>1168</v>
      </c>
      <c r="G824" s="5" t="s">
        <v>15</v>
      </c>
      <c r="H824" s="5" t="s">
        <v>57</v>
      </c>
      <c r="I824" s="5" t="s">
        <v>57</v>
      </c>
    </row>
    <row r="825" spans="1:9" ht="409.5" x14ac:dyDescent="0.25">
      <c r="A825" s="5" t="s">
        <v>2184</v>
      </c>
      <c r="B825" s="5" t="s">
        <v>10</v>
      </c>
      <c r="C825" s="5" t="s">
        <v>1166</v>
      </c>
      <c r="D825" s="5" t="s">
        <v>1167</v>
      </c>
      <c r="E825" s="5" t="s">
        <v>2078</v>
      </c>
      <c r="F825" s="5" t="s">
        <v>1168</v>
      </c>
      <c r="G825" s="5" t="s">
        <v>15</v>
      </c>
      <c r="H825" s="5" t="s">
        <v>57</v>
      </c>
      <c r="I825" s="5" t="s">
        <v>57</v>
      </c>
    </row>
    <row r="826" spans="1:9" ht="409.5" x14ac:dyDescent="0.25">
      <c r="A826" s="5" t="s">
        <v>2185</v>
      </c>
      <c r="B826" s="5" t="s">
        <v>1013</v>
      </c>
      <c r="C826" s="5" t="s">
        <v>1166</v>
      </c>
      <c r="D826" s="5" t="s">
        <v>1167</v>
      </c>
      <c r="E826" s="5" t="s">
        <v>2078</v>
      </c>
      <c r="F826" s="5" t="s">
        <v>1168</v>
      </c>
      <c r="G826" s="5" t="s">
        <v>15</v>
      </c>
      <c r="H826" s="5" t="s">
        <v>57</v>
      </c>
      <c r="I826" s="5" t="s">
        <v>57</v>
      </c>
    </row>
    <row r="827" spans="1:9" ht="409.5" x14ac:dyDescent="0.25">
      <c r="A827" s="5" t="s">
        <v>2186</v>
      </c>
      <c r="B827" s="5" t="s">
        <v>132</v>
      </c>
      <c r="C827" s="5" t="s">
        <v>1166</v>
      </c>
      <c r="D827" s="5" t="s">
        <v>1167</v>
      </c>
      <c r="E827" s="5" t="s">
        <v>2187</v>
      </c>
      <c r="F827" s="5" t="s">
        <v>1168</v>
      </c>
      <c r="G827" s="5" t="s">
        <v>15</v>
      </c>
      <c r="H827" s="5" t="s">
        <v>57</v>
      </c>
      <c r="I827" s="5" t="s">
        <v>265</v>
      </c>
    </row>
    <row r="828" spans="1:9" ht="409.5" x14ac:dyDescent="0.25">
      <c r="A828" s="5" t="s">
        <v>2186</v>
      </c>
      <c r="B828" s="5" t="s">
        <v>1423</v>
      </c>
      <c r="C828" s="5" t="s">
        <v>1166</v>
      </c>
      <c r="D828" s="5" t="s">
        <v>1167</v>
      </c>
      <c r="E828" s="5" t="s">
        <v>2187</v>
      </c>
      <c r="F828" s="5" t="s">
        <v>1168</v>
      </c>
      <c r="G828" s="5" t="s">
        <v>15</v>
      </c>
      <c r="H828" s="5" t="s">
        <v>57</v>
      </c>
      <c r="I828" s="5" t="s">
        <v>265</v>
      </c>
    </row>
    <row r="829" spans="1:9" ht="409.5" x14ac:dyDescent="0.25">
      <c r="A829" s="5" t="s">
        <v>2188</v>
      </c>
      <c r="B829" s="5" t="s">
        <v>132</v>
      </c>
      <c r="C829" s="5" t="s">
        <v>1166</v>
      </c>
      <c r="D829" s="5" t="s">
        <v>1167</v>
      </c>
      <c r="E829" s="5" t="s">
        <v>2090</v>
      </c>
      <c r="F829" s="5" t="s">
        <v>1168</v>
      </c>
      <c r="G829" s="5" t="s">
        <v>15</v>
      </c>
      <c r="H829" s="5" t="s">
        <v>57</v>
      </c>
      <c r="I829" s="5" t="s">
        <v>265</v>
      </c>
    </row>
    <row r="830" spans="1:9" ht="409.5" x14ac:dyDescent="0.25">
      <c r="A830" s="5" t="s">
        <v>2188</v>
      </c>
      <c r="B830" s="5" t="s">
        <v>1013</v>
      </c>
      <c r="C830" s="5" t="s">
        <v>1166</v>
      </c>
      <c r="D830" s="5" t="s">
        <v>1167</v>
      </c>
      <c r="E830" s="5" t="s">
        <v>2090</v>
      </c>
      <c r="F830" s="5" t="s">
        <v>1168</v>
      </c>
      <c r="G830" s="5" t="s">
        <v>15</v>
      </c>
      <c r="H830" s="5" t="s">
        <v>57</v>
      </c>
      <c r="I830" s="5" t="s">
        <v>265</v>
      </c>
    </row>
    <row r="831" spans="1:9" ht="409.5" x14ac:dyDescent="0.25">
      <c r="A831" s="5" t="s">
        <v>2189</v>
      </c>
      <c r="B831" s="5" t="s">
        <v>10</v>
      </c>
      <c r="C831" s="5" t="s">
        <v>1166</v>
      </c>
      <c r="D831" s="5" t="s">
        <v>1167</v>
      </c>
      <c r="E831" s="5" t="s">
        <v>2090</v>
      </c>
      <c r="F831" s="5" t="s">
        <v>1168</v>
      </c>
      <c r="G831" s="5" t="s">
        <v>15</v>
      </c>
      <c r="H831" s="5" t="s">
        <v>120</v>
      </c>
      <c r="I831" s="5" t="s">
        <v>57</v>
      </c>
    </row>
    <row r="832" spans="1:9" ht="409.5" x14ac:dyDescent="0.25">
      <c r="A832" s="5" t="s">
        <v>2190</v>
      </c>
      <c r="B832" s="5" t="s">
        <v>1428</v>
      </c>
      <c r="C832" s="5" t="s">
        <v>1166</v>
      </c>
      <c r="D832" s="5" t="s">
        <v>1167</v>
      </c>
      <c r="E832" s="5" t="s">
        <v>2090</v>
      </c>
      <c r="F832" s="5" t="s">
        <v>1168</v>
      </c>
      <c r="G832" s="5" t="s">
        <v>15</v>
      </c>
      <c r="H832" s="5" t="s">
        <v>120</v>
      </c>
      <c r="I832" s="5" t="s">
        <v>57</v>
      </c>
    </row>
    <row r="833" spans="1:9" ht="409.5" x14ac:dyDescent="0.25">
      <c r="A833" s="5" t="s">
        <v>2191</v>
      </c>
      <c r="B833" s="5" t="s">
        <v>10</v>
      </c>
      <c r="C833" s="5" t="s">
        <v>1166</v>
      </c>
      <c r="D833" s="5" t="s">
        <v>1167</v>
      </c>
      <c r="E833" s="5" t="s">
        <v>2078</v>
      </c>
      <c r="F833" s="5" t="s">
        <v>1168</v>
      </c>
      <c r="G833" s="5" t="s">
        <v>15</v>
      </c>
      <c r="H833" s="5" t="s">
        <v>57</v>
      </c>
      <c r="I833" s="5" t="s">
        <v>265</v>
      </c>
    </row>
    <row r="834" spans="1:9" ht="409.5" x14ac:dyDescent="0.25">
      <c r="A834" s="5" t="s">
        <v>2192</v>
      </c>
      <c r="B834" s="5" t="s">
        <v>1402</v>
      </c>
      <c r="C834" s="5" t="s">
        <v>1166</v>
      </c>
      <c r="D834" s="5" t="s">
        <v>1167</v>
      </c>
      <c r="E834" s="5" t="s">
        <v>2078</v>
      </c>
      <c r="F834" s="5" t="s">
        <v>1168</v>
      </c>
      <c r="G834" s="5" t="s">
        <v>15</v>
      </c>
      <c r="H834" s="5" t="s">
        <v>57</v>
      </c>
      <c r="I834" s="5" t="s">
        <v>265</v>
      </c>
    </row>
    <row r="835" spans="1:9" ht="409.5" x14ac:dyDescent="0.25">
      <c r="A835" s="5" t="s">
        <v>2193</v>
      </c>
      <c r="B835" s="5" t="s">
        <v>1013</v>
      </c>
      <c r="C835" s="5" t="s">
        <v>1166</v>
      </c>
      <c r="D835" s="5" t="s">
        <v>1167</v>
      </c>
      <c r="E835" s="5" t="s">
        <v>2078</v>
      </c>
      <c r="F835" s="5" t="s">
        <v>1168</v>
      </c>
      <c r="G835" s="5" t="s">
        <v>15</v>
      </c>
      <c r="H835" s="5" t="s">
        <v>57</v>
      </c>
      <c r="I835" s="5" t="s">
        <v>265</v>
      </c>
    </row>
    <row r="836" spans="1:9" ht="409.5" x14ac:dyDescent="0.25">
      <c r="A836" s="5" t="s">
        <v>2194</v>
      </c>
      <c r="B836" s="5" t="s">
        <v>10</v>
      </c>
      <c r="C836" s="5" t="s">
        <v>1166</v>
      </c>
      <c r="D836" s="5" t="s">
        <v>1167</v>
      </c>
      <c r="E836" s="5" t="s">
        <v>1296</v>
      </c>
      <c r="F836" s="5" t="s">
        <v>1168</v>
      </c>
      <c r="G836" s="5" t="s">
        <v>15</v>
      </c>
      <c r="H836" s="5" t="s">
        <v>57</v>
      </c>
      <c r="I836" s="5" t="s">
        <v>265</v>
      </c>
    </row>
    <row r="837" spans="1:9" ht="409.5" x14ac:dyDescent="0.25">
      <c r="A837" s="5" t="s">
        <v>2195</v>
      </c>
      <c r="B837" s="5" t="s">
        <v>1423</v>
      </c>
      <c r="C837" s="5" t="s">
        <v>1166</v>
      </c>
      <c r="D837" s="5" t="s">
        <v>1167</v>
      </c>
      <c r="E837" s="5" t="s">
        <v>1296</v>
      </c>
      <c r="F837" s="5" t="s">
        <v>1168</v>
      </c>
      <c r="G837" s="5" t="s">
        <v>15</v>
      </c>
      <c r="H837" s="5" t="s">
        <v>57</v>
      </c>
      <c r="I837" s="5" t="s">
        <v>265</v>
      </c>
    </row>
    <row r="838" spans="1:9" ht="409.5" x14ac:dyDescent="0.25">
      <c r="A838" s="5" t="s">
        <v>2196</v>
      </c>
      <c r="B838" s="5" t="s">
        <v>10</v>
      </c>
      <c r="C838" s="5" t="s">
        <v>1166</v>
      </c>
      <c r="D838" s="5" t="s">
        <v>1167</v>
      </c>
      <c r="E838" s="5" t="s">
        <v>2098</v>
      </c>
      <c r="F838" s="5" t="s">
        <v>1168</v>
      </c>
      <c r="G838" s="5" t="s">
        <v>15</v>
      </c>
      <c r="H838" s="5" t="s">
        <v>57</v>
      </c>
      <c r="I838" s="5" t="s">
        <v>265</v>
      </c>
    </row>
    <row r="839" spans="1:9" ht="409.5" x14ac:dyDescent="0.25">
      <c r="A839" s="5" t="s">
        <v>2197</v>
      </c>
      <c r="B839" s="5" t="s">
        <v>1428</v>
      </c>
      <c r="C839" s="5" t="s">
        <v>1166</v>
      </c>
      <c r="D839" s="5" t="s">
        <v>1167</v>
      </c>
      <c r="E839" s="5" t="s">
        <v>2098</v>
      </c>
      <c r="F839" s="5" t="s">
        <v>1168</v>
      </c>
      <c r="G839" s="5" t="s">
        <v>15</v>
      </c>
      <c r="H839" s="5" t="s">
        <v>57</v>
      </c>
      <c r="I839" s="5" t="s">
        <v>265</v>
      </c>
    </row>
    <row r="840" spans="1:9" ht="409.5" x14ac:dyDescent="0.25">
      <c r="A840" s="5" t="s">
        <v>2198</v>
      </c>
      <c r="B840" s="5" t="s">
        <v>10</v>
      </c>
      <c r="C840" s="5" t="s">
        <v>1166</v>
      </c>
      <c r="D840" s="5" t="s">
        <v>1167</v>
      </c>
      <c r="E840" s="5" t="s">
        <v>2078</v>
      </c>
      <c r="F840" s="5" t="s">
        <v>1168</v>
      </c>
      <c r="G840" s="5" t="s">
        <v>15</v>
      </c>
      <c r="H840" s="5" t="s">
        <v>57</v>
      </c>
      <c r="I840" s="5" t="s">
        <v>265</v>
      </c>
    </row>
    <row r="841" spans="1:9" ht="409.5" x14ac:dyDescent="0.25">
      <c r="A841" s="5" t="s">
        <v>2199</v>
      </c>
      <c r="B841" s="5" t="s">
        <v>10</v>
      </c>
      <c r="C841" s="5" t="s">
        <v>1166</v>
      </c>
      <c r="D841" s="5" t="s">
        <v>1167</v>
      </c>
      <c r="E841" s="5" t="s">
        <v>2078</v>
      </c>
      <c r="F841" s="5" t="s">
        <v>2200</v>
      </c>
      <c r="G841" s="5" t="s">
        <v>15</v>
      </c>
      <c r="H841" s="5" t="s">
        <v>57</v>
      </c>
      <c r="I841" s="5" t="s">
        <v>265</v>
      </c>
    </row>
    <row r="842" spans="1:9" ht="409.5" x14ac:dyDescent="0.25">
      <c r="A842" s="5" t="s">
        <v>2201</v>
      </c>
      <c r="B842" s="5" t="s">
        <v>123</v>
      </c>
      <c r="C842" s="5" t="s">
        <v>1166</v>
      </c>
      <c r="D842" s="5" t="s">
        <v>1167</v>
      </c>
      <c r="E842" s="5" t="s">
        <v>1296</v>
      </c>
      <c r="F842" s="5" t="s">
        <v>1168</v>
      </c>
      <c r="G842" s="5" t="s">
        <v>15</v>
      </c>
      <c r="H842" s="5" t="s">
        <v>97</v>
      </c>
      <c r="I842" s="5" t="s">
        <v>57</v>
      </c>
    </row>
    <row r="843" spans="1:9" ht="409.5" x14ac:dyDescent="0.25">
      <c r="A843" s="5" t="s">
        <v>2202</v>
      </c>
      <c r="B843" s="5" t="s">
        <v>123</v>
      </c>
      <c r="C843" s="5" t="s">
        <v>1166</v>
      </c>
      <c r="D843" s="5" t="s">
        <v>1167</v>
      </c>
      <c r="E843" s="5" t="s">
        <v>2078</v>
      </c>
      <c r="F843" s="5" t="s">
        <v>1168</v>
      </c>
      <c r="G843" s="5" t="s">
        <v>15</v>
      </c>
      <c r="H843" s="5" t="s">
        <v>97</v>
      </c>
      <c r="I843" s="5" t="s">
        <v>57</v>
      </c>
    </row>
    <row r="844" spans="1:9" ht="30" x14ac:dyDescent="0.25">
      <c r="A844" s="5" t="s">
        <v>2203</v>
      </c>
      <c r="B844" s="5" t="s">
        <v>1527</v>
      </c>
      <c r="C844" s="5" t="s">
        <v>1166</v>
      </c>
      <c r="D844" s="5" t="s">
        <v>1167</v>
      </c>
      <c r="E844" s="5" t="s">
        <v>2090</v>
      </c>
      <c r="F844" s="5" t="s">
        <v>2204</v>
      </c>
      <c r="G844" s="5" t="s">
        <v>15</v>
      </c>
      <c r="H844" s="5" t="s">
        <v>97</v>
      </c>
      <c r="I844" s="5" t="s">
        <v>57</v>
      </c>
    </row>
    <row r="845" spans="1:9" ht="409.5" x14ac:dyDescent="0.25">
      <c r="A845" s="5" t="s">
        <v>2205</v>
      </c>
      <c r="B845" s="5" t="s">
        <v>1402</v>
      </c>
      <c r="C845" s="5" t="s">
        <v>1166</v>
      </c>
      <c r="D845" s="5" t="s">
        <v>1167</v>
      </c>
      <c r="E845" s="5" t="s">
        <v>2090</v>
      </c>
      <c r="F845" s="5" t="s">
        <v>1168</v>
      </c>
      <c r="G845" s="5" t="s">
        <v>15</v>
      </c>
      <c r="H845" s="5" t="s">
        <v>97</v>
      </c>
      <c r="I845" s="5" t="s">
        <v>57</v>
      </c>
    </row>
    <row r="846" spans="1:9" ht="409.5" x14ac:dyDescent="0.25">
      <c r="A846" s="5" t="s">
        <v>2205</v>
      </c>
      <c r="B846" s="5" t="s">
        <v>1529</v>
      </c>
      <c r="C846" s="5" t="s">
        <v>1166</v>
      </c>
      <c r="D846" s="5" t="s">
        <v>1167</v>
      </c>
      <c r="E846" s="5" t="s">
        <v>2090</v>
      </c>
      <c r="F846" s="5" t="s">
        <v>1168</v>
      </c>
      <c r="G846" s="5" t="s">
        <v>15</v>
      </c>
      <c r="H846" s="5" t="s">
        <v>97</v>
      </c>
      <c r="I846" s="5" t="s">
        <v>57</v>
      </c>
    </row>
    <row r="847" spans="1:9" ht="409.5" x14ac:dyDescent="0.25">
      <c r="A847" s="5" t="s">
        <v>2206</v>
      </c>
      <c r="B847" s="5" t="s">
        <v>1531</v>
      </c>
      <c r="C847" s="5" t="s">
        <v>1166</v>
      </c>
      <c r="D847" s="5" t="s">
        <v>1167</v>
      </c>
      <c r="E847" s="5" t="s">
        <v>2090</v>
      </c>
      <c r="F847" s="5" t="s">
        <v>1168</v>
      </c>
      <c r="G847" s="5" t="s">
        <v>15</v>
      </c>
      <c r="H847" s="5" t="s">
        <v>97</v>
      </c>
      <c r="I847" s="5" t="s">
        <v>57</v>
      </c>
    </row>
    <row r="848" spans="1:9" ht="409.5" x14ac:dyDescent="0.25">
      <c r="A848" s="5" t="s">
        <v>2207</v>
      </c>
      <c r="B848" s="5" t="s">
        <v>1531</v>
      </c>
      <c r="C848" s="5" t="s">
        <v>1166</v>
      </c>
      <c r="D848" s="5" t="s">
        <v>1167</v>
      </c>
      <c r="E848" s="5" t="s">
        <v>2090</v>
      </c>
      <c r="F848" s="5" t="s">
        <v>1168</v>
      </c>
      <c r="G848" s="5" t="s">
        <v>15</v>
      </c>
      <c r="H848" s="5" t="s">
        <v>97</v>
      </c>
      <c r="I848" s="5" t="s">
        <v>57</v>
      </c>
    </row>
    <row r="849" spans="1:9" ht="409.5" x14ac:dyDescent="0.25">
      <c r="A849" s="5" t="s">
        <v>2208</v>
      </c>
      <c r="B849" s="5" t="s">
        <v>51</v>
      </c>
      <c r="C849" s="5" t="s">
        <v>1166</v>
      </c>
      <c r="D849" s="5" t="s">
        <v>1167</v>
      </c>
      <c r="E849" s="5" t="s">
        <v>2090</v>
      </c>
      <c r="F849" s="5" t="s">
        <v>1168</v>
      </c>
      <c r="G849" s="5" t="s">
        <v>15</v>
      </c>
      <c r="H849" s="5" t="s">
        <v>57</v>
      </c>
      <c r="I849" s="5" t="s">
        <v>57</v>
      </c>
    </row>
    <row r="850" spans="1:9" ht="409.5" x14ac:dyDescent="0.25">
      <c r="A850" s="5" t="s">
        <v>2209</v>
      </c>
      <c r="B850" s="5" t="s">
        <v>51</v>
      </c>
      <c r="C850" s="5" t="s">
        <v>1166</v>
      </c>
      <c r="D850" s="5" t="s">
        <v>1167</v>
      </c>
      <c r="E850" s="5" t="s">
        <v>2090</v>
      </c>
      <c r="F850" s="5" t="s">
        <v>1168</v>
      </c>
      <c r="G850" s="5" t="s">
        <v>15</v>
      </c>
      <c r="H850" s="5" t="s">
        <v>57</v>
      </c>
      <c r="I850" s="5" t="s">
        <v>57</v>
      </c>
    </row>
    <row r="851" spans="1:9" ht="90" x14ac:dyDescent="0.25">
      <c r="A851" s="5" t="s">
        <v>1174</v>
      </c>
      <c r="B851" s="5" t="s">
        <v>132</v>
      </c>
      <c r="C851" s="5" t="s">
        <v>1174</v>
      </c>
      <c r="D851" s="5" t="s">
        <v>1175</v>
      </c>
      <c r="E851" s="5" t="s">
        <v>1396</v>
      </c>
      <c r="F851" s="5" t="s">
        <v>2210</v>
      </c>
      <c r="G851" s="5" t="s">
        <v>15</v>
      </c>
      <c r="H851" s="5" t="s">
        <v>57</v>
      </c>
      <c r="I851" s="5" t="s">
        <v>120</v>
      </c>
    </row>
    <row r="852" spans="1:9" ht="90" x14ac:dyDescent="0.25">
      <c r="A852" s="5" t="s">
        <v>2211</v>
      </c>
      <c r="B852" s="5" t="s">
        <v>132</v>
      </c>
      <c r="C852" s="5" t="s">
        <v>1174</v>
      </c>
      <c r="D852" s="5" t="s">
        <v>1175</v>
      </c>
      <c r="E852" s="5" t="s">
        <v>1396</v>
      </c>
      <c r="F852" s="5" t="s">
        <v>2210</v>
      </c>
      <c r="G852" s="5" t="s">
        <v>15</v>
      </c>
      <c r="H852" s="5" t="s">
        <v>57</v>
      </c>
      <c r="I852" s="5" t="s">
        <v>120</v>
      </c>
    </row>
    <row r="853" spans="1:9" ht="90" x14ac:dyDescent="0.25">
      <c r="A853" s="5" t="s">
        <v>2211</v>
      </c>
      <c r="B853" s="5" t="s">
        <v>1013</v>
      </c>
      <c r="C853" s="5" t="s">
        <v>1174</v>
      </c>
      <c r="D853" s="5" t="s">
        <v>1175</v>
      </c>
      <c r="E853" s="5" t="s">
        <v>1396</v>
      </c>
      <c r="F853" s="5" t="s">
        <v>2210</v>
      </c>
      <c r="G853" s="5" t="s">
        <v>15</v>
      </c>
      <c r="H853" s="5" t="s">
        <v>57</v>
      </c>
      <c r="I853" s="5" t="s">
        <v>120</v>
      </c>
    </row>
    <row r="854" spans="1:9" ht="90" x14ac:dyDescent="0.25">
      <c r="A854" s="5" t="s">
        <v>2212</v>
      </c>
      <c r="B854" s="5" t="s">
        <v>10</v>
      </c>
      <c r="C854" s="5" t="s">
        <v>1174</v>
      </c>
      <c r="D854" s="5" t="s">
        <v>1175</v>
      </c>
      <c r="E854" s="5" t="s">
        <v>13</v>
      </c>
      <c r="F854" s="5" t="s">
        <v>2210</v>
      </c>
      <c r="G854" s="5" t="s">
        <v>15</v>
      </c>
      <c r="H854" s="5" t="s">
        <v>97</v>
      </c>
      <c r="I854" s="5" t="s">
        <v>57</v>
      </c>
    </row>
    <row r="855" spans="1:9" ht="90" x14ac:dyDescent="0.25">
      <c r="A855" s="5" t="s">
        <v>2213</v>
      </c>
      <c r="B855" s="5" t="s">
        <v>1428</v>
      </c>
      <c r="C855" s="5" t="s">
        <v>1174</v>
      </c>
      <c r="D855" s="5" t="s">
        <v>1175</v>
      </c>
      <c r="E855" s="5" t="s">
        <v>13</v>
      </c>
      <c r="F855" s="5" t="s">
        <v>2210</v>
      </c>
      <c r="G855" s="5" t="s">
        <v>15</v>
      </c>
      <c r="H855" s="5" t="s">
        <v>97</v>
      </c>
      <c r="I855" s="5" t="s">
        <v>57</v>
      </c>
    </row>
    <row r="856" spans="1:9" ht="90" x14ac:dyDescent="0.25">
      <c r="A856" s="5" t="s">
        <v>2214</v>
      </c>
      <c r="B856" s="5" t="s">
        <v>10</v>
      </c>
      <c r="C856" s="5" t="s">
        <v>1174</v>
      </c>
      <c r="D856" s="5" t="s">
        <v>1175</v>
      </c>
      <c r="E856" s="5" t="s">
        <v>13</v>
      </c>
      <c r="F856" s="5" t="s">
        <v>2215</v>
      </c>
      <c r="G856" s="5" t="s">
        <v>15</v>
      </c>
      <c r="H856" s="5" t="s">
        <v>57</v>
      </c>
      <c r="I856" s="5" t="s">
        <v>39</v>
      </c>
    </row>
    <row r="857" spans="1:9" ht="90" x14ac:dyDescent="0.25">
      <c r="A857" s="5" t="s">
        <v>2216</v>
      </c>
      <c r="B857" s="5" t="s">
        <v>10</v>
      </c>
      <c r="C857" s="5" t="s">
        <v>1174</v>
      </c>
      <c r="D857" s="5" t="s">
        <v>1175</v>
      </c>
      <c r="E857" s="5" t="s">
        <v>13</v>
      </c>
      <c r="F857" s="5" t="s">
        <v>2210</v>
      </c>
      <c r="G857" s="5" t="s">
        <v>15</v>
      </c>
      <c r="H857" s="5" t="s">
        <v>97</v>
      </c>
      <c r="I857" s="5" t="s">
        <v>57</v>
      </c>
    </row>
    <row r="858" spans="1:9" ht="90" x14ac:dyDescent="0.25">
      <c r="A858" s="5" t="s">
        <v>2217</v>
      </c>
      <c r="B858" s="5" t="s">
        <v>1402</v>
      </c>
      <c r="C858" s="5" t="s">
        <v>1174</v>
      </c>
      <c r="D858" s="5" t="s">
        <v>1175</v>
      </c>
      <c r="E858" s="5" t="s">
        <v>1396</v>
      </c>
      <c r="F858" s="5" t="s">
        <v>2210</v>
      </c>
      <c r="G858" s="5" t="s">
        <v>15</v>
      </c>
      <c r="H858" s="5" t="s">
        <v>97</v>
      </c>
      <c r="I858" s="5" t="s">
        <v>57</v>
      </c>
    </row>
    <row r="859" spans="1:9" ht="90" x14ac:dyDescent="0.25">
      <c r="A859" s="5" t="s">
        <v>2217</v>
      </c>
      <c r="B859" s="5" t="s">
        <v>1529</v>
      </c>
      <c r="C859" s="5" t="s">
        <v>1174</v>
      </c>
      <c r="D859" s="5" t="s">
        <v>1175</v>
      </c>
      <c r="E859" s="5" t="s">
        <v>1396</v>
      </c>
      <c r="F859" s="5" t="s">
        <v>2210</v>
      </c>
      <c r="G859" s="5" t="s">
        <v>15</v>
      </c>
      <c r="H859" s="5" t="s">
        <v>97</v>
      </c>
      <c r="I859" s="5" t="s">
        <v>57</v>
      </c>
    </row>
    <row r="860" spans="1:9" ht="30" x14ac:dyDescent="0.25">
      <c r="A860" s="5" t="s">
        <v>2218</v>
      </c>
      <c r="B860" s="5" t="s">
        <v>10</v>
      </c>
      <c r="C860" s="5" t="s">
        <v>1181</v>
      </c>
      <c r="D860" s="5" t="s">
        <v>1182</v>
      </c>
      <c r="E860" s="5" t="s">
        <v>13</v>
      </c>
      <c r="F860" s="5" t="s">
        <v>21</v>
      </c>
      <c r="G860" s="5" t="s">
        <v>15</v>
      </c>
      <c r="H860" s="5" t="s">
        <v>57</v>
      </c>
      <c r="I860" s="5" t="s">
        <v>39</v>
      </c>
    </row>
    <row r="861" spans="1:9" ht="30" x14ac:dyDescent="0.25">
      <c r="A861" s="5" t="s">
        <v>2219</v>
      </c>
      <c r="B861" s="5" t="s">
        <v>10</v>
      </c>
      <c r="C861" s="5" t="s">
        <v>1181</v>
      </c>
      <c r="D861" s="5" t="s">
        <v>1182</v>
      </c>
      <c r="E861" s="5" t="s">
        <v>13</v>
      </c>
      <c r="F861" s="5" t="s">
        <v>21</v>
      </c>
      <c r="G861" s="5" t="s">
        <v>15</v>
      </c>
      <c r="H861" s="5" t="s">
        <v>97</v>
      </c>
      <c r="I861" s="5" t="s">
        <v>57</v>
      </c>
    </row>
    <row r="862" spans="1:9" ht="30" x14ac:dyDescent="0.25">
      <c r="A862" s="5" t="s">
        <v>2220</v>
      </c>
      <c r="B862" s="5" t="s">
        <v>1428</v>
      </c>
      <c r="C862" s="5" t="s">
        <v>1181</v>
      </c>
      <c r="D862" s="5" t="s">
        <v>1182</v>
      </c>
      <c r="E862" s="5" t="s">
        <v>13</v>
      </c>
      <c r="F862" s="5" t="s">
        <v>21</v>
      </c>
      <c r="G862" s="5" t="s">
        <v>15</v>
      </c>
      <c r="H862" s="5" t="s">
        <v>97</v>
      </c>
      <c r="I862" s="5" t="s">
        <v>57</v>
      </c>
    </row>
    <row r="863" spans="1:9" ht="30" x14ac:dyDescent="0.25">
      <c r="A863" s="5" t="s">
        <v>2221</v>
      </c>
      <c r="B863" s="5" t="s">
        <v>10</v>
      </c>
      <c r="C863" s="5" t="s">
        <v>1181</v>
      </c>
      <c r="D863" s="5" t="s">
        <v>1182</v>
      </c>
      <c r="E863" s="5" t="s">
        <v>13</v>
      </c>
      <c r="F863" s="5" t="s">
        <v>21</v>
      </c>
      <c r="G863" s="5" t="s">
        <v>15</v>
      </c>
      <c r="H863" s="5" t="s">
        <v>97</v>
      </c>
      <c r="I863" s="5" t="s">
        <v>57</v>
      </c>
    </row>
    <row r="864" spans="1:9" ht="30" x14ac:dyDescent="0.25">
      <c r="A864" s="5" t="s">
        <v>2222</v>
      </c>
      <c r="B864" s="5" t="s">
        <v>2223</v>
      </c>
      <c r="C864" s="5" t="s">
        <v>1181</v>
      </c>
      <c r="D864" s="5" t="s">
        <v>1182</v>
      </c>
      <c r="E864" s="5" t="s">
        <v>1396</v>
      </c>
      <c r="F864" s="5" t="s">
        <v>21</v>
      </c>
      <c r="G864" s="5" t="s">
        <v>15</v>
      </c>
      <c r="H864" s="5" t="s">
        <v>97</v>
      </c>
      <c r="I864" s="5" t="s">
        <v>57</v>
      </c>
    </row>
    <row r="865" spans="1:9" ht="30" x14ac:dyDescent="0.25">
      <c r="A865" s="5" t="s">
        <v>2224</v>
      </c>
      <c r="B865" s="5" t="s">
        <v>10</v>
      </c>
      <c r="C865" s="5" t="s">
        <v>1187</v>
      </c>
      <c r="D865" s="5" t="s">
        <v>1182</v>
      </c>
      <c r="E865" s="5" t="s">
        <v>13</v>
      </c>
      <c r="F865" s="5" t="s">
        <v>21</v>
      </c>
      <c r="G865" s="5" t="s">
        <v>15</v>
      </c>
      <c r="H865" s="5" t="s">
        <v>57</v>
      </c>
      <c r="I865" s="5" t="s">
        <v>39</v>
      </c>
    </row>
    <row r="866" spans="1:9" ht="30" x14ac:dyDescent="0.25">
      <c r="A866" s="5" t="s">
        <v>2225</v>
      </c>
      <c r="B866" s="5" t="s">
        <v>10</v>
      </c>
      <c r="C866" s="5" t="s">
        <v>1187</v>
      </c>
      <c r="D866" s="5" t="s">
        <v>1182</v>
      </c>
      <c r="E866" s="5" t="s">
        <v>13</v>
      </c>
      <c r="F866" s="5" t="s">
        <v>21</v>
      </c>
      <c r="G866" s="5" t="s">
        <v>15</v>
      </c>
      <c r="H866" s="5" t="s">
        <v>97</v>
      </c>
      <c r="I866" s="5" t="s">
        <v>57</v>
      </c>
    </row>
    <row r="867" spans="1:9" ht="30" x14ac:dyDescent="0.25">
      <c r="A867" s="5" t="s">
        <v>2226</v>
      </c>
      <c r="B867" s="5" t="s">
        <v>1428</v>
      </c>
      <c r="C867" s="5" t="s">
        <v>1187</v>
      </c>
      <c r="D867" s="5" t="s">
        <v>1182</v>
      </c>
      <c r="E867" s="5" t="s">
        <v>13</v>
      </c>
      <c r="F867" s="5" t="s">
        <v>21</v>
      </c>
      <c r="G867" s="5" t="s">
        <v>15</v>
      </c>
      <c r="H867" s="5" t="s">
        <v>97</v>
      </c>
      <c r="I867" s="5" t="s">
        <v>57</v>
      </c>
    </row>
    <row r="868" spans="1:9" ht="30" x14ac:dyDescent="0.25">
      <c r="A868" s="5" t="s">
        <v>2227</v>
      </c>
      <c r="B868" s="5" t="s">
        <v>10</v>
      </c>
      <c r="C868" s="5" t="s">
        <v>1187</v>
      </c>
      <c r="D868" s="5" t="s">
        <v>1182</v>
      </c>
      <c r="E868" s="5" t="s">
        <v>13</v>
      </c>
      <c r="F868" s="5" t="s">
        <v>21</v>
      </c>
      <c r="G868" s="5" t="s">
        <v>15</v>
      </c>
      <c r="H868" s="5" t="s">
        <v>97</v>
      </c>
      <c r="I868" s="5" t="s">
        <v>57</v>
      </c>
    </row>
    <row r="869" spans="1:9" ht="30" x14ac:dyDescent="0.25">
      <c r="A869" s="5" t="s">
        <v>2228</v>
      </c>
      <c r="B869" s="5" t="s">
        <v>132</v>
      </c>
      <c r="C869" s="5" t="s">
        <v>1187</v>
      </c>
      <c r="D869" s="5" t="s">
        <v>1182</v>
      </c>
      <c r="E869" s="5" t="s">
        <v>1396</v>
      </c>
      <c r="F869" s="5" t="s">
        <v>21</v>
      </c>
      <c r="G869" s="5" t="s">
        <v>15</v>
      </c>
      <c r="H869" s="5" t="s">
        <v>97</v>
      </c>
      <c r="I869" s="5" t="s">
        <v>57</v>
      </c>
    </row>
    <row r="870" spans="1:9" ht="30" x14ac:dyDescent="0.25">
      <c r="A870" s="5" t="s">
        <v>2229</v>
      </c>
      <c r="B870" s="5" t="s">
        <v>2223</v>
      </c>
      <c r="C870" s="5" t="s">
        <v>1187</v>
      </c>
      <c r="D870" s="5" t="s">
        <v>1182</v>
      </c>
      <c r="E870" s="5" t="s">
        <v>1396</v>
      </c>
      <c r="F870" s="5" t="s">
        <v>21</v>
      </c>
      <c r="G870" s="5" t="s">
        <v>15</v>
      </c>
      <c r="H870" s="5" t="s">
        <v>265</v>
      </c>
      <c r="I870" s="5" t="s">
        <v>57</v>
      </c>
    </row>
    <row r="871" spans="1:9" ht="45" x14ac:dyDescent="0.25">
      <c r="A871" s="5" t="s">
        <v>1190</v>
      </c>
      <c r="B871" s="5" t="s">
        <v>10</v>
      </c>
      <c r="C871" s="5" t="s">
        <v>1191</v>
      </c>
      <c r="D871" s="5" t="s">
        <v>27</v>
      </c>
      <c r="E871" s="5" t="s">
        <v>13</v>
      </c>
      <c r="F871" s="5" t="s">
        <v>1192</v>
      </c>
      <c r="G871" s="5" t="s">
        <v>15</v>
      </c>
      <c r="H871" s="5" t="s">
        <v>57</v>
      </c>
      <c r="I871" s="5" t="s">
        <v>265</v>
      </c>
    </row>
    <row r="872" spans="1:9" ht="90" x14ac:dyDescent="0.25">
      <c r="A872" s="5" t="s">
        <v>2230</v>
      </c>
      <c r="B872" s="5" t="s">
        <v>10</v>
      </c>
      <c r="C872" s="5" t="s">
        <v>1196</v>
      </c>
      <c r="D872" s="5" t="s">
        <v>1197</v>
      </c>
      <c r="E872" s="5" t="s">
        <v>13</v>
      </c>
      <c r="F872" s="5" t="s">
        <v>2231</v>
      </c>
      <c r="G872" s="5" t="s">
        <v>15</v>
      </c>
      <c r="H872" s="5" t="s">
        <v>57</v>
      </c>
      <c r="I872" s="5" t="s">
        <v>120</v>
      </c>
    </row>
    <row r="873" spans="1:9" ht="45" x14ac:dyDescent="0.25">
      <c r="A873" s="5" t="s">
        <v>2232</v>
      </c>
      <c r="B873" s="5" t="s">
        <v>1423</v>
      </c>
      <c r="C873" s="5" t="s">
        <v>1196</v>
      </c>
      <c r="D873" s="5" t="s">
        <v>1197</v>
      </c>
      <c r="E873" s="5" t="s">
        <v>1396</v>
      </c>
      <c r="F873" s="5" t="s">
        <v>2233</v>
      </c>
      <c r="G873" s="5" t="s">
        <v>15</v>
      </c>
      <c r="H873" s="5" t="s">
        <v>57</v>
      </c>
      <c r="I873" s="5" t="s">
        <v>265</v>
      </c>
    </row>
    <row r="874" spans="1:9" ht="75" x14ac:dyDescent="0.25">
      <c r="A874" s="5" t="s">
        <v>2234</v>
      </c>
      <c r="B874" s="5" t="s">
        <v>10</v>
      </c>
      <c r="C874" s="5" t="s">
        <v>1203</v>
      </c>
      <c r="D874" s="5" t="s">
        <v>1204</v>
      </c>
      <c r="E874" s="5" t="s">
        <v>13</v>
      </c>
      <c r="F874" s="5" t="s">
        <v>2235</v>
      </c>
      <c r="G874" s="5" t="s">
        <v>15</v>
      </c>
      <c r="H874" s="5" t="s">
        <v>57</v>
      </c>
      <c r="I874" s="5" t="s">
        <v>265</v>
      </c>
    </row>
    <row r="875" spans="1:9" ht="75" x14ac:dyDescent="0.25">
      <c r="A875" s="5" t="s">
        <v>2236</v>
      </c>
      <c r="B875" s="5" t="s">
        <v>10</v>
      </c>
      <c r="C875" s="5" t="s">
        <v>1203</v>
      </c>
      <c r="D875" s="5" t="s">
        <v>1204</v>
      </c>
      <c r="E875" s="5" t="s">
        <v>13</v>
      </c>
      <c r="F875" s="5" t="s">
        <v>1205</v>
      </c>
      <c r="G875" s="5" t="s">
        <v>15</v>
      </c>
      <c r="H875" s="5" t="s">
        <v>39</v>
      </c>
      <c r="I875" s="5" t="s">
        <v>57</v>
      </c>
    </row>
    <row r="876" spans="1:9" ht="45" x14ac:dyDescent="0.25">
      <c r="A876" s="5" t="s">
        <v>2237</v>
      </c>
      <c r="B876" s="5" t="s">
        <v>10</v>
      </c>
      <c r="C876" s="5" t="s">
        <v>1203</v>
      </c>
      <c r="D876" s="5" t="s">
        <v>1204</v>
      </c>
      <c r="E876" s="5" t="s">
        <v>13</v>
      </c>
      <c r="F876" s="5" t="s">
        <v>2238</v>
      </c>
      <c r="G876" s="5" t="s">
        <v>15</v>
      </c>
      <c r="H876" s="5" t="s">
        <v>97</v>
      </c>
      <c r="I876" s="5" t="s">
        <v>57</v>
      </c>
    </row>
    <row r="877" spans="1:9" ht="45" x14ac:dyDescent="0.25">
      <c r="A877" s="5" t="s">
        <v>2239</v>
      </c>
      <c r="B877" s="5" t="s">
        <v>1428</v>
      </c>
      <c r="C877" s="5" t="s">
        <v>1203</v>
      </c>
      <c r="D877" s="5" t="s">
        <v>1204</v>
      </c>
      <c r="E877" s="5" t="s">
        <v>13</v>
      </c>
      <c r="F877" s="5" t="s">
        <v>2238</v>
      </c>
      <c r="G877" s="5" t="s">
        <v>15</v>
      </c>
      <c r="H877" s="5" t="s">
        <v>97</v>
      </c>
      <c r="I877" s="5" t="s">
        <v>57</v>
      </c>
    </row>
    <row r="878" spans="1:9" ht="45" x14ac:dyDescent="0.25">
      <c r="A878" s="5" t="s">
        <v>2240</v>
      </c>
      <c r="B878" s="5" t="s">
        <v>10</v>
      </c>
      <c r="C878" s="5" t="s">
        <v>1203</v>
      </c>
      <c r="D878" s="5" t="s">
        <v>1204</v>
      </c>
      <c r="E878" s="5" t="s">
        <v>13</v>
      </c>
      <c r="F878" s="5" t="s">
        <v>2241</v>
      </c>
      <c r="G878" s="5" t="s">
        <v>15</v>
      </c>
      <c r="H878" s="5" t="s">
        <v>57</v>
      </c>
      <c r="I878" s="5" t="s">
        <v>265</v>
      </c>
    </row>
    <row r="879" spans="1:9" ht="45" x14ac:dyDescent="0.25">
      <c r="A879" s="5" t="s">
        <v>2242</v>
      </c>
      <c r="B879" s="5" t="s">
        <v>10</v>
      </c>
      <c r="C879" s="5" t="s">
        <v>1203</v>
      </c>
      <c r="D879" s="5" t="s">
        <v>1204</v>
      </c>
      <c r="E879" s="5" t="s">
        <v>13</v>
      </c>
      <c r="F879" s="5" t="s">
        <v>2238</v>
      </c>
      <c r="G879" s="5" t="s">
        <v>15</v>
      </c>
      <c r="H879" s="5" t="s">
        <v>57</v>
      </c>
      <c r="I879" s="5" t="s">
        <v>120</v>
      </c>
    </row>
    <row r="880" spans="1:9" ht="45" x14ac:dyDescent="0.25">
      <c r="A880" s="5" t="s">
        <v>2242</v>
      </c>
      <c r="B880" s="5" t="s">
        <v>1423</v>
      </c>
      <c r="C880" s="5" t="s">
        <v>1203</v>
      </c>
      <c r="D880" s="5" t="s">
        <v>1204</v>
      </c>
      <c r="E880" s="5" t="s">
        <v>13</v>
      </c>
      <c r="F880" s="5" t="s">
        <v>2238</v>
      </c>
      <c r="G880" s="5" t="s">
        <v>15</v>
      </c>
      <c r="H880" s="5" t="s">
        <v>57</v>
      </c>
      <c r="I880" s="5" t="s">
        <v>120</v>
      </c>
    </row>
    <row r="881" spans="1:9" ht="45" x14ac:dyDescent="0.25">
      <c r="A881" s="5" t="s">
        <v>2243</v>
      </c>
      <c r="B881" s="5" t="s">
        <v>1415</v>
      </c>
      <c r="C881" s="5" t="s">
        <v>1203</v>
      </c>
      <c r="D881" s="5" t="s">
        <v>1204</v>
      </c>
      <c r="E881" s="5" t="s">
        <v>13</v>
      </c>
      <c r="F881" s="5" t="s">
        <v>2238</v>
      </c>
      <c r="G881" s="5" t="s">
        <v>15</v>
      </c>
      <c r="H881" s="5" t="s">
        <v>57</v>
      </c>
      <c r="I881" s="5" t="s">
        <v>265</v>
      </c>
    </row>
    <row r="882" spans="1:9" ht="45" x14ac:dyDescent="0.25">
      <c r="A882" s="5" t="s">
        <v>2243</v>
      </c>
      <c r="B882" s="5" t="s">
        <v>1418</v>
      </c>
      <c r="C882" s="5" t="s">
        <v>1203</v>
      </c>
      <c r="D882" s="5" t="s">
        <v>1204</v>
      </c>
      <c r="E882" s="5" t="s">
        <v>13</v>
      </c>
      <c r="F882" s="5" t="s">
        <v>2238</v>
      </c>
      <c r="G882" s="5" t="s">
        <v>15</v>
      </c>
      <c r="H882" s="5" t="s">
        <v>57</v>
      </c>
      <c r="I882" s="5" t="s">
        <v>265</v>
      </c>
    </row>
    <row r="883" spans="1:9" ht="45" x14ac:dyDescent="0.25">
      <c r="A883" s="5" t="s">
        <v>2243</v>
      </c>
      <c r="B883" s="5" t="s">
        <v>1013</v>
      </c>
      <c r="C883" s="5" t="s">
        <v>1203</v>
      </c>
      <c r="D883" s="5" t="s">
        <v>1204</v>
      </c>
      <c r="E883" s="5" t="s">
        <v>13</v>
      </c>
      <c r="F883" s="5" t="s">
        <v>2238</v>
      </c>
      <c r="G883" s="5" t="s">
        <v>15</v>
      </c>
      <c r="H883" s="5" t="s">
        <v>57</v>
      </c>
      <c r="I883" s="5" t="s">
        <v>265</v>
      </c>
    </row>
    <row r="884" spans="1:9" ht="75" x14ac:dyDescent="0.25">
      <c r="A884" s="5" t="s">
        <v>2244</v>
      </c>
      <c r="B884" s="5" t="s">
        <v>123</v>
      </c>
      <c r="C884" s="5" t="s">
        <v>1203</v>
      </c>
      <c r="D884" s="5" t="s">
        <v>1204</v>
      </c>
      <c r="E884" s="5" t="s">
        <v>13</v>
      </c>
      <c r="F884" s="5" t="s">
        <v>1205</v>
      </c>
      <c r="G884" s="5" t="s">
        <v>15</v>
      </c>
      <c r="H884" s="5" t="s">
        <v>97</v>
      </c>
      <c r="I884" s="5" t="s">
        <v>57</v>
      </c>
    </row>
    <row r="885" spans="1:9" ht="45" x14ac:dyDescent="0.25">
      <c r="A885" s="5" t="s">
        <v>2245</v>
      </c>
      <c r="B885" s="5" t="s">
        <v>1402</v>
      </c>
      <c r="C885" s="5" t="s">
        <v>1203</v>
      </c>
      <c r="D885" s="5" t="s">
        <v>1204</v>
      </c>
      <c r="E885" s="5" t="s">
        <v>1396</v>
      </c>
      <c r="F885" s="5" t="s">
        <v>2238</v>
      </c>
      <c r="G885" s="5" t="s">
        <v>15</v>
      </c>
      <c r="H885" s="5" t="s">
        <v>97</v>
      </c>
      <c r="I885" s="5" t="s">
        <v>57</v>
      </c>
    </row>
    <row r="886" spans="1:9" ht="60" x14ac:dyDescent="0.25">
      <c r="A886" s="5" t="s">
        <v>1211</v>
      </c>
      <c r="B886" s="5" t="s">
        <v>1415</v>
      </c>
      <c r="C886" s="5" t="s">
        <v>1211</v>
      </c>
      <c r="D886" s="5" t="s">
        <v>1212</v>
      </c>
      <c r="E886" s="5" t="s">
        <v>1213</v>
      </c>
      <c r="F886" s="5" t="s">
        <v>2246</v>
      </c>
      <c r="G886" s="5" t="s">
        <v>15</v>
      </c>
      <c r="H886" s="5" t="s">
        <v>57</v>
      </c>
      <c r="I886" s="5" t="s">
        <v>39</v>
      </c>
    </row>
    <row r="887" spans="1:9" ht="60" x14ac:dyDescent="0.25">
      <c r="A887" s="5" t="s">
        <v>1211</v>
      </c>
      <c r="B887" s="5" t="s">
        <v>1418</v>
      </c>
      <c r="C887" s="5" t="s">
        <v>1211</v>
      </c>
      <c r="D887" s="5" t="s">
        <v>1212</v>
      </c>
      <c r="E887" s="5" t="s">
        <v>1213</v>
      </c>
      <c r="F887" s="5" t="s">
        <v>2246</v>
      </c>
      <c r="G887" s="5" t="s">
        <v>15</v>
      </c>
      <c r="H887" s="5" t="s">
        <v>57</v>
      </c>
      <c r="I887" s="5" t="s">
        <v>39</v>
      </c>
    </row>
    <row r="888" spans="1:9" ht="60" x14ac:dyDescent="0.25">
      <c r="A888" s="5" t="s">
        <v>1211</v>
      </c>
      <c r="B888" s="5" t="s">
        <v>1013</v>
      </c>
      <c r="C888" s="5" t="s">
        <v>1211</v>
      </c>
      <c r="D888" s="5" t="s">
        <v>1212</v>
      </c>
      <c r="E888" s="5" t="s">
        <v>1213</v>
      </c>
      <c r="F888" s="5" t="s">
        <v>2246</v>
      </c>
      <c r="G888" s="5" t="s">
        <v>15</v>
      </c>
      <c r="H888" s="5" t="s">
        <v>57</v>
      </c>
      <c r="I888" s="5" t="s">
        <v>39</v>
      </c>
    </row>
    <row r="889" spans="1:9" ht="60" x14ac:dyDescent="0.25">
      <c r="A889" s="5" t="s">
        <v>2247</v>
      </c>
      <c r="B889" s="5" t="s">
        <v>10</v>
      </c>
      <c r="C889" s="5" t="s">
        <v>1211</v>
      </c>
      <c r="D889" s="5" t="s">
        <v>1212</v>
      </c>
      <c r="E889" s="5" t="s">
        <v>2248</v>
      </c>
      <c r="F889" s="5" t="s">
        <v>2249</v>
      </c>
      <c r="G889" s="5" t="s">
        <v>15</v>
      </c>
      <c r="H889" s="5" t="s">
        <v>57</v>
      </c>
      <c r="I889" s="5" t="s">
        <v>265</v>
      </c>
    </row>
    <row r="890" spans="1:9" ht="60" x14ac:dyDescent="0.25">
      <c r="A890" s="5" t="s">
        <v>2250</v>
      </c>
      <c r="B890" s="5" t="s">
        <v>1402</v>
      </c>
      <c r="C890" s="5" t="s">
        <v>1211</v>
      </c>
      <c r="D890" s="5" t="s">
        <v>1212</v>
      </c>
      <c r="E890" s="5" t="s">
        <v>2248</v>
      </c>
      <c r="F890" s="5" t="s">
        <v>2246</v>
      </c>
      <c r="G890" s="5" t="s">
        <v>15</v>
      </c>
      <c r="H890" s="5" t="s">
        <v>97</v>
      </c>
      <c r="I890" s="5" t="s">
        <v>57</v>
      </c>
    </row>
    <row r="891" spans="1:9" ht="210" x14ac:dyDescent="0.25">
      <c r="A891" s="5" t="s">
        <v>1219</v>
      </c>
      <c r="B891" s="5" t="s">
        <v>10</v>
      </c>
      <c r="C891" s="5" t="s">
        <v>1219</v>
      </c>
      <c r="D891" s="5" t="s">
        <v>1220</v>
      </c>
      <c r="E891" s="5" t="s">
        <v>1229</v>
      </c>
      <c r="F891" s="5" t="s">
        <v>2251</v>
      </c>
      <c r="G891" s="5" t="s">
        <v>15</v>
      </c>
      <c r="H891" s="5" t="s">
        <v>120</v>
      </c>
      <c r="I891" s="5" t="s">
        <v>57</v>
      </c>
    </row>
    <row r="892" spans="1:9" ht="210" x14ac:dyDescent="0.25">
      <c r="A892" s="5" t="s">
        <v>2252</v>
      </c>
      <c r="B892" s="5" t="s">
        <v>1428</v>
      </c>
      <c r="C892" s="5" t="s">
        <v>1219</v>
      </c>
      <c r="D892" s="5" t="s">
        <v>1220</v>
      </c>
      <c r="E892" s="5" t="s">
        <v>1229</v>
      </c>
      <c r="F892" s="5" t="s">
        <v>2251</v>
      </c>
      <c r="G892" s="5" t="s">
        <v>15</v>
      </c>
      <c r="H892" s="5" t="s">
        <v>120</v>
      </c>
      <c r="I892" s="5" t="s">
        <v>57</v>
      </c>
    </row>
    <row r="893" spans="1:9" ht="210" x14ac:dyDescent="0.25">
      <c r="A893" s="5" t="s">
        <v>2253</v>
      </c>
      <c r="B893" s="5" t="s">
        <v>10</v>
      </c>
      <c r="C893" s="5" t="s">
        <v>1219</v>
      </c>
      <c r="D893" s="5" t="s">
        <v>1220</v>
      </c>
      <c r="E893" s="5" t="s">
        <v>1229</v>
      </c>
      <c r="F893" s="5" t="s">
        <v>2251</v>
      </c>
      <c r="G893" s="5" t="s">
        <v>15</v>
      </c>
      <c r="H893" s="5" t="s">
        <v>57</v>
      </c>
      <c r="I893" s="5" t="s">
        <v>661</v>
      </c>
    </row>
    <row r="894" spans="1:9" ht="210" x14ac:dyDescent="0.25">
      <c r="A894" s="5" t="s">
        <v>2254</v>
      </c>
      <c r="B894" s="5" t="s">
        <v>1428</v>
      </c>
      <c r="C894" s="5" t="s">
        <v>1219</v>
      </c>
      <c r="D894" s="5" t="s">
        <v>1220</v>
      </c>
      <c r="E894" s="5" t="s">
        <v>1229</v>
      </c>
      <c r="F894" s="5" t="s">
        <v>2251</v>
      </c>
      <c r="G894" s="5" t="s">
        <v>15</v>
      </c>
      <c r="H894" s="5" t="s">
        <v>57</v>
      </c>
      <c r="I894" s="5" t="s">
        <v>661</v>
      </c>
    </row>
    <row r="895" spans="1:9" ht="210" x14ac:dyDescent="0.25">
      <c r="A895" s="5" t="s">
        <v>2255</v>
      </c>
      <c r="B895" s="5" t="s">
        <v>1423</v>
      </c>
      <c r="C895" s="5" t="s">
        <v>1219</v>
      </c>
      <c r="D895" s="5" t="s">
        <v>1220</v>
      </c>
      <c r="E895" s="5" t="s">
        <v>1229</v>
      </c>
      <c r="F895" s="5" t="s">
        <v>2251</v>
      </c>
      <c r="G895" s="5" t="s">
        <v>15</v>
      </c>
      <c r="H895" s="5" t="s">
        <v>57</v>
      </c>
      <c r="I895" s="5" t="s">
        <v>661</v>
      </c>
    </row>
    <row r="896" spans="1:9" ht="210" x14ac:dyDescent="0.25">
      <c r="A896" s="5" t="s">
        <v>2256</v>
      </c>
      <c r="B896" s="5" t="s">
        <v>10</v>
      </c>
      <c r="C896" s="5" t="s">
        <v>1219</v>
      </c>
      <c r="D896" s="5" t="s">
        <v>1220</v>
      </c>
      <c r="E896" s="5" t="s">
        <v>2257</v>
      </c>
      <c r="F896" s="5" t="s">
        <v>2258</v>
      </c>
      <c r="G896" s="5" t="s">
        <v>15</v>
      </c>
      <c r="H896" s="5" t="s">
        <v>57</v>
      </c>
      <c r="I896" s="5" t="s">
        <v>265</v>
      </c>
    </row>
    <row r="897" spans="1:9" ht="210" x14ac:dyDescent="0.25">
      <c r="A897" s="5" t="s">
        <v>2259</v>
      </c>
      <c r="B897" s="5" t="s">
        <v>10</v>
      </c>
      <c r="C897" s="5" t="s">
        <v>1219</v>
      </c>
      <c r="D897" s="5" t="s">
        <v>1220</v>
      </c>
      <c r="E897" s="5" t="s">
        <v>2260</v>
      </c>
      <c r="F897" s="5" t="s">
        <v>2251</v>
      </c>
      <c r="G897" s="5" t="s">
        <v>15</v>
      </c>
      <c r="H897" s="5" t="s">
        <v>57</v>
      </c>
      <c r="I897" s="5" t="s">
        <v>265</v>
      </c>
    </row>
    <row r="898" spans="1:9" ht="210" x14ac:dyDescent="0.25">
      <c r="A898" s="5" t="s">
        <v>2261</v>
      </c>
      <c r="B898" s="5" t="s">
        <v>1415</v>
      </c>
      <c r="C898" s="5" t="s">
        <v>1219</v>
      </c>
      <c r="D898" s="5" t="s">
        <v>1220</v>
      </c>
      <c r="E898" s="5" t="s">
        <v>1229</v>
      </c>
      <c r="F898" s="5" t="s">
        <v>2251</v>
      </c>
      <c r="G898" s="5" t="s">
        <v>15</v>
      </c>
      <c r="H898" s="5" t="s">
        <v>57</v>
      </c>
      <c r="I898" s="5" t="s">
        <v>265</v>
      </c>
    </row>
    <row r="899" spans="1:9" ht="210" x14ac:dyDescent="0.25">
      <c r="A899" s="5" t="s">
        <v>2261</v>
      </c>
      <c r="B899" s="5" t="s">
        <v>1418</v>
      </c>
      <c r="C899" s="5" t="s">
        <v>1219</v>
      </c>
      <c r="D899" s="5" t="s">
        <v>1220</v>
      </c>
      <c r="E899" s="5" t="s">
        <v>1229</v>
      </c>
      <c r="F899" s="5" t="s">
        <v>2251</v>
      </c>
      <c r="G899" s="5" t="s">
        <v>15</v>
      </c>
      <c r="H899" s="5" t="s">
        <v>57</v>
      </c>
      <c r="I899" s="5" t="s">
        <v>265</v>
      </c>
    </row>
    <row r="900" spans="1:9" ht="210" x14ac:dyDescent="0.25">
      <c r="A900" s="5" t="s">
        <v>2261</v>
      </c>
      <c r="B900" s="5" t="s">
        <v>1013</v>
      </c>
      <c r="C900" s="5" t="s">
        <v>1219</v>
      </c>
      <c r="D900" s="5" t="s">
        <v>1220</v>
      </c>
      <c r="E900" s="5" t="s">
        <v>1229</v>
      </c>
      <c r="F900" s="5" t="s">
        <v>2251</v>
      </c>
      <c r="G900" s="5" t="s">
        <v>15</v>
      </c>
      <c r="H900" s="5" t="s">
        <v>57</v>
      </c>
      <c r="I900" s="5" t="s">
        <v>265</v>
      </c>
    </row>
    <row r="901" spans="1:9" ht="210" x14ac:dyDescent="0.25">
      <c r="A901" s="5" t="s">
        <v>2262</v>
      </c>
      <c r="B901" s="5" t="s">
        <v>123</v>
      </c>
      <c r="C901" s="5" t="s">
        <v>1219</v>
      </c>
      <c r="D901" s="5" t="s">
        <v>1220</v>
      </c>
      <c r="E901" s="5" t="s">
        <v>2257</v>
      </c>
      <c r="F901" s="5" t="s">
        <v>2251</v>
      </c>
      <c r="G901" s="5" t="s">
        <v>15</v>
      </c>
      <c r="H901" s="5" t="s">
        <v>97</v>
      </c>
      <c r="I901" s="5" t="s">
        <v>57</v>
      </c>
    </row>
    <row r="902" spans="1:9" ht="210" x14ac:dyDescent="0.25">
      <c r="A902" s="5" t="s">
        <v>2263</v>
      </c>
      <c r="B902" s="5" t="s">
        <v>1402</v>
      </c>
      <c r="C902" s="5" t="s">
        <v>1219</v>
      </c>
      <c r="D902" s="5" t="s">
        <v>1220</v>
      </c>
      <c r="E902" s="5" t="s">
        <v>2264</v>
      </c>
      <c r="F902" s="5" t="s">
        <v>2251</v>
      </c>
      <c r="G902" s="5" t="s">
        <v>15</v>
      </c>
      <c r="H902" s="5" t="s">
        <v>97</v>
      </c>
      <c r="I902" s="5" t="s">
        <v>57</v>
      </c>
    </row>
    <row r="903" spans="1:9" ht="45" x14ac:dyDescent="0.25">
      <c r="A903" s="5" t="s">
        <v>1227</v>
      </c>
      <c r="B903" s="5" t="s">
        <v>10</v>
      </c>
      <c r="C903" s="5" t="s">
        <v>1227</v>
      </c>
      <c r="D903" s="5" t="s">
        <v>1228</v>
      </c>
      <c r="E903" s="5" t="s">
        <v>2264</v>
      </c>
      <c r="F903" s="5" t="s">
        <v>1230</v>
      </c>
      <c r="G903" s="5" t="s">
        <v>57</v>
      </c>
      <c r="H903" s="5" t="s">
        <v>57</v>
      </c>
      <c r="I903" s="5" t="s">
        <v>57</v>
      </c>
    </row>
    <row r="904" spans="1:9" ht="45" x14ac:dyDescent="0.25">
      <c r="A904" s="5" t="s">
        <v>2265</v>
      </c>
      <c r="B904" s="5" t="s">
        <v>123</v>
      </c>
      <c r="C904" s="5" t="s">
        <v>1227</v>
      </c>
      <c r="D904" s="5" t="s">
        <v>1228</v>
      </c>
      <c r="E904" s="5" t="s">
        <v>2264</v>
      </c>
      <c r="F904" s="5" t="s">
        <v>1230</v>
      </c>
      <c r="G904" s="5" t="s">
        <v>57</v>
      </c>
      <c r="H904" s="5" t="s">
        <v>57</v>
      </c>
      <c r="I904" s="5" t="s">
        <v>57</v>
      </c>
    </row>
    <row r="905" spans="1:9" ht="45" x14ac:dyDescent="0.25">
      <c r="A905" s="5" t="s">
        <v>2265</v>
      </c>
      <c r="B905" s="5" t="s">
        <v>1423</v>
      </c>
      <c r="C905" s="5" t="s">
        <v>1227</v>
      </c>
      <c r="D905" s="5" t="s">
        <v>1228</v>
      </c>
      <c r="E905" s="5" t="s">
        <v>2264</v>
      </c>
      <c r="F905" s="5" t="s">
        <v>1230</v>
      </c>
      <c r="G905" s="5" t="s">
        <v>57</v>
      </c>
      <c r="H905" s="5" t="s">
        <v>57</v>
      </c>
      <c r="I905" s="5" t="s">
        <v>57</v>
      </c>
    </row>
    <row r="906" spans="1:9" ht="45" x14ac:dyDescent="0.25">
      <c r="A906" s="5" t="s">
        <v>2266</v>
      </c>
      <c r="B906" s="5" t="s">
        <v>10</v>
      </c>
      <c r="C906" s="5" t="s">
        <v>1227</v>
      </c>
      <c r="D906" s="5" t="s">
        <v>1228</v>
      </c>
      <c r="E906" s="5" t="s">
        <v>1229</v>
      </c>
      <c r="F906" s="5" t="s">
        <v>1230</v>
      </c>
      <c r="G906" s="5" t="s">
        <v>15</v>
      </c>
      <c r="H906" s="5" t="s">
        <v>97</v>
      </c>
      <c r="I906" s="5" t="s">
        <v>57</v>
      </c>
    </row>
    <row r="907" spans="1:9" ht="45" x14ac:dyDescent="0.25">
      <c r="A907" s="5" t="s">
        <v>2267</v>
      </c>
      <c r="B907" s="5" t="s">
        <v>1415</v>
      </c>
      <c r="C907" s="5" t="s">
        <v>1227</v>
      </c>
      <c r="D907" s="5" t="s">
        <v>1228</v>
      </c>
      <c r="E907" s="5" t="s">
        <v>1229</v>
      </c>
      <c r="F907" s="5" t="s">
        <v>1230</v>
      </c>
      <c r="G907" s="5" t="s">
        <v>15</v>
      </c>
      <c r="H907" s="5" t="s">
        <v>57</v>
      </c>
      <c r="I907" s="5" t="s">
        <v>265</v>
      </c>
    </row>
    <row r="908" spans="1:9" ht="45" x14ac:dyDescent="0.25">
      <c r="A908" s="5" t="s">
        <v>2267</v>
      </c>
      <c r="B908" s="5" t="s">
        <v>1418</v>
      </c>
      <c r="C908" s="5" t="s">
        <v>1227</v>
      </c>
      <c r="D908" s="5" t="s">
        <v>1228</v>
      </c>
      <c r="E908" s="5" t="s">
        <v>1229</v>
      </c>
      <c r="F908" s="5" t="s">
        <v>1230</v>
      </c>
      <c r="G908" s="5" t="s">
        <v>15</v>
      </c>
      <c r="H908" s="5" t="s">
        <v>57</v>
      </c>
      <c r="I908" s="5" t="s">
        <v>265</v>
      </c>
    </row>
    <row r="909" spans="1:9" ht="45" x14ac:dyDescent="0.25">
      <c r="A909" s="5" t="s">
        <v>2267</v>
      </c>
      <c r="B909" s="5" t="s">
        <v>1013</v>
      </c>
      <c r="C909" s="5" t="s">
        <v>1227</v>
      </c>
      <c r="D909" s="5" t="s">
        <v>1228</v>
      </c>
      <c r="E909" s="5" t="s">
        <v>1229</v>
      </c>
      <c r="F909" s="5" t="s">
        <v>1230</v>
      </c>
      <c r="G909" s="5" t="s">
        <v>15</v>
      </c>
      <c r="H909" s="5" t="s">
        <v>57</v>
      </c>
      <c r="I909" s="5" t="s">
        <v>265</v>
      </c>
    </row>
    <row r="910" spans="1:9" ht="45" x14ac:dyDescent="0.25">
      <c r="A910" s="5" t="s">
        <v>2268</v>
      </c>
      <c r="B910" s="5" t="s">
        <v>2269</v>
      </c>
      <c r="C910" s="5" t="s">
        <v>1227</v>
      </c>
      <c r="D910" s="5" t="s">
        <v>1228</v>
      </c>
      <c r="E910" s="5" t="s">
        <v>2264</v>
      </c>
      <c r="F910" s="5" t="s">
        <v>1230</v>
      </c>
      <c r="G910" s="5" t="s">
        <v>15</v>
      </c>
      <c r="H910" s="5" t="s">
        <v>97</v>
      </c>
      <c r="I910" s="5" t="s">
        <v>57</v>
      </c>
    </row>
    <row r="911" spans="1:9" ht="45" x14ac:dyDescent="0.25">
      <c r="A911" s="5" t="s">
        <v>2270</v>
      </c>
      <c r="B911" s="5" t="s">
        <v>132</v>
      </c>
      <c r="C911" s="5" t="s">
        <v>1227</v>
      </c>
      <c r="D911" s="5" t="s">
        <v>1228</v>
      </c>
      <c r="E911" s="5" t="s">
        <v>2264</v>
      </c>
      <c r="F911" s="5" t="s">
        <v>1230</v>
      </c>
      <c r="G911" s="5" t="s">
        <v>15</v>
      </c>
      <c r="H911" s="5" t="s">
        <v>97</v>
      </c>
      <c r="I911" s="5" t="s">
        <v>57</v>
      </c>
    </row>
    <row r="912" spans="1:9" ht="30" x14ac:dyDescent="0.25">
      <c r="A912" s="5" t="s">
        <v>2271</v>
      </c>
      <c r="B912" s="5" t="s">
        <v>1527</v>
      </c>
      <c r="C912" s="5" t="s">
        <v>1227</v>
      </c>
      <c r="D912" s="5" t="s">
        <v>1228</v>
      </c>
      <c r="E912" s="5" t="s">
        <v>2264</v>
      </c>
      <c r="F912" s="5" t="s">
        <v>2272</v>
      </c>
      <c r="G912" s="5" t="s">
        <v>15</v>
      </c>
      <c r="H912" s="5" t="s">
        <v>97</v>
      </c>
      <c r="I912" s="5" t="s">
        <v>57</v>
      </c>
    </row>
    <row r="913" spans="1:9" ht="45" x14ac:dyDescent="0.25">
      <c r="A913" s="5" t="s">
        <v>2273</v>
      </c>
      <c r="B913" s="5" t="s">
        <v>1402</v>
      </c>
      <c r="C913" s="5" t="s">
        <v>1227</v>
      </c>
      <c r="D913" s="5" t="s">
        <v>1228</v>
      </c>
      <c r="E913" s="5" t="s">
        <v>2264</v>
      </c>
      <c r="F913" s="5" t="s">
        <v>1230</v>
      </c>
      <c r="G913" s="5" t="s">
        <v>15</v>
      </c>
      <c r="H913" s="5" t="s">
        <v>97</v>
      </c>
      <c r="I913" s="5" t="s">
        <v>57</v>
      </c>
    </row>
    <row r="914" spans="1:9" ht="30" x14ac:dyDescent="0.25">
      <c r="A914" s="5" t="s">
        <v>1233</v>
      </c>
      <c r="B914" s="5" t="s">
        <v>132</v>
      </c>
      <c r="C914" s="5" t="s">
        <v>1233</v>
      </c>
      <c r="D914" s="5" t="s">
        <v>1234</v>
      </c>
      <c r="E914" s="5" t="s">
        <v>2274</v>
      </c>
      <c r="F914" s="5" t="s">
        <v>1236</v>
      </c>
      <c r="G914" s="5" t="s">
        <v>15</v>
      </c>
      <c r="H914" s="5" t="s">
        <v>57</v>
      </c>
      <c r="I914" s="5" t="s">
        <v>56</v>
      </c>
    </row>
    <row r="915" spans="1:9" ht="300" x14ac:dyDescent="0.25">
      <c r="A915" s="5" t="s">
        <v>1240</v>
      </c>
      <c r="B915" s="5" t="s">
        <v>132</v>
      </c>
      <c r="C915" s="5" t="s">
        <v>1240</v>
      </c>
      <c r="D915" s="5" t="s">
        <v>1241</v>
      </c>
      <c r="E915" s="5" t="s">
        <v>13</v>
      </c>
      <c r="F915" s="5" t="s">
        <v>2275</v>
      </c>
      <c r="G915" s="5" t="s">
        <v>15</v>
      </c>
      <c r="H915" s="5" t="s">
        <v>57</v>
      </c>
      <c r="I915" s="5" t="s">
        <v>120</v>
      </c>
    </row>
    <row r="916" spans="1:9" ht="300" x14ac:dyDescent="0.25">
      <c r="A916" s="5" t="s">
        <v>1240</v>
      </c>
      <c r="B916" s="5" t="s">
        <v>1013</v>
      </c>
      <c r="C916" s="5" t="s">
        <v>1240</v>
      </c>
      <c r="D916" s="5" t="s">
        <v>1241</v>
      </c>
      <c r="E916" s="5" t="s">
        <v>13</v>
      </c>
      <c r="F916" s="5" t="s">
        <v>2275</v>
      </c>
      <c r="G916" s="5" t="s">
        <v>15</v>
      </c>
      <c r="H916" s="5" t="s">
        <v>57</v>
      </c>
      <c r="I916" s="5" t="s">
        <v>265</v>
      </c>
    </row>
    <row r="917" spans="1:9" ht="300" x14ac:dyDescent="0.25">
      <c r="A917" s="5" t="s">
        <v>2276</v>
      </c>
      <c r="B917" s="5" t="s">
        <v>10</v>
      </c>
      <c r="C917" s="5" t="s">
        <v>1240</v>
      </c>
      <c r="D917" s="5" t="s">
        <v>1241</v>
      </c>
      <c r="E917" s="5" t="s">
        <v>13</v>
      </c>
      <c r="F917" s="5" t="s">
        <v>2275</v>
      </c>
      <c r="G917" s="5" t="s">
        <v>15</v>
      </c>
      <c r="H917" s="5" t="s">
        <v>826</v>
      </c>
      <c r="I917" s="5" t="s">
        <v>57</v>
      </c>
    </row>
    <row r="918" spans="1:9" ht="300" x14ac:dyDescent="0.25">
      <c r="A918" s="5" t="s">
        <v>2277</v>
      </c>
      <c r="B918" s="5" t="s">
        <v>1428</v>
      </c>
      <c r="C918" s="5" t="s">
        <v>1240</v>
      </c>
      <c r="D918" s="5" t="s">
        <v>1241</v>
      </c>
      <c r="E918" s="5" t="s">
        <v>13</v>
      </c>
      <c r="F918" s="5" t="s">
        <v>2275</v>
      </c>
      <c r="G918" s="5" t="s">
        <v>15</v>
      </c>
      <c r="H918" s="5" t="s">
        <v>826</v>
      </c>
      <c r="I918" s="5" t="s">
        <v>57</v>
      </c>
    </row>
    <row r="919" spans="1:9" ht="300" x14ac:dyDescent="0.25">
      <c r="A919" s="5" t="s">
        <v>2278</v>
      </c>
      <c r="B919" s="5" t="s">
        <v>1423</v>
      </c>
      <c r="C919" s="5" t="s">
        <v>1240</v>
      </c>
      <c r="D919" s="5" t="s">
        <v>1241</v>
      </c>
      <c r="E919" s="5" t="s">
        <v>13</v>
      </c>
      <c r="F919" s="5" t="s">
        <v>2275</v>
      </c>
      <c r="G919" s="5" t="s">
        <v>15</v>
      </c>
      <c r="H919" s="5" t="s">
        <v>826</v>
      </c>
      <c r="I919" s="5" t="s">
        <v>57</v>
      </c>
    </row>
    <row r="920" spans="1:9" ht="300" x14ac:dyDescent="0.25">
      <c r="A920" s="5" t="s">
        <v>2279</v>
      </c>
      <c r="B920" s="5" t="s">
        <v>10</v>
      </c>
      <c r="C920" s="5" t="s">
        <v>1240</v>
      </c>
      <c r="D920" s="5" t="s">
        <v>1241</v>
      </c>
      <c r="E920" s="5" t="s">
        <v>13</v>
      </c>
      <c r="F920" s="5" t="s">
        <v>2275</v>
      </c>
      <c r="G920" s="5" t="s">
        <v>15</v>
      </c>
      <c r="H920" s="5" t="s">
        <v>57</v>
      </c>
      <c r="I920" s="5" t="s">
        <v>120</v>
      </c>
    </row>
    <row r="921" spans="1:9" ht="300" x14ac:dyDescent="0.25">
      <c r="A921" s="5" t="s">
        <v>2280</v>
      </c>
      <c r="B921" s="5" t="s">
        <v>1402</v>
      </c>
      <c r="C921" s="5" t="s">
        <v>1240</v>
      </c>
      <c r="D921" s="5" t="s">
        <v>1241</v>
      </c>
      <c r="E921" s="5" t="s">
        <v>1396</v>
      </c>
      <c r="F921" s="5" t="s">
        <v>2275</v>
      </c>
      <c r="G921" s="5" t="s">
        <v>15</v>
      </c>
      <c r="H921" s="5" t="s">
        <v>97</v>
      </c>
      <c r="I921" s="5" t="s">
        <v>57</v>
      </c>
    </row>
    <row r="922" spans="1:9" ht="165" x14ac:dyDescent="0.25">
      <c r="A922" s="5" t="s">
        <v>1247</v>
      </c>
      <c r="B922" s="5" t="s">
        <v>2013</v>
      </c>
      <c r="C922" s="5" t="s">
        <v>1247</v>
      </c>
      <c r="D922" s="5" t="s">
        <v>1248</v>
      </c>
      <c r="E922" s="5" t="s">
        <v>2281</v>
      </c>
      <c r="F922" s="5" t="s">
        <v>2282</v>
      </c>
      <c r="G922" s="5" t="s">
        <v>15</v>
      </c>
      <c r="H922" s="5" t="s">
        <v>57</v>
      </c>
      <c r="I922" s="5" t="s">
        <v>661</v>
      </c>
    </row>
    <row r="923" spans="1:9" ht="165" x14ac:dyDescent="0.25">
      <c r="A923" s="5" t="s">
        <v>2283</v>
      </c>
      <c r="B923" s="5" t="s">
        <v>10</v>
      </c>
      <c r="C923" s="5" t="s">
        <v>1247</v>
      </c>
      <c r="D923" s="5" t="s">
        <v>1248</v>
      </c>
      <c r="E923" s="5" t="s">
        <v>2281</v>
      </c>
      <c r="F923" s="5" t="s">
        <v>2282</v>
      </c>
      <c r="G923" s="5" t="s">
        <v>15</v>
      </c>
      <c r="H923" s="5" t="s">
        <v>57</v>
      </c>
      <c r="I923" s="5" t="s">
        <v>661</v>
      </c>
    </row>
    <row r="924" spans="1:9" ht="165" x14ac:dyDescent="0.25">
      <c r="A924" s="5" t="s">
        <v>2283</v>
      </c>
      <c r="B924" s="5" t="s">
        <v>123</v>
      </c>
      <c r="C924" s="5" t="s">
        <v>1247</v>
      </c>
      <c r="D924" s="5" t="s">
        <v>1248</v>
      </c>
      <c r="E924" s="5" t="s">
        <v>2281</v>
      </c>
      <c r="F924" s="5" t="s">
        <v>2282</v>
      </c>
      <c r="G924" s="5" t="s">
        <v>15</v>
      </c>
      <c r="H924" s="5" t="s">
        <v>57</v>
      </c>
      <c r="I924" s="5" t="s">
        <v>661</v>
      </c>
    </row>
    <row r="925" spans="1:9" ht="165" x14ac:dyDescent="0.25">
      <c r="A925" s="5" t="s">
        <v>2284</v>
      </c>
      <c r="B925" s="5" t="s">
        <v>10</v>
      </c>
      <c r="C925" s="5" t="s">
        <v>1247</v>
      </c>
      <c r="D925" s="5" t="s">
        <v>1248</v>
      </c>
      <c r="E925" s="5" t="s">
        <v>1304</v>
      </c>
      <c r="F925" s="5" t="s">
        <v>2285</v>
      </c>
      <c r="G925" s="5" t="s">
        <v>15</v>
      </c>
      <c r="H925" s="5" t="s">
        <v>39</v>
      </c>
      <c r="I925" s="5" t="s">
        <v>57</v>
      </c>
    </row>
    <row r="926" spans="1:9" ht="165" x14ac:dyDescent="0.25">
      <c r="A926" s="5" t="s">
        <v>2286</v>
      </c>
      <c r="B926" s="5" t="s">
        <v>1428</v>
      </c>
      <c r="C926" s="5" t="s">
        <v>1247</v>
      </c>
      <c r="D926" s="5" t="s">
        <v>1248</v>
      </c>
      <c r="E926" s="5" t="s">
        <v>1304</v>
      </c>
      <c r="F926" s="5" t="s">
        <v>2285</v>
      </c>
      <c r="G926" s="5" t="s">
        <v>15</v>
      </c>
      <c r="H926" s="5" t="s">
        <v>39</v>
      </c>
      <c r="I926" s="5" t="s">
        <v>57</v>
      </c>
    </row>
    <row r="927" spans="1:9" ht="165" x14ac:dyDescent="0.25">
      <c r="A927" s="5" t="s">
        <v>2287</v>
      </c>
      <c r="B927" s="5" t="s">
        <v>1423</v>
      </c>
      <c r="C927" s="5" t="s">
        <v>1247</v>
      </c>
      <c r="D927" s="5" t="s">
        <v>1248</v>
      </c>
      <c r="E927" s="5" t="s">
        <v>1304</v>
      </c>
      <c r="F927" s="5" t="s">
        <v>2285</v>
      </c>
      <c r="G927" s="5" t="s">
        <v>15</v>
      </c>
      <c r="H927" s="5" t="s">
        <v>39</v>
      </c>
      <c r="I927" s="5" t="s">
        <v>57</v>
      </c>
    </row>
    <row r="928" spans="1:9" ht="165" x14ac:dyDescent="0.25">
      <c r="A928" s="5" t="s">
        <v>2288</v>
      </c>
      <c r="B928" s="5" t="s">
        <v>10</v>
      </c>
      <c r="C928" s="5" t="s">
        <v>1247</v>
      </c>
      <c r="D928" s="5" t="s">
        <v>1248</v>
      </c>
      <c r="E928" s="5" t="s">
        <v>2281</v>
      </c>
      <c r="F928" s="5" t="s">
        <v>2282</v>
      </c>
      <c r="G928" s="5" t="s">
        <v>15</v>
      </c>
      <c r="H928" s="5" t="s">
        <v>265</v>
      </c>
      <c r="I928" s="5" t="s">
        <v>57</v>
      </c>
    </row>
    <row r="929" spans="1:9" ht="165" x14ac:dyDescent="0.25">
      <c r="A929" s="5" t="s">
        <v>2289</v>
      </c>
      <c r="B929" s="5" t="s">
        <v>1428</v>
      </c>
      <c r="C929" s="5" t="s">
        <v>1247</v>
      </c>
      <c r="D929" s="5" t="s">
        <v>1248</v>
      </c>
      <c r="E929" s="5" t="s">
        <v>2281</v>
      </c>
      <c r="F929" s="5" t="s">
        <v>2282</v>
      </c>
      <c r="G929" s="5" t="s">
        <v>15</v>
      </c>
      <c r="H929" s="5" t="s">
        <v>265</v>
      </c>
      <c r="I929" s="5" t="s">
        <v>57</v>
      </c>
    </row>
    <row r="930" spans="1:9" ht="135" x14ac:dyDescent="0.25">
      <c r="A930" s="5" t="s">
        <v>2290</v>
      </c>
      <c r="B930" s="5" t="s">
        <v>10</v>
      </c>
      <c r="C930" s="5" t="s">
        <v>1247</v>
      </c>
      <c r="D930" s="5" t="s">
        <v>1248</v>
      </c>
      <c r="E930" s="5" t="s">
        <v>2291</v>
      </c>
      <c r="F930" s="5" t="s">
        <v>2292</v>
      </c>
      <c r="G930" s="5" t="s">
        <v>15</v>
      </c>
      <c r="H930" s="5" t="s">
        <v>56</v>
      </c>
      <c r="I930" s="5" t="s">
        <v>57</v>
      </c>
    </row>
    <row r="931" spans="1:9" ht="210" x14ac:dyDescent="0.25">
      <c r="A931" s="5" t="s">
        <v>2293</v>
      </c>
      <c r="B931" s="5" t="s">
        <v>10</v>
      </c>
      <c r="C931" s="5" t="s">
        <v>1247</v>
      </c>
      <c r="D931" s="5" t="s">
        <v>1248</v>
      </c>
      <c r="E931" s="5" t="s">
        <v>1304</v>
      </c>
      <c r="F931" s="5" t="s">
        <v>2294</v>
      </c>
      <c r="G931" s="5" t="s">
        <v>15</v>
      </c>
      <c r="H931" s="5" t="s">
        <v>120</v>
      </c>
      <c r="I931" s="5" t="s">
        <v>57</v>
      </c>
    </row>
    <row r="932" spans="1:9" ht="210" x14ac:dyDescent="0.25">
      <c r="A932" s="5" t="s">
        <v>2295</v>
      </c>
      <c r="B932" s="5" t="s">
        <v>1428</v>
      </c>
      <c r="C932" s="5" t="s">
        <v>1247</v>
      </c>
      <c r="D932" s="5" t="s">
        <v>1248</v>
      </c>
      <c r="E932" s="5" t="s">
        <v>1304</v>
      </c>
      <c r="F932" s="5" t="s">
        <v>2294</v>
      </c>
      <c r="G932" s="5" t="s">
        <v>15</v>
      </c>
      <c r="H932" s="5" t="s">
        <v>120</v>
      </c>
      <c r="I932" s="5" t="s">
        <v>57</v>
      </c>
    </row>
    <row r="933" spans="1:9" ht="165" x14ac:dyDescent="0.25">
      <c r="A933" s="5" t="s">
        <v>2296</v>
      </c>
      <c r="B933" s="5" t="s">
        <v>10</v>
      </c>
      <c r="C933" s="5" t="s">
        <v>1247</v>
      </c>
      <c r="D933" s="5" t="s">
        <v>1248</v>
      </c>
      <c r="E933" s="5" t="s">
        <v>2281</v>
      </c>
      <c r="F933" s="5" t="s">
        <v>2282</v>
      </c>
      <c r="G933" s="5" t="s">
        <v>15</v>
      </c>
      <c r="H933" s="5" t="s">
        <v>57</v>
      </c>
      <c r="I933" s="5" t="s">
        <v>265</v>
      </c>
    </row>
    <row r="934" spans="1:9" ht="165" x14ac:dyDescent="0.25">
      <c r="A934" s="5" t="s">
        <v>2297</v>
      </c>
      <c r="B934" s="5" t="s">
        <v>10</v>
      </c>
      <c r="C934" s="5" t="s">
        <v>1247</v>
      </c>
      <c r="D934" s="5" t="s">
        <v>1248</v>
      </c>
      <c r="E934" s="5" t="s">
        <v>2298</v>
      </c>
      <c r="F934" s="5" t="s">
        <v>2299</v>
      </c>
      <c r="G934" s="5" t="s">
        <v>15</v>
      </c>
      <c r="H934" s="5" t="s">
        <v>57</v>
      </c>
      <c r="I934" s="5" t="s">
        <v>265</v>
      </c>
    </row>
    <row r="935" spans="1:9" ht="165" x14ac:dyDescent="0.25">
      <c r="A935" s="5" t="s">
        <v>2300</v>
      </c>
      <c r="B935" s="5" t="s">
        <v>132</v>
      </c>
      <c r="C935" s="5" t="s">
        <v>1247</v>
      </c>
      <c r="D935" s="5" t="s">
        <v>1248</v>
      </c>
      <c r="E935" s="5" t="s">
        <v>2301</v>
      </c>
      <c r="F935" s="5" t="s">
        <v>2282</v>
      </c>
      <c r="G935" s="5" t="s">
        <v>15</v>
      </c>
      <c r="H935" s="5" t="s">
        <v>57</v>
      </c>
      <c r="I935" s="5" t="s">
        <v>57</v>
      </c>
    </row>
    <row r="936" spans="1:9" ht="165" x14ac:dyDescent="0.25">
      <c r="A936" s="5" t="s">
        <v>2300</v>
      </c>
      <c r="B936" s="5" t="s">
        <v>991</v>
      </c>
      <c r="C936" s="5" t="s">
        <v>1247</v>
      </c>
      <c r="D936" s="5" t="s">
        <v>1248</v>
      </c>
      <c r="E936" s="5" t="s">
        <v>2301</v>
      </c>
      <c r="F936" s="5" t="s">
        <v>2282</v>
      </c>
      <c r="G936" s="5" t="s">
        <v>15</v>
      </c>
      <c r="H936" s="5" t="s">
        <v>57</v>
      </c>
      <c r="I936" s="5" t="s">
        <v>57</v>
      </c>
    </row>
    <row r="937" spans="1:9" ht="45" x14ac:dyDescent="0.25">
      <c r="A937" s="5" t="s">
        <v>1256</v>
      </c>
      <c r="B937" s="5" t="s">
        <v>1418</v>
      </c>
      <c r="C937" s="5" t="s">
        <v>1256</v>
      </c>
      <c r="D937" s="5" t="s">
        <v>1257</v>
      </c>
      <c r="E937" s="5" t="s">
        <v>2302</v>
      </c>
      <c r="F937" s="5" t="s">
        <v>1259</v>
      </c>
      <c r="G937" s="5" t="s">
        <v>15</v>
      </c>
      <c r="H937" s="5" t="s">
        <v>97</v>
      </c>
      <c r="I937" s="5" t="s">
        <v>57</v>
      </c>
    </row>
    <row r="938" spans="1:9" ht="135" x14ac:dyDescent="0.25">
      <c r="A938" s="5" t="s">
        <v>2303</v>
      </c>
      <c r="B938" s="5" t="s">
        <v>132</v>
      </c>
      <c r="C938" s="5" t="s">
        <v>1256</v>
      </c>
      <c r="D938" s="5" t="s">
        <v>1257</v>
      </c>
      <c r="E938" s="5" t="s">
        <v>2304</v>
      </c>
      <c r="F938" s="5" t="s">
        <v>1259</v>
      </c>
      <c r="G938" s="5" t="s">
        <v>15</v>
      </c>
      <c r="H938" s="5" t="s">
        <v>97</v>
      </c>
      <c r="I938" s="5" t="s">
        <v>57</v>
      </c>
    </row>
    <row r="939" spans="1:9" ht="180" x14ac:dyDescent="0.25">
      <c r="A939" s="5" t="s">
        <v>2305</v>
      </c>
      <c r="B939" s="5" t="s">
        <v>10</v>
      </c>
      <c r="C939" s="5" t="s">
        <v>1263</v>
      </c>
      <c r="D939" s="5" t="s">
        <v>1264</v>
      </c>
      <c r="E939" s="5" t="s">
        <v>13</v>
      </c>
      <c r="F939" s="5" t="s">
        <v>2306</v>
      </c>
      <c r="G939" s="5" t="s">
        <v>15</v>
      </c>
      <c r="H939" s="5" t="s">
        <v>57</v>
      </c>
      <c r="I939" s="5" t="s">
        <v>120</v>
      </c>
    </row>
    <row r="940" spans="1:9" ht="60" x14ac:dyDescent="0.25">
      <c r="A940" s="5" t="s">
        <v>2307</v>
      </c>
      <c r="B940" s="5" t="s">
        <v>10</v>
      </c>
      <c r="C940" s="5" t="s">
        <v>1263</v>
      </c>
      <c r="D940" s="5" t="s">
        <v>1264</v>
      </c>
      <c r="E940" s="5" t="s">
        <v>13</v>
      </c>
      <c r="F940" s="5" t="s">
        <v>2308</v>
      </c>
      <c r="G940" s="5" t="s">
        <v>15</v>
      </c>
      <c r="H940" s="5" t="s">
        <v>57</v>
      </c>
      <c r="I940" s="5" t="s">
        <v>265</v>
      </c>
    </row>
    <row r="941" spans="1:9" ht="180" x14ac:dyDescent="0.25">
      <c r="A941" s="5" t="s">
        <v>2309</v>
      </c>
      <c r="B941" s="5" t="s">
        <v>10</v>
      </c>
      <c r="C941" s="5" t="s">
        <v>1263</v>
      </c>
      <c r="D941" s="5" t="s">
        <v>1264</v>
      </c>
      <c r="E941" s="5" t="s">
        <v>13</v>
      </c>
      <c r="F941" s="5" t="s">
        <v>2310</v>
      </c>
      <c r="G941" s="5" t="s">
        <v>15</v>
      </c>
      <c r="H941" s="5" t="s">
        <v>265</v>
      </c>
      <c r="I941" s="5" t="s">
        <v>57</v>
      </c>
    </row>
    <row r="942" spans="1:9" ht="180" x14ac:dyDescent="0.25">
      <c r="A942" s="5" t="s">
        <v>2311</v>
      </c>
      <c r="B942" s="5" t="s">
        <v>1428</v>
      </c>
      <c r="C942" s="5" t="s">
        <v>1263</v>
      </c>
      <c r="D942" s="5" t="s">
        <v>1264</v>
      </c>
      <c r="E942" s="5" t="s">
        <v>13</v>
      </c>
      <c r="F942" s="5" t="s">
        <v>2310</v>
      </c>
      <c r="G942" s="5" t="s">
        <v>15</v>
      </c>
      <c r="H942" s="5" t="s">
        <v>265</v>
      </c>
      <c r="I942" s="5" t="s">
        <v>57</v>
      </c>
    </row>
    <row r="943" spans="1:9" ht="180" x14ac:dyDescent="0.25">
      <c r="A943" s="5" t="s">
        <v>2312</v>
      </c>
      <c r="B943" s="5" t="s">
        <v>10</v>
      </c>
      <c r="C943" s="5" t="s">
        <v>1263</v>
      </c>
      <c r="D943" s="5" t="s">
        <v>1264</v>
      </c>
      <c r="E943" s="5" t="s">
        <v>13</v>
      </c>
      <c r="F943" s="5" t="s">
        <v>2310</v>
      </c>
      <c r="G943" s="5" t="s">
        <v>15</v>
      </c>
      <c r="H943" s="5" t="s">
        <v>39</v>
      </c>
      <c r="I943" s="5" t="s">
        <v>57</v>
      </c>
    </row>
    <row r="944" spans="1:9" ht="180" x14ac:dyDescent="0.25">
      <c r="A944" s="5" t="s">
        <v>2313</v>
      </c>
      <c r="B944" s="5" t="s">
        <v>1428</v>
      </c>
      <c r="C944" s="5" t="s">
        <v>1263</v>
      </c>
      <c r="D944" s="5" t="s">
        <v>1264</v>
      </c>
      <c r="E944" s="5" t="s">
        <v>13</v>
      </c>
      <c r="F944" s="5" t="s">
        <v>2310</v>
      </c>
      <c r="G944" s="5" t="s">
        <v>15</v>
      </c>
      <c r="H944" s="5" t="s">
        <v>39</v>
      </c>
      <c r="I944" s="5" t="s">
        <v>57</v>
      </c>
    </row>
    <row r="945" spans="1:9" ht="180" x14ac:dyDescent="0.25">
      <c r="A945" s="5" t="s">
        <v>2314</v>
      </c>
      <c r="B945" s="5" t="s">
        <v>1423</v>
      </c>
      <c r="C945" s="5" t="s">
        <v>1263</v>
      </c>
      <c r="D945" s="5" t="s">
        <v>1264</v>
      </c>
      <c r="E945" s="5" t="s">
        <v>13</v>
      </c>
      <c r="F945" s="5" t="s">
        <v>2310</v>
      </c>
      <c r="G945" s="5" t="s">
        <v>15</v>
      </c>
      <c r="H945" s="5" t="s">
        <v>39</v>
      </c>
      <c r="I945" s="5" t="s">
        <v>57</v>
      </c>
    </row>
    <row r="946" spans="1:9" ht="180" x14ac:dyDescent="0.25">
      <c r="A946" s="5" t="s">
        <v>2315</v>
      </c>
      <c r="B946" s="5" t="s">
        <v>10</v>
      </c>
      <c r="C946" s="5" t="s">
        <v>1263</v>
      </c>
      <c r="D946" s="5" t="s">
        <v>1264</v>
      </c>
      <c r="E946" s="5" t="s">
        <v>13</v>
      </c>
      <c r="F946" s="5" t="s">
        <v>2310</v>
      </c>
      <c r="G946" s="5" t="s">
        <v>15</v>
      </c>
      <c r="H946" s="5" t="s">
        <v>57</v>
      </c>
      <c r="I946" s="5" t="s">
        <v>39</v>
      </c>
    </row>
    <row r="947" spans="1:9" ht="45" x14ac:dyDescent="0.25">
      <c r="A947" s="5" t="s">
        <v>2316</v>
      </c>
      <c r="B947" s="5" t="s">
        <v>10</v>
      </c>
      <c r="C947" s="5" t="s">
        <v>1263</v>
      </c>
      <c r="D947" s="5" t="s">
        <v>1264</v>
      </c>
      <c r="E947" s="5" t="s">
        <v>13</v>
      </c>
      <c r="F947" s="5" t="s">
        <v>2317</v>
      </c>
      <c r="G947" s="5" t="s">
        <v>15</v>
      </c>
      <c r="H947" s="5" t="s">
        <v>57</v>
      </c>
      <c r="I947" s="5" t="s">
        <v>661</v>
      </c>
    </row>
    <row r="948" spans="1:9" ht="180" x14ac:dyDescent="0.25">
      <c r="A948" s="5" t="s">
        <v>2318</v>
      </c>
      <c r="B948" s="5" t="s">
        <v>132</v>
      </c>
      <c r="C948" s="5" t="s">
        <v>1263</v>
      </c>
      <c r="D948" s="5" t="s">
        <v>1264</v>
      </c>
      <c r="E948" s="5" t="s">
        <v>13</v>
      </c>
      <c r="F948" s="5" t="s">
        <v>2310</v>
      </c>
      <c r="G948" s="5" t="s">
        <v>15</v>
      </c>
      <c r="H948" s="5" t="s">
        <v>57</v>
      </c>
      <c r="I948" s="5" t="s">
        <v>39</v>
      </c>
    </row>
    <row r="949" spans="1:9" ht="180" x14ac:dyDescent="0.25">
      <c r="A949" s="5" t="s">
        <v>2318</v>
      </c>
      <c r="B949" s="5" t="s">
        <v>1013</v>
      </c>
      <c r="C949" s="5" t="s">
        <v>1263</v>
      </c>
      <c r="D949" s="5" t="s">
        <v>1264</v>
      </c>
      <c r="E949" s="5" t="s">
        <v>13</v>
      </c>
      <c r="F949" s="5" t="s">
        <v>2310</v>
      </c>
      <c r="G949" s="5" t="s">
        <v>15</v>
      </c>
      <c r="H949" s="5" t="s">
        <v>57</v>
      </c>
      <c r="I949" s="5" t="s">
        <v>265</v>
      </c>
    </row>
    <row r="950" spans="1:9" ht="30" x14ac:dyDescent="0.25">
      <c r="A950" s="5" t="s">
        <v>2319</v>
      </c>
      <c r="B950" s="5" t="s">
        <v>1402</v>
      </c>
      <c r="C950" s="5" t="s">
        <v>1263</v>
      </c>
      <c r="D950" s="5" t="s">
        <v>1264</v>
      </c>
      <c r="E950" s="5" t="s">
        <v>1396</v>
      </c>
      <c r="F950" s="5" t="s">
        <v>2320</v>
      </c>
      <c r="G950" s="5" t="s">
        <v>15</v>
      </c>
      <c r="H950" s="5" t="s">
        <v>97</v>
      </c>
      <c r="I950" s="5" t="s">
        <v>57</v>
      </c>
    </row>
    <row r="951" spans="1:9" ht="75" x14ac:dyDescent="0.25">
      <c r="A951" s="5" t="s">
        <v>1271</v>
      </c>
      <c r="B951" s="5" t="s">
        <v>132</v>
      </c>
      <c r="C951" s="5" t="s">
        <v>1271</v>
      </c>
      <c r="D951" s="5" t="s">
        <v>1272</v>
      </c>
      <c r="E951" s="5" t="s">
        <v>2321</v>
      </c>
      <c r="F951" s="5" t="s">
        <v>2322</v>
      </c>
      <c r="G951" s="5" t="s">
        <v>15</v>
      </c>
      <c r="H951" s="5" t="s">
        <v>57</v>
      </c>
      <c r="I951" s="5" t="s">
        <v>120</v>
      </c>
    </row>
    <row r="952" spans="1:9" ht="75" x14ac:dyDescent="0.25">
      <c r="A952" s="5" t="s">
        <v>2323</v>
      </c>
      <c r="B952" s="5" t="s">
        <v>1415</v>
      </c>
      <c r="C952" s="5" t="s">
        <v>1271</v>
      </c>
      <c r="D952" s="5" t="s">
        <v>1272</v>
      </c>
      <c r="E952" s="5" t="s">
        <v>1273</v>
      </c>
      <c r="F952" s="5" t="s">
        <v>2322</v>
      </c>
      <c r="G952" s="5" t="s">
        <v>15</v>
      </c>
      <c r="H952" s="5" t="s">
        <v>57</v>
      </c>
      <c r="I952" s="5" t="s">
        <v>120</v>
      </c>
    </row>
    <row r="953" spans="1:9" ht="75" x14ac:dyDescent="0.25">
      <c r="A953" s="5" t="s">
        <v>2323</v>
      </c>
      <c r="B953" s="5" t="s">
        <v>1418</v>
      </c>
      <c r="C953" s="5" t="s">
        <v>1271</v>
      </c>
      <c r="D953" s="5" t="s">
        <v>1272</v>
      </c>
      <c r="E953" s="5" t="s">
        <v>1273</v>
      </c>
      <c r="F953" s="5" t="s">
        <v>2322</v>
      </c>
      <c r="G953" s="5" t="s">
        <v>15</v>
      </c>
      <c r="H953" s="5" t="s">
        <v>57</v>
      </c>
      <c r="I953" s="5" t="s">
        <v>120</v>
      </c>
    </row>
    <row r="954" spans="1:9" ht="75" x14ac:dyDescent="0.25">
      <c r="A954" s="5" t="s">
        <v>2323</v>
      </c>
      <c r="B954" s="5" t="s">
        <v>1013</v>
      </c>
      <c r="C954" s="5" t="s">
        <v>1271</v>
      </c>
      <c r="D954" s="5" t="s">
        <v>1272</v>
      </c>
      <c r="E954" s="5" t="s">
        <v>1273</v>
      </c>
      <c r="F954" s="5" t="s">
        <v>2322</v>
      </c>
      <c r="G954" s="5" t="s">
        <v>15</v>
      </c>
      <c r="H954" s="5" t="s">
        <v>57</v>
      </c>
      <c r="I954" s="5" t="s">
        <v>265</v>
      </c>
    </row>
    <row r="955" spans="1:9" ht="45" x14ac:dyDescent="0.25">
      <c r="A955" s="5" t="s">
        <v>2324</v>
      </c>
      <c r="B955" s="5" t="s">
        <v>1402</v>
      </c>
      <c r="C955" s="5" t="s">
        <v>1271</v>
      </c>
      <c r="D955" s="5" t="s">
        <v>1272</v>
      </c>
      <c r="E955" s="5" t="s">
        <v>2321</v>
      </c>
      <c r="F955" s="5" t="s">
        <v>2325</v>
      </c>
      <c r="G955" s="5" t="s">
        <v>15</v>
      </c>
      <c r="H955" s="5" t="s">
        <v>97</v>
      </c>
      <c r="I955" s="5" t="s">
        <v>57</v>
      </c>
    </row>
    <row r="956" spans="1:9" x14ac:dyDescent="0.25">
      <c r="A956" s="5" t="s">
        <v>1279</v>
      </c>
      <c r="B956" s="5" t="s">
        <v>10</v>
      </c>
      <c r="C956" s="5" t="s">
        <v>1279</v>
      </c>
      <c r="D956" s="5" t="s">
        <v>1280</v>
      </c>
      <c r="E956" s="5" t="s">
        <v>2326</v>
      </c>
      <c r="F956" s="5" t="s">
        <v>54</v>
      </c>
      <c r="G956" s="5" t="s">
        <v>15</v>
      </c>
      <c r="H956" s="5" t="s">
        <v>97</v>
      </c>
      <c r="I956" s="5" t="s">
        <v>57</v>
      </c>
    </row>
    <row r="957" spans="1:9" x14ac:dyDescent="0.25">
      <c r="A957" s="5" t="s">
        <v>2327</v>
      </c>
      <c r="B957" s="5" t="s">
        <v>10</v>
      </c>
      <c r="C957" s="5" t="s">
        <v>1279</v>
      </c>
      <c r="D957" s="5" t="s">
        <v>1280</v>
      </c>
      <c r="E957" s="5" t="s">
        <v>2326</v>
      </c>
      <c r="F957" s="5" t="s">
        <v>54</v>
      </c>
      <c r="G957" s="5" t="s">
        <v>57</v>
      </c>
      <c r="H957" s="5" t="s">
        <v>57</v>
      </c>
      <c r="I957" s="5" t="s">
        <v>57</v>
      </c>
    </row>
    <row r="958" spans="1:9" x14ac:dyDescent="0.25">
      <c r="A958" s="5" t="s">
        <v>2328</v>
      </c>
      <c r="B958" s="5" t="s">
        <v>123</v>
      </c>
      <c r="C958" s="5" t="s">
        <v>1279</v>
      </c>
      <c r="D958" s="5" t="s">
        <v>1280</v>
      </c>
      <c r="E958" s="5" t="s">
        <v>2326</v>
      </c>
      <c r="F958" s="5" t="s">
        <v>54</v>
      </c>
      <c r="G958" s="5" t="s">
        <v>57</v>
      </c>
      <c r="H958" s="5" t="s">
        <v>57</v>
      </c>
      <c r="I958" s="5" t="s">
        <v>57</v>
      </c>
    </row>
    <row r="959" spans="1:9" x14ac:dyDescent="0.25">
      <c r="A959" s="5" t="s">
        <v>2328</v>
      </c>
      <c r="B959" s="5" t="s">
        <v>1423</v>
      </c>
      <c r="C959" s="5" t="s">
        <v>1279</v>
      </c>
      <c r="D959" s="5" t="s">
        <v>1280</v>
      </c>
      <c r="E959" s="5" t="s">
        <v>2326</v>
      </c>
      <c r="F959" s="5" t="s">
        <v>54</v>
      </c>
      <c r="G959" s="5" t="s">
        <v>57</v>
      </c>
      <c r="H959" s="5" t="s">
        <v>57</v>
      </c>
      <c r="I959" s="5" t="s">
        <v>57</v>
      </c>
    </row>
    <row r="960" spans="1:9" x14ac:dyDescent="0.25">
      <c r="A960" s="5" t="s">
        <v>2329</v>
      </c>
      <c r="B960" s="5" t="s">
        <v>10</v>
      </c>
      <c r="C960" s="5" t="s">
        <v>1279</v>
      </c>
      <c r="D960" s="5" t="s">
        <v>1280</v>
      </c>
      <c r="E960" s="5" t="s">
        <v>2330</v>
      </c>
      <c r="F960" s="5" t="s">
        <v>54</v>
      </c>
      <c r="G960" s="5" t="s">
        <v>15</v>
      </c>
      <c r="H960" s="5" t="s">
        <v>97</v>
      </c>
      <c r="I960" s="5" t="s">
        <v>57</v>
      </c>
    </row>
    <row r="961" spans="1:9" x14ac:dyDescent="0.25">
      <c r="A961" s="5" t="s">
        <v>2331</v>
      </c>
      <c r="B961" s="5" t="s">
        <v>1428</v>
      </c>
      <c r="C961" s="5" t="s">
        <v>1279</v>
      </c>
      <c r="D961" s="5" t="s">
        <v>1280</v>
      </c>
      <c r="E961" s="5" t="s">
        <v>2330</v>
      </c>
      <c r="F961" s="5" t="s">
        <v>54</v>
      </c>
      <c r="G961" s="5" t="s">
        <v>15</v>
      </c>
      <c r="H961" s="5" t="s">
        <v>97</v>
      </c>
      <c r="I961" s="5" t="s">
        <v>57</v>
      </c>
    </row>
    <row r="962" spans="1:9" x14ac:dyDescent="0.25">
      <c r="A962" s="5" t="s">
        <v>2332</v>
      </c>
      <c r="B962" s="5" t="s">
        <v>10</v>
      </c>
      <c r="C962" s="5" t="s">
        <v>1279</v>
      </c>
      <c r="D962" s="5" t="s">
        <v>1280</v>
      </c>
      <c r="E962" s="5" t="s">
        <v>2333</v>
      </c>
      <c r="F962" s="5" t="s">
        <v>54</v>
      </c>
      <c r="G962" s="5" t="s">
        <v>15</v>
      </c>
      <c r="H962" s="5" t="s">
        <v>265</v>
      </c>
      <c r="I962" s="5" t="s">
        <v>57</v>
      </c>
    </row>
    <row r="963" spans="1:9" x14ac:dyDescent="0.25">
      <c r="A963" s="5" t="s">
        <v>2334</v>
      </c>
      <c r="B963" s="5" t="s">
        <v>1428</v>
      </c>
      <c r="C963" s="5" t="s">
        <v>1279</v>
      </c>
      <c r="D963" s="5" t="s">
        <v>1280</v>
      </c>
      <c r="E963" s="5" t="s">
        <v>2333</v>
      </c>
      <c r="F963" s="5" t="s">
        <v>54</v>
      </c>
      <c r="G963" s="5" t="s">
        <v>15</v>
      </c>
      <c r="H963" s="5" t="s">
        <v>265</v>
      </c>
      <c r="I963" s="5" t="s">
        <v>57</v>
      </c>
    </row>
    <row r="964" spans="1:9" x14ac:dyDescent="0.25">
      <c r="A964" s="5" t="s">
        <v>2335</v>
      </c>
      <c r="B964" s="5" t="s">
        <v>1423</v>
      </c>
      <c r="C964" s="5" t="s">
        <v>1279</v>
      </c>
      <c r="D964" s="5" t="s">
        <v>1280</v>
      </c>
      <c r="E964" s="5" t="s">
        <v>2333</v>
      </c>
      <c r="F964" s="5" t="s">
        <v>54</v>
      </c>
      <c r="G964" s="5" t="s">
        <v>15</v>
      </c>
      <c r="H964" s="5" t="s">
        <v>265</v>
      </c>
      <c r="I964" s="5" t="s">
        <v>57</v>
      </c>
    </row>
    <row r="965" spans="1:9" x14ac:dyDescent="0.25">
      <c r="A965" s="5" t="s">
        <v>2336</v>
      </c>
      <c r="B965" s="5" t="s">
        <v>10</v>
      </c>
      <c r="C965" s="5" t="s">
        <v>1279</v>
      </c>
      <c r="D965" s="5" t="s">
        <v>1280</v>
      </c>
      <c r="E965" s="5" t="s">
        <v>2330</v>
      </c>
      <c r="F965" s="5" t="s">
        <v>54</v>
      </c>
      <c r="G965" s="5" t="s">
        <v>15</v>
      </c>
      <c r="H965" s="5" t="s">
        <v>57</v>
      </c>
      <c r="I965" s="5" t="s">
        <v>265</v>
      </c>
    </row>
    <row r="966" spans="1:9" x14ac:dyDescent="0.25">
      <c r="A966" s="5" t="s">
        <v>2337</v>
      </c>
      <c r="B966" s="5" t="s">
        <v>10</v>
      </c>
      <c r="C966" s="5" t="s">
        <v>1279</v>
      </c>
      <c r="D966" s="5" t="s">
        <v>1280</v>
      </c>
      <c r="E966" s="5" t="s">
        <v>2326</v>
      </c>
      <c r="F966" s="5" t="s">
        <v>54</v>
      </c>
      <c r="G966" s="5" t="s">
        <v>15</v>
      </c>
      <c r="H966" s="5" t="s">
        <v>57</v>
      </c>
      <c r="I966" s="5" t="s">
        <v>265</v>
      </c>
    </row>
    <row r="967" spans="1:9" x14ac:dyDescent="0.25">
      <c r="A967" s="5" t="s">
        <v>2338</v>
      </c>
      <c r="B967" s="5" t="s">
        <v>1415</v>
      </c>
      <c r="C967" s="5" t="s">
        <v>1279</v>
      </c>
      <c r="D967" s="5" t="s">
        <v>1280</v>
      </c>
      <c r="E967" s="5" t="s">
        <v>2330</v>
      </c>
      <c r="F967" s="5" t="s">
        <v>54</v>
      </c>
      <c r="G967" s="5" t="s">
        <v>15</v>
      </c>
      <c r="H967" s="5" t="s">
        <v>57</v>
      </c>
      <c r="I967" s="5" t="s">
        <v>265</v>
      </c>
    </row>
    <row r="968" spans="1:9" x14ac:dyDescent="0.25">
      <c r="A968" s="5" t="s">
        <v>2338</v>
      </c>
      <c r="B968" s="5" t="s">
        <v>1418</v>
      </c>
      <c r="C968" s="5" t="s">
        <v>1279</v>
      </c>
      <c r="D968" s="5" t="s">
        <v>1280</v>
      </c>
      <c r="E968" s="5" t="s">
        <v>2330</v>
      </c>
      <c r="F968" s="5" t="s">
        <v>54</v>
      </c>
      <c r="G968" s="5" t="s">
        <v>15</v>
      </c>
      <c r="H968" s="5" t="s">
        <v>57</v>
      </c>
      <c r="I968" s="5" t="s">
        <v>265</v>
      </c>
    </row>
    <row r="969" spans="1:9" x14ac:dyDescent="0.25">
      <c r="A969" s="5" t="s">
        <v>2338</v>
      </c>
      <c r="B969" s="5" t="s">
        <v>1013</v>
      </c>
      <c r="C969" s="5" t="s">
        <v>1279</v>
      </c>
      <c r="D969" s="5" t="s">
        <v>1280</v>
      </c>
      <c r="E969" s="5" t="s">
        <v>2330</v>
      </c>
      <c r="F969" s="5" t="s">
        <v>54</v>
      </c>
      <c r="G969" s="5" t="s">
        <v>15</v>
      </c>
      <c r="H969" s="5" t="s">
        <v>57</v>
      </c>
      <c r="I969" s="5" t="s">
        <v>265</v>
      </c>
    </row>
    <row r="970" spans="1:9" x14ac:dyDescent="0.25">
      <c r="A970" s="5" t="s">
        <v>2339</v>
      </c>
      <c r="B970" s="5" t="s">
        <v>123</v>
      </c>
      <c r="C970" s="5" t="s">
        <v>1279</v>
      </c>
      <c r="D970" s="5" t="s">
        <v>1280</v>
      </c>
      <c r="E970" s="5" t="s">
        <v>2330</v>
      </c>
      <c r="F970" s="5" t="s">
        <v>54</v>
      </c>
      <c r="G970" s="5" t="s">
        <v>15</v>
      </c>
      <c r="H970" s="5" t="s">
        <v>97</v>
      </c>
      <c r="I970" s="5" t="s">
        <v>57</v>
      </c>
    </row>
    <row r="971" spans="1:9" x14ac:dyDescent="0.25">
      <c r="A971" s="5" t="s">
        <v>2340</v>
      </c>
      <c r="B971" s="5" t="s">
        <v>123</v>
      </c>
      <c r="C971" s="5" t="s">
        <v>1279</v>
      </c>
      <c r="D971" s="5" t="s">
        <v>1280</v>
      </c>
      <c r="E971" s="5" t="s">
        <v>2330</v>
      </c>
      <c r="F971" s="5" t="s">
        <v>54</v>
      </c>
      <c r="G971" s="5" t="s">
        <v>15</v>
      </c>
      <c r="H971" s="5" t="s">
        <v>97</v>
      </c>
      <c r="I971" s="5" t="s">
        <v>57</v>
      </c>
    </row>
    <row r="972" spans="1:9" x14ac:dyDescent="0.25">
      <c r="A972" s="5" t="s">
        <v>2341</v>
      </c>
      <c r="B972" s="5" t="s">
        <v>1402</v>
      </c>
      <c r="C972" s="5" t="s">
        <v>1279</v>
      </c>
      <c r="D972" s="5" t="s">
        <v>1280</v>
      </c>
      <c r="E972" s="5" t="s">
        <v>2326</v>
      </c>
      <c r="F972" s="5" t="s">
        <v>54</v>
      </c>
      <c r="G972" s="5" t="s">
        <v>15</v>
      </c>
      <c r="H972" s="5" t="s">
        <v>97</v>
      </c>
      <c r="I972" s="5" t="s">
        <v>57</v>
      </c>
    </row>
    <row r="973" spans="1:9" ht="105" x14ac:dyDescent="0.25">
      <c r="A973" s="5" t="s">
        <v>1286</v>
      </c>
      <c r="B973" s="5" t="s">
        <v>10</v>
      </c>
      <c r="C973" s="5" t="s">
        <v>1286</v>
      </c>
      <c r="D973" s="5" t="s">
        <v>1287</v>
      </c>
      <c r="E973" s="5" t="s">
        <v>1288</v>
      </c>
      <c r="F973" s="5" t="s">
        <v>1289</v>
      </c>
      <c r="G973" s="5" t="s">
        <v>15</v>
      </c>
      <c r="H973" s="5" t="s">
        <v>39</v>
      </c>
      <c r="I973" s="5" t="s">
        <v>57</v>
      </c>
    </row>
    <row r="974" spans="1:9" ht="105" x14ac:dyDescent="0.25">
      <c r="A974" s="5" t="s">
        <v>2342</v>
      </c>
      <c r="B974" s="5" t="s">
        <v>10</v>
      </c>
      <c r="C974" s="5" t="s">
        <v>1286</v>
      </c>
      <c r="D974" s="5" t="s">
        <v>1287</v>
      </c>
      <c r="E974" s="5" t="s">
        <v>1288</v>
      </c>
      <c r="F974" s="5" t="s">
        <v>1289</v>
      </c>
      <c r="G974" s="5" t="s">
        <v>15</v>
      </c>
      <c r="H974" s="5" t="s">
        <v>97</v>
      </c>
      <c r="I974" s="5" t="s">
        <v>57</v>
      </c>
    </row>
    <row r="975" spans="1:9" ht="105" x14ac:dyDescent="0.25">
      <c r="A975" s="5" t="s">
        <v>2343</v>
      </c>
      <c r="B975" s="5" t="s">
        <v>10</v>
      </c>
      <c r="C975" s="5" t="s">
        <v>1286</v>
      </c>
      <c r="D975" s="5" t="s">
        <v>1287</v>
      </c>
      <c r="E975" s="5" t="s">
        <v>1288</v>
      </c>
      <c r="F975" s="5" t="s">
        <v>1289</v>
      </c>
      <c r="G975" s="5" t="s">
        <v>15</v>
      </c>
      <c r="H975" s="5" t="s">
        <v>57</v>
      </c>
      <c r="I975" s="5" t="s">
        <v>120</v>
      </c>
    </row>
    <row r="976" spans="1:9" ht="105" x14ac:dyDescent="0.25">
      <c r="A976" s="5" t="s">
        <v>2344</v>
      </c>
      <c r="B976" s="5" t="s">
        <v>132</v>
      </c>
      <c r="C976" s="5" t="s">
        <v>1286</v>
      </c>
      <c r="D976" s="5" t="s">
        <v>1287</v>
      </c>
      <c r="E976" s="5" t="s">
        <v>2345</v>
      </c>
      <c r="F976" s="5" t="s">
        <v>1289</v>
      </c>
      <c r="G976" s="5" t="s">
        <v>15</v>
      </c>
      <c r="H976" s="5" t="s">
        <v>57</v>
      </c>
      <c r="I976" s="5" t="s">
        <v>39</v>
      </c>
    </row>
    <row r="977" spans="1:9" ht="180" x14ac:dyDescent="0.25">
      <c r="A977" s="5" t="s">
        <v>1294</v>
      </c>
      <c r="B977" s="5" t="s">
        <v>10</v>
      </c>
      <c r="C977" s="5" t="s">
        <v>1294</v>
      </c>
      <c r="D977" s="5" t="s">
        <v>1295</v>
      </c>
      <c r="E977" s="5" t="s">
        <v>1296</v>
      </c>
      <c r="F977" s="5" t="s">
        <v>1297</v>
      </c>
      <c r="G977" s="5" t="s">
        <v>15</v>
      </c>
      <c r="H977" s="5" t="s">
        <v>97</v>
      </c>
      <c r="I977" s="5" t="s">
        <v>57</v>
      </c>
    </row>
    <row r="978" spans="1:9" ht="180" x14ac:dyDescent="0.25">
      <c r="A978" s="5" t="s">
        <v>2346</v>
      </c>
      <c r="B978" s="5" t="s">
        <v>1428</v>
      </c>
      <c r="C978" s="5" t="s">
        <v>1294</v>
      </c>
      <c r="D978" s="5" t="s">
        <v>1295</v>
      </c>
      <c r="E978" s="5" t="s">
        <v>1296</v>
      </c>
      <c r="F978" s="5" t="s">
        <v>1297</v>
      </c>
      <c r="G978" s="5" t="s">
        <v>15</v>
      </c>
      <c r="H978" s="5" t="s">
        <v>97</v>
      </c>
      <c r="I978" s="5" t="s">
        <v>57</v>
      </c>
    </row>
    <row r="979" spans="1:9" ht="75" x14ac:dyDescent="0.25">
      <c r="A979" s="5" t="s">
        <v>2347</v>
      </c>
      <c r="B979" s="5" t="s">
        <v>10</v>
      </c>
      <c r="C979" s="5" t="s">
        <v>1294</v>
      </c>
      <c r="D979" s="5" t="s">
        <v>1295</v>
      </c>
      <c r="E979" s="5" t="s">
        <v>1296</v>
      </c>
      <c r="F979" s="5" t="s">
        <v>2348</v>
      </c>
      <c r="G979" s="5" t="s">
        <v>15</v>
      </c>
      <c r="H979" s="5" t="s">
        <v>57</v>
      </c>
      <c r="I979" s="5" t="s">
        <v>265</v>
      </c>
    </row>
    <row r="980" spans="1:9" ht="75" x14ac:dyDescent="0.25">
      <c r="A980" s="5" t="s">
        <v>2347</v>
      </c>
      <c r="B980" s="5" t="s">
        <v>123</v>
      </c>
      <c r="C980" s="5" t="s">
        <v>1294</v>
      </c>
      <c r="D980" s="5" t="s">
        <v>1295</v>
      </c>
      <c r="E980" s="5" t="s">
        <v>1296</v>
      </c>
      <c r="F980" s="5" t="s">
        <v>2348</v>
      </c>
      <c r="G980" s="5" t="s">
        <v>15</v>
      </c>
      <c r="H980" s="5" t="s">
        <v>57</v>
      </c>
      <c r="I980" s="5" t="s">
        <v>265</v>
      </c>
    </row>
    <row r="981" spans="1:9" ht="180" x14ac:dyDescent="0.25">
      <c r="A981" s="5" t="s">
        <v>2349</v>
      </c>
      <c r="B981" s="5" t="s">
        <v>10</v>
      </c>
      <c r="C981" s="5" t="s">
        <v>1294</v>
      </c>
      <c r="D981" s="5" t="s">
        <v>1295</v>
      </c>
      <c r="E981" s="5" t="s">
        <v>1296</v>
      </c>
      <c r="F981" s="5" t="s">
        <v>1297</v>
      </c>
      <c r="G981" s="5" t="s">
        <v>15</v>
      </c>
      <c r="H981" s="5" t="s">
        <v>97</v>
      </c>
      <c r="I981" s="5" t="s">
        <v>57</v>
      </c>
    </row>
    <row r="982" spans="1:9" ht="180" x14ac:dyDescent="0.25">
      <c r="A982" s="5" t="s">
        <v>2350</v>
      </c>
      <c r="B982" s="5" t="s">
        <v>10</v>
      </c>
      <c r="C982" s="5" t="s">
        <v>1294</v>
      </c>
      <c r="D982" s="5" t="s">
        <v>1295</v>
      </c>
      <c r="E982" s="5" t="s">
        <v>2090</v>
      </c>
      <c r="F982" s="5" t="s">
        <v>2351</v>
      </c>
      <c r="G982" s="5" t="s">
        <v>15</v>
      </c>
      <c r="H982" s="5" t="s">
        <v>57</v>
      </c>
      <c r="I982" s="5" t="s">
        <v>265</v>
      </c>
    </row>
    <row r="983" spans="1:9" ht="180" x14ac:dyDescent="0.25">
      <c r="A983" s="5" t="s">
        <v>2352</v>
      </c>
      <c r="B983" s="5" t="s">
        <v>10</v>
      </c>
      <c r="C983" s="5" t="s">
        <v>1294</v>
      </c>
      <c r="D983" s="5" t="s">
        <v>1295</v>
      </c>
      <c r="E983" s="5" t="s">
        <v>2090</v>
      </c>
      <c r="F983" s="5" t="s">
        <v>2353</v>
      </c>
      <c r="G983" s="5" t="s">
        <v>15</v>
      </c>
      <c r="H983" s="5" t="s">
        <v>57</v>
      </c>
      <c r="I983" s="5" t="s">
        <v>265</v>
      </c>
    </row>
    <row r="984" spans="1:9" ht="180" x14ac:dyDescent="0.25">
      <c r="A984" s="5" t="s">
        <v>2354</v>
      </c>
      <c r="B984" s="5" t="s">
        <v>10</v>
      </c>
      <c r="C984" s="5" t="s">
        <v>1294</v>
      </c>
      <c r="D984" s="5" t="s">
        <v>1295</v>
      </c>
      <c r="E984" s="5" t="s">
        <v>2090</v>
      </c>
      <c r="F984" s="5" t="s">
        <v>1297</v>
      </c>
      <c r="G984" s="5" t="s">
        <v>15</v>
      </c>
      <c r="H984" s="5" t="s">
        <v>57</v>
      </c>
      <c r="I984" s="5" t="s">
        <v>120</v>
      </c>
    </row>
    <row r="985" spans="1:9" ht="180" x14ac:dyDescent="0.25">
      <c r="A985" s="5" t="s">
        <v>2355</v>
      </c>
      <c r="B985" s="5" t="s">
        <v>10</v>
      </c>
      <c r="C985" s="5" t="s">
        <v>1294</v>
      </c>
      <c r="D985" s="5" t="s">
        <v>1295</v>
      </c>
      <c r="E985" s="5" t="s">
        <v>2090</v>
      </c>
      <c r="F985" s="5" t="s">
        <v>1297</v>
      </c>
      <c r="G985" s="5" t="s">
        <v>15</v>
      </c>
      <c r="H985" s="5" t="s">
        <v>57</v>
      </c>
      <c r="I985" s="5" t="s">
        <v>265</v>
      </c>
    </row>
    <row r="986" spans="1:9" ht="240" x14ac:dyDescent="0.25">
      <c r="A986" s="5" t="s">
        <v>1302</v>
      </c>
      <c r="B986" s="5" t="s">
        <v>10</v>
      </c>
      <c r="C986" s="5" t="s">
        <v>1302</v>
      </c>
      <c r="D986" s="5" t="s">
        <v>1303</v>
      </c>
      <c r="E986" s="5" t="s">
        <v>1304</v>
      </c>
      <c r="F986" s="5" t="s">
        <v>2356</v>
      </c>
      <c r="G986" s="5" t="s">
        <v>15</v>
      </c>
      <c r="H986" s="5" t="s">
        <v>661</v>
      </c>
      <c r="I986" s="5" t="s">
        <v>57</v>
      </c>
    </row>
    <row r="987" spans="1:9" ht="240" x14ac:dyDescent="0.25">
      <c r="A987" s="5" t="s">
        <v>2357</v>
      </c>
      <c r="B987" s="5" t="s">
        <v>1428</v>
      </c>
      <c r="C987" s="5" t="s">
        <v>1302</v>
      </c>
      <c r="D987" s="5" t="s">
        <v>1303</v>
      </c>
      <c r="E987" s="5" t="s">
        <v>1304</v>
      </c>
      <c r="F987" s="5" t="s">
        <v>2356</v>
      </c>
      <c r="G987" s="5" t="s">
        <v>15</v>
      </c>
      <c r="H987" s="5" t="s">
        <v>661</v>
      </c>
      <c r="I987" s="5" t="s">
        <v>57</v>
      </c>
    </row>
    <row r="988" spans="1:9" ht="255" x14ac:dyDescent="0.25">
      <c r="A988" s="5" t="s">
        <v>1307</v>
      </c>
      <c r="B988" s="5" t="s">
        <v>10</v>
      </c>
      <c r="C988" s="5" t="s">
        <v>1307</v>
      </c>
      <c r="D988" s="5" t="s">
        <v>1303</v>
      </c>
      <c r="E988" s="5" t="s">
        <v>1304</v>
      </c>
      <c r="F988" s="5" t="s">
        <v>2358</v>
      </c>
      <c r="G988" s="5" t="s">
        <v>15</v>
      </c>
      <c r="H988" s="5" t="s">
        <v>265</v>
      </c>
      <c r="I988" s="5" t="s">
        <v>57</v>
      </c>
    </row>
    <row r="989" spans="1:9" ht="255" x14ac:dyDescent="0.25">
      <c r="A989" s="5" t="s">
        <v>2359</v>
      </c>
      <c r="B989" s="5" t="s">
        <v>1428</v>
      </c>
      <c r="C989" s="5" t="s">
        <v>1307</v>
      </c>
      <c r="D989" s="5" t="s">
        <v>1303</v>
      </c>
      <c r="E989" s="5" t="s">
        <v>1304</v>
      </c>
      <c r="F989" s="5" t="s">
        <v>2358</v>
      </c>
      <c r="G989" s="5" t="s">
        <v>15</v>
      </c>
      <c r="H989" s="5" t="s">
        <v>265</v>
      </c>
      <c r="I989" s="5" t="s">
        <v>57</v>
      </c>
    </row>
    <row r="990" spans="1:9" ht="120" x14ac:dyDescent="0.25">
      <c r="A990" s="5" t="s">
        <v>1309</v>
      </c>
      <c r="B990" s="5" t="s">
        <v>10</v>
      </c>
      <c r="C990" s="5" t="s">
        <v>1310</v>
      </c>
      <c r="D990" s="5" t="s">
        <v>1311</v>
      </c>
      <c r="E990" s="5" t="s">
        <v>1312</v>
      </c>
      <c r="F990" s="5" t="s">
        <v>1313</v>
      </c>
      <c r="G990" s="5" t="s">
        <v>15</v>
      </c>
      <c r="H990" s="5" t="s">
        <v>57</v>
      </c>
      <c r="I990" s="5" t="s">
        <v>265</v>
      </c>
    </row>
    <row r="991" spans="1:9" ht="30" x14ac:dyDescent="0.25">
      <c r="A991" s="5" t="s">
        <v>1315</v>
      </c>
      <c r="B991" s="5" t="s">
        <v>10</v>
      </c>
      <c r="C991" s="5" t="s">
        <v>1316</v>
      </c>
      <c r="D991" s="5" t="s">
        <v>1317</v>
      </c>
      <c r="E991" s="5" t="s">
        <v>1312</v>
      </c>
      <c r="F991" s="5" t="s">
        <v>1318</v>
      </c>
      <c r="G991" s="5" t="s">
        <v>15</v>
      </c>
      <c r="H991" s="5" t="s">
        <v>57</v>
      </c>
      <c r="I991" s="5" t="s">
        <v>661</v>
      </c>
    </row>
    <row r="992" spans="1:9" ht="180" x14ac:dyDescent="0.25">
      <c r="A992" s="5" t="s">
        <v>1322</v>
      </c>
      <c r="B992" s="5" t="s">
        <v>10</v>
      </c>
      <c r="C992" s="5" t="s">
        <v>1322</v>
      </c>
      <c r="D992" s="5" t="s">
        <v>1323</v>
      </c>
      <c r="E992" s="5" t="s">
        <v>1324</v>
      </c>
      <c r="F992" s="5" t="s">
        <v>1325</v>
      </c>
      <c r="G992" s="5" t="s">
        <v>15</v>
      </c>
      <c r="H992" s="5" t="s">
        <v>97</v>
      </c>
      <c r="I992" s="5" t="s">
        <v>57</v>
      </c>
    </row>
    <row r="993" spans="1:9" ht="180" x14ac:dyDescent="0.25">
      <c r="A993" s="5" t="s">
        <v>2360</v>
      </c>
      <c r="B993" s="5" t="s">
        <v>1428</v>
      </c>
      <c r="C993" s="5" t="s">
        <v>1322</v>
      </c>
      <c r="D993" s="5" t="s">
        <v>1323</v>
      </c>
      <c r="E993" s="5" t="s">
        <v>1324</v>
      </c>
      <c r="F993" s="5" t="s">
        <v>1325</v>
      </c>
      <c r="G993" s="5" t="s">
        <v>15</v>
      </c>
      <c r="H993" s="5" t="s">
        <v>97</v>
      </c>
      <c r="I993" s="5" t="s">
        <v>57</v>
      </c>
    </row>
    <row r="994" spans="1:9" ht="180" x14ac:dyDescent="0.25">
      <c r="A994" s="5" t="s">
        <v>2361</v>
      </c>
      <c r="B994" s="5" t="s">
        <v>10</v>
      </c>
      <c r="C994" s="5" t="s">
        <v>1322</v>
      </c>
      <c r="D994" s="5" t="s">
        <v>1323</v>
      </c>
      <c r="E994" s="5" t="s">
        <v>1324</v>
      </c>
      <c r="F994" s="5" t="s">
        <v>1325</v>
      </c>
      <c r="G994" s="5" t="s">
        <v>15</v>
      </c>
      <c r="H994" s="5" t="s">
        <v>57</v>
      </c>
      <c r="I994" s="5" t="s">
        <v>120</v>
      </c>
    </row>
    <row r="995" spans="1:9" ht="180" x14ac:dyDescent="0.25">
      <c r="A995" s="5" t="s">
        <v>2362</v>
      </c>
      <c r="B995" s="5" t="s">
        <v>10</v>
      </c>
      <c r="C995" s="5" t="s">
        <v>1322</v>
      </c>
      <c r="D995" s="5" t="s">
        <v>1323</v>
      </c>
      <c r="E995" s="5" t="s">
        <v>1324</v>
      </c>
      <c r="F995" s="5" t="s">
        <v>1325</v>
      </c>
      <c r="G995" s="5" t="s">
        <v>15</v>
      </c>
      <c r="H995" s="5" t="s">
        <v>265</v>
      </c>
      <c r="I995" s="5" t="s">
        <v>57</v>
      </c>
    </row>
    <row r="996" spans="1:9" ht="180" x14ac:dyDescent="0.25">
      <c r="A996" s="5" t="s">
        <v>2363</v>
      </c>
      <c r="B996" s="5" t="s">
        <v>10</v>
      </c>
      <c r="C996" s="5" t="s">
        <v>1322</v>
      </c>
      <c r="D996" s="5" t="s">
        <v>1323</v>
      </c>
      <c r="E996" s="5" t="s">
        <v>1324</v>
      </c>
      <c r="F996" s="5" t="s">
        <v>1325</v>
      </c>
      <c r="G996" s="5" t="s">
        <v>15</v>
      </c>
      <c r="H996" s="5" t="s">
        <v>57</v>
      </c>
      <c r="I996" s="5" t="s">
        <v>120</v>
      </c>
    </row>
    <row r="997" spans="1:9" ht="180" x14ac:dyDescent="0.25">
      <c r="A997" s="5" t="s">
        <v>2364</v>
      </c>
      <c r="B997" s="5" t="s">
        <v>132</v>
      </c>
      <c r="C997" s="5" t="s">
        <v>1322</v>
      </c>
      <c r="D997" s="5" t="s">
        <v>1323</v>
      </c>
      <c r="E997" s="5" t="s">
        <v>1324</v>
      </c>
      <c r="F997" s="5" t="s">
        <v>1325</v>
      </c>
      <c r="G997" s="5" t="s">
        <v>15</v>
      </c>
      <c r="H997" s="5" t="s">
        <v>57</v>
      </c>
      <c r="I997" s="5" t="s">
        <v>120</v>
      </c>
    </row>
    <row r="998" spans="1:9" ht="180" x14ac:dyDescent="0.25">
      <c r="A998" s="5" t="s">
        <v>2364</v>
      </c>
      <c r="B998" s="5" t="s">
        <v>1013</v>
      </c>
      <c r="C998" s="5" t="s">
        <v>1322</v>
      </c>
      <c r="D998" s="5" t="s">
        <v>1323</v>
      </c>
      <c r="E998" s="5" t="s">
        <v>1324</v>
      </c>
      <c r="F998" s="5" t="s">
        <v>1325</v>
      </c>
      <c r="G998" s="5" t="s">
        <v>15</v>
      </c>
      <c r="H998" s="5" t="s">
        <v>57</v>
      </c>
      <c r="I998" s="5" t="s">
        <v>120</v>
      </c>
    </row>
    <row r="999" spans="1:9" ht="180" x14ac:dyDescent="0.25">
      <c r="A999" s="5" t="s">
        <v>2365</v>
      </c>
      <c r="B999" s="5" t="s">
        <v>1402</v>
      </c>
      <c r="C999" s="5" t="s">
        <v>1322</v>
      </c>
      <c r="D999" s="5" t="s">
        <v>1323</v>
      </c>
      <c r="E999" s="5" t="s">
        <v>2366</v>
      </c>
      <c r="F999" s="5" t="s">
        <v>1325</v>
      </c>
      <c r="G999" s="5" t="s">
        <v>15</v>
      </c>
      <c r="H999" s="5" t="s">
        <v>97</v>
      </c>
      <c r="I999" s="5" t="s">
        <v>57</v>
      </c>
    </row>
    <row r="1000" spans="1:9" ht="150" x14ac:dyDescent="0.25">
      <c r="A1000" s="5" t="s">
        <v>1330</v>
      </c>
      <c r="B1000" s="5" t="s">
        <v>10</v>
      </c>
      <c r="C1000" s="5" t="s">
        <v>1330</v>
      </c>
      <c r="D1000" s="5" t="s">
        <v>1331</v>
      </c>
      <c r="E1000" s="5" t="s">
        <v>1229</v>
      </c>
      <c r="F1000" s="5" t="s">
        <v>1333</v>
      </c>
      <c r="G1000" s="5" t="s">
        <v>15</v>
      </c>
      <c r="H1000" s="5" t="s">
        <v>97</v>
      </c>
      <c r="I1000" s="5" t="s">
        <v>57</v>
      </c>
    </row>
    <row r="1001" spans="1:9" ht="150" x14ac:dyDescent="0.25">
      <c r="A1001" s="5" t="s">
        <v>2367</v>
      </c>
      <c r="B1001" s="5" t="s">
        <v>1428</v>
      </c>
      <c r="C1001" s="5" t="s">
        <v>1330</v>
      </c>
      <c r="D1001" s="5" t="s">
        <v>1331</v>
      </c>
      <c r="E1001" s="5" t="s">
        <v>1229</v>
      </c>
      <c r="F1001" s="5" t="s">
        <v>1333</v>
      </c>
      <c r="G1001" s="5" t="s">
        <v>15</v>
      </c>
      <c r="H1001" s="5" t="s">
        <v>97</v>
      </c>
      <c r="I1001" s="5" t="s">
        <v>57</v>
      </c>
    </row>
    <row r="1002" spans="1:9" ht="150" x14ac:dyDescent="0.25">
      <c r="A1002" s="5" t="s">
        <v>2368</v>
      </c>
      <c r="B1002" s="5" t="s">
        <v>10</v>
      </c>
      <c r="C1002" s="5" t="s">
        <v>1330</v>
      </c>
      <c r="D1002" s="5" t="s">
        <v>1331</v>
      </c>
      <c r="E1002" s="5" t="s">
        <v>1229</v>
      </c>
      <c r="F1002" s="5" t="s">
        <v>1333</v>
      </c>
      <c r="G1002" s="5" t="s">
        <v>15</v>
      </c>
      <c r="H1002" s="5" t="s">
        <v>97</v>
      </c>
      <c r="I1002" s="5" t="s">
        <v>57</v>
      </c>
    </row>
    <row r="1003" spans="1:9" ht="150" x14ac:dyDescent="0.25">
      <c r="A1003" s="5" t="s">
        <v>2369</v>
      </c>
      <c r="B1003" s="5" t="s">
        <v>10</v>
      </c>
      <c r="C1003" s="5" t="s">
        <v>1330</v>
      </c>
      <c r="D1003" s="5" t="s">
        <v>1331</v>
      </c>
      <c r="E1003" s="5" t="s">
        <v>2370</v>
      </c>
      <c r="F1003" s="5" t="s">
        <v>1333</v>
      </c>
      <c r="G1003" s="5" t="s">
        <v>15</v>
      </c>
      <c r="H1003" s="5" t="s">
        <v>265</v>
      </c>
      <c r="I1003" s="5" t="s">
        <v>57</v>
      </c>
    </row>
    <row r="1004" spans="1:9" ht="150" x14ac:dyDescent="0.25">
      <c r="A1004" s="5" t="s">
        <v>2371</v>
      </c>
      <c r="B1004" s="5" t="s">
        <v>1428</v>
      </c>
      <c r="C1004" s="5" t="s">
        <v>1330</v>
      </c>
      <c r="D1004" s="5" t="s">
        <v>1331</v>
      </c>
      <c r="E1004" s="5" t="s">
        <v>2370</v>
      </c>
      <c r="F1004" s="5" t="s">
        <v>1333</v>
      </c>
      <c r="G1004" s="5" t="s">
        <v>15</v>
      </c>
      <c r="H1004" s="5" t="s">
        <v>265</v>
      </c>
      <c r="I1004" s="5" t="s">
        <v>57</v>
      </c>
    </row>
    <row r="1005" spans="1:9" ht="150" x14ac:dyDescent="0.25">
      <c r="A1005" s="5" t="s">
        <v>2372</v>
      </c>
      <c r="B1005" s="5" t="s">
        <v>10</v>
      </c>
      <c r="C1005" s="5" t="s">
        <v>1330</v>
      </c>
      <c r="D1005" s="5" t="s">
        <v>1331</v>
      </c>
      <c r="E1005" s="5" t="s">
        <v>1229</v>
      </c>
      <c r="F1005" s="5" t="s">
        <v>1333</v>
      </c>
      <c r="G1005" s="5" t="s">
        <v>15</v>
      </c>
      <c r="H1005" s="5" t="s">
        <v>97</v>
      </c>
      <c r="I1005" s="5" t="s">
        <v>57</v>
      </c>
    </row>
    <row r="1006" spans="1:9" ht="150" x14ac:dyDescent="0.25">
      <c r="A1006" s="5" t="s">
        <v>2373</v>
      </c>
      <c r="B1006" s="5" t="s">
        <v>10</v>
      </c>
      <c r="C1006" s="5" t="s">
        <v>1330</v>
      </c>
      <c r="D1006" s="5" t="s">
        <v>1331</v>
      </c>
      <c r="E1006" s="5" t="s">
        <v>1229</v>
      </c>
      <c r="F1006" s="5" t="s">
        <v>1333</v>
      </c>
      <c r="G1006" s="5" t="s">
        <v>15</v>
      </c>
      <c r="H1006" s="5" t="s">
        <v>97</v>
      </c>
      <c r="I1006" s="5" t="s">
        <v>57</v>
      </c>
    </row>
    <row r="1007" spans="1:9" ht="150" x14ac:dyDescent="0.25">
      <c r="A1007" s="5" t="s">
        <v>2374</v>
      </c>
      <c r="B1007" s="5" t="s">
        <v>10</v>
      </c>
      <c r="C1007" s="5" t="s">
        <v>1330</v>
      </c>
      <c r="D1007" s="5" t="s">
        <v>1331</v>
      </c>
      <c r="E1007" s="5" t="s">
        <v>2260</v>
      </c>
      <c r="F1007" s="5" t="s">
        <v>1333</v>
      </c>
      <c r="G1007" s="5" t="s">
        <v>15</v>
      </c>
      <c r="H1007" s="5" t="s">
        <v>57</v>
      </c>
      <c r="I1007" s="5" t="s">
        <v>265</v>
      </c>
    </row>
    <row r="1008" spans="1:9" ht="150" x14ac:dyDescent="0.25">
      <c r="A1008" s="5" t="s">
        <v>2375</v>
      </c>
      <c r="B1008" s="5" t="s">
        <v>132</v>
      </c>
      <c r="C1008" s="5" t="s">
        <v>1330</v>
      </c>
      <c r="D1008" s="5" t="s">
        <v>1331</v>
      </c>
      <c r="E1008" s="5" t="s">
        <v>1229</v>
      </c>
      <c r="F1008" s="5" t="s">
        <v>1333</v>
      </c>
      <c r="G1008" s="5" t="s">
        <v>15</v>
      </c>
      <c r="H1008" s="5" t="s">
        <v>57</v>
      </c>
      <c r="I1008" s="5" t="s">
        <v>265</v>
      </c>
    </row>
    <row r="1009" spans="1:9" ht="150" x14ac:dyDescent="0.25">
      <c r="A1009" s="5" t="s">
        <v>2375</v>
      </c>
      <c r="B1009" s="5" t="s">
        <v>1013</v>
      </c>
      <c r="C1009" s="5" t="s">
        <v>1330</v>
      </c>
      <c r="D1009" s="5" t="s">
        <v>1331</v>
      </c>
      <c r="E1009" s="5" t="s">
        <v>1229</v>
      </c>
      <c r="F1009" s="5" t="s">
        <v>1333</v>
      </c>
      <c r="G1009" s="5" t="s">
        <v>15</v>
      </c>
      <c r="H1009" s="5" t="s">
        <v>57</v>
      </c>
      <c r="I1009" s="5" t="s">
        <v>265</v>
      </c>
    </row>
    <row r="1010" spans="1:9" ht="150" x14ac:dyDescent="0.25">
      <c r="A1010" s="5" t="s">
        <v>2376</v>
      </c>
      <c r="B1010" s="5" t="s">
        <v>123</v>
      </c>
      <c r="C1010" s="5" t="s">
        <v>1330</v>
      </c>
      <c r="D1010" s="5" t="s">
        <v>1331</v>
      </c>
      <c r="E1010" s="5" t="s">
        <v>2257</v>
      </c>
      <c r="F1010" s="5" t="s">
        <v>1333</v>
      </c>
      <c r="G1010" s="5" t="s">
        <v>15</v>
      </c>
      <c r="H1010" s="5" t="s">
        <v>97</v>
      </c>
      <c r="I1010" s="5" t="s">
        <v>57</v>
      </c>
    </row>
    <row r="1011" spans="1:9" ht="150" x14ac:dyDescent="0.25">
      <c r="A1011" s="5" t="s">
        <v>2377</v>
      </c>
      <c r="B1011" s="5" t="s">
        <v>1402</v>
      </c>
      <c r="C1011" s="5" t="s">
        <v>1330</v>
      </c>
      <c r="D1011" s="5" t="s">
        <v>1331</v>
      </c>
      <c r="E1011" s="5" t="s">
        <v>2264</v>
      </c>
      <c r="F1011" s="5" t="s">
        <v>1333</v>
      </c>
      <c r="G1011" s="5" t="s">
        <v>15</v>
      </c>
      <c r="H1011" s="5" t="s">
        <v>97</v>
      </c>
      <c r="I1011" s="5" t="s">
        <v>57</v>
      </c>
    </row>
    <row r="1012" spans="1:9" ht="240" x14ac:dyDescent="0.25">
      <c r="A1012" s="5" t="s">
        <v>1337</v>
      </c>
      <c r="B1012" s="5" t="s">
        <v>132</v>
      </c>
      <c r="C1012" s="5" t="s">
        <v>1337</v>
      </c>
      <c r="D1012" s="5" t="s">
        <v>1338</v>
      </c>
      <c r="E1012" s="5" t="s">
        <v>2378</v>
      </c>
      <c r="F1012" s="5" t="s">
        <v>1340</v>
      </c>
      <c r="G1012" s="5" t="s">
        <v>15</v>
      </c>
      <c r="H1012" s="5" t="s">
        <v>57</v>
      </c>
      <c r="I1012" s="5" t="s">
        <v>265</v>
      </c>
    </row>
    <row r="1013" spans="1:9" ht="240" x14ac:dyDescent="0.25">
      <c r="A1013" s="5" t="s">
        <v>2379</v>
      </c>
      <c r="B1013" s="5" t="s">
        <v>132</v>
      </c>
      <c r="C1013" s="5" t="s">
        <v>1337</v>
      </c>
      <c r="D1013" s="5" t="s">
        <v>1338</v>
      </c>
      <c r="E1013" s="5" t="s">
        <v>2378</v>
      </c>
      <c r="F1013" s="5" t="s">
        <v>1340</v>
      </c>
      <c r="G1013" s="5" t="s">
        <v>15</v>
      </c>
      <c r="H1013" s="5" t="s">
        <v>57</v>
      </c>
      <c r="I1013" s="5" t="s">
        <v>265</v>
      </c>
    </row>
    <row r="1014" spans="1:9" ht="240" x14ac:dyDescent="0.25">
      <c r="A1014" s="5" t="s">
        <v>2380</v>
      </c>
      <c r="B1014" s="5" t="s">
        <v>10</v>
      </c>
      <c r="C1014" s="5" t="s">
        <v>1337</v>
      </c>
      <c r="D1014" s="5" t="s">
        <v>1338</v>
      </c>
      <c r="E1014" s="5" t="s">
        <v>1339</v>
      </c>
      <c r="F1014" s="5" t="s">
        <v>1340</v>
      </c>
      <c r="G1014" s="5" t="s">
        <v>15</v>
      </c>
      <c r="H1014" s="5" t="s">
        <v>120</v>
      </c>
      <c r="I1014" s="5" t="s">
        <v>57</v>
      </c>
    </row>
    <row r="1015" spans="1:9" ht="315" x14ac:dyDescent="0.25">
      <c r="A1015" s="5" t="s">
        <v>1344</v>
      </c>
      <c r="B1015" s="5" t="s">
        <v>132</v>
      </c>
      <c r="C1015" s="5" t="s">
        <v>1344</v>
      </c>
      <c r="D1015" s="5" t="s">
        <v>1338</v>
      </c>
      <c r="E1015" s="5" t="s">
        <v>2378</v>
      </c>
      <c r="F1015" s="5" t="s">
        <v>1345</v>
      </c>
      <c r="G1015" s="5" t="s">
        <v>15</v>
      </c>
      <c r="H1015" s="5" t="s">
        <v>57</v>
      </c>
      <c r="I1015" s="5" t="s">
        <v>265</v>
      </c>
    </row>
    <row r="1016" spans="1:9" ht="315" x14ac:dyDescent="0.25">
      <c r="A1016" s="5" t="s">
        <v>2381</v>
      </c>
      <c r="B1016" s="5" t="s">
        <v>132</v>
      </c>
      <c r="C1016" s="5" t="s">
        <v>1344</v>
      </c>
      <c r="D1016" s="5" t="s">
        <v>1338</v>
      </c>
      <c r="E1016" s="5" t="s">
        <v>2378</v>
      </c>
      <c r="F1016" s="5" t="s">
        <v>1345</v>
      </c>
      <c r="G1016" s="5" t="s">
        <v>15</v>
      </c>
      <c r="H1016" s="5" t="s">
        <v>57</v>
      </c>
      <c r="I1016" s="5" t="s">
        <v>120</v>
      </c>
    </row>
    <row r="1017" spans="1:9" ht="315" x14ac:dyDescent="0.25">
      <c r="A1017" s="5" t="s">
        <v>2382</v>
      </c>
      <c r="B1017" s="5" t="s">
        <v>10</v>
      </c>
      <c r="C1017" s="5" t="s">
        <v>1344</v>
      </c>
      <c r="D1017" s="5" t="s">
        <v>1338</v>
      </c>
      <c r="E1017" s="5" t="s">
        <v>1339</v>
      </c>
      <c r="F1017" s="5" t="s">
        <v>1345</v>
      </c>
      <c r="G1017" s="5" t="s">
        <v>15</v>
      </c>
      <c r="H1017" s="5" t="s">
        <v>97</v>
      </c>
      <c r="I1017" s="5" t="s">
        <v>57</v>
      </c>
    </row>
    <row r="1018" spans="1:9" ht="30" x14ac:dyDescent="0.25">
      <c r="A1018" s="5" t="s">
        <v>2383</v>
      </c>
      <c r="B1018" s="5" t="s">
        <v>10</v>
      </c>
      <c r="C1018" s="5" t="s">
        <v>1349</v>
      </c>
      <c r="D1018" s="5" t="s">
        <v>1350</v>
      </c>
      <c r="E1018" s="5" t="s">
        <v>1312</v>
      </c>
      <c r="F1018" s="5" t="s">
        <v>1318</v>
      </c>
      <c r="G1018" s="5" t="s">
        <v>15</v>
      </c>
      <c r="H1018" s="5" t="s">
        <v>57</v>
      </c>
      <c r="I1018" s="5" t="s">
        <v>39</v>
      </c>
    </row>
    <row r="1019" spans="1:9" ht="60" x14ac:dyDescent="0.25">
      <c r="A1019" s="5" t="s">
        <v>2384</v>
      </c>
      <c r="B1019" s="5" t="s">
        <v>10</v>
      </c>
      <c r="C1019" s="5" t="s">
        <v>1349</v>
      </c>
      <c r="D1019" s="5" t="s">
        <v>1350</v>
      </c>
      <c r="E1019" s="5" t="s">
        <v>1312</v>
      </c>
      <c r="F1019" s="5" t="s">
        <v>2385</v>
      </c>
      <c r="G1019" s="5" t="s">
        <v>15</v>
      </c>
      <c r="H1019" s="5" t="s">
        <v>57</v>
      </c>
      <c r="I1019" s="5" t="s">
        <v>56</v>
      </c>
    </row>
    <row r="1020" spans="1:9" ht="45" x14ac:dyDescent="0.25">
      <c r="A1020" s="5" t="s">
        <v>2386</v>
      </c>
      <c r="B1020" s="5" t="s">
        <v>10</v>
      </c>
      <c r="C1020" s="5" t="s">
        <v>1349</v>
      </c>
      <c r="D1020" s="5" t="s">
        <v>1350</v>
      </c>
      <c r="E1020" s="5" t="s">
        <v>1351</v>
      </c>
      <c r="F1020" s="5" t="s">
        <v>2387</v>
      </c>
      <c r="G1020" s="5" t="s">
        <v>15</v>
      </c>
      <c r="H1020" s="5" t="s">
        <v>57</v>
      </c>
      <c r="I1020" s="5" t="s">
        <v>57</v>
      </c>
    </row>
    <row r="1021" spans="1:9" ht="240" x14ac:dyDescent="0.25">
      <c r="A1021" s="5" t="s">
        <v>1358</v>
      </c>
      <c r="B1021" s="5" t="s">
        <v>10</v>
      </c>
      <c r="C1021" s="5" t="s">
        <v>1358</v>
      </c>
      <c r="D1021" s="5" t="s">
        <v>1359</v>
      </c>
      <c r="E1021" s="5" t="s">
        <v>2388</v>
      </c>
      <c r="F1021" s="5" t="s">
        <v>1361</v>
      </c>
      <c r="G1021" s="5" t="s">
        <v>15</v>
      </c>
      <c r="H1021" s="5" t="s">
        <v>97</v>
      </c>
      <c r="I1021" s="5" t="s">
        <v>57</v>
      </c>
    </row>
    <row r="1022" spans="1:9" ht="240" x14ac:dyDescent="0.25">
      <c r="A1022" s="5" t="s">
        <v>2389</v>
      </c>
      <c r="B1022" s="5" t="s">
        <v>10</v>
      </c>
      <c r="C1022" s="5" t="s">
        <v>1358</v>
      </c>
      <c r="D1022" s="5" t="s">
        <v>1359</v>
      </c>
      <c r="E1022" s="5" t="s">
        <v>2388</v>
      </c>
      <c r="F1022" s="5" t="s">
        <v>1361</v>
      </c>
      <c r="G1022" s="5" t="s">
        <v>15</v>
      </c>
      <c r="H1022" s="5" t="s">
        <v>97</v>
      </c>
      <c r="I1022" s="5" t="s">
        <v>57</v>
      </c>
    </row>
    <row r="1023" spans="1:9" ht="240" x14ac:dyDescent="0.25">
      <c r="A1023" s="5" t="s">
        <v>2389</v>
      </c>
      <c r="B1023" s="5" t="s">
        <v>123</v>
      </c>
      <c r="C1023" s="5" t="s">
        <v>1358</v>
      </c>
      <c r="D1023" s="5" t="s">
        <v>1359</v>
      </c>
      <c r="E1023" s="5" t="s">
        <v>2388</v>
      </c>
      <c r="F1023" s="5" t="s">
        <v>1361</v>
      </c>
      <c r="G1023" s="5" t="s">
        <v>15</v>
      </c>
      <c r="H1023" s="5" t="s">
        <v>97</v>
      </c>
      <c r="I1023" s="5" t="s">
        <v>57</v>
      </c>
    </row>
    <row r="1024" spans="1:9" ht="240" x14ac:dyDescent="0.25">
      <c r="A1024" s="5" t="s">
        <v>2390</v>
      </c>
      <c r="B1024" s="5" t="s">
        <v>10</v>
      </c>
      <c r="C1024" s="5" t="s">
        <v>1358</v>
      </c>
      <c r="D1024" s="5" t="s">
        <v>1359</v>
      </c>
      <c r="E1024" s="5" t="s">
        <v>2388</v>
      </c>
      <c r="F1024" s="5" t="s">
        <v>1361</v>
      </c>
      <c r="G1024" s="5" t="s">
        <v>15</v>
      </c>
      <c r="H1024" s="5" t="s">
        <v>97</v>
      </c>
      <c r="I1024" s="5" t="s">
        <v>57</v>
      </c>
    </row>
    <row r="1025" spans="1:9" ht="240" x14ac:dyDescent="0.25">
      <c r="A1025" s="5" t="s">
        <v>2391</v>
      </c>
      <c r="B1025" s="5" t="s">
        <v>123</v>
      </c>
      <c r="C1025" s="5" t="s">
        <v>1358</v>
      </c>
      <c r="D1025" s="5" t="s">
        <v>1359</v>
      </c>
      <c r="E1025" s="5" t="s">
        <v>2388</v>
      </c>
      <c r="F1025" s="5" t="s">
        <v>1361</v>
      </c>
      <c r="G1025" s="5" t="s">
        <v>15</v>
      </c>
      <c r="H1025" s="5" t="s">
        <v>97</v>
      </c>
      <c r="I1025" s="5" t="s">
        <v>57</v>
      </c>
    </row>
    <row r="1026" spans="1:9" ht="240" x14ac:dyDescent="0.25">
      <c r="A1026" s="5" t="s">
        <v>2391</v>
      </c>
      <c r="B1026" s="5" t="s">
        <v>1423</v>
      </c>
      <c r="C1026" s="5" t="s">
        <v>1358</v>
      </c>
      <c r="D1026" s="5" t="s">
        <v>1359</v>
      </c>
      <c r="E1026" s="5" t="s">
        <v>2388</v>
      </c>
      <c r="F1026" s="5" t="s">
        <v>1361</v>
      </c>
      <c r="G1026" s="5" t="s">
        <v>15</v>
      </c>
      <c r="H1026" s="5" t="s">
        <v>97</v>
      </c>
      <c r="I1026" s="5" t="s">
        <v>57</v>
      </c>
    </row>
    <row r="1027" spans="1:9" ht="240" x14ac:dyDescent="0.25">
      <c r="A1027" s="5" t="s">
        <v>2392</v>
      </c>
      <c r="B1027" s="5" t="s">
        <v>10</v>
      </c>
      <c r="C1027" s="5" t="s">
        <v>1358</v>
      </c>
      <c r="D1027" s="5" t="s">
        <v>1359</v>
      </c>
      <c r="E1027" s="5" t="s">
        <v>2388</v>
      </c>
      <c r="F1027" s="5" t="s">
        <v>1361</v>
      </c>
      <c r="G1027" s="5" t="s">
        <v>57</v>
      </c>
      <c r="H1027" s="5" t="s">
        <v>57</v>
      </c>
      <c r="I1027" s="5" t="s">
        <v>57</v>
      </c>
    </row>
    <row r="1028" spans="1:9" ht="240" x14ac:dyDescent="0.25">
      <c r="A1028" s="5" t="s">
        <v>2393</v>
      </c>
      <c r="B1028" s="5" t="s">
        <v>10</v>
      </c>
      <c r="C1028" s="5" t="s">
        <v>1358</v>
      </c>
      <c r="D1028" s="5" t="s">
        <v>1359</v>
      </c>
      <c r="E1028" s="5" t="s">
        <v>1360</v>
      </c>
      <c r="F1028" s="5" t="s">
        <v>1361</v>
      </c>
      <c r="G1028" s="5" t="s">
        <v>15</v>
      </c>
      <c r="H1028" s="5" t="s">
        <v>97</v>
      </c>
      <c r="I1028" s="5" t="s">
        <v>57</v>
      </c>
    </row>
    <row r="1029" spans="1:9" ht="240" x14ac:dyDescent="0.25">
      <c r="A1029" s="5" t="s">
        <v>2394</v>
      </c>
      <c r="B1029" s="5" t="s">
        <v>123</v>
      </c>
      <c r="C1029" s="5" t="s">
        <v>1358</v>
      </c>
      <c r="D1029" s="5" t="s">
        <v>1359</v>
      </c>
      <c r="E1029" s="5" t="s">
        <v>1360</v>
      </c>
      <c r="F1029" s="5" t="s">
        <v>1361</v>
      </c>
      <c r="G1029" s="5" t="s">
        <v>15</v>
      </c>
      <c r="H1029" s="5" t="s">
        <v>97</v>
      </c>
      <c r="I1029" s="5" t="s">
        <v>57</v>
      </c>
    </row>
    <row r="1030" spans="1:9" ht="240" x14ac:dyDescent="0.25">
      <c r="A1030" s="5" t="s">
        <v>2394</v>
      </c>
      <c r="B1030" s="5" t="s">
        <v>1423</v>
      </c>
      <c r="C1030" s="5" t="s">
        <v>1358</v>
      </c>
      <c r="D1030" s="5" t="s">
        <v>1359</v>
      </c>
      <c r="E1030" s="5" t="s">
        <v>1360</v>
      </c>
      <c r="F1030" s="5" t="s">
        <v>1361</v>
      </c>
      <c r="G1030" s="5" t="s">
        <v>15</v>
      </c>
      <c r="H1030" s="5" t="s">
        <v>97</v>
      </c>
      <c r="I1030" s="5" t="s">
        <v>57</v>
      </c>
    </row>
    <row r="1031" spans="1:9" ht="240" x14ac:dyDescent="0.25">
      <c r="A1031" s="5" t="s">
        <v>2395</v>
      </c>
      <c r="B1031" s="5" t="s">
        <v>10</v>
      </c>
      <c r="C1031" s="5" t="s">
        <v>1358</v>
      </c>
      <c r="D1031" s="5" t="s">
        <v>1359</v>
      </c>
      <c r="E1031" s="5" t="s">
        <v>2388</v>
      </c>
      <c r="F1031" s="5" t="s">
        <v>1361</v>
      </c>
      <c r="G1031" s="5" t="s">
        <v>57</v>
      </c>
      <c r="H1031" s="5" t="s">
        <v>57</v>
      </c>
      <c r="I1031" s="5" t="s">
        <v>57</v>
      </c>
    </row>
    <row r="1032" spans="1:9" ht="240" x14ac:dyDescent="0.25">
      <c r="A1032" s="5" t="s">
        <v>2396</v>
      </c>
      <c r="B1032" s="5" t="s">
        <v>10</v>
      </c>
      <c r="C1032" s="5" t="s">
        <v>1358</v>
      </c>
      <c r="D1032" s="5" t="s">
        <v>1359</v>
      </c>
      <c r="E1032" s="5" t="s">
        <v>1360</v>
      </c>
      <c r="F1032" s="5" t="s">
        <v>1361</v>
      </c>
      <c r="G1032" s="5" t="s">
        <v>15</v>
      </c>
      <c r="H1032" s="5" t="s">
        <v>57</v>
      </c>
      <c r="I1032" s="5" t="s">
        <v>39</v>
      </c>
    </row>
    <row r="1033" spans="1:9" ht="240" x14ac:dyDescent="0.25">
      <c r="A1033" s="5" t="s">
        <v>2396</v>
      </c>
      <c r="B1033" s="5" t="s">
        <v>123</v>
      </c>
      <c r="C1033" s="5" t="s">
        <v>1358</v>
      </c>
      <c r="D1033" s="5" t="s">
        <v>1359</v>
      </c>
      <c r="E1033" s="5" t="s">
        <v>1360</v>
      </c>
      <c r="F1033" s="5" t="s">
        <v>1361</v>
      </c>
      <c r="G1033" s="5" t="s">
        <v>15</v>
      </c>
      <c r="H1033" s="5" t="s">
        <v>57</v>
      </c>
      <c r="I1033" s="5" t="s">
        <v>39</v>
      </c>
    </row>
    <row r="1034" spans="1:9" ht="240" x14ac:dyDescent="0.25">
      <c r="A1034" s="5" t="s">
        <v>2397</v>
      </c>
      <c r="B1034" s="5" t="s">
        <v>10</v>
      </c>
      <c r="C1034" s="5" t="s">
        <v>1358</v>
      </c>
      <c r="D1034" s="5" t="s">
        <v>1359</v>
      </c>
      <c r="E1034" s="5" t="s">
        <v>1360</v>
      </c>
      <c r="F1034" s="5" t="s">
        <v>1361</v>
      </c>
      <c r="G1034" s="5" t="s">
        <v>15</v>
      </c>
      <c r="H1034" s="5" t="s">
        <v>97</v>
      </c>
      <c r="I1034" s="5" t="s">
        <v>57</v>
      </c>
    </row>
    <row r="1035" spans="1:9" ht="240" x14ac:dyDescent="0.25">
      <c r="A1035" s="5" t="s">
        <v>2398</v>
      </c>
      <c r="B1035" s="5" t="s">
        <v>1428</v>
      </c>
      <c r="C1035" s="5" t="s">
        <v>1358</v>
      </c>
      <c r="D1035" s="5" t="s">
        <v>1359</v>
      </c>
      <c r="E1035" s="5" t="s">
        <v>1360</v>
      </c>
      <c r="F1035" s="5" t="s">
        <v>1361</v>
      </c>
      <c r="G1035" s="5" t="s">
        <v>15</v>
      </c>
      <c r="H1035" s="5" t="s">
        <v>97</v>
      </c>
      <c r="I1035" s="5" t="s">
        <v>57</v>
      </c>
    </row>
    <row r="1036" spans="1:9" ht="240" x14ac:dyDescent="0.25">
      <c r="A1036" s="5" t="s">
        <v>2399</v>
      </c>
      <c r="B1036" s="5" t="s">
        <v>10</v>
      </c>
      <c r="C1036" s="5" t="s">
        <v>1358</v>
      </c>
      <c r="D1036" s="5" t="s">
        <v>1359</v>
      </c>
      <c r="E1036" s="5" t="s">
        <v>1360</v>
      </c>
      <c r="F1036" s="5" t="s">
        <v>1361</v>
      </c>
      <c r="G1036" s="5" t="s">
        <v>15</v>
      </c>
      <c r="H1036" s="5" t="s">
        <v>97</v>
      </c>
      <c r="I1036" s="5" t="s">
        <v>57</v>
      </c>
    </row>
    <row r="1037" spans="1:9" ht="240" x14ac:dyDescent="0.25">
      <c r="A1037" s="5" t="s">
        <v>2400</v>
      </c>
      <c r="B1037" s="5" t="s">
        <v>10</v>
      </c>
      <c r="C1037" s="5" t="s">
        <v>1358</v>
      </c>
      <c r="D1037" s="5" t="s">
        <v>1359</v>
      </c>
      <c r="E1037" s="5" t="s">
        <v>2388</v>
      </c>
      <c r="F1037" s="5" t="s">
        <v>1361</v>
      </c>
      <c r="G1037" s="5" t="s">
        <v>15</v>
      </c>
      <c r="H1037" s="5" t="s">
        <v>97</v>
      </c>
      <c r="I1037" s="5" t="s">
        <v>57</v>
      </c>
    </row>
    <row r="1038" spans="1:9" ht="240" x14ac:dyDescent="0.25">
      <c r="A1038" s="5" t="s">
        <v>2401</v>
      </c>
      <c r="B1038" s="5" t="s">
        <v>10</v>
      </c>
      <c r="C1038" s="5" t="s">
        <v>1358</v>
      </c>
      <c r="D1038" s="5" t="s">
        <v>1359</v>
      </c>
      <c r="E1038" s="5" t="s">
        <v>1360</v>
      </c>
      <c r="F1038" s="5" t="s">
        <v>1361</v>
      </c>
      <c r="G1038" s="5" t="s">
        <v>15</v>
      </c>
      <c r="H1038" s="5" t="s">
        <v>57</v>
      </c>
      <c r="I1038" s="5" t="s">
        <v>120</v>
      </c>
    </row>
    <row r="1039" spans="1:9" ht="240" x14ac:dyDescent="0.25">
      <c r="A1039" s="5" t="s">
        <v>2402</v>
      </c>
      <c r="B1039" s="5" t="s">
        <v>10</v>
      </c>
      <c r="C1039" s="5" t="s">
        <v>1358</v>
      </c>
      <c r="D1039" s="5" t="s">
        <v>1359</v>
      </c>
      <c r="E1039" s="5" t="s">
        <v>1360</v>
      </c>
      <c r="F1039" s="5" t="s">
        <v>1361</v>
      </c>
      <c r="G1039" s="5" t="s">
        <v>15</v>
      </c>
      <c r="H1039" s="5" t="s">
        <v>97</v>
      </c>
      <c r="I1039" s="5" t="s">
        <v>57</v>
      </c>
    </row>
    <row r="1040" spans="1:9" ht="240" x14ac:dyDescent="0.25">
      <c r="A1040" s="5" t="s">
        <v>2403</v>
      </c>
      <c r="B1040" s="5" t="s">
        <v>10</v>
      </c>
      <c r="C1040" s="5" t="s">
        <v>1358</v>
      </c>
      <c r="D1040" s="5" t="s">
        <v>1359</v>
      </c>
      <c r="E1040" s="5" t="s">
        <v>2388</v>
      </c>
      <c r="F1040" s="5" t="s">
        <v>1361</v>
      </c>
      <c r="G1040" s="5" t="s">
        <v>15</v>
      </c>
      <c r="H1040" s="5" t="s">
        <v>97</v>
      </c>
      <c r="I1040" s="5" t="s">
        <v>57</v>
      </c>
    </row>
    <row r="1041" spans="1:9" ht="240" x14ac:dyDescent="0.25">
      <c r="A1041" s="5" t="s">
        <v>2404</v>
      </c>
      <c r="B1041" s="5" t="s">
        <v>123</v>
      </c>
      <c r="C1041" s="5" t="s">
        <v>1358</v>
      </c>
      <c r="D1041" s="5" t="s">
        <v>1359</v>
      </c>
      <c r="E1041" s="5" t="s">
        <v>2388</v>
      </c>
      <c r="F1041" s="5" t="s">
        <v>1361</v>
      </c>
      <c r="G1041" s="5" t="s">
        <v>15</v>
      </c>
      <c r="H1041" s="5" t="s">
        <v>97</v>
      </c>
      <c r="I1041" s="5" t="s">
        <v>57</v>
      </c>
    </row>
    <row r="1042" spans="1:9" ht="240" x14ac:dyDescent="0.25">
      <c r="A1042" s="5" t="s">
        <v>2405</v>
      </c>
      <c r="B1042" s="5" t="s">
        <v>10</v>
      </c>
      <c r="C1042" s="5" t="s">
        <v>1358</v>
      </c>
      <c r="D1042" s="5" t="s">
        <v>1359</v>
      </c>
      <c r="E1042" s="5" t="s">
        <v>2388</v>
      </c>
      <c r="F1042" s="5" t="s">
        <v>1361</v>
      </c>
      <c r="G1042" s="5" t="s">
        <v>15</v>
      </c>
      <c r="H1042" s="5" t="s">
        <v>97</v>
      </c>
      <c r="I1042" s="5" t="s">
        <v>57</v>
      </c>
    </row>
    <row r="1043" spans="1:9" ht="240" x14ac:dyDescent="0.25">
      <c r="A1043" s="5" t="s">
        <v>2406</v>
      </c>
      <c r="B1043" s="5" t="s">
        <v>123</v>
      </c>
      <c r="C1043" s="5" t="s">
        <v>1358</v>
      </c>
      <c r="D1043" s="5" t="s">
        <v>1359</v>
      </c>
      <c r="E1043" s="5" t="s">
        <v>2388</v>
      </c>
      <c r="F1043" s="5" t="s">
        <v>1361</v>
      </c>
      <c r="G1043" s="5" t="s">
        <v>15</v>
      </c>
      <c r="H1043" s="5" t="s">
        <v>97</v>
      </c>
      <c r="I1043" s="5" t="s">
        <v>57</v>
      </c>
    </row>
    <row r="1044" spans="1:9" ht="240" x14ac:dyDescent="0.25">
      <c r="A1044" s="5" t="s">
        <v>2407</v>
      </c>
      <c r="B1044" s="5" t="s">
        <v>10</v>
      </c>
      <c r="C1044" s="5" t="s">
        <v>1358</v>
      </c>
      <c r="D1044" s="5" t="s">
        <v>1359</v>
      </c>
      <c r="E1044" s="5" t="s">
        <v>2388</v>
      </c>
      <c r="F1044" s="5" t="s">
        <v>1361</v>
      </c>
      <c r="G1044" s="5" t="s">
        <v>15</v>
      </c>
      <c r="H1044" s="5" t="s">
        <v>97</v>
      </c>
      <c r="I1044" s="5" t="s">
        <v>57</v>
      </c>
    </row>
    <row r="1045" spans="1:9" ht="240" x14ac:dyDescent="0.25">
      <c r="A1045" s="5" t="s">
        <v>2408</v>
      </c>
      <c r="B1045" s="5" t="s">
        <v>132</v>
      </c>
      <c r="C1045" s="5" t="s">
        <v>1358</v>
      </c>
      <c r="D1045" s="5" t="s">
        <v>1359</v>
      </c>
      <c r="E1045" s="5" t="s">
        <v>2388</v>
      </c>
      <c r="F1045" s="5" t="s">
        <v>1361</v>
      </c>
      <c r="G1045" s="5" t="s">
        <v>15</v>
      </c>
      <c r="H1045" s="5" t="s">
        <v>97</v>
      </c>
      <c r="I1045" s="5" t="s">
        <v>57</v>
      </c>
    </row>
    <row r="1046" spans="1:9" ht="240" x14ac:dyDescent="0.25">
      <c r="A1046" s="5" t="s">
        <v>2409</v>
      </c>
      <c r="B1046" s="5" t="s">
        <v>132</v>
      </c>
      <c r="C1046" s="5" t="s">
        <v>1358</v>
      </c>
      <c r="D1046" s="5" t="s">
        <v>1359</v>
      </c>
      <c r="E1046" s="5" t="s">
        <v>1360</v>
      </c>
      <c r="F1046" s="5" t="s">
        <v>1361</v>
      </c>
      <c r="G1046" s="5" t="s">
        <v>15</v>
      </c>
      <c r="H1046" s="5" t="s">
        <v>57</v>
      </c>
      <c r="I1046" s="5" t="s">
        <v>265</v>
      </c>
    </row>
    <row r="1047" spans="1:9" ht="240" x14ac:dyDescent="0.25">
      <c r="A1047" s="5" t="s">
        <v>2409</v>
      </c>
      <c r="B1047" s="5" t="s">
        <v>991</v>
      </c>
      <c r="C1047" s="5" t="s">
        <v>1358</v>
      </c>
      <c r="D1047" s="5" t="s">
        <v>1359</v>
      </c>
      <c r="E1047" s="5" t="s">
        <v>1360</v>
      </c>
      <c r="F1047" s="5" t="s">
        <v>1361</v>
      </c>
      <c r="G1047" s="5" t="s">
        <v>15</v>
      </c>
      <c r="H1047" s="5" t="s">
        <v>57</v>
      </c>
      <c r="I1047" s="5" t="s">
        <v>265</v>
      </c>
    </row>
    <row r="1048" spans="1:9" ht="240" x14ac:dyDescent="0.25">
      <c r="A1048" s="5" t="s">
        <v>2410</v>
      </c>
      <c r="B1048" s="5" t="s">
        <v>132</v>
      </c>
      <c r="C1048" s="5" t="s">
        <v>1358</v>
      </c>
      <c r="D1048" s="5" t="s">
        <v>1359</v>
      </c>
      <c r="E1048" s="5" t="s">
        <v>2388</v>
      </c>
      <c r="F1048" s="5" t="s">
        <v>1361</v>
      </c>
      <c r="G1048" s="5" t="s">
        <v>15</v>
      </c>
      <c r="H1048" s="5" t="s">
        <v>57</v>
      </c>
      <c r="I1048" s="5" t="s">
        <v>120</v>
      </c>
    </row>
    <row r="1049" spans="1:9" ht="240" x14ac:dyDescent="0.25">
      <c r="A1049" s="5" t="s">
        <v>2410</v>
      </c>
      <c r="B1049" s="5" t="s">
        <v>1013</v>
      </c>
      <c r="C1049" s="5" t="s">
        <v>1358</v>
      </c>
      <c r="D1049" s="5" t="s">
        <v>1359</v>
      </c>
      <c r="E1049" s="5" t="s">
        <v>2388</v>
      </c>
      <c r="F1049" s="5" t="s">
        <v>1361</v>
      </c>
      <c r="G1049" s="5" t="s">
        <v>15</v>
      </c>
      <c r="H1049" s="5" t="s">
        <v>57</v>
      </c>
      <c r="I1049" s="5" t="s">
        <v>120</v>
      </c>
    </row>
    <row r="1050" spans="1:9" ht="240" x14ac:dyDescent="0.25">
      <c r="A1050" s="5" t="s">
        <v>2411</v>
      </c>
      <c r="B1050" s="5" t="s">
        <v>132</v>
      </c>
      <c r="C1050" s="5" t="s">
        <v>1358</v>
      </c>
      <c r="D1050" s="5" t="s">
        <v>1359</v>
      </c>
      <c r="E1050" s="5" t="s">
        <v>2388</v>
      </c>
      <c r="F1050" s="5" t="s">
        <v>1361</v>
      </c>
      <c r="G1050" s="5" t="s">
        <v>15</v>
      </c>
      <c r="H1050" s="5" t="s">
        <v>97</v>
      </c>
      <c r="I1050" s="5" t="s">
        <v>57</v>
      </c>
    </row>
    <row r="1051" spans="1:9" ht="240" x14ac:dyDescent="0.25">
      <c r="A1051" s="5" t="s">
        <v>2412</v>
      </c>
      <c r="B1051" s="5" t="s">
        <v>1013</v>
      </c>
      <c r="C1051" s="5" t="s">
        <v>1358</v>
      </c>
      <c r="D1051" s="5" t="s">
        <v>1359</v>
      </c>
      <c r="E1051" s="5" t="s">
        <v>2388</v>
      </c>
      <c r="F1051" s="5" t="s">
        <v>1361</v>
      </c>
      <c r="G1051" s="5" t="s">
        <v>15</v>
      </c>
      <c r="H1051" s="5" t="s">
        <v>97</v>
      </c>
      <c r="I1051" s="5" t="s">
        <v>57</v>
      </c>
    </row>
    <row r="1052" spans="1:9" ht="240" x14ac:dyDescent="0.25">
      <c r="A1052" s="5" t="s">
        <v>2413</v>
      </c>
      <c r="B1052" s="5" t="s">
        <v>132</v>
      </c>
      <c r="C1052" s="5" t="s">
        <v>1358</v>
      </c>
      <c r="D1052" s="5" t="s">
        <v>1359</v>
      </c>
      <c r="E1052" s="5" t="s">
        <v>2388</v>
      </c>
      <c r="F1052" s="5" t="s">
        <v>1361</v>
      </c>
      <c r="G1052" s="5" t="s">
        <v>15</v>
      </c>
      <c r="H1052" s="5" t="s">
        <v>57</v>
      </c>
      <c r="I1052" s="5" t="s">
        <v>57</v>
      </c>
    </row>
    <row r="1053" spans="1:9" ht="240" x14ac:dyDescent="0.25">
      <c r="A1053" s="5" t="s">
        <v>2414</v>
      </c>
      <c r="B1053" s="5" t="s">
        <v>2415</v>
      </c>
      <c r="C1053" s="5" t="s">
        <v>1358</v>
      </c>
      <c r="D1053" s="5" t="s">
        <v>1359</v>
      </c>
      <c r="E1053" s="5" t="s">
        <v>2388</v>
      </c>
      <c r="F1053" s="5" t="s">
        <v>1361</v>
      </c>
      <c r="G1053" s="5" t="s">
        <v>57</v>
      </c>
      <c r="H1053" s="5" t="s">
        <v>57</v>
      </c>
      <c r="I1053" s="5" t="s">
        <v>57</v>
      </c>
    </row>
    <row r="1054" spans="1:9" ht="240" x14ac:dyDescent="0.25">
      <c r="A1054" s="5" t="s">
        <v>2416</v>
      </c>
      <c r="B1054" s="5" t="s">
        <v>1013</v>
      </c>
      <c r="C1054" s="5" t="s">
        <v>1358</v>
      </c>
      <c r="D1054" s="5" t="s">
        <v>1359</v>
      </c>
      <c r="E1054" s="5" t="s">
        <v>2388</v>
      </c>
      <c r="F1054" s="5" t="s">
        <v>1361</v>
      </c>
      <c r="G1054" s="5" t="s">
        <v>57</v>
      </c>
      <c r="H1054" s="5" t="s">
        <v>57</v>
      </c>
      <c r="I1054" s="5" t="s">
        <v>57</v>
      </c>
    </row>
    <row r="1055" spans="1:9" ht="240" x14ac:dyDescent="0.25">
      <c r="A1055" s="5" t="s">
        <v>2417</v>
      </c>
      <c r="B1055" s="5" t="s">
        <v>2415</v>
      </c>
      <c r="C1055" s="5" t="s">
        <v>1358</v>
      </c>
      <c r="D1055" s="5" t="s">
        <v>1359</v>
      </c>
      <c r="E1055" s="5" t="s">
        <v>2388</v>
      </c>
      <c r="F1055" s="5" t="s">
        <v>1361</v>
      </c>
      <c r="G1055" s="5" t="s">
        <v>57</v>
      </c>
      <c r="H1055" s="5" t="s">
        <v>57</v>
      </c>
      <c r="I1055" s="5" t="s">
        <v>57</v>
      </c>
    </row>
    <row r="1056" spans="1:9" ht="240" x14ac:dyDescent="0.25">
      <c r="A1056" s="5" t="s">
        <v>2418</v>
      </c>
      <c r="B1056" s="5" t="s">
        <v>123</v>
      </c>
      <c r="C1056" s="5" t="s">
        <v>1358</v>
      </c>
      <c r="D1056" s="5" t="s">
        <v>1359</v>
      </c>
      <c r="E1056" s="5" t="s">
        <v>2388</v>
      </c>
      <c r="F1056" s="5" t="s">
        <v>1361</v>
      </c>
      <c r="G1056" s="5" t="s">
        <v>57</v>
      </c>
      <c r="H1056" s="5" t="s">
        <v>57</v>
      </c>
      <c r="I1056" s="5" t="s">
        <v>57</v>
      </c>
    </row>
    <row r="1057" spans="1:9" ht="240" x14ac:dyDescent="0.25">
      <c r="A1057" s="5" t="s">
        <v>2419</v>
      </c>
      <c r="B1057" s="5" t="s">
        <v>2013</v>
      </c>
      <c r="C1057" s="5" t="s">
        <v>1358</v>
      </c>
      <c r="D1057" s="5" t="s">
        <v>1359</v>
      </c>
      <c r="E1057" s="5" t="s">
        <v>2388</v>
      </c>
      <c r="F1057" s="5" t="s">
        <v>1361</v>
      </c>
      <c r="G1057" s="5" t="s">
        <v>57</v>
      </c>
      <c r="H1057" s="5" t="s">
        <v>57</v>
      </c>
      <c r="I1057" s="5" t="s">
        <v>57</v>
      </c>
    </row>
    <row r="1058" spans="1:9" ht="240" x14ac:dyDescent="0.25">
      <c r="A1058" s="5" t="s">
        <v>2419</v>
      </c>
      <c r="B1058" s="5" t="s">
        <v>2415</v>
      </c>
      <c r="C1058" s="5" t="s">
        <v>1358</v>
      </c>
      <c r="D1058" s="5" t="s">
        <v>1359</v>
      </c>
      <c r="E1058" s="5" t="s">
        <v>2388</v>
      </c>
      <c r="F1058" s="5" t="s">
        <v>1361</v>
      </c>
      <c r="G1058" s="5" t="s">
        <v>57</v>
      </c>
      <c r="H1058" s="5" t="s">
        <v>57</v>
      </c>
      <c r="I1058" s="5" t="s">
        <v>57</v>
      </c>
    </row>
    <row r="1059" spans="1:9" ht="240" x14ac:dyDescent="0.25">
      <c r="A1059" s="5" t="s">
        <v>2420</v>
      </c>
      <c r="B1059" s="5" t="s">
        <v>2223</v>
      </c>
      <c r="C1059" s="5" t="s">
        <v>1358</v>
      </c>
      <c r="D1059" s="5" t="s">
        <v>1359</v>
      </c>
      <c r="E1059" s="5" t="s">
        <v>1360</v>
      </c>
      <c r="F1059" s="5" t="s">
        <v>1361</v>
      </c>
      <c r="G1059" s="5" t="s">
        <v>15</v>
      </c>
      <c r="H1059" s="5" t="s">
        <v>97</v>
      </c>
      <c r="I1059" s="5" t="s">
        <v>57</v>
      </c>
    </row>
    <row r="1060" spans="1:9" ht="240" x14ac:dyDescent="0.25">
      <c r="A1060" s="5" t="s">
        <v>2421</v>
      </c>
      <c r="B1060" s="5" t="s">
        <v>2223</v>
      </c>
      <c r="C1060" s="5" t="s">
        <v>1358</v>
      </c>
      <c r="D1060" s="5" t="s">
        <v>1359</v>
      </c>
      <c r="E1060" s="5" t="s">
        <v>1360</v>
      </c>
      <c r="F1060" s="5" t="s">
        <v>1361</v>
      </c>
      <c r="G1060" s="5" t="s">
        <v>15</v>
      </c>
      <c r="H1060" s="5" t="s">
        <v>97</v>
      </c>
      <c r="I1060" s="5" t="s">
        <v>57</v>
      </c>
    </row>
    <row r="1061" spans="1:9" ht="240" x14ac:dyDescent="0.25">
      <c r="A1061" s="5" t="s">
        <v>2422</v>
      </c>
      <c r="B1061" s="5" t="s">
        <v>2223</v>
      </c>
      <c r="C1061" s="5" t="s">
        <v>1358</v>
      </c>
      <c r="D1061" s="5" t="s">
        <v>1359</v>
      </c>
      <c r="E1061" s="5" t="s">
        <v>2388</v>
      </c>
      <c r="F1061" s="5" t="s">
        <v>1361</v>
      </c>
      <c r="G1061" s="5" t="s">
        <v>15</v>
      </c>
      <c r="H1061" s="5" t="s">
        <v>97</v>
      </c>
      <c r="I1061" s="5" t="s">
        <v>57</v>
      </c>
    </row>
    <row r="1062" spans="1:9" ht="240" x14ac:dyDescent="0.25">
      <c r="A1062" s="5" t="s">
        <v>2423</v>
      </c>
      <c r="B1062" s="5" t="s">
        <v>123</v>
      </c>
      <c r="C1062" s="5" t="s">
        <v>1358</v>
      </c>
      <c r="D1062" s="5" t="s">
        <v>1359</v>
      </c>
      <c r="E1062" s="5" t="s">
        <v>1360</v>
      </c>
      <c r="F1062" s="5" t="s">
        <v>1361</v>
      </c>
      <c r="G1062" s="5" t="s">
        <v>15</v>
      </c>
      <c r="H1062" s="5" t="s">
        <v>97</v>
      </c>
      <c r="I1062" s="5" t="s">
        <v>57</v>
      </c>
    </row>
    <row r="1063" spans="1:9" ht="240" x14ac:dyDescent="0.25">
      <c r="A1063" s="5" t="s">
        <v>2424</v>
      </c>
      <c r="B1063" s="5" t="s">
        <v>123</v>
      </c>
      <c r="C1063" s="5" t="s">
        <v>1358</v>
      </c>
      <c r="D1063" s="5" t="s">
        <v>1359</v>
      </c>
      <c r="E1063" s="5" t="s">
        <v>1360</v>
      </c>
      <c r="F1063" s="5" t="s">
        <v>1361</v>
      </c>
      <c r="G1063" s="5" t="s">
        <v>15</v>
      </c>
      <c r="H1063" s="5" t="s">
        <v>97</v>
      </c>
      <c r="I1063" s="5" t="s">
        <v>57</v>
      </c>
    </row>
    <row r="1064" spans="1:9" ht="375" x14ac:dyDescent="0.25">
      <c r="A1064" s="5" t="s">
        <v>1367</v>
      </c>
      <c r="B1064" s="5" t="s">
        <v>10</v>
      </c>
      <c r="C1064" s="5" t="s">
        <v>1367</v>
      </c>
      <c r="D1064" s="5" t="s">
        <v>1359</v>
      </c>
      <c r="E1064" s="5" t="s">
        <v>2388</v>
      </c>
      <c r="F1064" s="5" t="s">
        <v>2425</v>
      </c>
      <c r="G1064" s="5" t="s">
        <v>15</v>
      </c>
      <c r="H1064" s="5" t="s">
        <v>97</v>
      </c>
      <c r="I1064" s="5" t="s">
        <v>57</v>
      </c>
    </row>
    <row r="1065" spans="1:9" ht="375" x14ac:dyDescent="0.25">
      <c r="A1065" s="5" t="s">
        <v>2426</v>
      </c>
      <c r="B1065" s="5" t="s">
        <v>10</v>
      </c>
      <c r="C1065" s="5" t="s">
        <v>1367</v>
      </c>
      <c r="D1065" s="5" t="s">
        <v>1359</v>
      </c>
      <c r="E1065" s="5" t="s">
        <v>2388</v>
      </c>
      <c r="F1065" s="5" t="s">
        <v>2425</v>
      </c>
      <c r="G1065" s="5" t="s">
        <v>15</v>
      </c>
      <c r="H1065" s="5" t="s">
        <v>97</v>
      </c>
      <c r="I1065" s="5" t="s">
        <v>57</v>
      </c>
    </row>
    <row r="1066" spans="1:9" ht="375" x14ac:dyDescent="0.25">
      <c r="A1066" s="5" t="s">
        <v>2426</v>
      </c>
      <c r="B1066" s="5" t="s">
        <v>123</v>
      </c>
      <c r="C1066" s="5" t="s">
        <v>1367</v>
      </c>
      <c r="D1066" s="5" t="s">
        <v>1359</v>
      </c>
      <c r="E1066" s="5" t="s">
        <v>2388</v>
      </c>
      <c r="F1066" s="5" t="s">
        <v>2425</v>
      </c>
      <c r="G1066" s="5" t="s">
        <v>15</v>
      </c>
      <c r="H1066" s="5" t="s">
        <v>97</v>
      </c>
      <c r="I1066" s="5" t="s">
        <v>57</v>
      </c>
    </row>
    <row r="1067" spans="1:9" ht="375" x14ac:dyDescent="0.25">
      <c r="A1067" s="5" t="s">
        <v>2427</v>
      </c>
      <c r="B1067" s="5" t="s">
        <v>10</v>
      </c>
      <c r="C1067" s="5" t="s">
        <v>1367</v>
      </c>
      <c r="D1067" s="5" t="s">
        <v>1359</v>
      </c>
      <c r="E1067" s="5" t="s">
        <v>2388</v>
      </c>
      <c r="F1067" s="5" t="s">
        <v>2425</v>
      </c>
      <c r="G1067" s="5" t="s">
        <v>15</v>
      </c>
      <c r="H1067" s="5" t="s">
        <v>97</v>
      </c>
      <c r="I1067" s="5" t="s">
        <v>57</v>
      </c>
    </row>
    <row r="1068" spans="1:9" ht="375" x14ac:dyDescent="0.25">
      <c r="A1068" s="5" t="s">
        <v>2428</v>
      </c>
      <c r="B1068" s="5" t="s">
        <v>123</v>
      </c>
      <c r="C1068" s="5" t="s">
        <v>1367</v>
      </c>
      <c r="D1068" s="5" t="s">
        <v>1359</v>
      </c>
      <c r="E1068" s="5" t="s">
        <v>2388</v>
      </c>
      <c r="F1068" s="5" t="s">
        <v>2425</v>
      </c>
      <c r="G1068" s="5" t="s">
        <v>15</v>
      </c>
      <c r="H1068" s="5" t="s">
        <v>97</v>
      </c>
      <c r="I1068" s="5" t="s">
        <v>57</v>
      </c>
    </row>
    <row r="1069" spans="1:9" ht="375" x14ac:dyDescent="0.25">
      <c r="A1069" s="5" t="s">
        <v>2428</v>
      </c>
      <c r="B1069" s="5" t="s">
        <v>1423</v>
      </c>
      <c r="C1069" s="5" t="s">
        <v>1367</v>
      </c>
      <c r="D1069" s="5" t="s">
        <v>1359</v>
      </c>
      <c r="E1069" s="5" t="s">
        <v>2388</v>
      </c>
      <c r="F1069" s="5" t="s">
        <v>2425</v>
      </c>
      <c r="G1069" s="5" t="s">
        <v>15</v>
      </c>
      <c r="H1069" s="5" t="s">
        <v>97</v>
      </c>
      <c r="I1069" s="5" t="s">
        <v>57</v>
      </c>
    </row>
    <row r="1070" spans="1:9" ht="375" x14ac:dyDescent="0.25">
      <c r="A1070" s="5" t="s">
        <v>2429</v>
      </c>
      <c r="B1070" s="5" t="s">
        <v>10</v>
      </c>
      <c r="C1070" s="5" t="s">
        <v>1367</v>
      </c>
      <c r="D1070" s="5" t="s">
        <v>1359</v>
      </c>
      <c r="E1070" s="5" t="s">
        <v>1360</v>
      </c>
      <c r="F1070" s="5" t="s">
        <v>2425</v>
      </c>
      <c r="G1070" s="5" t="s">
        <v>15</v>
      </c>
      <c r="H1070" s="5" t="s">
        <v>97</v>
      </c>
      <c r="I1070" s="5" t="s">
        <v>57</v>
      </c>
    </row>
    <row r="1071" spans="1:9" ht="375" x14ac:dyDescent="0.25">
      <c r="A1071" s="5" t="s">
        <v>2430</v>
      </c>
      <c r="B1071" s="5" t="s">
        <v>123</v>
      </c>
      <c r="C1071" s="5" t="s">
        <v>1367</v>
      </c>
      <c r="D1071" s="5" t="s">
        <v>1359</v>
      </c>
      <c r="E1071" s="5" t="s">
        <v>1360</v>
      </c>
      <c r="F1071" s="5" t="s">
        <v>2425</v>
      </c>
      <c r="G1071" s="5" t="s">
        <v>15</v>
      </c>
      <c r="H1071" s="5" t="s">
        <v>97</v>
      </c>
      <c r="I1071" s="5" t="s">
        <v>57</v>
      </c>
    </row>
    <row r="1072" spans="1:9" ht="375" x14ac:dyDescent="0.25">
      <c r="A1072" s="5" t="s">
        <v>2430</v>
      </c>
      <c r="B1072" s="5" t="s">
        <v>1423</v>
      </c>
      <c r="C1072" s="5" t="s">
        <v>1367</v>
      </c>
      <c r="D1072" s="5" t="s">
        <v>1359</v>
      </c>
      <c r="E1072" s="5" t="s">
        <v>1360</v>
      </c>
      <c r="F1072" s="5" t="s">
        <v>2425</v>
      </c>
      <c r="G1072" s="5" t="s">
        <v>15</v>
      </c>
      <c r="H1072" s="5" t="s">
        <v>97</v>
      </c>
      <c r="I1072" s="5" t="s">
        <v>57</v>
      </c>
    </row>
    <row r="1073" spans="1:9" ht="375" x14ac:dyDescent="0.25">
      <c r="A1073" s="5" t="s">
        <v>2431</v>
      </c>
      <c r="B1073" s="5" t="s">
        <v>10</v>
      </c>
      <c r="C1073" s="5" t="s">
        <v>1367</v>
      </c>
      <c r="D1073" s="5" t="s">
        <v>1359</v>
      </c>
      <c r="E1073" s="5" t="s">
        <v>2388</v>
      </c>
      <c r="F1073" s="5" t="s">
        <v>2425</v>
      </c>
      <c r="G1073" s="5" t="s">
        <v>57</v>
      </c>
      <c r="H1073" s="5" t="s">
        <v>57</v>
      </c>
      <c r="I1073" s="5" t="s">
        <v>57</v>
      </c>
    </row>
    <row r="1074" spans="1:9" ht="375" x14ac:dyDescent="0.25">
      <c r="A1074" s="5" t="s">
        <v>2432</v>
      </c>
      <c r="B1074" s="5" t="s">
        <v>123</v>
      </c>
      <c r="C1074" s="5" t="s">
        <v>1367</v>
      </c>
      <c r="D1074" s="5" t="s">
        <v>1359</v>
      </c>
      <c r="E1074" s="5" t="s">
        <v>2388</v>
      </c>
      <c r="F1074" s="5" t="s">
        <v>2425</v>
      </c>
      <c r="G1074" s="5" t="s">
        <v>57</v>
      </c>
      <c r="H1074" s="5" t="s">
        <v>57</v>
      </c>
      <c r="I1074" s="5" t="s">
        <v>57</v>
      </c>
    </row>
    <row r="1075" spans="1:9" ht="375" x14ac:dyDescent="0.25">
      <c r="A1075" s="5" t="s">
        <v>2432</v>
      </c>
      <c r="B1075" s="5" t="s">
        <v>1423</v>
      </c>
      <c r="C1075" s="5" t="s">
        <v>1367</v>
      </c>
      <c r="D1075" s="5" t="s">
        <v>1359</v>
      </c>
      <c r="E1075" s="5" t="s">
        <v>2388</v>
      </c>
      <c r="F1075" s="5" t="s">
        <v>2425</v>
      </c>
      <c r="G1075" s="5" t="s">
        <v>57</v>
      </c>
      <c r="H1075" s="5" t="s">
        <v>57</v>
      </c>
      <c r="I1075" s="5" t="s">
        <v>57</v>
      </c>
    </row>
    <row r="1076" spans="1:9" ht="375" x14ac:dyDescent="0.25">
      <c r="A1076" s="5" t="s">
        <v>2433</v>
      </c>
      <c r="B1076" s="5" t="s">
        <v>10</v>
      </c>
      <c r="C1076" s="5" t="s">
        <v>1367</v>
      </c>
      <c r="D1076" s="5" t="s">
        <v>1359</v>
      </c>
      <c r="E1076" s="5" t="s">
        <v>1360</v>
      </c>
      <c r="F1076" s="5" t="s">
        <v>2425</v>
      </c>
      <c r="G1076" s="5" t="s">
        <v>15</v>
      </c>
      <c r="H1076" s="5" t="s">
        <v>97</v>
      </c>
      <c r="I1076" s="5" t="s">
        <v>57</v>
      </c>
    </row>
    <row r="1077" spans="1:9" ht="375" x14ac:dyDescent="0.25">
      <c r="A1077" s="5" t="s">
        <v>2434</v>
      </c>
      <c r="B1077" s="5" t="s">
        <v>1428</v>
      </c>
      <c r="C1077" s="5" t="s">
        <v>1367</v>
      </c>
      <c r="D1077" s="5" t="s">
        <v>1359</v>
      </c>
      <c r="E1077" s="5" t="s">
        <v>1360</v>
      </c>
      <c r="F1077" s="5" t="s">
        <v>2425</v>
      </c>
      <c r="G1077" s="5" t="s">
        <v>15</v>
      </c>
      <c r="H1077" s="5" t="s">
        <v>97</v>
      </c>
      <c r="I1077" s="5" t="s">
        <v>57</v>
      </c>
    </row>
    <row r="1078" spans="1:9" ht="375" x14ac:dyDescent="0.25">
      <c r="A1078" s="5" t="s">
        <v>2435</v>
      </c>
      <c r="B1078" s="5" t="s">
        <v>10</v>
      </c>
      <c r="C1078" s="5" t="s">
        <v>1367</v>
      </c>
      <c r="D1078" s="5" t="s">
        <v>1359</v>
      </c>
      <c r="E1078" s="5" t="s">
        <v>1360</v>
      </c>
      <c r="F1078" s="5" t="s">
        <v>2425</v>
      </c>
      <c r="G1078" s="5" t="s">
        <v>15</v>
      </c>
      <c r="H1078" s="5" t="s">
        <v>57</v>
      </c>
      <c r="I1078" s="5" t="s">
        <v>39</v>
      </c>
    </row>
    <row r="1079" spans="1:9" ht="375" x14ac:dyDescent="0.25">
      <c r="A1079" s="5" t="s">
        <v>2435</v>
      </c>
      <c r="B1079" s="5" t="s">
        <v>123</v>
      </c>
      <c r="C1079" s="5" t="s">
        <v>1367</v>
      </c>
      <c r="D1079" s="5" t="s">
        <v>1359</v>
      </c>
      <c r="E1079" s="5" t="s">
        <v>1360</v>
      </c>
      <c r="F1079" s="5" t="s">
        <v>2425</v>
      </c>
      <c r="G1079" s="5" t="s">
        <v>15</v>
      </c>
      <c r="H1079" s="5" t="s">
        <v>57</v>
      </c>
      <c r="I1079" s="5" t="s">
        <v>39</v>
      </c>
    </row>
    <row r="1080" spans="1:9" ht="375" x14ac:dyDescent="0.25">
      <c r="A1080" s="5" t="s">
        <v>2436</v>
      </c>
      <c r="B1080" s="5" t="s">
        <v>10</v>
      </c>
      <c r="C1080" s="5" t="s">
        <v>1367</v>
      </c>
      <c r="D1080" s="5" t="s">
        <v>1359</v>
      </c>
      <c r="E1080" s="5" t="s">
        <v>1360</v>
      </c>
      <c r="F1080" s="5" t="s">
        <v>2425</v>
      </c>
      <c r="G1080" s="5" t="s">
        <v>15</v>
      </c>
      <c r="H1080" s="5" t="s">
        <v>57</v>
      </c>
      <c r="I1080" s="5" t="s">
        <v>39</v>
      </c>
    </row>
    <row r="1081" spans="1:9" ht="375" x14ac:dyDescent="0.25">
      <c r="A1081" s="5" t="s">
        <v>2436</v>
      </c>
      <c r="B1081" s="5" t="s">
        <v>123</v>
      </c>
      <c r="C1081" s="5" t="s">
        <v>1367</v>
      </c>
      <c r="D1081" s="5" t="s">
        <v>1359</v>
      </c>
      <c r="E1081" s="5" t="s">
        <v>1360</v>
      </c>
      <c r="F1081" s="5" t="s">
        <v>2425</v>
      </c>
      <c r="G1081" s="5" t="s">
        <v>15</v>
      </c>
      <c r="H1081" s="5" t="s">
        <v>57</v>
      </c>
      <c r="I1081" s="5" t="s">
        <v>39</v>
      </c>
    </row>
    <row r="1082" spans="1:9" ht="375" x14ac:dyDescent="0.25">
      <c r="A1082" s="5" t="s">
        <v>2437</v>
      </c>
      <c r="B1082" s="5" t="s">
        <v>10</v>
      </c>
      <c r="C1082" s="5" t="s">
        <v>1367</v>
      </c>
      <c r="D1082" s="5" t="s">
        <v>1359</v>
      </c>
      <c r="E1082" s="5" t="s">
        <v>2388</v>
      </c>
      <c r="F1082" s="5" t="s">
        <v>2425</v>
      </c>
      <c r="G1082" s="5" t="s">
        <v>15</v>
      </c>
      <c r="H1082" s="5" t="s">
        <v>97</v>
      </c>
      <c r="I1082" s="5" t="s">
        <v>57</v>
      </c>
    </row>
    <row r="1083" spans="1:9" ht="375" x14ac:dyDescent="0.25">
      <c r="A1083" s="5" t="s">
        <v>2438</v>
      </c>
      <c r="B1083" s="5" t="s">
        <v>10</v>
      </c>
      <c r="C1083" s="5" t="s">
        <v>1367</v>
      </c>
      <c r="D1083" s="5" t="s">
        <v>1359</v>
      </c>
      <c r="E1083" s="5" t="s">
        <v>1360</v>
      </c>
      <c r="F1083" s="5" t="s">
        <v>2425</v>
      </c>
      <c r="G1083" s="5" t="s">
        <v>15</v>
      </c>
      <c r="H1083" s="5" t="s">
        <v>97</v>
      </c>
      <c r="I1083" s="5" t="s">
        <v>57</v>
      </c>
    </row>
    <row r="1084" spans="1:9" ht="375" x14ac:dyDescent="0.25">
      <c r="A1084" s="5" t="s">
        <v>2439</v>
      </c>
      <c r="B1084" s="5" t="s">
        <v>10</v>
      </c>
      <c r="C1084" s="5" t="s">
        <v>1367</v>
      </c>
      <c r="D1084" s="5" t="s">
        <v>1359</v>
      </c>
      <c r="E1084" s="5" t="s">
        <v>1360</v>
      </c>
      <c r="F1084" s="5" t="s">
        <v>2425</v>
      </c>
      <c r="G1084" s="5" t="s">
        <v>15</v>
      </c>
      <c r="H1084" s="5" t="s">
        <v>97</v>
      </c>
      <c r="I1084" s="5" t="s">
        <v>57</v>
      </c>
    </row>
    <row r="1085" spans="1:9" ht="375" x14ac:dyDescent="0.25">
      <c r="A1085" s="5" t="s">
        <v>2440</v>
      </c>
      <c r="B1085" s="5" t="s">
        <v>123</v>
      </c>
      <c r="C1085" s="5" t="s">
        <v>1367</v>
      </c>
      <c r="D1085" s="5" t="s">
        <v>1359</v>
      </c>
      <c r="E1085" s="5" t="s">
        <v>2388</v>
      </c>
      <c r="F1085" s="5" t="s">
        <v>2425</v>
      </c>
      <c r="G1085" s="5" t="s">
        <v>15</v>
      </c>
      <c r="H1085" s="5" t="s">
        <v>97</v>
      </c>
      <c r="I1085" s="5" t="s">
        <v>57</v>
      </c>
    </row>
    <row r="1086" spans="1:9" ht="375" x14ac:dyDescent="0.25">
      <c r="A1086" s="5" t="s">
        <v>2440</v>
      </c>
      <c r="B1086" s="5" t="s">
        <v>10</v>
      </c>
      <c r="C1086" s="5" t="s">
        <v>1367</v>
      </c>
      <c r="D1086" s="5" t="s">
        <v>1359</v>
      </c>
      <c r="E1086" s="5" t="s">
        <v>2388</v>
      </c>
      <c r="F1086" s="5" t="s">
        <v>2425</v>
      </c>
      <c r="G1086" s="5" t="s">
        <v>15</v>
      </c>
      <c r="H1086" s="5" t="s">
        <v>97</v>
      </c>
      <c r="I1086" s="5" t="s">
        <v>57</v>
      </c>
    </row>
    <row r="1087" spans="1:9" ht="375" x14ac:dyDescent="0.25">
      <c r="A1087" s="5" t="s">
        <v>2441</v>
      </c>
      <c r="B1087" s="5" t="s">
        <v>10</v>
      </c>
      <c r="C1087" s="5" t="s">
        <v>1367</v>
      </c>
      <c r="D1087" s="5" t="s">
        <v>1359</v>
      </c>
      <c r="E1087" s="5" t="s">
        <v>1360</v>
      </c>
      <c r="F1087" s="5" t="s">
        <v>2425</v>
      </c>
      <c r="G1087" s="5" t="s">
        <v>15</v>
      </c>
      <c r="H1087" s="5" t="s">
        <v>57</v>
      </c>
      <c r="I1087" s="5" t="s">
        <v>265</v>
      </c>
    </row>
    <row r="1088" spans="1:9" ht="375" x14ac:dyDescent="0.25">
      <c r="A1088" s="5" t="s">
        <v>2442</v>
      </c>
      <c r="B1088" s="5" t="s">
        <v>10</v>
      </c>
      <c r="C1088" s="5" t="s">
        <v>1367</v>
      </c>
      <c r="D1088" s="5" t="s">
        <v>1359</v>
      </c>
      <c r="E1088" s="5" t="s">
        <v>2388</v>
      </c>
      <c r="F1088" s="5" t="s">
        <v>2425</v>
      </c>
      <c r="G1088" s="5" t="s">
        <v>15</v>
      </c>
      <c r="H1088" s="5" t="s">
        <v>97</v>
      </c>
      <c r="I1088" s="5" t="s">
        <v>57</v>
      </c>
    </row>
    <row r="1089" spans="1:9" ht="375" x14ac:dyDescent="0.25">
      <c r="A1089" s="5" t="s">
        <v>2443</v>
      </c>
      <c r="B1089" s="5" t="s">
        <v>10</v>
      </c>
      <c r="C1089" s="5" t="s">
        <v>1367</v>
      </c>
      <c r="D1089" s="5" t="s">
        <v>1359</v>
      </c>
      <c r="E1089" s="5" t="s">
        <v>2388</v>
      </c>
      <c r="F1089" s="5" t="s">
        <v>2425</v>
      </c>
      <c r="G1089" s="5" t="s">
        <v>15</v>
      </c>
      <c r="H1089" s="5" t="s">
        <v>97</v>
      </c>
      <c r="I1089" s="5" t="s">
        <v>57</v>
      </c>
    </row>
    <row r="1090" spans="1:9" ht="375" x14ac:dyDescent="0.25">
      <c r="A1090" s="5" t="s">
        <v>2443</v>
      </c>
      <c r="B1090" s="5" t="s">
        <v>2013</v>
      </c>
      <c r="C1090" s="5" t="s">
        <v>1367</v>
      </c>
      <c r="D1090" s="5" t="s">
        <v>1359</v>
      </c>
      <c r="E1090" s="5" t="s">
        <v>2388</v>
      </c>
      <c r="F1090" s="5" t="s">
        <v>2425</v>
      </c>
      <c r="G1090" s="5" t="s">
        <v>15</v>
      </c>
      <c r="H1090" s="5" t="s">
        <v>97</v>
      </c>
      <c r="I1090" s="5" t="s">
        <v>57</v>
      </c>
    </row>
    <row r="1091" spans="1:9" ht="375" x14ac:dyDescent="0.25">
      <c r="A1091" s="5" t="s">
        <v>2444</v>
      </c>
      <c r="B1091" s="5" t="s">
        <v>1423</v>
      </c>
      <c r="C1091" s="5" t="s">
        <v>1367</v>
      </c>
      <c r="D1091" s="5" t="s">
        <v>1359</v>
      </c>
      <c r="E1091" s="5" t="s">
        <v>2388</v>
      </c>
      <c r="F1091" s="5" t="s">
        <v>2425</v>
      </c>
      <c r="G1091" s="5" t="s">
        <v>15</v>
      </c>
      <c r="H1091" s="5" t="s">
        <v>97</v>
      </c>
      <c r="I1091" s="5" t="s">
        <v>57</v>
      </c>
    </row>
    <row r="1092" spans="1:9" ht="375" x14ac:dyDescent="0.25">
      <c r="A1092" s="5" t="s">
        <v>2445</v>
      </c>
      <c r="B1092" s="5" t="s">
        <v>123</v>
      </c>
      <c r="C1092" s="5" t="s">
        <v>1367</v>
      </c>
      <c r="D1092" s="5" t="s">
        <v>1359</v>
      </c>
      <c r="E1092" s="5" t="s">
        <v>2388</v>
      </c>
      <c r="F1092" s="5" t="s">
        <v>2425</v>
      </c>
      <c r="G1092" s="5" t="s">
        <v>15</v>
      </c>
      <c r="H1092" s="5" t="s">
        <v>97</v>
      </c>
      <c r="I1092" s="5" t="s">
        <v>57</v>
      </c>
    </row>
    <row r="1093" spans="1:9" ht="375" x14ac:dyDescent="0.25">
      <c r="A1093" s="5" t="s">
        <v>2446</v>
      </c>
      <c r="B1093" s="5" t="s">
        <v>10</v>
      </c>
      <c r="C1093" s="5" t="s">
        <v>1367</v>
      </c>
      <c r="D1093" s="5" t="s">
        <v>1359</v>
      </c>
      <c r="E1093" s="5" t="s">
        <v>2388</v>
      </c>
      <c r="F1093" s="5" t="s">
        <v>2425</v>
      </c>
      <c r="G1093" s="5" t="s">
        <v>15</v>
      </c>
      <c r="H1093" s="5" t="s">
        <v>97</v>
      </c>
      <c r="I1093" s="5" t="s">
        <v>57</v>
      </c>
    </row>
    <row r="1094" spans="1:9" ht="375" x14ac:dyDescent="0.25">
      <c r="A1094" s="5" t="s">
        <v>2447</v>
      </c>
      <c r="B1094" s="5" t="s">
        <v>123</v>
      </c>
      <c r="C1094" s="5" t="s">
        <v>1367</v>
      </c>
      <c r="D1094" s="5" t="s">
        <v>1359</v>
      </c>
      <c r="E1094" s="5" t="s">
        <v>2388</v>
      </c>
      <c r="F1094" s="5" t="s">
        <v>2425</v>
      </c>
      <c r="G1094" s="5" t="s">
        <v>15</v>
      </c>
      <c r="H1094" s="5" t="s">
        <v>97</v>
      </c>
      <c r="I1094" s="5" t="s">
        <v>57</v>
      </c>
    </row>
    <row r="1095" spans="1:9" ht="375" x14ac:dyDescent="0.25">
      <c r="A1095" s="5" t="s">
        <v>2448</v>
      </c>
      <c r="B1095" s="5" t="s">
        <v>10</v>
      </c>
      <c r="C1095" s="5" t="s">
        <v>1367</v>
      </c>
      <c r="D1095" s="5" t="s">
        <v>1359</v>
      </c>
      <c r="E1095" s="5" t="s">
        <v>2388</v>
      </c>
      <c r="F1095" s="5" t="s">
        <v>2425</v>
      </c>
      <c r="G1095" s="5" t="s">
        <v>15</v>
      </c>
      <c r="H1095" s="5" t="s">
        <v>57</v>
      </c>
      <c r="I1095" s="5" t="s">
        <v>39</v>
      </c>
    </row>
    <row r="1096" spans="1:9" ht="375" x14ac:dyDescent="0.25">
      <c r="A1096" s="5" t="s">
        <v>2449</v>
      </c>
      <c r="B1096" s="5" t="s">
        <v>10</v>
      </c>
      <c r="C1096" s="5" t="s">
        <v>1367</v>
      </c>
      <c r="D1096" s="5" t="s">
        <v>1359</v>
      </c>
      <c r="E1096" s="5" t="s">
        <v>2388</v>
      </c>
      <c r="F1096" s="5" t="s">
        <v>2425</v>
      </c>
      <c r="G1096" s="5" t="s">
        <v>15</v>
      </c>
      <c r="H1096" s="5" t="s">
        <v>57</v>
      </c>
      <c r="I1096" s="5" t="s">
        <v>120</v>
      </c>
    </row>
    <row r="1097" spans="1:9" ht="375" x14ac:dyDescent="0.25">
      <c r="A1097" s="5" t="s">
        <v>2450</v>
      </c>
      <c r="B1097" s="5" t="s">
        <v>10</v>
      </c>
      <c r="C1097" s="5" t="s">
        <v>1367</v>
      </c>
      <c r="D1097" s="5" t="s">
        <v>1359</v>
      </c>
      <c r="E1097" s="5" t="s">
        <v>1360</v>
      </c>
      <c r="F1097" s="5" t="s">
        <v>2425</v>
      </c>
      <c r="G1097" s="5" t="s">
        <v>15</v>
      </c>
      <c r="H1097" s="5" t="s">
        <v>97</v>
      </c>
      <c r="I1097" s="5" t="s">
        <v>57</v>
      </c>
    </row>
    <row r="1098" spans="1:9" ht="375" x14ac:dyDescent="0.25">
      <c r="A1098" s="5" t="s">
        <v>2451</v>
      </c>
      <c r="B1098" s="5" t="s">
        <v>1428</v>
      </c>
      <c r="C1098" s="5" t="s">
        <v>1367</v>
      </c>
      <c r="D1098" s="5" t="s">
        <v>1359</v>
      </c>
      <c r="E1098" s="5" t="s">
        <v>1360</v>
      </c>
      <c r="F1098" s="5" t="s">
        <v>2425</v>
      </c>
      <c r="G1098" s="5" t="s">
        <v>15</v>
      </c>
      <c r="H1098" s="5" t="s">
        <v>97</v>
      </c>
      <c r="I1098" s="5" t="s">
        <v>57</v>
      </c>
    </row>
    <row r="1099" spans="1:9" ht="375" x14ac:dyDescent="0.25">
      <c r="A1099" s="5" t="s">
        <v>2452</v>
      </c>
      <c r="B1099" s="5" t="s">
        <v>1423</v>
      </c>
      <c r="C1099" s="5" t="s">
        <v>1367</v>
      </c>
      <c r="D1099" s="5" t="s">
        <v>1359</v>
      </c>
      <c r="E1099" s="5" t="s">
        <v>1360</v>
      </c>
      <c r="F1099" s="5" t="s">
        <v>2425</v>
      </c>
      <c r="G1099" s="5" t="s">
        <v>15</v>
      </c>
      <c r="H1099" s="5" t="s">
        <v>97</v>
      </c>
      <c r="I1099" s="5" t="s">
        <v>57</v>
      </c>
    </row>
    <row r="1100" spans="1:9" ht="375" x14ac:dyDescent="0.25">
      <c r="A1100" s="5" t="s">
        <v>2453</v>
      </c>
      <c r="B1100" s="5" t="s">
        <v>10</v>
      </c>
      <c r="C1100" s="5" t="s">
        <v>1367</v>
      </c>
      <c r="D1100" s="5" t="s">
        <v>1359</v>
      </c>
      <c r="E1100" s="5" t="s">
        <v>1360</v>
      </c>
      <c r="F1100" s="5" t="s">
        <v>2425</v>
      </c>
      <c r="G1100" s="5" t="s">
        <v>15</v>
      </c>
      <c r="H1100" s="5" t="s">
        <v>97</v>
      </c>
      <c r="I1100" s="5" t="s">
        <v>57</v>
      </c>
    </row>
    <row r="1101" spans="1:9" ht="375" x14ac:dyDescent="0.25">
      <c r="A1101" s="5" t="s">
        <v>2454</v>
      </c>
      <c r="B1101" s="5" t="s">
        <v>1428</v>
      </c>
      <c r="C1101" s="5" t="s">
        <v>1367</v>
      </c>
      <c r="D1101" s="5" t="s">
        <v>1359</v>
      </c>
      <c r="E1101" s="5" t="s">
        <v>1360</v>
      </c>
      <c r="F1101" s="5" t="s">
        <v>2425</v>
      </c>
      <c r="G1101" s="5" t="s">
        <v>15</v>
      </c>
      <c r="H1101" s="5" t="s">
        <v>97</v>
      </c>
      <c r="I1101" s="5" t="s">
        <v>57</v>
      </c>
    </row>
    <row r="1102" spans="1:9" ht="375" x14ac:dyDescent="0.25">
      <c r="A1102" s="5" t="s">
        <v>2455</v>
      </c>
      <c r="B1102" s="5" t="s">
        <v>1423</v>
      </c>
      <c r="C1102" s="5" t="s">
        <v>1367</v>
      </c>
      <c r="D1102" s="5" t="s">
        <v>1359</v>
      </c>
      <c r="E1102" s="5" t="s">
        <v>1360</v>
      </c>
      <c r="F1102" s="5" t="s">
        <v>2425</v>
      </c>
      <c r="G1102" s="5" t="s">
        <v>15</v>
      </c>
      <c r="H1102" s="5" t="s">
        <v>97</v>
      </c>
      <c r="I1102" s="5" t="s">
        <v>57</v>
      </c>
    </row>
    <row r="1103" spans="1:9" ht="375" x14ac:dyDescent="0.25">
      <c r="A1103" s="5" t="s">
        <v>2456</v>
      </c>
      <c r="B1103" s="5" t="s">
        <v>10</v>
      </c>
      <c r="C1103" s="5" t="s">
        <v>1367</v>
      </c>
      <c r="D1103" s="5" t="s">
        <v>1359</v>
      </c>
      <c r="E1103" s="5" t="s">
        <v>2388</v>
      </c>
      <c r="F1103" s="5" t="s">
        <v>2425</v>
      </c>
      <c r="G1103" s="5" t="s">
        <v>15</v>
      </c>
      <c r="H1103" s="5" t="s">
        <v>97</v>
      </c>
      <c r="I1103" s="5" t="s">
        <v>57</v>
      </c>
    </row>
    <row r="1104" spans="1:9" ht="375" x14ac:dyDescent="0.25">
      <c r="A1104" s="5" t="s">
        <v>2456</v>
      </c>
      <c r="B1104" s="5" t="s">
        <v>2013</v>
      </c>
      <c r="C1104" s="5" t="s">
        <v>1367</v>
      </c>
      <c r="D1104" s="5" t="s">
        <v>1359</v>
      </c>
      <c r="E1104" s="5" t="s">
        <v>2388</v>
      </c>
      <c r="F1104" s="5" t="s">
        <v>2425</v>
      </c>
      <c r="G1104" s="5" t="s">
        <v>15</v>
      </c>
      <c r="H1104" s="5" t="s">
        <v>97</v>
      </c>
      <c r="I1104" s="5" t="s">
        <v>57</v>
      </c>
    </row>
    <row r="1105" spans="1:9" ht="375" x14ac:dyDescent="0.25">
      <c r="A1105" s="5" t="s">
        <v>2457</v>
      </c>
      <c r="B1105" s="5" t="s">
        <v>123</v>
      </c>
      <c r="C1105" s="5" t="s">
        <v>1367</v>
      </c>
      <c r="D1105" s="5" t="s">
        <v>1359</v>
      </c>
      <c r="E1105" s="5" t="s">
        <v>2388</v>
      </c>
      <c r="F1105" s="5" t="s">
        <v>2425</v>
      </c>
      <c r="G1105" s="5" t="s">
        <v>15</v>
      </c>
      <c r="H1105" s="5" t="s">
        <v>97</v>
      </c>
      <c r="I1105" s="5" t="s">
        <v>57</v>
      </c>
    </row>
    <row r="1106" spans="1:9" ht="375" x14ac:dyDescent="0.25">
      <c r="A1106" s="5" t="s">
        <v>2458</v>
      </c>
      <c r="B1106" s="5" t="s">
        <v>10</v>
      </c>
      <c r="C1106" s="5" t="s">
        <v>1367</v>
      </c>
      <c r="D1106" s="5" t="s">
        <v>1359</v>
      </c>
      <c r="E1106" s="5" t="s">
        <v>2388</v>
      </c>
      <c r="F1106" s="5" t="s">
        <v>2425</v>
      </c>
      <c r="G1106" s="5" t="s">
        <v>15</v>
      </c>
      <c r="H1106" s="5" t="s">
        <v>97</v>
      </c>
      <c r="I1106" s="5" t="s">
        <v>57</v>
      </c>
    </row>
    <row r="1107" spans="1:9" ht="375" x14ac:dyDescent="0.25">
      <c r="A1107" s="5" t="s">
        <v>2458</v>
      </c>
      <c r="B1107" s="5" t="s">
        <v>2013</v>
      </c>
      <c r="C1107" s="5" t="s">
        <v>1367</v>
      </c>
      <c r="D1107" s="5" t="s">
        <v>1359</v>
      </c>
      <c r="E1107" s="5" t="s">
        <v>2388</v>
      </c>
      <c r="F1107" s="5" t="s">
        <v>2425</v>
      </c>
      <c r="G1107" s="5" t="s">
        <v>15</v>
      </c>
      <c r="H1107" s="5" t="s">
        <v>97</v>
      </c>
      <c r="I1107" s="5" t="s">
        <v>57</v>
      </c>
    </row>
    <row r="1108" spans="1:9" ht="375" x14ac:dyDescent="0.25">
      <c r="A1108" s="5" t="s">
        <v>2459</v>
      </c>
      <c r="B1108" s="5" t="s">
        <v>123</v>
      </c>
      <c r="C1108" s="5" t="s">
        <v>1367</v>
      </c>
      <c r="D1108" s="5" t="s">
        <v>1359</v>
      </c>
      <c r="E1108" s="5" t="s">
        <v>2388</v>
      </c>
      <c r="F1108" s="5" t="s">
        <v>2425</v>
      </c>
      <c r="G1108" s="5" t="s">
        <v>15</v>
      </c>
      <c r="H1108" s="5" t="s">
        <v>97</v>
      </c>
      <c r="I1108" s="5" t="s">
        <v>57</v>
      </c>
    </row>
    <row r="1109" spans="1:9" ht="375" x14ac:dyDescent="0.25">
      <c r="A1109" s="5" t="s">
        <v>2460</v>
      </c>
      <c r="B1109" s="5" t="s">
        <v>132</v>
      </c>
      <c r="C1109" s="5" t="s">
        <v>1367</v>
      </c>
      <c r="D1109" s="5" t="s">
        <v>1359</v>
      </c>
      <c r="E1109" s="5" t="s">
        <v>2388</v>
      </c>
      <c r="F1109" s="5" t="s">
        <v>2425</v>
      </c>
      <c r="G1109" s="5" t="s">
        <v>15</v>
      </c>
      <c r="H1109" s="5" t="s">
        <v>265</v>
      </c>
      <c r="I1109" s="5" t="s">
        <v>57</v>
      </c>
    </row>
    <row r="1110" spans="1:9" ht="375" x14ac:dyDescent="0.25">
      <c r="A1110" s="5" t="s">
        <v>2461</v>
      </c>
      <c r="B1110" s="5" t="s">
        <v>132</v>
      </c>
      <c r="C1110" s="5" t="s">
        <v>1367</v>
      </c>
      <c r="D1110" s="5" t="s">
        <v>1359</v>
      </c>
      <c r="E1110" s="5" t="s">
        <v>1360</v>
      </c>
      <c r="F1110" s="5" t="s">
        <v>2425</v>
      </c>
      <c r="G1110" s="5" t="s">
        <v>15</v>
      </c>
      <c r="H1110" s="5" t="s">
        <v>57</v>
      </c>
      <c r="I1110" s="5" t="s">
        <v>120</v>
      </c>
    </row>
    <row r="1111" spans="1:9" ht="375" x14ac:dyDescent="0.25">
      <c r="A1111" s="5" t="s">
        <v>2461</v>
      </c>
      <c r="B1111" s="5" t="s">
        <v>991</v>
      </c>
      <c r="C1111" s="5" t="s">
        <v>1367</v>
      </c>
      <c r="D1111" s="5" t="s">
        <v>1359</v>
      </c>
      <c r="E1111" s="5" t="s">
        <v>1360</v>
      </c>
      <c r="F1111" s="5" t="s">
        <v>2425</v>
      </c>
      <c r="G1111" s="5" t="s">
        <v>15</v>
      </c>
      <c r="H1111" s="5" t="s">
        <v>57</v>
      </c>
      <c r="I1111" s="5" t="s">
        <v>120</v>
      </c>
    </row>
    <row r="1112" spans="1:9" ht="375" x14ac:dyDescent="0.25">
      <c r="A1112" s="5" t="s">
        <v>2462</v>
      </c>
      <c r="B1112" s="5" t="s">
        <v>132</v>
      </c>
      <c r="C1112" s="5" t="s">
        <v>1367</v>
      </c>
      <c r="D1112" s="5" t="s">
        <v>1359</v>
      </c>
      <c r="E1112" s="5" t="s">
        <v>2388</v>
      </c>
      <c r="F1112" s="5" t="s">
        <v>2425</v>
      </c>
      <c r="G1112" s="5" t="s">
        <v>15</v>
      </c>
      <c r="H1112" s="5" t="s">
        <v>57</v>
      </c>
      <c r="I1112" s="5" t="s">
        <v>265</v>
      </c>
    </row>
    <row r="1113" spans="1:9" ht="375" x14ac:dyDescent="0.25">
      <c r="A1113" s="5" t="s">
        <v>2462</v>
      </c>
      <c r="B1113" s="5" t="s">
        <v>1013</v>
      </c>
      <c r="C1113" s="5" t="s">
        <v>1367</v>
      </c>
      <c r="D1113" s="5" t="s">
        <v>1359</v>
      </c>
      <c r="E1113" s="5" t="s">
        <v>2388</v>
      </c>
      <c r="F1113" s="5" t="s">
        <v>2425</v>
      </c>
      <c r="G1113" s="5" t="s">
        <v>15</v>
      </c>
      <c r="H1113" s="5" t="s">
        <v>57</v>
      </c>
      <c r="I1113" s="5" t="s">
        <v>265</v>
      </c>
    </row>
    <row r="1114" spans="1:9" ht="375" x14ac:dyDescent="0.25">
      <c r="A1114" s="5" t="s">
        <v>2463</v>
      </c>
      <c r="B1114" s="5" t="s">
        <v>132</v>
      </c>
      <c r="C1114" s="5" t="s">
        <v>1367</v>
      </c>
      <c r="D1114" s="5" t="s">
        <v>1359</v>
      </c>
      <c r="E1114" s="5" t="s">
        <v>2388</v>
      </c>
      <c r="F1114" s="5" t="s">
        <v>2425</v>
      </c>
      <c r="G1114" s="5" t="s">
        <v>15</v>
      </c>
      <c r="H1114" s="5" t="s">
        <v>97</v>
      </c>
      <c r="I1114" s="5" t="s">
        <v>57</v>
      </c>
    </row>
    <row r="1115" spans="1:9" ht="375" x14ac:dyDescent="0.25">
      <c r="A1115" s="5" t="s">
        <v>2464</v>
      </c>
      <c r="B1115" s="5" t="s">
        <v>1013</v>
      </c>
      <c r="C1115" s="5" t="s">
        <v>1367</v>
      </c>
      <c r="D1115" s="5" t="s">
        <v>1359</v>
      </c>
      <c r="E1115" s="5" t="s">
        <v>2388</v>
      </c>
      <c r="F1115" s="5" t="s">
        <v>2425</v>
      </c>
      <c r="G1115" s="5" t="s">
        <v>15</v>
      </c>
      <c r="H1115" s="5" t="s">
        <v>97</v>
      </c>
      <c r="I1115" s="5" t="s">
        <v>57</v>
      </c>
    </row>
    <row r="1116" spans="1:9" ht="375" x14ac:dyDescent="0.25">
      <c r="A1116" s="5" t="s">
        <v>2465</v>
      </c>
      <c r="B1116" s="5" t="s">
        <v>2269</v>
      </c>
      <c r="C1116" s="5" t="s">
        <v>1367</v>
      </c>
      <c r="D1116" s="5" t="s">
        <v>1359</v>
      </c>
      <c r="E1116" s="5" t="s">
        <v>2388</v>
      </c>
      <c r="F1116" s="5" t="s">
        <v>2425</v>
      </c>
      <c r="G1116" s="5" t="s">
        <v>15</v>
      </c>
      <c r="H1116" s="5" t="s">
        <v>97</v>
      </c>
      <c r="I1116" s="5" t="s">
        <v>57</v>
      </c>
    </row>
    <row r="1117" spans="1:9" ht="375" x14ac:dyDescent="0.25">
      <c r="A1117" s="5" t="s">
        <v>2466</v>
      </c>
      <c r="B1117" s="5" t="s">
        <v>132</v>
      </c>
      <c r="C1117" s="5" t="s">
        <v>1367</v>
      </c>
      <c r="D1117" s="5" t="s">
        <v>1359</v>
      </c>
      <c r="E1117" s="5" t="s">
        <v>2388</v>
      </c>
      <c r="F1117" s="5" t="s">
        <v>2425</v>
      </c>
      <c r="G1117" s="5" t="s">
        <v>15</v>
      </c>
      <c r="H1117" s="5" t="s">
        <v>97</v>
      </c>
      <c r="I1117" s="5" t="s">
        <v>57</v>
      </c>
    </row>
    <row r="1118" spans="1:9" ht="375" x14ac:dyDescent="0.25">
      <c r="A1118" s="5" t="s">
        <v>2467</v>
      </c>
      <c r="B1118" s="5" t="s">
        <v>132</v>
      </c>
      <c r="C1118" s="5" t="s">
        <v>1367</v>
      </c>
      <c r="D1118" s="5" t="s">
        <v>1359</v>
      </c>
      <c r="E1118" s="5" t="s">
        <v>2388</v>
      </c>
      <c r="F1118" s="5" t="s">
        <v>2425</v>
      </c>
      <c r="G1118" s="5" t="s">
        <v>15</v>
      </c>
      <c r="H1118" s="5" t="s">
        <v>97</v>
      </c>
      <c r="I1118" s="5" t="s">
        <v>57</v>
      </c>
    </row>
    <row r="1119" spans="1:9" ht="375" x14ac:dyDescent="0.25">
      <c r="A1119" s="5" t="s">
        <v>2468</v>
      </c>
      <c r="B1119" s="5" t="s">
        <v>2415</v>
      </c>
      <c r="C1119" s="5" t="s">
        <v>1367</v>
      </c>
      <c r="D1119" s="5" t="s">
        <v>1359</v>
      </c>
      <c r="E1119" s="5" t="s">
        <v>2388</v>
      </c>
      <c r="F1119" s="5" t="s">
        <v>2425</v>
      </c>
      <c r="G1119" s="5" t="s">
        <v>57</v>
      </c>
      <c r="H1119" s="5" t="s">
        <v>57</v>
      </c>
      <c r="I1119" s="5" t="s">
        <v>57</v>
      </c>
    </row>
    <row r="1120" spans="1:9" ht="375" x14ac:dyDescent="0.25">
      <c r="A1120" s="5" t="s">
        <v>2469</v>
      </c>
      <c r="B1120" s="5" t="s">
        <v>1013</v>
      </c>
      <c r="C1120" s="5" t="s">
        <v>1367</v>
      </c>
      <c r="D1120" s="5" t="s">
        <v>1359</v>
      </c>
      <c r="E1120" s="5" t="s">
        <v>2388</v>
      </c>
      <c r="F1120" s="5" t="s">
        <v>2425</v>
      </c>
      <c r="G1120" s="5" t="s">
        <v>57</v>
      </c>
      <c r="H1120" s="5" t="s">
        <v>57</v>
      </c>
      <c r="I1120" s="5" t="s">
        <v>57</v>
      </c>
    </row>
    <row r="1121" spans="1:9" ht="375" x14ac:dyDescent="0.25">
      <c r="A1121" s="5" t="s">
        <v>2470</v>
      </c>
      <c r="B1121" s="5" t="s">
        <v>2415</v>
      </c>
      <c r="C1121" s="5" t="s">
        <v>1367</v>
      </c>
      <c r="D1121" s="5" t="s">
        <v>1359</v>
      </c>
      <c r="E1121" s="5" t="s">
        <v>2388</v>
      </c>
      <c r="F1121" s="5" t="s">
        <v>2425</v>
      </c>
      <c r="G1121" s="5" t="s">
        <v>57</v>
      </c>
      <c r="H1121" s="5" t="s">
        <v>57</v>
      </c>
      <c r="I1121" s="5" t="s">
        <v>57</v>
      </c>
    </row>
    <row r="1122" spans="1:9" ht="375" x14ac:dyDescent="0.25">
      <c r="A1122" s="5" t="s">
        <v>2471</v>
      </c>
      <c r="B1122" s="5" t="s">
        <v>123</v>
      </c>
      <c r="C1122" s="5" t="s">
        <v>1367</v>
      </c>
      <c r="D1122" s="5" t="s">
        <v>1359</v>
      </c>
      <c r="E1122" s="5" t="s">
        <v>2388</v>
      </c>
      <c r="F1122" s="5" t="s">
        <v>2425</v>
      </c>
      <c r="G1122" s="5" t="s">
        <v>57</v>
      </c>
      <c r="H1122" s="5" t="s">
        <v>57</v>
      </c>
      <c r="I1122" s="5" t="s">
        <v>57</v>
      </c>
    </row>
    <row r="1123" spans="1:9" ht="375" x14ac:dyDescent="0.25">
      <c r="A1123" s="5" t="s">
        <v>2472</v>
      </c>
      <c r="B1123" s="5" t="s">
        <v>2013</v>
      </c>
      <c r="C1123" s="5" t="s">
        <v>1367</v>
      </c>
      <c r="D1123" s="5" t="s">
        <v>1359</v>
      </c>
      <c r="E1123" s="5" t="s">
        <v>2388</v>
      </c>
      <c r="F1123" s="5" t="s">
        <v>2425</v>
      </c>
      <c r="G1123" s="5" t="s">
        <v>57</v>
      </c>
      <c r="H1123" s="5" t="s">
        <v>57</v>
      </c>
      <c r="I1123" s="5" t="s">
        <v>57</v>
      </c>
    </row>
    <row r="1124" spans="1:9" ht="375" x14ac:dyDescent="0.25">
      <c r="A1124" s="5" t="s">
        <v>2472</v>
      </c>
      <c r="B1124" s="5" t="s">
        <v>2415</v>
      </c>
      <c r="C1124" s="5" t="s">
        <v>1367</v>
      </c>
      <c r="D1124" s="5" t="s">
        <v>1359</v>
      </c>
      <c r="E1124" s="5" t="s">
        <v>2388</v>
      </c>
      <c r="F1124" s="5" t="s">
        <v>2425</v>
      </c>
      <c r="G1124" s="5" t="s">
        <v>57</v>
      </c>
      <c r="H1124" s="5" t="s">
        <v>57</v>
      </c>
      <c r="I1124" s="5" t="s">
        <v>57</v>
      </c>
    </row>
    <row r="1125" spans="1:9" ht="375" x14ac:dyDescent="0.25">
      <c r="A1125" s="5" t="s">
        <v>2473</v>
      </c>
      <c r="B1125" s="5" t="s">
        <v>123</v>
      </c>
      <c r="C1125" s="5" t="s">
        <v>1367</v>
      </c>
      <c r="D1125" s="5" t="s">
        <v>1359</v>
      </c>
      <c r="E1125" s="5" t="s">
        <v>2388</v>
      </c>
      <c r="F1125" s="5" t="s">
        <v>2425</v>
      </c>
      <c r="G1125" s="5" t="s">
        <v>57</v>
      </c>
      <c r="H1125" s="5" t="s">
        <v>57</v>
      </c>
      <c r="I1125" s="5" t="s">
        <v>57</v>
      </c>
    </row>
    <row r="1126" spans="1:9" ht="375" x14ac:dyDescent="0.25">
      <c r="A1126" s="5" t="s">
        <v>2474</v>
      </c>
      <c r="B1126" s="5" t="s">
        <v>2013</v>
      </c>
      <c r="C1126" s="5" t="s">
        <v>1367</v>
      </c>
      <c r="D1126" s="5" t="s">
        <v>1359</v>
      </c>
      <c r="E1126" s="5" t="s">
        <v>2388</v>
      </c>
      <c r="F1126" s="5" t="s">
        <v>2425</v>
      </c>
      <c r="G1126" s="5" t="s">
        <v>57</v>
      </c>
      <c r="H1126" s="5" t="s">
        <v>57</v>
      </c>
      <c r="I1126" s="5" t="s">
        <v>57</v>
      </c>
    </row>
    <row r="1127" spans="1:9" ht="375" x14ac:dyDescent="0.25">
      <c r="A1127" s="5" t="s">
        <v>2474</v>
      </c>
      <c r="B1127" s="5" t="s">
        <v>2415</v>
      </c>
      <c r="C1127" s="5" t="s">
        <v>1367</v>
      </c>
      <c r="D1127" s="5" t="s">
        <v>1359</v>
      </c>
      <c r="E1127" s="5" t="s">
        <v>2388</v>
      </c>
      <c r="F1127" s="5" t="s">
        <v>2425</v>
      </c>
      <c r="G1127" s="5" t="s">
        <v>57</v>
      </c>
      <c r="H1127" s="5" t="s">
        <v>57</v>
      </c>
      <c r="I1127" s="5" t="s">
        <v>57</v>
      </c>
    </row>
    <row r="1128" spans="1:9" ht="375" x14ac:dyDescent="0.25">
      <c r="A1128" s="5" t="s">
        <v>2475</v>
      </c>
      <c r="B1128" s="5" t="s">
        <v>123</v>
      </c>
      <c r="C1128" s="5" t="s">
        <v>1367</v>
      </c>
      <c r="D1128" s="5" t="s">
        <v>1359</v>
      </c>
      <c r="E1128" s="5" t="s">
        <v>2388</v>
      </c>
      <c r="F1128" s="5" t="s">
        <v>2425</v>
      </c>
      <c r="G1128" s="5" t="s">
        <v>57</v>
      </c>
      <c r="H1128" s="5" t="s">
        <v>57</v>
      </c>
      <c r="I1128" s="5" t="s">
        <v>57</v>
      </c>
    </row>
    <row r="1129" spans="1:9" ht="375" x14ac:dyDescent="0.25">
      <c r="A1129" s="5" t="s">
        <v>2476</v>
      </c>
      <c r="B1129" s="5" t="s">
        <v>2013</v>
      </c>
      <c r="C1129" s="5" t="s">
        <v>1367</v>
      </c>
      <c r="D1129" s="5" t="s">
        <v>1359</v>
      </c>
      <c r="E1129" s="5" t="s">
        <v>2388</v>
      </c>
      <c r="F1129" s="5" t="s">
        <v>2425</v>
      </c>
      <c r="G1129" s="5" t="s">
        <v>57</v>
      </c>
      <c r="H1129" s="5" t="s">
        <v>57</v>
      </c>
      <c r="I1129" s="5" t="s">
        <v>57</v>
      </c>
    </row>
    <row r="1130" spans="1:9" ht="375" x14ac:dyDescent="0.25">
      <c r="A1130" s="5" t="s">
        <v>2476</v>
      </c>
      <c r="B1130" s="5" t="s">
        <v>2415</v>
      </c>
      <c r="C1130" s="5" t="s">
        <v>1367</v>
      </c>
      <c r="D1130" s="5" t="s">
        <v>1359</v>
      </c>
      <c r="E1130" s="5" t="s">
        <v>2388</v>
      </c>
      <c r="F1130" s="5" t="s">
        <v>2425</v>
      </c>
      <c r="G1130" s="5" t="s">
        <v>57</v>
      </c>
      <c r="H1130" s="5" t="s">
        <v>57</v>
      </c>
      <c r="I1130" s="5" t="s">
        <v>57</v>
      </c>
    </row>
    <row r="1131" spans="1:9" ht="375" x14ac:dyDescent="0.25">
      <c r="A1131" s="5" t="s">
        <v>2477</v>
      </c>
      <c r="B1131" s="5" t="s">
        <v>123</v>
      </c>
      <c r="C1131" s="5" t="s">
        <v>1367</v>
      </c>
      <c r="D1131" s="5" t="s">
        <v>1359</v>
      </c>
      <c r="E1131" s="5" t="s">
        <v>2388</v>
      </c>
      <c r="F1131" s="5" t="s">
        <v>2425</v>
      </c>
      <c r="G1131" s="5" t="s">
        <v>57</v>
      </c>
      <c r="H1131" s="5" t="s">
        <v>57</v>
      </c>
      <c r="I1131" s="5" t="s">
        <v>57</v>
      </c>
    </row>
    <row r="1132" spans="1:9" ht="375" x14ac:dyDescent="0.25">
      <c r="A1132" s="5" t="s">
        <v>2478</v>
      </c>
      <c r="B1132" s="5" t="s">
        <v>2223</v>
      </c>
      <c r="C1132" s="5" t="s">
        <v>1367</v>
      </c>
      <c r="D1132" s="5" t="s">
        <v>1359</v>
      </c>
      <c r="E1132" s="5" t="s">
        <v>1360</v>
      </c>
      <c r="F1132" s="5" t="s">
        <v>2425</v>
      </c>
      <c r="G1132" s="5" t="s">
        <v>15</v>
      </c>
      <c r="H1132" s="5" t="s">
        <v>97</v>
      </c>
      <c r="I1132" s="5" t="s">
        <v>57</v>
      </c>
    </row>
    <row r="1133" spans="1:9" ht="375" x14ac:dyDescent="0.25">
      <c r="A1133" s="5" t="s">
        <v>2479</v>
      </c>
      <c r="B1133" s="5" t="s">
        <v>2223</v>
      </c>
      <c r="C1133" s="5" t="s">
        <v>1367</v>
      </c>
      <c r="D1133" s="5" t="s">
        <v>1359</v>
      </c>
      <c r="E1133" s="5" t="s">
        <v>2388</v>
      </c>
      <c r="F1133" s="5" t="s">
        <v>2425</v>
      </c>
      <c r="G1133" s="5" t="s">
        <v>15</v>
      </c>
      <c r="H1133" s="5" t="s">
        <v>97</v>
      </c>
      <c r="I1133" s="5" t="s">
        <v>57</v>
      </c>
    </row>
    <row r="1134" spans="1:9" ht="375" x14ac:dyDescent="0.25">
      <c r="A1134" s="5" t="s">
        <v>2480</v>
      </c>
      <c r="B1134" s="5" t="s">
        <v>123</v>
      </c>
      <c r="C1134" s="5" t="s">
        <v>1367</v>
      </c>
      <c r="D1134" s="5" t="s">
        <v>1359</v>
      </c>
      <c r="E1134" s="5" t="s">
        <v>1360</v>
      </c>
      <c r="F1134" s="5" t="s">
        <v>2425</v>
      </c>
      <c r="G1134" s="5" t="s">
        <v>15</v>
      </c>
      <c r="H1134" s="5" t="s">
        <v>97</v>
      </c>
      <c r="I1134" s="5" t="s">
        <v>57</v>
      </c>
    </row>
    <row r="1135" spans="1:9" ht="375" x14ac:dyDescent="0.25">
      <c r="A1135" s="5" t="s">
        <v>2481</v>
      </c>
      <c r="B1135" s="5" t="s">
        <v>123</v>
      </c>
      <c r="C1135" s="5" t="s">
        <v>1367</v>
      </c>
      <c r="D1135" s="5" t="s">
        <v>1359</v>
      </c>
      <c r="E1135" s="5" t="s">
        <v>1360</v>
      </c>
      <c r="F1135" s="5" t="s">
        <v>2425</v>
      </c>
      <c r="G1135" s="5" t="s">
        <v>15</v>
      </c>
      <c r="H1135" s="5" t="s">
        <v>97</v>
      </c>
      <c r="I1135" s="5" t="s">
        <v>57</v>
      </c>
    </row>
    <row r="1136" spans="1:9" ht="375" x14ac:dyDescent="0.25">
      <c r="A1136" s="5" t="s">
        <v>2482</v>
      </c>
      <c r="B1136" s="5" t="s">
        <v>123</v>
      </c>
      <c r="C1136" s="5" t="s">
        <v>1367</v>
      </c>
      <c r="D1136" s="5" t="s">
        <v>1359</v>
      </c>
      <c r="E1136" s="5" t="s">
        <v>1360</v>
      </c>
      <c r="F1136" s="5" t="s">
        <v>2425</v>
      </c>
      <c r="G1136" s="5" t="s">
        <v>15</v>
      </c>
      <c r="H1136" s="5" t="s">
        <v>97</v>
      </c>
      <c r="I1136" s="5" t="s">
        <v>57</v>
      </c>
    </row>
    <row r="1137" spans="1:9" ht="375" x14ac:dyDescent="0.25">
      <c r="A1137" s="5" t="s">
        <v>2483</v>
      </c>
      <c r="B1137" s="5" t="s">
        <v>1418</v>
      </c>
      <c r="C1137" s="5" t="s">
        <v>1367</v>
      </c>
      <c r="D1137" s="5" t="s">
        <v>1359</v>
      </c>
      <c r="E1137" s="5" t="s">
        <v>2388</v>
      </c>
      <c r="F1137" s="5" t="s">
        <v>2425</v>
      </c>
      <c r="G1137" s="5" t="s">
        <v>15</v>
      </c>
      <c r="H1137" s="5" t="s">
        <v>97</v>
      </c>
      <c r="I1137" s="5" t="s">
        <v>57</v>
      </c>
    </row>
    <row r="1138" spans="1:9" ht="375" x14ac:dyDescent="0.25">
      <c r="A1138" s="5" t="s">
        <v>2457</v>
      </c>
      <c r="B1138" s="5" t="s">
        <v>1423</v>
      </c>
      <c r="C1138" s="5" t="s">
        <v>1367</v>
      </c>
      <c r="D1138" s="5" t="s">
        <v>1359</v>
      </c>
      <c r="E1138" s="5" t="s">
        <v>2388</v>
      </c>
      <c r="F1138" s="5" t="s">
        <v>2425</v>
      </c>
      <c r="G1138" s="5" t="s">
        <v>15</v>
      </c>
      <c r="H1138" s="5" t="s">
        <v>97</v>
      </c>
      <c r="I1138" s="5" t="s">
        <v>57</v>
      </c>
    </row>
    <row r="1139" spans="1:9" ht="375" x14ac:dyDescent="0.25">
      <c r="A1139" s="5" t="s">
        <v>2459</v>
      </c>
      <c r="B1139" s="5" t="s">
        <v>1423</v>
      </c>
      <c r="C1139" s="5" t="s">
        <v>1367</v>
      </c>
      <c r="D1139" s="5" t="s">
        <v>1359</v>
      </c>
      <c r="E1139" s="5" t="s">
        <v>2388</v>
      </c>
      <c r="F1139" s="5" t="s">
        <v>2425</v>
      </c>
      <c r="G1139" s="5" t="s">
        <v>15</v>
      </c>
      <c r="H1139" s="5" t="s">
        <v>97</v>
      </c>
      <c r="I1139" s="5" t="s">
        <v>57</v>
      </c>
    </row>
    <row r="1140" spans="1:9" ht="195" x14ac:dyDescent="0.25">
      <c r="A1140" s="5" t="s">
        <v>2484</v>
      </c>
      <c r="B1140" s="5" t="s">
        <v>10</v>
      </c>
      <c r="C1140" s="5" t="s">
        <v>1374</v>
      </c>
      <c r="D1140" s="5" t="s">
        <v>1375</v>
      </c>
      <c r="E1140" s="5" t="s">
        <v>13</v>
      </c>
      <c r="F1140" s="5" t="s">
        <v>2485</v>
      </c>
      <c r="G1140" s="5" t="s">
        <v>15</v>
      </c>
      <c r="H1140" s="5" t="s">
        <v>57</v>
      </c>
      <c r="I1140" s="5" t="s">
        <v>265</v>
      </c>
    </row>
    <row r="1141" spans="1:9" ht="195" x14ac:dyDescent="0.25">
      <c r="A1141" s="5" t="s">
        <v>2486</v>
      </c>
      <c r="B1141" s="5" t="s">
        <v>10</v>
      </c>
      <c r="C1141" s="5" t="s">
        <v>1374</v>
      </c>
      <c r="D1141" s="5" t="s">
        <v>1375</v>
      </c>
      <c r="E1141" s="5" t="s">
        <v>13</v>
      </c>
      <c r="F1141" s="5" t="s">
        <v>2485</v>
      </c>
      <c r="G1141" s="5" t="s">
        <v>15</v>
      </c>
      <c r="H1141" s="5" t="s">
        <v>265</v>
      </c>
      <c r="I1141" s="5" t="s">
        <v>57</v>
      </c>
    </row>
    <row r="1142" spans="1:9" ht="195" x14ac:dyDescent="0.25">
      <c r="A1142" s="5" t="s">
        <v>2487</v>
      </c>
      <c r="B1142" s="5" t="s">
        <v>1428</v>
      </c>
      <c r="C1142" s="5" t="s">
        <v>1374</v>
      </c>
      <c r="D1142" s="5" t="s">
        <v>1375</v>
      </c>
      <c r="E1142" s="5" t="s">
        <v>13</v>
      </c>
      <c r="F1142" s="5" t="s">
        <v>2485</v>
      </c>
      <c r="G1142" s="5" t="s">
        <v>15</v>
      </c>
      <c r="H1142" s="5" t="s">
        <v>265</v>
      </c>
      <c r="I1142" s="5" t="s">
        <v>57</v>
      </c>
    </row>
    <row r="1143" spans="1:9" ht="195" x14ac:dyDescent="0.25">
      <c r="A1143" s="5" t="s">
        <v>2488</v>
      </c>
      <c r="B1143" s="5" t="s">
        <v>10</v>
      </c>
      <c r="C1143" s="5" t="s">
        <v>1374</v>
      </c>
      <c r="D1143" s="5" t="s">
        <v>1375</v>
      </c>
      <c r="E1143" s="5" t="s">
        <v>13</v>
      </c>
      <c r="F1143" s="5" t="s">
        <v>2485</v>
      </c>
      <c r="G1143" s="5" t="s">
        <v>15</v>
      </c>
      <c r="H1143" s="5" t="s">
        <v>97</v>
      </c>
      <c r="I1143" s="5" t="s">
        <v>57</v>
      </c>
    </row>
    <row r="1144" spans="1:9" ht="195" x14ac:dyDescent="0.25">
      <c r="A1144" s="5" t="s">
        <v>2489</v>
      </c>
      <c r="B1144" s="5" t="s">
        <v>1428</v>
      </c>
      <c r="C1144" s="5" t="s">
        <v>1374</v>
      </c>
      <c r="D1144" s="5" t="s">
        <v>1375</v>
      </c>
      <c r="E1144" s="5" t="s">
        <v>13</v>
      </c>
      <c r="F1144" s="5" t="s">
        <v>2485</v>
      </c>
      <c r="G1144" s="5" t="s">
        <v>15</v>
      </c>
      <c r="H1144" s="5" t="s">
        <v>97</v>
      </c>
      <c r="I1144" s="5" t="s">
        <v>57</v>
      </c>
    </row>
    <row r="1145" spans="1:9" ht="195" x14ac:dyDescent="0.25">
      <c r="A1145" s="5" t="s">
        <v>2490</v>
      </c>
      <c r="B1145" s="5" t="s">
        <v>10</v>
      </c>
      <c r="C1145" s="5" t="s">
        <v>1374</v>
      </c>
      <c r="D1145" s="5" t="s">
        <v>1375</v>
      </c>
      <c r="E1145" s="5" t="s">
        <v>13</v>
      </c>
      <c r="F1145" s="5" t="s">
        <v>2485</v>
      </c>
      <c r="G1145" s="5" t="s">
        <v>15</v>
      </c>
      <c r="H1145" s="5" t="s">
        <v>97</v>
      </c>
      <c r="I1145" s="5" t="s">
        <v>57</v>
      </c>
    </row>
    <row r="1146" spans="1:9" ht="195" x14ac:dyDescent="0.25">
      <c r="A1146" s="5" t="s">
        <v>2491</v>
      </c>
      <c r="B1146" s="5" t="s">
        <v>10</v>
      </c>
      <c r="C1146" s="5" t="s">
        <v>1374</v>
      </c>
      <c r="D1146" s="5" t="s">
        <v>1375</v>
      </c>
      <c r="E1146" s="5" t="s">
        <v>2492</v>
      </c>
      <c r="F1146" s="5" t="s">
        <v>2485</v>
      </c>
      <c r="G1146" s="5" t="s">
        <v>15</v>
      </c>
      <c r="H1146" s="5" t="s">
        <v>57</v>
      </c>
      <c r="I1146" s="5" t="s">
        <v>265</v>
      </c>
    </row>
    <row r="1147" spans="1:9" ht="195" x14ac:dyDescent="0.25">
      <c r="A1147" s="5" t="s">
        <v>2493</v>
      </c>
      <c r="B1147" s="5" t="s">
        <v>132</v>
      </c>
      <c r="C1147" s="5" t="s">
        <v>1374</v>
      </c>
      <c r="D1147" s="5" t="s">
        <v>1375</v>
      </c>
      <c r="E1147" s="5" t="s">
        <v>13</v>
      </c>
      <c r="F1147" s="5" t="s">
        <v>2485</v>
      </c>
      <c r="G1147" s="5" t="s">
        <v>15</v>
      </c>
      <c r="H1147" s="5" t="s">
        <v>57</v>
      </c>
      <c r="I1147" s="5" t="s">
        <v>265</v>
      </c>
    </row>
    <row r="1148" spans="1:9" ht="195" x14ac:dyDescent="0.25">
      <c r="A1148" s="5" t="s">
        <v>2493</v>
      </c>
      <c r="B1148" s="5" t="s">
        <v>1013</v>
      </c>
      <c r="C1148" s="5" t="s">
        <v>1374</v>
      </c>
      <c r="D1148" s="5" t="s">
        <v>1375</v>
      </c>
      <c r="E1148" s="5" t="s">
        <v>13</v>
      </c>
      <c r="F1148" s="5" t="s">
        <v>2485</v>
      </c>
      <c r="G1148" s="5" t="s">
        <v>15</v>
      </c>
      <c r="H1148" s="5" t="s">
        <v>57</v>
      </c>
      <c r="I1148" s="5" t="s">
        <v>265</v>
      </c>
    </row>
    <row r="1149" spans="1:9" ht="195" x14ac:dyDescent="0.25">
      <c r="A1149" s="5" t="s">
        <v>2494</v>
      </c>
      <c r="B1149" s="5" t="s">
        <v>123</v>
      </c>
      <c r="C1149" s="5" t="s">
        <v>1374</v>
      </c>
      <c r="D1149" s="5" t="s">
        <v>1375</v>
      </c>
      <c r="E1149" s="5" t="s">
        <v>13</v>
      </c>
      <c r="F1149" s="5" t="s">
        <v>2485</v>
      </c>
      <c r="G1149" s="5" t="s">
        <v>15</v>
      </c>
      <c r="H1149" s="5" t="s">
        <v>97</v>
      </c>
      <c r="I1149" s="5" t="s">
        <v>57</v>
      </c>
    </row>
    <row r="1150" spans="1:9" ht="195" x14ac:dyDescent="0.25">
      <c r="A1150" s="5" t="s">
        <v>2495</v>
      </c>
      <c r="B1150" s="5" t="s">
        <v>1402</v>
      </c>
      <c r="C1150" s="5" t="s">
        <v>1374</v>
      </c>
      <c r="D1150" s="5" t="s">
        <v>1375</v>
      </c>
      <c r="E1150" s="5" t="s">
        <v>1396</v>
      </c>
      <c r="F1150" s="5" t="s">
        <v>2485</v>
      </c>
      <c r="G1150" s="5" t="s">
        <v>15</v>
      </c>
      <c r="H1150" s="5" t="s">
        <v>97</v>
      </c>
      <c r="I1150" s="5" t="s">
        <v>57</v>
      </c>
    </row>
    <row r="1151" spans="1:9" ht="120" x14ac:dyDescent="0.25">
      <c r="A1151" s="5" t="s">
        <v>1382</v>
      </c>
      <c r="B1151" s="5" t="s">
        <v>2013</v>
      </c>
      <c r="C1151" s="5" t="s">
        <v>1382</v>
      </c>
      <c r="D1151" s="5" t="s">
        <v>1383</v>
      </c>
      <c r="E1151" s="5" t="s">
        <v>2264</v>
      </c>
      <c r="F1151" s="5" t="s">
        <v>2496</v>
      </c>
      <c r="G1151" s="5" t="s">
        <v>15</v>
      </c>
      <c r="H1151" s="5" t="s">
        <v>97</v>
      </c>
      <c r="I1151" s="5" t="s">
        <v>57</v>
      </c>
    </row>
    <row r="1152" spans="1:9" ht="120" x14ac:dyDescent="0.25">
      <c r="A1152" s="5" t="s">
        <v>2497</v>
      </c>
      <c r="B1152" s="5" t="s">
        <v>123</v>
      </c>
      <c r="C1152" s="5" t="s">
        <v>1382</v>
      </c>
      <c r="D1152" s="5" t="s">
        <v>1383</v>
      </c>
      <c r="E1152" s="5" t="s">
        <v>2264</v>
      </c>
      <c r="F1152" s="5" t="s">
        <v>2496</v>
      </c>
      <c r="G1152" s="5" t="s">
        <v>15</v>
      </c>
      <c r="H1152" s="5" t="s">
        <v>97</v>
      </c>
      <c r="I1152" s="5" t="s">
        <v>57</v>
      </c>
    </row>
    <row r="1153" spans="1:9" ht="120" x14ac:dyDescent="0.25">
      <c r="A1153" s="5" t="s">
        <v>2498</v>
      </c>
      <c r="B1153" s="5" t="s">
        <v>10</v>
      </c>
      <c r="C1153" s="5" t="s">
        <v>1382</v>
      </c>
      <c r="D1153" s="5" t="s">
        <v>1383</v>
      </c>
      <c r="E1153" s="5" t="s">
        <v>1229</v>
      </c>
      <c r="F1153" s="5" t="s">
        <v>2496</v>
      </c>
      <c r="G1153" s="5" t="s">
        <v>15</v>
      </c>
      <c r="H1153" s="5" t="s">
        <v>97</v>
      </c>
      <c r="I1153" s="5" t="s">
        <v>57</v>
      </c>
    </row>
    <row r="1154" spans="1:9" ht="120" x14ac:dyDescent="0.25">
      <c r="A1154" s="5" t="s">
        <v>2499</v>
      </c>
      <c r="B1154" s="5" t="s">
        <v>10</v>
      </c>
      <c r="C1154" s="5" t="s">
        <v>1382</v>
      </c>
      <c r="D1154" s="5" t="s">
        <v>1383</v>
      </c>
      <c r="E1154" s="5" t="s">
        <v>2370</v>
      </c>
      <c r="F1154" s="5" t="s">
        <v>2496</v>
      </c>
      <c r="G1154" s="5" t="s">
        <v>15</v>
      </c>
      <c r="H1154" s="5" t="s">
        <v>56</v>
      </c>
      <c r="I1154" s="5" t="s">
        <v>57</v>
      </c>
    </row>
    <row r="1155" spans="1:9" ht="120" x14ac:dyDescent="0.25">
      <c r="A1155" s="5" t="s">
        <v>2500</v>
      </c>
      <c r="B1155" s="5" t="s">
        <v>1428</v>
      </c>
      <c r="C1155" s="5" t="s">
        <v>1382</v>
      </c>
      <c r="D1155" s="5" t="s">
        <v>1383</v>
      </c>
      <c r="E1155" s="5" t="s">
        <v>2370</v>
      </c>
      <c r="F1155" s="5" t="s">
        <v>2496</v>
      </c>
      <c r="G1155" s="5" t="s">
        <v>15</v>
      </c>
      <c r="H1155" s="5" t="s">
        <v>56</v>
      </c>
      <c r="I1155" s="5" t="s">
        <v>57</v>
      </c>
    </row>
    <row r="1156" spans="1:9" ht="120" x14ac:dyDescent="0.25">
      <c r="A1156" s="5" t="s">
        <v>2501</v>
      </c>
      <c r="B1156" s="5" t="s">
        <v>1423</v>
      </c>
      <c r="C1156" s="5" t="s">
        <v>1382</v>
      </c>
      <c r="D1156" s="5" t="s">
        <v>1383</v>
      </c>
      <c r="E1156" s="5" t="s">
        <v>2370</v>
      </c>
      <c r="F1156" s="5" t="s">
        <v>2496</v>
      </c>
      <c r="G1156" s="5" t="s">
        <v>15</v>
      </c>
      <c r="H1156" s="5" t="s">
        <v>56</v>
      </c>
      <c r="I1156" s="5" t="s">
        <v>57</v>
      </c>
    </row>
    <row r="1157" spans="1:9" ht="120" x14ac:dyDescent="0.25">
      <c r="A1157" s="5" t="s">
        <v>2502</v>
      </c>
      <c r="B1157" s="5" t="s">
        <v>10</v>
      </c>
      <c r="C1157" s="5" t="s">
        <v>1382</v>
      </c>
      <c r="D1157" s="5" t="s">
        <v>1383</v>
      </c>
      <c r="E1157" s="5" t="s">
        <v>1229</v>
      </c>
      <c r="F1157" s="5" t="s">
        <v>2496</v>
      </c>
      <c r="G1157" s="5" t="s">
        <v>15</v>
      </c>
      <c r="H1157" s="5" t="s">
        <v>57</v>
      </c>
      <c r="I1157" s="5" t="s">
        <v>265</v>
      </c>
    </row>
    <row r="1158" spans="1:9" ht="120" x14ac:dyDescent="0.25">
      <c r="A1158" s="5" t="s">
        <v>2502</v>
      </c>
      <c r="B1158" s="5" t="s">
        <v>123</v>
      </c>
      <c r="C1158" s="5" t="s">
        <v>1382</v>
      </c>
      <c r="D1158" s="5" t="s">
        <v>1383</v>
      </c>
      <c r="E1158" s="5" t="s">
        <v>1229</v>
      </c>
      <c r="F1158" s="5" t="s">
        <v>2496</v>
      </c>
      <c r="G1158" s="5" t="s">
        <v>15</v>
      </c>
      <c r="H1158" s="5" t="s">
        <v>57</v>
      </c>
      <c r="I1158" s="5" t="s">
        <v>265</v>
      </c>
    </row>
    <row r="1159" spans="1:9" ht="120" x14ac:dyDescent="0.25">
      <c r="A1159" s="5" t="s">
        <v>2503</v>
      </c>
      <c r="B1159" s="5" t="s">
        <v>10</v>
      </c>
      <c r="C1159" s="5" t="s">
        <v>1382</v>
      </c>
      <c r="D1159" s="5" t="s">
        <v>1383</v>
      </c>
      <c r="E1159" s="5" t="s">
        <v>2260</v>
      </c>
      <c r="F1159" s="5" t="s">
        <v>2496</v>
      </c>
      <c r="G1159" s="5" t="s">
        <v>15</v>
      </c>
      <c r="H1159" s="5" t="s">
        <v>57</v>
      </c>
      <c r="I1159" s="5" t="s">
        <v>265</v>
      </c>
    </row>
    <row r="1160" spans="1:9" ht="120" x14ac:dyDescent="0.25">
      <c r="A1160" s="5" t="s">
        <v>2504</v>
      </c>
      <c r="B1160" s="5" t="s">
        <v>132</v>
      </c>
      <c r="C1160" s="5" t="s">
        <v>1382</v>
      </c>
      <c r="D1160" s="5" t="s">
        <v>1383</v>
      </c>
      <c r="E1160" s="5" t="s">
        <v>1229</v>
      </c>
      <c r="F1160" s="5" t="s">
        <v>2496</v>
      </c>
      <c r="G1160" s="5" t="s">
        <v>15</v>
      </c>
      <c r="H1160" s="5" t="s">
        <v>57</v>
      </c>
      <c r="I1160" s="5" t="s">
        <v>57</v>
      </c>
    </row>
    <row r="1161" spans="1:9" ht="120" x14ac:dyDescent="0.25">
      <c r="A1161" s="5" t="s">
        <v>2504</v>
      </c>
      <c r="B1161" s="5" t="s">
        <v>991</v>
      </c>
      <c r="C1161" s="5" t="s">
        <v>1382</v>
      </c>
      <c r="D1161" s="5" t="s">
        <v>1383</v>
      </c>
      <c r="E1161" s="5" t="s">
        <v>1229</v>
      </c>
      <c r="F1161" s="5" t="s">
        <v>2496</v>
      </c>
      <c r="G1161" s="5" t="s">
        <v>15</v>
      </c>
      <c r="H1161" s="5" t="s">
        <v>57</v>
      </c>
      <c r="I1161" s="5" t="s">
        <v>57</v>
      </c>
    </row>
    <row r="1162" spans="1:9" ht="120" x14ac:dyDescent="0.25">
      <c r="A1162" s="5" t="s">
        <v>2505</v>
      </c>
      <c r="B1162" s="5" t="s">
        <v>132</v>
      </c>
      <c r="C1162" s="5" t="s">
        <v>1382</v>
      </c>
      <c r="D1162" s="5" t="s">
        <v>1383</v>
      </c>
      <c r="E1162" s="5" t="s">
        <v>2264</v>
      </c>
      <c r="F1162" s="5" t="s">
        <v>2496</v>
      </c>
      <c r="G1162" s="5" t="s">
        <v>15</v>
      </c>
      <c r="H1162" s="5" t="s">
        <v>57</v>
      </c>
      <c r="I1162" s="5" t="s">
        <v>120</v>
      </c>
    </row>
    <row r="1163" spans="1:9" ht="120" x14ac:dyDescent="0.25">
      <c r="A1163" s="5" t="s">
        <v>2505</v>
      </c>
      <c r="B1163" s="5" t="s">
        <v>1013</v>
      </c>
      <c r="C1163" s="5" t="s">
        <v>1382</v>
      </c>
      <c r="D1163" s="5" t="s">
        <v>1383</v>
      </c>
      <c r="E1163" s="5" t="s">
        <v>2264</v>
      </c>
      <c r="F1163" s="5" t="s">
        <v>2496</v>
      </c>
      <c r="G1163" s="5" t="s">
        <v>15</v>
      </c>
      <c r="H1163" s="5" t="s">
        <v>57</v>
      </c>
      <c r="I1163" s="5" t="s">
        <v>120</v>
      </c>
    </row>
    <row r="1164" spans="1:9" ht="90" x14ac:dyDescent="0.25">
      <c r="A1164" s="5" t="s">
        <v>1390</v>
      </c>
      <c r="B1164" s="5" t="s">
        <v>2013</v>
      </c>
      <c r="C1164" s="5" t="s">
        <v>1390</v>
      </c>
      <c r="D1164" s="5" t="s">
        <v>1391</v>
      </c>
      <c r="E1164" s="5" t="s">
        <v>2264</v>
      </c>
      <c r="F1164" s="5" t="s">
        <v>2506</v>
      </c>
      <c r="G1164" s="5" t="s">
        <v>15</v>
      </c>
      <c r="H1164" s="5" t="s">
        <v>97</v>
      </c>
      <c r="I1164" s="5" t="s">
        <v>57</v>
      </c>
    </row>
    <row r="1165" spans="1:9" ht="90" x14ac:dyDescent="0.25">
      <c r="A1165" s="5" t="s">
        <v>2507</v>
      </c>
      <c r="B1165" s="5" t="s">
        <v>123</v>
      </c>
      <c r="C1165" s="5" t="s">
        <v>1390</v>
      </c>
      <c r="D1165" s="5" t="s">
        <v>1391</v>
      </c>
      <c r="E1165" s="5" t="s">
        <v>2264</v>
      </c>
      <c r="F1165" s="5" t="s">
        <v>2506</v>
      </c>
      <c r="G1165" s="5" t="s">
        <v>15</v>
      </c>
      <c r="H1165" s="5" t="s">
        <v>97</v>
      </c>
      <c r="I1165" s="5" t="s">
        <v>57</v>
      </c>
    </row>
    <row r="1166" spans="1:9" ht="90" x14ac:dyDescent="0.25">
      <c r="A1166" s="5" t="s">
        <v>2508</v>
      </c>
      <c r="B1166" s="5" t="s">
        <v>10</v>
      </c>
      <c r="C1166" s="5" t="s">
        <v>1390</v>
      </c>
      <c r="D1166" s="5" t="s">
        <v>1391</v>
      </c>
      <c r="E1166" s="5" t="s">
        <v>1229</v>
      </c>
      <c r="F1166" s="5" t="s">
        <v>2506</v>
      </c>
      <c r="G1166" s="5" t="s">
        <v>15</v>
      </c>
      <c r="H1166" s="5" t="s">
        <v>97</v>
      </c>
      <c r="I1166" s="5" t="s">
        <v>57</v>
      </c>
    </row>
    <row r="1167" spans="1:9" ht="90" x14ac:dyDescent="0.25">
      <c r="A1167" s="5" t="s">
        <v>2509</v>
      </c>
      <c r="B1167" s="5" t="s">
        <v>10</v>
      </c>
      <c r="C1167" s="5" t="s">
        <v>1390</v>
      </c>
      <c r="D1167" s="5" t="s">
        <v>1391</v>
      </c>
      <c r="E1167" s="5" t="s">
        <v>2370</v>
      </c>
      <c r="F1167" s="5" t="s">
        <v>2506</v>
      </c>
      <c r="G1167" s="5" t="s">
        <v>15</v>
      </c>
      <c r="H1167" s="5" t="s">
        <v>120</v>
      </c>
      <c r="I1167" s="5" t="s">
        <v>57</v>
      </c>
    </row>
    <row r="1168" spans="1:9" ht="90" x14ac:dyDescent="0.25">
      <c r="A1168" s="5" t="s">
        <v>2510</v>
      </c>
      <c r="B1168" s="5" t="s">
        <v>1428</v>
      </c>
      <c r="C1168" s="5" t="s">
        <v>1390</v>
      </c>
      <c r="D1168" s="5" t="s">
        <v>1391</v>
      </c>
      <c r="E1168" s="5" t="s">
        <v>2370</v>
      </c>
      <c r="F1168" s="5" t="s">
        <v>2506</v>
      </c>
      <c r="G1168" s="5" t="s">
        <v>15</v>
      </c>
      <c r="H1168" s="5" t="s">
        <v>120</v>
      </c>
      <c r="I1168" s="5" t="s">
        <v>57</v>
      </c>
    </row>
    <row r="1169" spans="1:9" ht="90" x14ac:dyDescent="0.25">
      <c r="A1169" s="5" t="s">
        <v>2511</v>
      </c>
      <c r="B1169" s="5" t="s">
        <v>1423</v>
      </c>
      <c r="C1169" s="5" t="s">
        <v>1390</v>
      </c>
      <c r="D1169" s="5" t="s">
        <v>1391</v>
      </c>
      <c r="E1169" s="5" t="s">
        <v>2370</v>
      </c>
      <c r="F1169" s="5" t="s">
        <v>2506</v>
      </c>
      <c r="G1169" s="5" t="s">
        <v>15</v>
      </c>
      <c r="H1169" s="5" t="s">
        <v>120</v>
      </c>
      <c r="I1169" s="5" t="s">
        <v>57</v>
      </c>
    </row>
    <row r="1170" spans="1:9" ht="90" x14ac:dyDescent="0.25">
      <c r="A1170" s="5" t="s">
        <v>2512</v>
      </c>
      <c r="B1170" s="5" t="s">
        <v>10</v>
      </c>
      <c r="C1170" s="5" t="s">
        <v>1390</v>
      </c>
      <c r="D1170" s="5" t="s">
        <v>1391</v>
      </c>
      <c r="E1170" s="5" t="s">
        <v>1229</v>
      </c>
      <c r="F1170" s="5" t="s">
        <v>2506</v>
      </c>
      <c r="G1170" s="5" t="s">
        <v>15</v>
      </c>
      <c r="H1170" s="5" t="s">
        <v>57</v>
      </c>
      <c r="I1170" s="5" t="s">
        <v>661</v>
      </c>
    </row>
    <row r="1171" spans="1:9" ht="90" x14ac:dyDescent="0.25">
      <c r="A1171" s="5" t="s">
        <v>2512</v>
      </c>
      <c r="B1171" s="5" t="s">
        <v>123</v>
      </c>
      <c r="C1171" s="5" t="s">
        <v>1390</v>
      </c>
      <c r="D1171" s="5" t="s">
        <v>1391</v>
      </c>
      <c r="E1171" s="5" t="s">
        <v>1229</v>
      </c>
      <c r="F1171" s="5" t="s">
        <v>2506</v>
      </c>
      <c r="G1171" s="5" t="s">
        <v>15</v>
      </c>
      <c r="H1171" s="5" t="s">
        <v>57</v>
      </c>
      <c r="I1171" s="5" t="s">
        <v>661</v>
      </c>
    </row>
    <row r="1172" spans="1:9" ht="90" x14ac:dyDescent="0.25">
      <c r="A1172" s="5" t="s">
        <v>2513</v>
      </c>
      <c r="B1172" s="5" t="s">
        <v>10</v>
      </c>
      <c r="C1172" s="5" t="s">
        <v>1390</v>
      </c>
      <c r="D1172" s="5" t="s">
        <v>1391</v>
      </c>
      <c r="E1172" s="5" t="s">
        <v>2257</v>
      </c>
      <c r="F1172" s="5" t="s">
        <v>2506</v>
      </c>
      <c r="G1172" s="5" t="s">
        <v>15</v>
      </c>
      <c r="H1172" s="5" t="s">
        <v>57</v>
      </c>
      <c r="I1172" s="5" t="s">
        <v>265</v>
      </c>
    </row>
    <row r="1173" spans="1:9" ht="90" x14ac:dyDescent="0.25">
      <c r="A1173" s="5" t="s">
        <v>2514</v>
      </c>
      <c r="B1173" s="5" t="s">
        <v>10</v>
      </c>
      <c r="C1173" s="5" t="s">
        <v>1390</v>
      </c>
      <c r="D1173" s="5" t="s">
        <v>1391</v>
      </c>
      <c r="E1173" s="5" t="s">
        <v>2260</v>
      </c>
      <c r="F1173" s="5" t="s">
        <v>2506</v>
      </c>
      <c r="G1173" s="5" t="s">
        <v>15</v>
      </c>
      <c r="H1173" s="5" t="s">
        <v>57</v>
      </c>
      <c r="I1173" s="5" t="s">
        <v>265</v>
      </c>
    </row>
    <row r="1174" spans="1:9" ht="90" x14ac:dyDescent="0.25">
      <c r="A1174" s="5" t="s">
        <v>2515</v>
      </c>
      <c r="B1174" s="5" t="s">
        <v>132</v>
      </c>
      <c r="C1174" s="5" t="s">
        <v>1390</v>
      </c>
      <c r="D1174" s="5" t="s">
        <v>1391</v>
      </c>
      <c r="E1174" s="5" t="s">
        <v>1229</v>
      </c>
      <c r="F1174" s="5" t="s">
        <v>2506</v>
      </c>
      <c r="G1174" s="5" t="s">
        <v>15</v>
      </c>
      <c r="H1174" s="5" t="s">
        <v>57</v>
      </c>
      <c r="I1174" s="5" t="s">
        <v>57</v>
      </c>
    </row>
    <row r="1175" spans="1:9" ht="90" x14ac:dyDescent="0.25">
      <c r="A1175" s="5" t="s">
        <v>2515</v>
      </c>
      <c r="B1175" s="5" t="s">
        <v>991</v>
      </c>
      <c r="C1175" s="5" t="s">
        <v>1390</v>
      </c>
      <c r="D1175" s="5" t="s">
        <v>1391</v>
      </c>
      <c r="E1175" s="5" t="s">
        <v>1229</v>
      </c>
      <c r="F1175" s="5" t="s">
        <v>2506</v>
      </c>
      <c r="G1175" s="5" t="s">
        <v>15</v>
      </c>
      <c r="H1175" s="5" t="s">
        <v>57</v>
      </c>
      <c r="I1175" s="5" t="s">
        <v>57</v>
      </c>
    </row>
    <row r="1176" spans="1:9" ht="90" x14ac:dyDescent="0.25">
      <c r="A1176" s="5" t="s">
        <v>2516</v>
      </c>
      <c r="B1176" s="5" t="s">
        <v>132</v>
      </c>
      <c r="C1176" s="5" t="s">
        <v>1390</v>
      </c>
      <c r="D1176" s="5" t="s">
        <v>1391</v>
      </c>
      <c r="E1176" s="5" t="s">
        <v>2264</v>
      </c>
      <c r="F1176" s="5" t="s">
        <v>2506</v>
      </c>
      <c r="G1176" s="5" t="s">
        <v>15</v>
      </c>
      <c r="H1176" s="5" t="s">
        <v>57</v>
      </c>
      <c r="I1176" s="5" t="s">
        <v>120</v>
      </c>
    </row>
    <row r="1177" spans="1:9" ht="90" x14ac:dyDescent="0.25">
      <c r="A1177" s="5" t="s">
        <v>2516</v>
      </c>
      <c r="B1177" s="5" t="s">
        <v>1013</v>
      </c>
      <c r="C1177" s="5" t="s">
        <v>1390</v>
      </c>
      <c r="D1177" s="5" t="s">
        <v>1391</v>
      </c>
      <c r="E1177" s="5" t="s">
        <v>2264</v>
      </c>
      <c r="F1177" s="5" t="s">
        <v>2506</v>
      </c>
      <c r="G1177" s="5" t="s">
        <v>15</v>
      </c>
      <c r="H1177" s="5" t="s">
        <v>57</v>
      </c>
      <c r="I1177" s="5"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V261"/>
  <sheetViews>
    <sheetView workbookViewId="0"/>
  </sheetViews>
  <sheetFormatPr defaultRowHeight="15" x14ac:dyDescent="0.25"/>
  <cols>
    <col min="1" max="1" width="22.42578125" bestFit="1" customWidth="1"/>
    <col min="2" max="2" width="5.5703125" customWidth="1"/>
    <col min="3" max="4" width="1.85546875" bestFit="1" customWidth="1"/>
    <col min="5" max="5" width="2" bestFit="1" customWidth="1"/>
    <col min="6" max="7" width="1.85546875" bestFit="1" customWidth="1"/>
    <col min="8" max="8" width="2.140625" bestFit="1" customWidth="1"/>
    <col min="9" max="9" width="6.42578125" bestFit="1" customWidth="1"/>
    <col min="10" max="10" width="10.42578125" bestFit="1" customWidth="1"/>
    <col min="13" max="13" width="7.7109375" customWidth="1"/>
  </cols>
  <sheetData>
    <row r="3" spans="1:22" x14ac:dyDescent="0.25">
      <c r="A3" s="8" t="s">
        <v>2526</v>
      </c>
      <c r="B3" s="8" t="s">
        <v>2524</v>
      </c>
      <c r="L3" t="s">
        <v>2526</v>
      </c>
      <c r="M3" t="s">
        <v>2524</v>
      </c>
    </row>
    <row r="4" spans="1:22" x14ac:dyDescent="0.25">
      <c r="A4" s="8" t="s">
        <v>2521</v>
      </c>
      <c r="B4" t="s">
        <v>10</v>
      </c>
      <c r="C4" t="s">
        <v>123</v>
      </c>
      <c r="D4" t="s">
        <v>1423</v>
      </c>
      <c r="E4" t="s">
        <v>2525</v>
      </c>
      <c r="F4" t="s">
        <v>2415</v>
      </c>
      <c r="G4" t="s">
        <v>1527</v>
      </c>
      <c r="H4" t="s">
        <v>222</v>
      </c>
      <c r="I4" t="s">
        <v>2522</v>
      </c>
      <c r="J4" t="s">
        <v>2523</v>
      </c>
      <c r="L4" t="s">
        <v>2521</v>
      </c>
      <c r="M4" t="s">
        <v>10</v>
      </c>
      <c r="N4" t="s">
        <v>123</v>
      </c>
      <c r="O4" t="s">
        <v>1423</v>
      </c>
      <c r="P4" t="s">
        <v>2525</v>
      </c>
      <c r="Q4" t="s">
        <v>2415</v>
      </c>
      <c r="R4" t="s">
        <v>1527</v>
      </c>
      <c r="S4" t="s">
        <v>222</v>
      </c>
      <c r="T4" t="s">
        <v>2522</v>
      </c>
      <c r="U4" t="s">
        <v>2523</v>
      </c>
      <c r="V4" t="s">
        <v>2527</v>
      </c>
    </row>
    <row r="5" spans="1:22" x14ac:dyDescent="0.25">
      <c r="A5" s="9" t="s">
        <v>71</v>
      </c>
      <c r="B5" s="10">
        <v>1</v>
      </c>
      <c r="C5" s="10">
        <v>1</v>
      </c>
      <c r="D5" s="10"/>
      <c r="E5" s="10"/>
      <c r="F5" s="10"/>
      <c r="G5" s="10"/>
      <c r="H5" s="10"/>
      <c r="I5" s="10"/>
      <c r="J5" s="10">
        <v>1</v>
      </c>
      <c r="L5" t="s">
        <v>71</v>
      </c>
      <c r="M5">
        <v>1</v>
      </c>
      <c r="N5">
        <v>1</v>
      </c>
      <c r="U5">
        <v>1</v>
      </c>
      <c r="V5">
        <f>IF(N5=1,1,IF(O5=1,1,IF(S5=1,0.8,0)))</f>
        <v>1</v>
      </c>
    </row>
    <row r="6" spans="1:22" x14ac:dyDescent="0.25">
      <c r="A6" s="9" t="s">
        <v>1219</v>
      </c>
      <c r="B6" s="10">
        <v>1</v>
      </c>
      <c r="C6" s="10">
        <v>1</v>
      </c>
      <c r="D6" s="10">
        <v>1</v>
      </c>
      <c r="E6" s="10">
        <v>1</v>
      </c>
      <c r="F6" s="10"/>
      <c r="G6" s="10"/>
      <c r="H6" s="10"/>
      <c r="I6" s="10"/>
      <c r="J6" s="10">
        <v>1</v>
      </c>
      <c r="L6" t="s">
        <v>1219</v>
      </c>
      <c r="M6">
        <v>1</v>
      </c>
      <c r="N6">
        <v>1</v>
      </c>
      <c r="O6">
        <v>1</v>
      </c>
      <c r="P6">
        <v>1</v>
      </c>
      <c r="U6">
        <v>1</v>
      </c>
      <c r="V6">
        <f t="shared" ref="V6:V69" si="0">IF(N6=1,1,IF(O6=1,1,IF(S6=1,0.8,0)))</f>
        <v>1</v>
      </c>
    </row>
    <row r="7" spans="1:22" x14ac:dyDescent="0.25">
      <c r="A7" s="9" t="s">
        <v>1322</v>
      </c>
      <c r="B7" s="10">
        <v>1</v>
      </c>
      <c r="C7" s="10">
        <v>1</v>
      </c>
      <c r="D7" s="10"/>
      <c r="E7" s="10">
        <v>1</v>
      </c>
      <c r="F7" s="10"/>
      <c r="G7" s="10"/>
      <c r="H7" s="10"/>
      <c r="I7" s="10"/>
      <c r="J7" s="10">
        <v>1</v>
      </c>
      <c r="L7" t="s">
        <v>1322</v>
      </c>
      <c r="M7">
        <v>1</v>
      </c>
      <c r="N7">
        <v>1</v>
      </c>
      <c r="P7">
        <v>1</v>
      </c>
      <c r="U7">
        <v>1</v>
      </c>
      <c r="V7">
        <f t="shared" si="0"/>
        <v>1</v>
      </c>
    </row>
    <row r="8" spans="1:22" x14ac:dyDescent="0.25">
      <c r="A8" s="9" t="s">
        <v>1330</v>
      </c>
      <c r="B8" s="10">
        <v>1</v>
      </c>
      <c r="C8" s="10">
        <v>1</v>
      </c>
      <c r="D8" s="10"/>
      <c r="E8" s="10">
        <v>1</v>
      </c>
      <c r="F8" s="10"/>
      <c r="G8" s="10"/>
      <c r="H8" s="10"/>
      <c r="I8" s="10"/>
      <c r="J8" s="10">
        <v>1</v>
      </c>
      <c r="L8" t="s">
        <v>1330</v>
      </c>
      <c r="M8">
        <v>1</v>
      </c>
      <c r="N8">
        <v>1</v>
      </c>
      <c r="P8">
        <v>1</v>
      </c>
      <c r="U8">
        <v>1</v>
      </c>
      <c r="V8">
        <f t="shared" si="0"/>
        <v>1</v>
      </c>
    </row>
    <row r="9" spans="1:22" x14ac:dyDescent="0.25">
      <c r="A9" s="9" t="s">
        <v>1294</v>
      </c>
      <c r="B9" s="10">
        <v>1</v>
      </c>
      <c r="C9" s="10">
        <v>1</v>
      </c>
      <c r="D9" s="10"/>
      <c r="E9" s="10"/>
      <c r="F9" s="10"/>
      <c r="G9" s="10"/>
      <c r="H9" s="10"/>
      <c r="I9" s="10"/>
      <c r="J9" s="10">
        <v>1</v>
      </c>
      <c r="L9" t="s">
        <v>1294</v>
      </c>
      <c r="M9">
        <v>1</v>
      </c>
      <c r="N9">
        <v>1</v>
      </c>
      <c r="U9">
        <v>1</v>
      </c>
      <c r="V9">
        <f t="shared" si="0"/>
        <v>1</v>
      </c>
    </row>
    <row r="10" spans="1:22" x14ac:dyDescent="0.25">
      <c r="A10" s="9" t="s">
        <v>1174</v>
      </c>
      <c r="B10" s="10">
        <v>1</v>
      </c>
      <c r="C10" s="10">
        <v>1</v>
      </c>
      <c r="D10" s="10"/>
      <c r="E10" s="10">
        <v>1</v>
      </c>
      <c r="F10" s="10"/>
      <c r="G10" s="10">
        <v>1</v>
      </c>
      <c r="H10" s="10"/>
      <c r="I10" s="10"/>
      <c r="J10" s="10">
        <v>1</v>
      </c>
      <c r="L10" t="s">
        <v>1174</v>
      </c>
      <c r="M10">
        <v>1</v>
      </c>
      <c r="N10">
        <v>1</v>
      </c>
      <c r="P10">
        <v>1</v>
      </c>
      <c r="R10">
        <v>1</v>
      </c>
      <c r="U10">
        <v>1</v>
      </c>
      <c r="V10">
        <f t="shared" si="0"/>
        <v>1</v>
      </c>
    </row>
    <row r="11" spans="1:22" x14ac:dyDescent="0.25">
      <c r="A11" s="9" t="s">
        <v>1129</v>
      </c>
      <c r="B11" s="10">
        <v>1</v>
      </c>
      <c r="C11" s="10">
        <v>1</v>
      </c>
      <c r="D11" s="10">
        <v>1</v>
      </c>
      <c r="E11" s="10">
        <v>1</v>
      </c>
      <c r="F11" s="10"/>
      <c r="G11" s="10">
        <v>1</v>
      </c>
      <c r="H11" s="10"/>
      <c r="I11" s="10"/>
      <c r="J11" s="10">
        <v>1</v>
      </c>
      <c r="L11" t="s">
        <v>1129</v>
      </c>
      <c r="M11">
        <v>1</v>
      </c>
      <c r="N11">
        <v>1</v>
      </c>
      <c r="O11">
        <v>1</v>
      </c>
      <c r="P11">
        <v>1</v>
      </c>
      <c r="R11">
        <v>1</v>
      </c>
      <c r="U11">
        <v>1</v>
      </c>
      <c r="V11">
        <f t="shared" si="0"/>
        <v>1</v>
      </c>
    </row>
    <row r="12" spans="1:22" x14ac:dyDescent="0.25">
      <c r="A12" s="9" t="s">
        <v>1123</v>
      </c>
      <c r="B12" s="10">
        <v>1</v>
      </c>
      <c r="C12" s="10">
        <v>1</v>
      </c>
      <c r="D12" s="10"/>
      <c r="E12" s="10"/>
      <c r="F12" s="10"/>
      <c r="G12" s="10"/>
      <c r="H12" s="10"/>
      <c r="I12" s="10"/>
      <c r="J12" s="10">
        <v>1</v>
      </c>
      <c r="L12" t="s">
        <v>1123</v>
      </c>
      <c r="M12">
        <v>1</v>
      </c>
      <c r="N12">
        <v>1</v>
      </c>
      <c r="U12">
        <v>1</v>
      </c>
      <c r="V12">
        <f t="shared" si="0"/>
        <v>1</v>
      </c>
    </row>
    <row r="13" spans="1:22" x14ac:dyDescent="0.25">
      <c r="A13" s="9" t="s">
        <v>1116</v>
      </c>
      <c r="B13" s="10">
        <v>1</v>
      </c>
      <c r="C13" s="10"/>
      <c r="D13" s="10"/>
      <c r="E13" s="10"/>
      <c r="F13" s="10"/>
      <c r="G13" s="10"/>
      <c r="H13" s="10"/>
      <c r="I13" s="10"/>
      <c r="J13" s="10">
        <v>1</v>
      </c>
      <c r="L13" t="s">
        <v>1116</v>
      </c>
      <c r="M13">
        <v>1</v>
      </c>
      <c r="U13">
        <v>1</v>
      </c>
      <c r="V13">
        <f t="shared" si="0"/>
        <v>0</v>
      </c>
    </row>
    <row r="14" spans="1:22" x14ac:dyDescent="0.25">
      <c r="A14" s="9" t="s">
        <v>1137</v>
      </c>
      <c r="B14" s="10">
        <v>1</v>
      </c>
      <c r="C14" s="10"/>
      <c r="D14" s="10"/>
      <c r="E14" s="10"/>
      <c r="F14" s="10"/>
      <c r="G14" s="10"/>
      <c r="H14" s="10"/>
      <c r="I14" s="10"/>
      <c r="J14" s="10">
        <v>1</v>
      </c>
      <c r="L14" t="s">
        <v>1137</v>
      </c>
      <c r="M14">
        <v>1</v>
      </c>
      <c r="U14">
        <v>1</v>
      </c>
      <c r="V14">
        <f t="shared" si="0"/>
        <v>0</v>
      </c>
    </row>
    <row r="15" spans="1:22" x14ac:dyDescent="0.25">
      <c r="A15" s="9" t="s">
        <v>1092</v>
      </c>
      <c r="B15" s="10">
        <v>1</v>
      </c>
      <c r="C15" s="10">
        <v>1</v>
      </c>
      <c r="D15" s="10"/>
      <c r="E15" s="10"/>
      <c r="F15" s="10"/>
      <c r="G15" s="10"/>
      <c r="H15" s="10"/>
      <c r="I15" s="10"/>
      <c r="J15" s="10">
        <v>1</v>
      </c>
      <c r="L15" t="s">
        <v>1092</v>
      </c>
      <c r="M15">
        <v>1</v>
      </c>
      <c r="N15">
        <v>1</v>
      </c>
      <c r="U15">
        <v>1</v>
      </c>
      <c r="V15">
        <f t="shared" si="0"/>
        <v>1</v>
      </c>
    </row>
    <row r="16" spans="1:22" x14ac:dyDescent="0.25">
      <c r="A16" s="9" t="s">
        <v>43</v>
      </c>
      <c r="B16" s="10">
        <v>1</v>
      </c>
      <c r="C16" s="10">
        <v>1</v>
      </c>
      <c r="D16" s="10">
        <v>1</v>
      </c>
      <c r="E16" s="10"/>
      <c r="F16" s="10"/>
      <c r="G16" s="10"/>
      <c r="H16" s="10"/>
      <c r="I16" s="10"/>
      <c r="J16" s="10">
        <v>1</v>
      </c>
      <c r="L16" t="s">
        <v>43</v>
      </c>
      <c r="M16">
        <v>1</v>
      </c>
      <c r="N16">
        <v>1</v>
      </c>
      <c r="O16">
        <v>1</v>
      </c>
      <c r="U16">
        <v>1</v>
      </c>
      <c r="V16">
        <f t="shared" si="0"/>
        <v>1</v>
      </c>
    </row>
    <row r="17" spans="1:22" x14ac:dyDescent="0.25">
      <c r="A17" s="9" t="s">
        <v>34</v>
      </c>
      <c r="B17" s="10">
        <v>1</v>
      </c>
      <c r="C17" s="10"/>
      <c r="D17" s="10"/>
      <c r="E17" s="10"/>
      <c r="F17" s="10"/>
      <c r="G17" s="10"/>
      <c r="H17" s="10"/>
      <c r="I17" s="10"/>
      <c r="J17" s="10">
        <v>1</v>
      </c>
      <c r="L17" t="s">
        <v>34</v>
      </c>
      <c r="M17">
        <v>1</v>
      </c>
      <c r="U17">
        <v>1</v>
      </c>
      <c r="V17">
        <f t="shared" si="0"/>
        <v>0</v>
      </c>
    </row>
    <row r="18" spans="1:22" x14ac:dyDescent="0.25">
      <c r="A18" s="9" t="s">
        <v>80</v>
      </c>
      <c r="B18" s="10">
        <v>1</v>
      </c>
      <c r="C18" s="10">
        <v>1</v>
      </c>
      <c r="D18" s="10">
        <v>1</v>
      </c>
      <c r="E18" s="10"/>
      <c r="F18" s="10"/>
      <c r="G18" s="10"/>
      <c r="H18" s="10"/>
      <c r="I18" s="10"/>
      <c r="J18" s="10">
        <v>1</v>
      </c>
      <c r="L18" t="s">
        <v>80</v>
      </c>
      <c r="M18">
        <v>1</v>
      </c>
      <c r="N18">
        <v>1</v>
      </c>
      <c r="O18">
        <v>1</v>
      </c>
      <c r="U18">
        <v>1</v>
      </c>
      <c r="V18">
        <f t="shared" si="0"/>
        <v>1</v>
      </c>
    </row>
    <row r="19" spans="1:22" x14ac:dyDescent="0.25">
      <c r="A19" s="9" t="s">
        <v>737</v>
      </c>
      <c r="B19" s="10">
        <v>1</v>
      </c>
      <c r="C19" s="10">
        <v>1</v>
      </c>
      <c r="D19" s="10"/>
      <c r="E19" s="10"/>
      <c r="F19" s="10"/>
      <c r="G19" s="10"/>
      <c r="H19" s="10"/>
      <c r="I19" s="10"/>
      <c r="J19" s="10">
        <v>1</v>
      </c>
      <c r="L19" t="s">
        <v>737</v>
      </c>
      <c r="M19">
        <v>1</v>
      </c>
      <c r="N19">
        <v>1</v>
      </c>
      <c r="U19">
        <v>1</v>
      </c>
      <c r="V19">
        <f t="shared" si="0"/>
        <v>1</v>
      </c>
    </row>
    <row r="20" spans="1:22" x14ac:dyDescent="0.25">
      <c r="A20" s="9" t="s">
        <v>432</v>
      </c>
      <c r="B20" s="10">
        <v>1</v>
      </c>
      <c r="C20" s="10"/>
      <c r="D20" s="10"/>
      <c r="E20" s="10"/>
      <c r="F20" s="10"/>
      <c r="G20" s="10"/>
      <c r="H20" s="10"/>
      <c r="I20" s="10"/>
      <c r="J20" s="10">
        <v>1</v>
      </c>
      <c r="L20" t="s">
        <v>432</v>
      </c>
      <c r="M20">
        <v>1</v>
      </c>
      <c r="U20">
        <v>1</v>
      </c>
      <c r="V20">
        <f t="shared" si="0"/>
        <v>0</v>
      </c>
    </row>
    <row r="21" spans="1:22" x14ac:dyDescent="0.25">
      <c r="A21" s="9" t="s">
        <v>325</v>
      </c>
      <c r="B21" s="10">
        <v>1</v>
      </c>
      <c r="C21" s="10"/>
      <c r="D21" s="10"/>
      <c r="E21" s="10"/>
      <c r="F21" s="10"/>
      <c r="G21" s="10"/>
      <c r="H21" s="10"/>
      <c r="I21" s="10"/>
      <c r="J21" s="10">
        <v>1</v>
      </c>
      <c r="L21" t="s">
        <v>325</v>
      </c>
      <c r="M21">
        <v>1</v>
      </c>
      <c r="U21">
        <v>1</v>
      </c>
      <c r="V21">
        <f t="shared" si="0"/>
        <v>0</v>
      </c>
    </row>
    <row r="22" spans="1:22" x14ac:dyDescent="0.25">
      <c r="A22" s="9" t="s">
        <v>283</v>
      </c>
      <c r="B22" s="10">
        <v>1</v>
      </c>
      <c r="C22" s="10"/>
      <c r="D22" s="10"/>
      <c r="E22" s="10"/>
      <c r="F22" s="10"/>
      <c r="G22" s="10"/>
      <c r="H22" s="10"/>
      <c r="I22" s="10"/>
      <c r="J22" s="10">
        <v>1</v>
      </c>
      <c r="L22" t="s">
        <v>283</v>
      </c>
      <c r="M22">
        <v>1</v>
      </c>
      <c r="U22">
        <v>1</v>
      </c>
      <c r="V22">
        <f t="shared" si="0"/>
        <v>0</v>
      </c>
    </row>
    <row r="23" spans="1:22" x14ac:dyDescent="0.25">
      <c r="A23" s="9" t="s">
        <v>924</v>
      </c>
      <c r="B23" s="10">
        <v>1</v>
      </c>
      <c r="C23" s="10">
        <v>1</v>
      </c>
      <c r="D23" s="10"/>
      <c r="E23" s="10"/>
      <c r="F23" s="10"/>
      <c r="G23" s="10"/>
      <c r="H23" s="10"/>
      <c r="I23" s="10"/>
      <c r="J23" s="10">
        <v>1</v>
      </c>
      <c r="L23" t="s">
        <v>924</v>
      </c>
      <c r="M23">
        <v>1</v>
      </c>
      <c r="N23">
        <v>1</v>
      </c>
      <c r="U23">
        <v>1</v>
      </c>
      <c r="V23">
        <f t="shared" si="0"/>
        <v>1</v>
      </c>
    </row>
    <row r="24" spans="1:22" x14ac:dyDescent="0.25">
      <c r="A24" s="9" t="s">
        <v>887</v>
      </c>
      <c r="B24" s="10">
        <v>1</v>
      </c>
      <c r="C24" s="10">
        <v>1</v>
      </c>
      <c r="D24" s="10"/>
      <c r="E24" s="10"/>
      <c r="F24" s="10"/>
      <c r="G24" s="10"/>
      <c r="H24" s="10"/>
      <c r="I24" s="10"/>
      <c r="J24" s="10">
        <v>1</v>
      </c>
      <c r="L24" t="s">
        <v>887</v>
      </c>
      <c r="M24">
        <v>1</v>
      </c>
      <c r="N24">
        <v>1</v>
      </c>
      <c r="U24">
        <v>1</v>
      </c>
      <c r="V24">
        <f t="shared" si="0"/>
        <v>1</v>
      </c>
    </row>
    <row r="25" spans="1:22" x14ac:dyDescent="0.25">
      <c r="A25" s="9" t="s">
        <v>871</v>
      </c>
      <c r="B25" s="10">
        <v>1</v>
      </c>
      <c r="C25" s="10">
        <v>1</v>
      </c>
      <c r="D25" s="10"/>
      <c r="E25" s="10"/>
      <c r="F25" s="10"/>
      <c r="G25" s="10"/>
      <c r="H25" s="10"/>
      <c r="I25" s="10"/>
      <c r="J25" s="10">
        <v>1</v>
      </c>
      <c r="L25" t="s">
        <v>871</v>
      </c>
      <c r="M25">
        <v>1</v>
      </c>
      <c r="N25">
        <v>1</v>
      </c>
      <c r="U25">
        <v>1</v>
      </c>
      <c r="V25">
        <f t="shared" si="0"/>
        <v>1</v>
      </c>
    </row>
    <row r="26" spans="1:22" x14ac:dyDescent="0.25">
      <c r="A26" s="9" t="s">
        <v>829</v>
      </c>
      <c r="B26" s="10">
        <v>1</v>
      </c>
      <c r="C26" s="10">
        <v>1</v>
      </c>
      <c r="D26" s="10"/>
      <c r="E26" s="10"/>
      <c r="F26" s="10"/>
      <c r="G26" s="10"/>
      <c r="H26" s="10"/>
      <c r="I26" s="10"/>
      <c r="J26" s="10">
        <v>1</v>
      </c>
      <c r="L26" t="s">
        <v>829</v>
      </c>
      <c r="M26">
        <v>1</v>
      </c>
      <c r="N26">
        <v>1</v>
      </c>
      <c r="U26">
        <v>1</v>
      </c>
      <c r="V26">
        <f t="shared" si="0"/>
        <v>1</v>
      </c>
    </row>
    <row r="27" spans="1:22" x14ac:dyDescent="0.25">
      <c r="A27" s="9" t="s">
        <v>815</v>
      </c>
      <c r="B27" s="10">
        <v>1</v>
      </c>
      <c r="C27" s="10">
        <v>1</v>
      </c>
      <c r="D27" s="10"/>
      <c r="E27" s="10"/>
      <c r="F27" s="10"/>
      <c r="G27" s="10"/>
      <c r="H27" s="10"/>
      <c r="I27" s="10"/>
      <c r="J27" s="10">
        <v>1</v>
      </c>
      <c r="L27" t="s">
        <v>815</v>
      </c>
      <c r="M27">
        <v>1</v>
      </c>
      <c r="N27">
        <v>1</v>
      </c>
      <c r="U27">
        <v>1</v>
      </c>
      <c r="V27">
        <f t="shared" si="0"/>
        <v>1</v>
      </c>
    </row>
    <row r="28" spans="1:22" x14ac:dyDescent="0.25">
      <c r="A28" s="9" t="s">
        <v>881</v>
      </c>
      <c r="B28" s="10">
        <v>1</v>
      </c>
      <c r="C28" s="10"/>
      <c r="D28" s="10"/>
      <c r="E28" s="10"/>
      <c r="F28" s="10"/>
      <c r="G28" s="10"/>
      <c r="H28" s="10"/>
      <c r="I28" s="10"/>
      <c r="J28" s="10">
        <v>1</v>
      </c>
      <c r="L28" t="s">
        <v>881</v>
      </c>
      <c r="M28">
        <v>1</v>
      </c>
      <c r="U28">
        <v>1</v>
      </c>
      <c r="V28">
        <f t="shared" si="0"/>
        <v>0</v>
      </c>
    </row>
    <row r="29" spans="1:22" x14ac:dyDescent="0.25">
      <c r="A29" s="9" t="s">
        <v>876</v>
      </c>
      <c r="B29" s="10">
        <v>1</v>
      </c>
      <c r="C29" s="10">
        <v>1</v>
      </c>
      <c r="D29" s="10"/>
      <c r="E29" s="10"/>
      <c r="F29" s="10"/>
      <c r="G29" s="10"/>
      <c r="H29" s="10"/>
      <c r="I29" s="10"/>
      <c r="J29" s="10">
        <v>1</v>
      </c>
      <c r="L29" t="s">
        <v>876</v>
      </c>
      <c r="M29">
        <v>1</v>
      </c>
      <c r="N29">
        <v>1</v>
      </c>
      <c r="U29">
        <v>1</v>
      </c>
      <c r="V29">
        <f t="shared" si="0"/>
        <v>1</v>
      </c>
    </row>
    <row r="30" spans="1:22" x14ac:dyDescent="0.25">
      <c r="A30" s="9" t="s">
        <v>844</v>
      </c>
      <c r="B30" s="10">
        <v>1</v>
      </c>
      <c r="C30" s="10">
        <v>1</v>
      </c>
      <c r="D30" s="10"/>
      <c r="E30" s="10"/>
      <c r="F30" s="10"/>
      <c r="G30" s="10"/>
      <c r="H30" s="10"/>
      <c r="I30" s="10"/>
      <c r="J30" s="10">
        <v>1</v>
      </c>
      <c r="L30" t="s">
        <v>844</v>
      </c>
      <c r="M30">
        <v>1</v>
      </c>
      <c r="N30">
        <v>1</v>
      </c>
      <c r="U30">
        <v>1</v>
      </c>
      <c r="V30">
        <f t="shared" si="0"/>
        <v>1</v>
      </c>
    </row>
    <row r="31" spans="1:22" x14ac:dyDescent="0.25">
      <c r="A31" s="9" t="s">
        <v>835</v>
      </c>
      <c r="B31" s="10">
        <v>1</v>
      </c>
      <c r="C31" s="10">
        <v>1</v>
      </c>
      <c r="D31" s="10"/>
      <c r="E31" s="10"/>
      <c r="F31" s="10"/>
      <c r="G31" s="10"/>
      <c r="H31" s="10"/>
      <c r="I31" s="10"/>
      <c r="J31" s="10">
        <v>1</v>
      </c>
      <c r="L31" t="s">
        <v>835</v>
      </c>
      <c r="M31">
        <v>1</v>
      </c>
      <c r="N31">
        <v>1</v>
      </c>
      <c r="U31">
        <v>1</v>
      </c>
      <c r="V31">
        <f t="shared" si="0"/>
        <v>1</v>
      </c>
    </row>
    <row r="32" spans="1:22" x14ac:dyDescent="0.25">
      <c r="A32" s="9" t="s">
        <v>840</v>
      </c>
      <c r="B32" s="10">
        <v>1</v>
      </c>
      <c r="C32" s="10">
        <v>1</v>
      </c>
      <c r="D32" s="10"/>
      <c r="E32" s="10"/>
      <c r="F32" s="10"/>
      <c r="G32" s="10"/>
      <c r="H32" s="10"/>
      <c r="I32" s="10"/>
      <c r="J32" s="10">
        <v>1</v>
      </c>
      <c r="L32" t="s">
        <v>840</v>
      </c>
      <c r="M32">
        <v>1</v>
      </c>
      <c r="N32">
        <v>1</v>
      </c>
      <c r="U32">
        <v>1</v>
      </c>
      <c r="V32">
        <f t="shared" si="0"/>
        <v>1</v>
      </c>
    </row>
    <row r="33" spans="1:22" x14ac:dyDescent="0.25">
      <c r="A33" s="9" t="s">
        <v>854</v>
      </c>
      <c r="B33" s="10">
        <v>1</v>
      </c>
      <c r="C33" s="10">
        <v>1</v>
      </c>
      <c r="D33" s="10"/>
      <c r="E33" s="10"/>
      <c r="F33" s="10"/>
      <c r="G33" s="10"/>
      <c r="H33" s="10"/>
      <c r="I33" s="10"/>
      <c r="J33" s="10">
        <v>1</v>
      </c>
      <c r="L33" t="s">
        <v>854</v>
      </c>
      <c r="M33">
        <v>1</v>
      </c>
      <c r="N33">
        <v>1</v>
      </c>
      <c r="U33">
        <v>1</v>
      </c>
      <c r="V33">
        <f t="shared" si="0"/>
        <v>1</v>
      </c>
    </row>
    <row r="34" spans="1:22" x14ac:dyDescent="0.25">
      <c r="A34" s="9" t="s">
        <v>850</v>
      </c>
      <c r="B34" s="10">
        <v>1</v>
      </c>
      <c r="C34" s="10">
        <v>1</v>
      </c>
      <c r="D34" s="10"/>
      <c r="E34" s="10"/>
      <c r="F34" s="10"/>
      <c r="G34" s="10"/>
      <c r="H34" s="10"/>
      <c r="I34" s="10"/>
      <c r="J34" s="10">
        <v>1</v>
      </c>
      <c r="L34" t="s">
        <v>850</v>
      </c>
      <c r="M34">
        <v>1</v>
      </c>
      <c r="N34">
        <v>1</v>
      </c>
      <c r="U34">
        <v>1</v>
      </c>
      <c r="V34">
        <f t="shared" si="0"/>
        <v>1</v>
      </c>
    </row>
    <row r="35" spans="1:22" x14ac:dyDescent="0.25">
      <c r="A35" s="9" t="s">
        <v>856</v>
      </c>
      <c r="B35" s="10">
        <v>1</v>
      </c>
      <c r="C35" s="10"/>
      <c r="D35" s="10"/>
      <c r="E35" s="10"/>
      <c r="F35" s="10"/>
      <c r="G35" s="10"/>
      <c r="H35" s="10"/>
      <c r="I35" s="10"/>
      <c r="J35" s="10">
        <v>1</v>
      </c>
      <c r="L35" t="s">
        <v>856</v>
      </c>
      <c r="M35">
        <v>1</v>
      </c>
      <c r="U35">
        <v>1</v>
      </c>
      <c r="V35">
        <f t="shared" si="0"/>
        <v>0</v>
      </c>
    </row>
    <row r="36" spans="1:22" x14ac:dyDescent="0.25">
      <c r="A36" s="9" t="s">
        <v>847</v>
      </c>
      <c r="B36" s="10">
        <v>1</v>
      </c>
      <c r="C36" s="10"/>
      <c r="D36" s="10"/>
      <c r="E36" s="10"/>
      <c r="F36" s="10"/>
      <c r="G36" s="10"/>
      <c r="H36" s="10"/>
      <c r="I36" s="10"/>
      <c r="J36" s="10">
        <v>1</v>
      </c>
      <c r="L36" t="s">
        <v>847</v>
      </c>
      <c r="M36">
        <v>1</v>
      </c>
      <c r="U36">
        <v>1</v>
      </c>
      <c r="V36">
        <f t="shared" si="0"/>
        <v>0</v>
      </c>
    </row>
    <row r="37" spans="1:22" x14ac:dyDescent="0.25">
      <c r="A37" s="9" t="s">
        <v>821</v>
      </c>
      <c r="B37" s="10">
        <v>1</v>
      </c>
      <c r="C37" s="10">
        <v>1</v>
      </c>
      <c r="D37" s="10"/>
      <c r="E37" s="10"/>
      <c r="F37" s="10"/>
      <c r="G37" s="10">
        <v>1</v>
      </c>
      <c r="H37" s="10"/>
      <c r="I37" s="10"/>
      <c r="J37" s="10">
        <v>1</v>
      </c>
      <c r="L37" t="s">
        <v>821</v>
      </c>
      <c r="M37">
        <v>1</v>
      </c>
      <c r="N37">
        <v>1</v>
      </c>
      <c r="R37">
        <v>1</v>
      </c>
      <c r="U37">
        <v>1</v>
      </c>
      <c r="V37">
        <f t="shared" si="0"/>
        <v>1</v>
      </c>
    </row>
    <row r="38" spans="1:22" x14ac:dyDescent="0.25">
      <c r="A38" s="9" t="s">
        <v>804</v>
      </c>
      <c r="B38" s="10">
        <v>1</v>
      </c>
      <c r="C38" s="10">
        <v>1</v>
      </c>
      <c r="D38" s="10"/>
      <c r="E38" s="10"/>
      <c r="F38" s="10"/>
      <c r="G38" s="10"/>
      <c r="H38" s="10"/>
      <c r="I38" s="10"/>
      <c r="J38" s="10">
        <v>1</v>
      </c>
      <c r="L38" t="s">
        <v>804</v>
      </c>
      <c r="M38">
        <v>1</v>
      </c>
      <c r="N38">
        <v>1</v>
      </c>
      <c r="U38">
        <v>1</v>
      </c>
      <c r="V38">
        <f t="shared" si="0"/>
        <v>1</v>
      </c>
    </row>
    <row r="39" spans="1:22" x14ac:dyDescent="0.25">
      <c r="A39" s="9" t="s">
        <v>799</v>
      </c>
      <c r="B39" s="10">
        <v>1</v>
      </c>
      <c r="C39" s="10">
        <v>1</v>
      </c>
      <c r="D39" s="10"/>
      <c r="E39" s="10"/>
      <c r="F39" s="10"/>
      <c r="G39" s="10"/>
      <c r="H39" s="10"/>
      <c r="I39" s="10"/>
      <c r="J39" s="10">
        <v>1</v>
      </c>
      <c r="L39" t="s">
        <v>799</v>
      </c>
      <c r="M39">
        <v>1</v>
      </c>
      <c r="N39">
        <v>1</v>
      </c>
      <c r="U39">
        <v>1</v>
      </c>
      <c r="V39">
        <f t="shared" si="0"/>
        <v>1</v>
      </c>
    </row>
    <row r="40" spans="1:22" x14ac:dyDescent="0.25">
      <c r="A40" s="9" t="s">
        <v>760</v>
      </c>
      <c r="B40" s="10">
        <v>1</v>
      </c>
      <c r="C40" s="10"/>
      <c r="D40" s="10"/>
      <c r="E40" s="10"/>
      <c r="F40" s="10"/>
      <c r="G40" s="10"/>
      <c r="H40" s="10"/>
      <c r="I40" s="10"/>
      <c r="J40" s="10">
        <v>1</v>
      </c>
      <c r="L40" t="s">
        <v>760</v>
      </c>
      <c r="M40">
        <v>1</v>
      </c>
      <c r="U40">
        <v>1</v>
      </c>
      <c r="V40">
        <f t="shared" si="0"/>
        <v>0</v>
      </c>
    </row>
    <row r="41" spans="1:22" x14ac:dyDescent="0.25">
      <c r="A41" s="9" t="s">
        <v>794</v>
      </c>
      <c r="B41" s="10">
        <v>1</v>
      </c>
      <c r="C41" s="10">
        <v>1</v>
      </c>
      <c r="D41" s="10"/>
      <c r="E41" s="10"/>
      <c r="F41" s="10"/>
      <c r="G41" s="10"/>
      <c r="H41" s="10"/>
      <c r="I41" s="10"/>
      <c r="J41" s="10">
        <v>1</v>
      </c>
      <c r="L41" t="s">
        <v>794</v>
      </c>
      <c r="M41">
        <v>1</v>
      </c>
      <c r="N41">
        <v>1</v>
      </c>
      <c r="U41">
        <v>1</v>
      </c>
      <c r="V41">
        <f t="shared" si="0"/>
        <v>1</v>
      </c>
    </row>
    <row r="42" spans="1:22" x14ac:dyDescent="0.25">
      <c r="A42" s="9" t="s">
        <v>723</v>
      </c>
      <c r="B42" s="10">
        <v>1</v>
      </c>
      <c r="C42" s="10">
        <v>1</v>
      </c>
      <c r="D42" s="10"/>
      <c r="E42" s="10"/>
      <c r="F42" s="10"/>
      <c r="G42" s="10"/>
      <c r="H42" s="10"/>
      <c r="I42" s="10"/>
      <c r="J42" s="10">
        <v>1</v>
      </c>
      <c r="L42" t="s">
        <v>723</v>
      </c>
      <c r="M42">
        <v>1</v>
      </c>
      <c r="N42">
        <v>1</v>
      </c>
      <c r="U42">
        <v>1</v>
      </c>
      <c r="V42">
        <f t="shared" si="0"/>
        <v>1</v>
      </c>
    </row>
    <row r="43" spans="1:22" x14ac:dyDescent="0.25">
      <c r="A43" s="9" t="s">
        <v>789</v>
      </c>
      <c r="B43" s="10">
        <v>1</v>
      </c>
      <c r="C43" s="10"/>
      <c r="D43" s="10"/>
      <c r="E43" s="10"/>
      <c r="F43" s="10"/>
      <c r="G43" s="10"/>
      <c r="H43" s="10"/>
      <c r="I43" s="10"/>
      <c r="J43" s="10">
        <v>1</v>
      </c>
      <c r="L43" t="s">
        <v>789</v>
      </c>
      <c r="M43">
        <v>1</v>
      </c>
      <c r="U43">
        <v>1</v>
      </c>
      <c r="V43">
        <f t="shared" si="0"/>
        <v>0</v>
      </c>
    </row>
    <row r="44" spans="1:22" x14ac:dyDescent="0.25">
      <c r="A44" s="9" t="s">
        <v>786</v>
      </c>
      <c r="B44" s="10">
        <v>1</v>
      </c>
      <c r="C44" s="10"/>
      <c r="D44" s="10"/>
      <c r="E44" s="10"/>
      <c r="F44" s="10"/>
      <c r="G44" s="10"/>
      <c r="H44" s="10"/>
      <c r="I44" s="10"/>
      <c r="J44" s="10">
        <v>1</v>
      </c>
      <c r="L44" t="s">
        <v>786</v>
      </c>
      <c r="M44">
        <v>1</v>
      </c>
      <c r="U44">
        <v>1</v>
      </c>
      <c r="V44">
        <f t="shared" si="0"/>
        <v>0</v>
      </c>
    </row>
    <row r="45" spans="1:22" x14ac:dyDescent="0.25">
      <c r="A45" s="9" t="s">
        <v>782</v>
      </c>
      <c r="B45" s="10">
        <v>1</v>
      </c>
      <c r="C45" s="10">
        <v>1</v>
      </c>
      <c r="D45" s="10"/>
      <c r="E45" s="10"/>
      <c r="F45" s="10"/>
      <c r="G45" s="10"/>
      <c r="H45" s="10"/>
      <c r="I45" s="10"/>
      <c r="J45" s="10">
        <v>1</v>
      </c>
      <c r="L45" t="s">
        <v>782</v>
      </c>
      <c r="M45">
        <v>1</v>
      </c>
      <c r="N45">
        <v>1</v>
      </c>
      <c r="U45">
        <v>1</v>
      </c>
      <c r="V45">
        <f t="shared" si="0"/>
        <v>1</v>
      </c>
    </row>
    <row r="46" spans="1:22" x14ac:dyDescent="0.25">
      <c r="A46" s="9" t="s">
        <v>719</v>
      </c>
      <c r="B46" s="10">
        <v>1</v>
      </c>
      <c r="C46" s="10">
        <v>1</v>
      </c>
      <c r="D46" s="10"/>
      <c r="E46" s="10"/>
      <c r="F46" s="10"/>
      <c r="G46" s="10"/>
      <c r="H46" s="10"/>
      <c r="I46" s="10"/>
      <c r="J46" s="10">
        <v>1</v>
      </c>
      <c r="L46" t="s">
        <v>719</v>
      </c>
      <c r="M46">
        <v>1</v>
      </c>
      <c r="N46">
        <v>1</v>
      </c>
      <c r="U46">
        <v>1</v>
      </c>
      <c r="V46">
        <f t="shared" si="0"/>
        <v>1</v>
      </c>
    </row>
    <row r="47" spans="1:22" x14ac:dyDescent="0.25">
      <c r="A47" s="9" t="s">
        <v>714</v>
      </c>
      <c r="B47" s="10">
        <v>1</v>
      </c>
      <c r="C47" s="10">
        <v>1</v>
      </c>
      <c r="D47" s="10"/>
      <c r="E47" s="10"/>
      <c r="F47" s="10"/>
      <c r="G47" s="10"/>
      <c r="H47" s="10"/>
      <c r="I47" s="10"/>
      <c r="J47" s="10">
        <v>1</v>
      </c>
      <c r="L47" t="s">
        <v>714</v>
      </c>
      <c r="M47">
        <v>1</v>
      </c>
      <c r="N47">
        <v>1</v>
      </c>
      <c r="U47">
        <v>1</v>
      </c>
      <c r="V47">
        <f t="shared" si="0"/>
        <v>1</v>
      </c>
    </row>
    <row r="48" spans="1:22" x14ac:dyDescent="0.25">
      <c r="A48" s="9" t="s">
        <v>756</v>
      </c>
      <c r="B48" s="10">
        <v>1</v>
      </c>
      <c r="C48" s="10">
        <v>1</v>
      </c>
      <c r="D48" s="10"/>
      <c r="E48" s="10"/>
      <c r="F48" s="10"/>
      <c r="G48" s="10"/>
      <c r="H48" s="10"/>
      <c r="I48" s="10"/>
      <c r="J48" s="10">
        <v>1</v>
      </c>
      <c r="L48" t="s">
        <v>756</v>
      </c>
      <c r="M48">
        <v>1</v>
      </c>
      <c r="N48">
        <v>1</v>
      </c>
      <c r="U48">
        <v>1</v>
      </c>
      <c r="V48">
        <f t="shared" si="0"/>
        <v>1</v>
      </c>
    </row>
    <row r="49" spans="1:22" x14ac:dyDescent="0.25">
      <c r="A49" s="9" t="s">
        <v>700</v>
      </c>
      <c r="B49" s="10">
        <v>1</v>
      </c>
      <c r="C49" s="10">
        <v>1</v>
      </c>
      <c r="D49" s="10"/>
      <c r="E49" s="10"/>
      <c r="F49" s="10"/>
      <c r="G49" s="10"/>
      <c r="H49" s="10"/>
      <c r="I49" s="10"/>
      <c r="J49" s="10">
        <v>1</v>
      </c>
      <c r="L49" t="s">
        <v>700</v>
      </c>
      <c r="M49">
        <v>1</v>
      </c>
      <c r="N49">
        <v>1</v>
      </c>
      <c r="U49">
        <v>1</v>
      </c>
      <c r="V49">
        <f t="shared" si="0"/>
        <v>1</v>
      </c>
    </row>
    <row r="50" spans="1:22" x14ac:dyDescent="0.25">
      <c r="A50" s="9" t="s">
        <v>488</v>
      </c>
      <c r="B50" s="10">
        <v>1</v>
      </c>
      <c r="C50" s="10">
        <v>1</v>
      </c>
      <c r="D50" s="10"/>
      <c r="E50" s="10"/>
      <c r="F50" s="10"/>
      <c r="G50" s="10"/>
      <c r="H50" s="10"/>
      <c r="I50" s="10"/>
      <c r="J50" s="10">
        <v>1</v>
      </c>
      <c r="L50" t="s">
        <v>488</v>
      </c>
      <c r="M50">
        <v>1</v>
      </c>
      <c r="N50">
        <v>1</v>
      </c>
      <c r="U50">
        <v>1</v>
      </c>
      <c r="V50">
        <f t="shared" si="0"/>
        <v>1</v>
      </c>
    </row>
    <row r="51" spans="1:22" x14ac:dyDescent="0.25">
      <c r="A51" s="9" t="s">
        <v>709</v>
      </c>
      <c r="B51" s="10">
        <v>1</v>
      </c>
      <c r="C51" s="10">
        <v>1</v>
      </c>
      <c r="D51" s="10"/>
      <c r="E51" s="10"/>
      <c r="F51" s="10"/>
      <c r="G51" s="10"/>
      <c r="H51" s="10"/>
      <c r="I51" s="10"/>
      <c r="J51" s="10">
        <v>1</v>
      </c>
      <c r="L51" t="s">
        <v>709</v>
      </c>
      <c r="M51">
        <v>1</v>
      </c>
      <c r="N51">
        <v>1</v>
      </c>
      <c r="U51">
        <v>1</v>
      </c>
      <c r="V51">
        <f t="shared" si="0"/>
        <v>1</v>
      </c>
    </row>
    <row r="52" spans="1:22" x14ac:dyDescent="0.25">
      <c r="A52" s="9" t="s">
        <v>694</v>
      </c>
      <c r="B52" s="10">
        <v>1</v>
      </c>
      <c r="C52" s="10">
        <v>1</v>
      </c>
      <c r="D52" s="10"/>
      <c r="E52" s="10"/>
      <c r="F52" s="10"/>
      <c r="G52" s="10"/>
      <c r="H52" s="10"/>
      <c r="I52" s="10"/>
      <c r="J52" s="10">
        <v>1</v>
      </c>
      <c r="L52" t="s">
        <v>694</v>
      </c>
      <c r="M52">
        <v>1</v>
      </c>
      <c r="N52">
        <v>1</v>
      </c>
      <c r="U52">
        <v>1</v>
      </c>
      <c r="V52">
        <f t="shared" si="0"/>
        <v>1</v>
      </c>
    </row>
    <row r="53" spans="1:22" x14ac:dyDescent="0.25">
      <c r="A53" s="9" t="s">
        <v>681</v>
      </c>
      <c r="B53" s="10">
        <v>1</v>
      </c>
      <c r="C53" s="10">
        <v>1</v>
      </c>
      <c r="D53" s="10"/>
      <c r="E53" s="10"/>
      <c r="F53" s="10"/>
      <c r="G53" s="10"/>
      <c r="H53" s="10"/>
      <c r="I53" s="10"/>
      <c r="J53" s="10">
        <v>1</v>
      </c>
      <c r="L53" t="s">
        <v>681</v>
      </c>
      <c r="M53">
        <v>1</v>
      </c>
      <c r="N53">
        <v>1</v>
      </c>
      <c r="U53">
        <v>1</v>
      </c>
      <c r="V53">
        <f t="shared" si="0"/>
        <v>1</v>
      </c>
    </row>
    <row r="54" spans="1:22" x14ac:dyDescent="0.25">
      <c r="A54" s="9" t="s">
        <v>676</v>
      </c>
      <c r="B54" s="10">
        <v>1</v>
      </c>
      <c r="C54" s="10"/>
      <c r="D54" s="10"/>
      <c r="E54" s="10"/>
      <c r="F54" s="10"/>
      <c r="G54" s="10"/>
      <c r="H54" s="10"/>
      <c r="I54" s="10"/>
      <c r="J54" s="10">
        <v>1</v>
      </c>
      <c r="L54" t="s">
        <v>676</v>
      </c>
      <c r="M54">
        <v>1</v>
      </c>
      <c r="U54">
        <v>1</v>
      </c>
      <c r="V54">
        <f t="shared" si="0"/>
        <v>0</v>
      </c>
    </row>
    <row r="55" spans="1:22" x14ac:dyDescent="0.25">
      <c r="A55" s="9" t="s">
        <v>672</v>
      </c>
      <c r="B55" s="10">
        <v>1</v>
      </c>
      <c r="C55" s="10">
        <v>1</v>
      </c>
      <c r="D55" s="10"/>
      <c r="E55" s="10"/>
      <c r="F55" s="10"/>
      <c r="G55" s="10"/>
      <c r="H55" s="10"/>
      <c r="I55" s="10"/>
      <c r="J55" s="10">
        <v>1</v>
      </c>
      <c r="L55" t="s">
        <v>672</v>
      </c>
      <c r="M55">
        <v>1</v>
      </c>
      <c r="N55">
        <v>1</v>
      </c>
      <c r="U55">
        <v>1</v>
      </c>
      <c r="V55">
        <f t="shared" si="0"/>
        <v>1</v>
      </c>
    </row>
    <row r="56" spans="1:22" x14ac:dyDescent="0.25">
      <c r="A56" s="9" t="s">
        <v>659</v>
      </c>
      <c r="B56" s="10">
        <v>1</v>
      </c>
      <c r="C56" s="10">
        <v>1</v>
      </c>
      <c r="D56" s="10"/>
      <c r="E56" s="10"/>
      <c r="F56" s="10"/>
      <c r="G56" s="10"/>
      <c r="H56" s="10"/>
      <c r="I56" s="10"/>
      <c r="J56" s="10">
        <v>1</v>
      </c>
      <c r="L56" t="s">
        <v>659</v>
      </c>
      <c r="M56">
        <v>1</v>
      </c>
      <c r="N56">
        <v>1</v>
      </c>
      <c r="U56">
        <v>1</v>
      </c>
      <c r="V56">
        <f t="shared" si="0"/>
        <v>1</v>
      </c>
    </row>
    <row r="57" spans="1:22" x14ac:dyDescent="0.25">
      <c r="A57" s="9" t="s">
        <v>654</v>
      </c>
      <c r="B57" s="10">
        <v>1</v>
      </c>
      <c r="C57" s="10">
        <v>1</v>
      </c>
      <c r="D57" s="10"/>
      <c r="E57" s="10"/>
      <c r="F57" s="10"/>
      <c r="G57" s="10"/>
      <c r="H57" s="10"/>
      <c r="I57" s="10"/>
      <c r="J57" s="10">
        <v>1</v>
      </c>
      <c r="L57" t="s">
        <v>654</v>
      </c>
      <c r="M57">
        <v>1</v>
      </c>
      <c r="N57">
        <v>1</v>
      </c>
      <c r="U57">
        <v>1</v>
      </c>
      <c r="V57">
        <f t="shared" si="0"/>
        <v>1</v>
      </c>
    </row>
    <row r="58" spans="1:22" x14ac:dyDescent="0.25">
      <c r="A58" s="9" t="s">
        <v>644</v>
      </c>
      <c r="B58" s="10">
        <v>1</v>
      </c>
      <c r="C58" s="10">
        <v>1</v>
      </c>
      <c r="D58" s="10"/>
      <c r="E58" s="10"/>
      <c r="F58" s="10"/>
      <c r="G58" s="10"/>
      <c r="H58" s="10"/>
      <c r="I58" s="10"/>
      <c r="J58" s="10">
        <v>1</v>
      </c>
      <c r="L58" t="s">
        <v>644</v>
      </c>
      <c r="M58">
        <v>1</v>
      </c>
      <c r="N58">
        <v>1</v>
      </c>
      <c r="U58">
        <v>1</v>
      </c>
      <c r="V58">
        <f t="shared" si="0"/>
        <v>1</v>
      </c>
    </row>
    <row r="59" spans="1:22" x14ac:dyDescent="0.25">
      <c r="A59" s="9" t="s">
        <v>639</v>
      </c>
      <c r="B59" s="10">
        <v>1</v>
      </c>
      <c r="C59" s="10">
        <v>1</v>
      </c>
      <c r="D59" s="10"/>
      <c r="E59" s="10"/>
      <c r="F59" s="10"/>
      <c r="G59" s="10"/>
      <c r="H59" s="10"/>
      <c r="I59" s="10"/>
      <c r="J59" s="10">
        <v>1</v>
      </c>
      <c r="L59" t="s">
        <v>639</v>
      </c>
      <c r="M59">
        <v>1</v>
      </c>
      <c r="N59">
        <v>1</v>
      </c>
      <c r="U59">
        <v>1</v>
      </c>
      <c r="V59">
        <f t="shared" si="0"/>
        <v>1</v>
      </c>
    </row>
    <row r="60" spans="1:22" x14ac:dyDescent="0.25">
      <c r="A60" s="9" t="s">
        <v>635</v>
      </c>
      <c r="B60" s="10">
        <v>1</v>
      </c>
      <c r="C60" s="10">
        <v>1</v>
      </c>
      <c r="D60" s="10"/>
      <c r="E60" s="10"/>
      <c r="F60" s="10"/>
      <c r="G60" s="10"/>
      <c r="H60" s="10"/>
      <c r="I60" s="10"/>
      <c r="J60" s="10">
        <v>1</v>
      </c>
      <c r="L60" t="s">
        <v>635</v>
      </c>
      <c r="M60">
        <v>1</v>
      </c>
      <c r="N60">
        <v>1</v>
      </c>
      <c r="U60">
        <v>1</v>
      </c>
      <c r="V60">
        <f t="shared" si="0"/>
        <v>1</v>
      </c>
    </row>
    <row r="61" spans="1:22" x14ac:dyDescent="0.25">
      <c r="A61" s="9" t="s">
        <v>622</v>
      </c>
      <c r="B61" s="10">
        <v>1</v>
      </c>
      <c r="C61" s="10">
        <v>1</v>
      </c>
      <c r="D61" s="10"/>
      <c r="E61" s="10"/>
      <c r="F61" s="10"/>
      <c r="G61" s="10"/>
      <c r="H61" s="10"/>
      <c r="I61" s="10"/>
      <c r="J61" s="10">
        <v>1</v>
      </c>
      <c r="L61" t="s">
        <v>622</v>
      </c>
      <c r="M61">
        <v>1</v>
      </c>
      <c r="N61">
        <v>1</v>
      </c>
      <c r="U61">
        <v>1</v>
      </c>
      <c r="V61">
        <f t="shared" si="0"/>
        <v>1</v>
      </c>
    </row>
    <row r="62" spans="1:22" x14ac:dyDescent="0.25">
      <c r="A62" s="9" t="s">
        <v>602</v>
      </c>
      <c r="B62" s="10">
        <v>1</v>
      </c>
      <c r="C62" s="10">
        <v>1</v>
      </c>
      <c r="D62" s="10"/>
      <c r="E62" s="10"/>
      <c r="F62" s="10"/>
      <c r="G62" s="10"/>
      <c r="H62" s="10"/>
      <c r="I62" s="10"/>
      <c r="J62" s="10">
        <v>1</v>
      </c>
      <c r="L62" t="s">
        <v>602</v>
      </c>
      <c r="M62">
        <v>1</v>
      </c>
      <c r="N62">
        <v>1</v>
      </c>
      <c r="U62">
        <v>1</v>
      </c>
      <c r="V62">
        <f t="shared" si="0"/>
        <v>1</v>
      </c>
    </row>
    <row r="63" spans="1:22" x14ac:dyDescent="0.25">
      <c r="A63" s="9" t="s">
        <v>618</v>
      </c>
      <c r="B63" s="10">
        <v>1</v>
      </c>
      <c r="C63" s="10"/>
      <c r="D63" s="10"/>
      <c r="E63" s="10"/>
      <c r="F63" s="10"/>
      <c r="G63" s="10"/>
      <c r="H63" s="10"/>
      <c r="I63" s="10"/>
      <c r="J63" s="10">
        <v>1</v>
      </c>
      <c r="L63" t="s">
        <v>618</v>
      </c>
      <c r="M63">
        <v>1</v>
      </c>
      <c r="U63">
        <v>1</v>
      </c>
      <c r="V63">
        <f t="shared" si="0"/>
        <v>0</v>
      </c>
    </row>
    <row r="64" spans="1:22" x14ac:dyDescent="0.25">
      <c r="A64" s="9" t="s">
        <v>615</v>
      </c>
      <c r="B64" s="10">
        <v>1</v>
      </c>
      <c r="C64" s="10"/>
      <c r="D64" s="10"/>
      <c r="E64" s="10"/>
      <c r="F64" s="10"/>
      <c r="G64" s="10"/>
      <c r="H64" s="10"/>
      <c r="I64" s="10"/>
      <c r="J64" s="10">
        <v>1</v>
      </c>
      <c r="L64" t="s">
        <v>615</v>
      </c>
      <c r="M64">
        <v>1</v>
      </c>
      <c r="U64">
        <v>1</v>
      </c>
      <c r="V64">
        <f t="shared" si="0"/>
        <v>0</v>
      </c>
    </row>
    <row r="65" spans="1:22" x14ac:dyDescent="0.25">
      <c r="A65" s="9" t="s">
        <v>594</v>
      </c>
      <c r="B65" s="10">
        <v>1</v>
      </c>
      <c r="C65" s="10">
        <v>1</v>
      </c>
      <c r="D65" s="10"/>
      <c r="E65" s="10"/>
      <c r="F65" s="10"/>
      <c r="G65" s="10"/>
      <c r="H65" s="10"/>
      <c r="I65" s="10"/>
      <c r="J65" s="10">
        <v>1</v>
      </c>
      <c r="L65" t="s">
        <v>594</v>
      </c>
      <c r="M65">
        <v>1</v>
      </c>
      <c r="N65">
        <v>1</v>
      </c>
      <c r="U65">
        <v>1</v>
      </c>
      <c r="V65">
        <f t="shared" si="0"/>
        <v>1</v>
      </c>
    </row>
    <row r="66" spans="1:22" x14ac:dyDescent="0.25">
      <c r="A66" s="9" t="s">
        <v>587</v>
      </c>
      <c r="B66" s="10">
        <v>1</v>
      </c>
      <c r="C66" s="10">
        <v>1</v>
      </c>
      <c r="D66" s="10"/>
      <c r="E66" s="10"/>
      <c r="F66" s="10"/>
      <c r="G66" s="10"/>
      <c r="H66" s="10"/>
      <c r="I66" s="10"/>
      <c r="J66" s="10">
        <v>1</v>
      </c>
      <c r="L66" t="s">
        <v>587</v>
      </c>
      <c r="M66">
        <v>1</v>
      </c>
      <c r="N66">
        <v>1</v>
      </c>
      <c r="U66">
        <v>1</v>
      </c>
      <c r="V66">
        <f t="shared" si="0"/>
        <v>1</v>
      </c>
    </row>
    <row r="67" spans="1:22" x14ac:dyDescent="0.25">
      <c r="A67" s="9" t="s">
        <v>609</v>
      </c>
      <c r="B67" s="10">
        <v>1</v>
      </c>
      <c r="C67" s="10">
        <v>1</v>
      </c>
      <c r="D67" s="10"/>
      <c r="E67" s="10"/>
      <c r="F67" s="10"/>
      <c r="G67" s="10"/>
      <c r="H67" s="10"/>
      <c r="I67" s="10"/>
      <c r="J67" s="10">
        <v>1</v>
      </c>
      <c r="L67" t="s">
        <v>609</v>
      </c>
      <c r="M67">
        <v>1</v>
      </c>
      <c r="N67">
        <v>1</v>
      </c>
      <c r="U67">
        <v>1</v>
      </c>
      <c r="V67">
        <f t="shared" si="0"/>
        <v>1</v>
      </c>
    </row>
    <row r="68" spans="1:22" x14ac:dyDescent="0.25">
      <c r="A68" s="9" t="s">
        <v>606</v>
      </c>
      <c r="B68" s="10">
        <v>1</v>
      </c>
      <c r="C68" s="10">
        <v>1</v>
      </c>
      <c r="D68" s="10"/>
      <c r="E68" s="10"/>
      <c r="F68" s="10"/>
      <c r="G68" s="10"/>
      <c r="H68" s="10"/>
      <c r="I68" s="10"/>
      <c r="J68" s="10">
        <v>1</v>
      </c>
      <c r="L68" t="s">
        <v>606</v>
      </c>
      <c r="M68">
        <v>1</v>
      </c>
      <c r="N68">
        <v>1</v>
      </c>
      <c r="U68">
        <v>1</v>
      </c>
      <c r="V68">
        <f t="shared" si="0"/>
        <v>1</v>
      </c>
    </row>
    <row r="69" spans="1:22" x14ac:dyDescent="0.25">
      <c r="A69" s="9" t="s">
        <v>591</v>
      </c>
      <c r="B69" s="10">
        <v>1</v>
      </c>
      <c r="C69" s="10">
        <v>1</v>
      </c>
      <c r="D69" s="10"/>
      <c r="E69" s="10"/>
      <c r="F69" s="10"/>
      <c r="G69" s="10"/>
      <c r="H69" s="10"/>
      <c r="I69" s="10"/>
      <c r="J69" s="10">
        <v>1</v>
      </c>
      <c r="L69" t="s">
        <v>591</v>
      </c>
      <c r="M69">
        <v>1</v>
      </c>
      <c r="N69">
        <v>1</v>
      </c>
      <c r="U69">
        <v>1</v>
      </c>
      <c r="V69">
        <f t="shared" si="0"/>
        <v>1</v>
      </c>
    </row>
    <row r="70" spans="1:22" x14ac:dyDescent="0.25">
      <c r="A70" s="9" t="s">
        <v>579</v>
      </c>
      <c r="B70" s="10">
        <v>1</v>
      </c>
      <c r="C70" s="10">
        <v>1</v>
      </c>
      <c r="D70" s="10"/>
      <c r="E70" s="10"/>
      <c r="F70" s="10"/>
      <c r="G70" s="10"/>
      <c r="H70" s="10"/>
      <c r="I70" s="10"/>
      <c r="J70" s="10">
        <v>1</v>
      </c>
      <c r="L70" t="s">
        <v>579</v>
      </c>
      <c r="M70">
        <v>1</v>
      </c>
      <c r="N70">
        <v>1</v>
      </c>
      <c r="U70">
        <v>1</v>
      </c>
      <c r="V70">
        <f t="shared" ref="V70:V133" si="1">IF(N70=1,1,IF(O70=1,1,IF(S70=1,0.8,0)))</f>
        <v>1</v>
      </c>
    </row>
    <row r="71" spans="1:22" x14ac:dyDescent="0.25">
      <c r="A71" s="9" t="s">
        <v>573</v>
      </c>
      <c r="B71" s="10">
        <v>1</v>
      </c>
      <c r="C71" s="10"/>
      <c r="D71" s="10"/>
      <c r="E71" s="10"/>
      <c r="F71" s="10"/>
      <c r="G71" s="10"/>
      <c r="H71" s="10"/>
      <c r="I71" s="10"/>
      <c r="J71" s="10">
        <v>1</v>
      </c>
      <c r="L71" t="s">
        <v>573</v>
      </c>
      <c r="M71">
        <v>1</v>
      </c>
      <c r="U71">
        <v>1</v>
      </c>
      <c r="V71">
        <f t="shared" si="1"/>
        <v>0</v>
      </c>
    </row>
    <row r="72" spans="1:22" x14ac:dyDescent="0.25">
      <c r="A72" s="9" t="s">
        <v>612</v>
      </c>
      <c r="B72" s="10">
        <v>1</v>
      </c>
      <c r="C72" s="10">
        <v>1</v>
      </c>
      <c r="D72" s="10"/>
      <c r="E72" s="10"/>
      <c r="F72" s="10"/>
      <c r="G72" s="10"/>
      <c r="H72" s="10"/>
      <c r="I72" s="10"/>
      <c r="J72" s="10">
        <v>1</v>
      </c>
      <c r="L72" t="s">
        <v>612</v>
      </c>
      <c r="M72">
        <v>1</v>
      </c>
      <c r="N72">
        <v>1</v>
      </c>
      <c r="U72">
        <v>1</v>
      </c>
      <c r="V72">
        <f t="shared" si="1"/>
        <v>1</v>
      </c>
    </row>
    <row r="73" spans="1:22" x14ac:dyDescent="0.25">
      <c r="A73" s="9" t="s">
        <v>571</v>
      </c>
      <c r="B73" s="10">
        <v>1</v>
      </c>
      <c r="C73" s="10">
        <v>1</v>
      </c>
      <c r="D73" s="10"/>
      <c r="E73" s="10"/>
      <c r="F73" s="10"/>
      <c r="G73" s="10"/>
      <c r="H73" s="10"/>
      <c r="I73" s="10"/>
      <c r="J73" s="10">
        <v>1</v>
      </c>
      <c r="L73" t="s">
        <v>571</v>
      </c>
      <c r="M73">
        <v>1</v>
      </c>
      <c r="N73">
        <v>1</v>
      </c>
      <c r="U73">
        <v>1</v>
      </c>
      <c r="V73">
        <f t="shared" si="1"/>
        <v>1</v>
      </c>
    </row>
    <row r="74" spans="1:22" x14ac:dyDescent="0.25">
      <c r="A74" s="9" t="s">
        <v>583</v>
      </c>
      <c r="B74" s="10">
        <v>1</v>
      </c>
      <c r="C74" s="10">
        <v>1</v>
      </c>
      <c r="D74" s="10"/>
      <c r="E74" s="10"/>
      <c r="F74" s="10"/>
      <c r="G74" s="10"/>
      <c r="H74" s="10"/>
      <c r="I74" s="10"/>
      <c r="J74" s="10">
        <v>1</v>
      </c>
      <c r="L74" t="s">
        <v>583</v>
      </c>
      <c r="M74">
        <v>1</v>
      </c>
      <c r="N74">
        <v>1</v>
      </c>
      <c r="U74">
        <v>1</v>
      </c>
      <c r="V74">
        <f t="shared" si="1"/>
        <v>1</v>
      </c>
    </row>
    <row r="75" spans="1:22" x14ac:dyDescent="0.25">
      <c r="A75" s="9" t="s">
        <v>575</v>
      </c>
      <c r="B75" s="10">
        <v>1</v>
      </c>
      <c r="C75" s="10"/>
      <c r="D75" s="10"/>
      <c r="E75" s="10"/>
      <c r="F75" s="10"/>
      <c r="G75" s="10"/>
      <c r="H75" s="10"/>
      <c r="I75" s="10"/>
      <c r="J75" s="10">
        <v>1</v>
      </c>
      <c r="L75" t="s">
        <v>575</v>
      </c>
      <c r="M75">
        <v>1</v>
      </c>
      <c r="U75">
        <v>1</v>
      </c>
      <c r="V75">
        <f t="shared" si="1"/>
        <v>0</v>
      </c>
    </row>
    <row r="76" spans="1:22" x14ac:dyDescent="0.25">
      <c r="A76" s="9" t="s">
        <v>598</v>
      </c>
      <c r="B76" s="10">
        <v>1</v>
      </c>
      <c r="C76" s="10">
        <v>1</v>
      </c>
      <c r="D76" s="10"/>
      <c r="E76" s="10"/>
      <c r="F76" s="10"/>
      <c r="G76" s="10"/>
      <c r="H76" s="10"/>
      <c r="I76" s="10"/>
      <c r="J76" s="10">
        <v>1</v>
      </c>
      <c r="L76" t="s">
        <v>598</v>
      </c>
      <c r="M76">
        <v>1</v>
      </c>
      <c r="N76">
        <v>1</v>
      </c>
      <c r="U76">
        <v>1</v>
      </c>
      <c r="V76">
        <f t="shared" si="1"/>
        <v>1</v>
      </c>
    </row>
    <row r="77" spans="1:22" x14ac:dyDescent="0.25">
      <c r="A77" s="9" t="s">
        <v>566</v>
      </c>
      <c r="B77" s="10">
        <v>1</v>
      </c>
      <c r="C77" s="10"/>
      <c r="D77" s="10"/>
      <c r="E77" s="10"/>
      <c r="F77" s="10"/>
      <c r="G77" s="10"/>
      <c r="H77" s="10"/>
      <c r="I77" s="10"/>
      <c r="J77" s="10">
        <v>1</v>
      </c>
      <c r="L77" t="s">
        <v>566</v>
      </c>
      <c r="M77">
        <v>1</v>
      </c>
      <c r="U77">
        <v>1</v>
      </c>
      <c r="V77">
        <f t="shared" si="1"/>
        <v>0</v>
      </c>
    </row>
    <row r="78" spans="1:22" x14ac:dyDescent="0.25">
      <c r="A78" s="9" t="s">
        <v>548</v>
      </c>
      <c r="B78" s="10">
        <v>1</v>
      </c>
      <c r="C78" s="10">
        <v>1</v>
      </c>
      <c r="D78" s="10"/>
      <c r="E78" s="10"/>
      <c r="F78" s="10"/>
      <c r="G78" s="10"/>
      <c r="H78" s="10"/>
      <c r="I78" s="10"/>
      <c r="J78" s="10">
        <v>1</v>
      </c>
      <c r="L78" t="s">
        <v>548</v>
      </c>
      <c r="M78">
        <v>1</v>
      </c>
      <c r="N78">
        <v>1</v>
      </c>
      <c r="U78">
        <v>1</v>
      </c>
      <c r="V78">
        <f t="shared" si="1"/>
        <v>1</v>
      </c>
    </row>
    <row r="79" spans="1:22" x14ac:dyDescent="0.25">
      <c r="A79" s="9" t="s">
        <v>543</v>
      </c>
      <c r="B79" s="10">
        <v>1</v>
      </c>
      <c r="C79" s="10">
        <v>1</v>
      </c>
      <c r="D79" s="10"/>
      <c r="E79" s="10"/>
      <c r="F79" s="10"/>
      <c r="G79" s="10"/>
      <c r="H79" s="10"/>
      <c r="I79" s="10"/>
      <c r="J79" s="10">
        <v>1</v>
      </c>
      <c r="L79" t="s">
        <v>543</v>
      </c>
      <c r="M79">
        <v>1</v>
      </c>
      <c r="N79">
        <v>1</v>
      </c>
      <c r="U79">
        <v>1</v>
      </c>
      <c r="V79">
        <f t="shared" si="1"/>
        <v>1</v>
      </c>
    </row>
    <row r="80" spans="1:22" x14ac:dyDescent="0.25">
      <c r="A80" s="9" t="s">
        <v>537</v>
      </c>
      <c r="B80" s="10">
        <v>1</v>
      </c>
      <c r="C80" s="10">
        <v>1</v>
      </c>
      <c r="D80" s="10"/>
      <c r="E80" s="10"/>
      <c r="F80" s="10"/>
      <c r="G80" s="10"/>
      <c r="H80" s="10"/>
      <c r="I80" s="10"/>
      <c r="J80" s="10">
        <v>1</v>
      </c>
      <c r="L80" t="s">
        <v>537</v>
      </c>
      <c r="M80">
        <v>1</v>
      </c>
      <c r="N80">
        <v>1</v>
      </c>
      <c r="U80">
        <v>1</v>
      </c>
      <c r="V80">
        <f t="shared" si="1"/>
        <v>1</v>
      </c>
    </row>
    <row r="81" spans="1:22" x14ac:dyDescent="0.25">
      <c r="A81" s="9" t="s">
        <v>524</v>
      </c>
      <c r="B81" s="10">
        <v>1</v>
      </c>
      <c r="C81" s="10">
        <v>1</v>
      </c>
      <c r="D81" s="10"/>
      <c r="E81" s="10"/>
      <c r="F81" s="10"/>
      <c r="G81" s="10"/>
      <c r="H81" s="10"/>
      <c r="I81" s="10"/>
      <c r="J81" s="10">
        <v>1</v>
      </c>
      <c r="L81" t="s">
        <v>524</v>
      </c>
      <c r="M81">
        <v>1</v>
      </c>
      <c r="N81">
        <v>1</v>
      </c>
      <c r="U81">
        <v>1</v>
      </c>
      <c r="V81">
        <f t="shared" si="1"/>
        <v>1</v>
      </c>
    </row>
    <row r="82" spans="1:22" x14ac:dyDescent="0.25">
      <c r="A82" s="9" t="s">
        <v>515</v>
      </c>
      <c r="B82" s="10">
        <v>1</v>
      </c>
      <c r="C82" s="10">
        <v>1</v>
      </c>
      <c r="D82" s="10"/>
      <c r="E82" s="10"/>
      <c r="F82" s="10"/>
      <c r="G82" s="10"/>
      <c r="H82" s="10"/>
      <c r="I82" s="10"/>
      <c r="J82" s="10">
        <v>1</v>
      </c>
      <c r="L82" t="s">
        <v>515</v>
      </c>
      <c r="M82">
        <v>1</v>
      </c>
      <c r="N82">
        <v>1</v>
      </c>
      <c r="U82">
        <v>1</v>
      </c>
      <c r="V82">
        <f t="shared" si="1"/>
        <v>1</v>
      </c>
    </row>
    <row r="83" spans="1:22" x14ac:dyDescent="0.25">
      <c r="A83" s="9" t="s">
        <v>504</v>
      </c>
      <c r="B83" s="10">
        <v>1</v>
      </c>
      <c r="C83" s="10">
        <v>1</v>
      </c>
      <c r="D83" s="10"/>
      <c r="E83" s="10"/>
      <c r="F83" s="10"/>
      <c r="G83" s="10"/>
      <c r="H83" s="10"/>
      <c r="I83" s="10"/>
      <c r="J83" s="10">
        <v>1</v>
      </c>
      <c r="L83" t="s">
        <v>504</v>
      </c>
      <c r="M83">
        <v>1</v>
      </c>
      <c r="N83">
        <v>1</v>
      </c>
      <c r="U83">
        <v>1</v>
      </c>
      <c r="V83">
        <f t="shared" si="1"/>
        <v>1</v>
      </c>
    </row>
    <row r="84" spans="1:22" x14ac:dyDescent="0.25">
      <c r="A84" s="9" t="s">
        <v>509</v>
      </c>
      <c r="B84" s="10">
        <v>1</v>
      </c>
      <c r="C84" s="10"/>
      <c r="D84" s="10"/>
      <c r="E84" s="10"/>
      <c r="F84" s="10"/>
      <c r="G84" s="10"/>
      <c r="H84" s="10"/>
      <c r="I84" s="10"/>
      <c r="J84" s="10">
        <v>1</v>
      </c>
      <c r="L84" t="s">
        <v>509</v>
      </c>
      <c r="M84">
        <v>1</v>
      </c>
      <c r="U84">
        <v>1</v>
      </c>
      <c r="V84">
        <f t="shared" si="1"/>
        <v>0</v>
      </c>
    </row>
    <row r="85" spans="1:22" x14ac:dyDescent="0.25">
      <c r="A85" s="9" t="s">
        <v>498</v>
      </c>
      <c r="B85" s="10">
        <v>1</v>
      </c>
      <c r="C85" s="10"/>
      <c r="D85" s="10"/>
      <c r="E85" s="10"/>
      <c r="F85" s="10"/>
      <c r="G85" s="10"/>
      <c r="H85" s="10"/>
      <c r="I85" s="10"/>
      <c r="J85" s="10">
        <v>1</v>
      </c>
      <c r="L85" t="s">
        <v>498</v>
      </c>
      <c r="M85">
        <v>1</v>
      </c>
      <c r="U85">
        <v>1</v>
      </c>
      <c r="V85">
        <f t="shared" si="1"/>
        <v>0</v>
      </c>
    </row>
    <row r="86" spans="1:22" x14ac:dyDescent="0.25">
      <c r="A86" s="9" t="s">
        <v>493</v>
      </c>
      <c r="B86" s="10">
        <v>1</v>
      </c>
      <c r="C86" s="10">
        <v>1</v>
      </c>
      <c r="D86" s="10"/>
      <c r="E86" s="10"/>
      <c r="F86" s="10"/>
      <c r="G86" s="10"/>
      <c r="H86" s="10"/>
      <c r="I86" s="10"/>
      <c r="J86" s="10">
        <v>1</v>
      </c>
      <c r="L86" t="s">
        <v>493</v>
      </c>
      <c r="M86">
        <v>1</v>
      </c>
      <c r="N86">
        <v>1</v>
      </c>
      <c r="U86">
        <v>1</v>
      </c>
      <c r="V86">
        <f t="shared" si="1"/>
        <v>1</v>
      </c>
    </row>
    <row r="87" spans="1:22" x14ac:dyDescent="0.25">
      <c r="A87" s="9" t="s">
        <v>483</v>
      </c>
      <c r="B87" s="10">
        <v>1</v>
      </c>
      <c r="C87" s="10">
        <v>1</v>
      </c>
      <c r="D87" s="10"/>
      <c r="E87" s="10"/>
      <c r="F87" s="10"/>
      <c r="G87" s="10"/>
      <c r="H87" s="10"/>
      <c r="I87" s="10"/>
      <c r="J87" s="10">
        <v>1</v>
      </c>
      <c r="L87" t="s">
        <v>483</v>
      </c>
      <c r="M87">
        <v>1</v>
      </c>
      <c r="N87">
        <v>1</v>
      </c>
      <c r="U87">
        <v>1</v>
      </c>
      <c r="V87">
        <f t="shared" si="1"/>
        <v>1</v>
      </c>
    </row>
    <row r="88" spans="1:22" x14ac:dyDescent="0.25">
      <c r="A88" s="9" t="s">
        <v>478</v>
      </c>
      <c r="B88" s="10">
        <v>1</v>
      </c>
      <c r="C88" s="10">
        <v>1</v>
      </c>
      <c r="D88" s="10"/>
      <c r="E88" s="10"/>
      <c r="F88" s="10"/>
      <c r="G88" s="10"/>
      <c r="H88" s="10"/>
      <c r="I88" s="10"/>
      <c r="J88" s="10">
        <v>1</v>
      </c>
      <c r="L88" t="s">
        <v>478</v>
      </c>
      <c r="M88">
        <v>1</v>
      </c>
      <c r="N88">
        <v>1</v>
      </c>
      <c r="U88">
        <v>1</v>
      </c>
      <c r="V88">
        <f t="shared" si="1"/>
        <v>1</v>
      </c>
    </row>
    <row r="89" spans="1:22" x14ac:dyDescent="0.25">
      <c r="A89" s="9" t="s">
        <v>469</v>
      </c>
      <c r="B89" s="10">
        <v>1</v>
      </c>
      <c r="C89" s="10">
        <v>1</v>
      </c>
      <c r="D89" s="10"/>
      <c r="E89" s="10"/>
      <c r="F89" s="10"/>
      <c r="G89" s="10"/>
      <c r="H89" s="10"/>
      <c r="I89" s="10"/>
      <c r="J89" s="10">
        <v>1</v>
      </c>
      <c r="L89" t="s">
        <v>469</v>
      </c>
      <c r="M89">
        <v>1</v>
      </c>
      <c r="N89">
        <v>1</v>
      </c>
      <c r="U89">
        <v>1</v>
      </c>
      <c r="V89">
        <f t="shared" si="1"/>
        <v>1</v>
      </c>
    </row>
    <row r="90" spans="1:22" x14ac:dyDescent="0.25">
      <c r="A90" s="9" t="s">
        <v>466</v>
      </c>
      <c r="B90" s="10">
        <v>1</v>
      </c>
      <c r="C90" s="10">
        <v>1</v>
      </c>
      <c r="D90" s="10"/>
      <c r="E90" s="10"/>
      <c r="F90" s="10"/>
      <c r="G90" s="10"/>
      <c r="H90" s="10"/>
      <c r="I90" s="10"/>
      <c r="J90" s="10">
        <v>1</v>
      </c>
      <c r="L90" t="s">
        <v>466</v>
      </c>
      <c r="M90">
        <v>1</v>
      </c>
      <c r="N90">
        <v>1</v>
      </c>
      <c r="U90">
        <v>1</v>
      </c>
      <c r="V90">
        <f t="shared" si="1"/>
        <v>1</v>
      </c>
    </row>
    <row r="91" spans="1:22" x14ac:dyDescent="0.25">
      <c r="A91" s="9" t="s">
        <v>458</v>
      </c>
      <c r="B91" s="10">
        <v>1</v>
      </c>
      <c r="C91" s="10">
        <v>1</v>
      </c>
      <c r="D91" s="10"/>
      <c r="E91" s="10"/>
      <c r="F91" s="10"/>
      <c r="G91" s="10"/>
      <c r="H91" s="10"/>
      <c r="I91" s="10"/>
      <c r="J91" s="10">
        <v>1</v>
      </c>
      <c r="L91" t="s">
        <v>458</v>
      </c>
      <c r="M91">
        <v>1</v>
      </c>
      <c r="N91">
        <v>1</v>
      </c>
      <c r="U91">
        <v>1</v>
      </c>
      <c r="V91">
        <f t="shared" si="1"/>
        <v>1</v>
      </c>
    </row>
    <row r="92" spans="1:22" x14ac:dyDescent="0.25">
      <c r="A92" s="9" t="s">
        <v>472</v>
      </c>
      <c r="B92" s="10">
        <v>1</v>
      </c>
      <c r="C92" s="10">
        <v>1</v>
      </c>
      <c r="D92" s="10"/>
      <c r="E92" s="10"/>
      <c r="F92" s="10"/>
      <c r="G92" s="10"/>
      <c r="H92" s="10"/>
      <c r="I92" s="10"/>
      <c r="J92" s="10">
        <v>1</v>
      </c>
      <c r="L92" t="s">
        <v>472</v>
      </c>
      <c r="M92">
        <v>1</v>
      </c>
      <c r="N92">
        <v>1</v>
      </c>
      <c r="U92">
        <v>1</v>
      </c>
      <c r="V92">
        <f t="shared" si="1"/>
        <v>1</v>
      </c>
    </row>
    <row r="93" spans="1:22" x14ac:dyDescent="0.25">
      <c r="A93" s="9" t="s">
        <v>463</v>
      </c>
      <c r="B93" s="10">
        <v>1</v>
      </c>
      <c r="C93" s="10">
        <v>1</v>
      </c>
      <c r="D93" s="10"/>
      <c r="E93" s="10"/>
      <c r="F93" s="10"/>
      <c r="G93" s="10"/>
      <c r="H93" s="10"/>
      <c r="I93" s="10"/>
      <c r="J93" s="10">
        <v>1</v>
      </c>
      <c r="L93" t="s">
        <v>463</v>
      </c>
      <c r="M93">
        <v>1</v>
      </c>
      <c r="N93">
        <v>1</v>
      </c>
      <c r="U93">
        <v>1</v>
      </c>
      <c r="V93">
        <f t="shared" si="1"/>
        <v>1</v>
      </c>
    </row>
    <row r="94" spans="1:22" x14ac:dyDescent="0.25">
      <c r="A94" s="9" t="s">
        <v>447</v>
      </c>
      <c r="B94" s="10">
        <v>1</v>
      </c>
      <c r="C94" s="10">
        <v>1</v>
      </c>
      <c r="D94" s="10"/>
      <c r="E94" s="10"/>
      <c r="F94" s="10"/>
      <c r="G94" s="10"/>
      <c r="H94" s="10"/>
      <c r="I94" s="10"/>
      <c r="J94" s="10">
        <v>1</v>
      </c>
      <c r="L94" t="s">
        <v>447</v>
      </c>
      <c r="M94">
        <v>1</v>
      </c>
      <c r="N94">
        <v>1</v>
      </c>
      <c r="U94">
        <v>1</v>
      </c>
      <c r="V94">
        <f t="shared" si="1"/>
        <v>1</v>
      </c>
    </row>
    <row r="95" spans="1:22" x14ac:dyDescent="0.25">
      <c r="A95" s="9" t="s">
        <v>442</v>
      </c>
      <c r="B95" s="10">
        <v>1</v>
      </c>
      <c r="C95" s="10">
        <v>1</v>
      </c>
      <c r="D95" s="10"/>
      <c r="E95" s="10"/>
      <c r="F95" s="10"/>
      <c r="G95" s="10"/>
      <c r="H95" s="10"/>
      <c r="I95" s="10"/>
      <c r="J95" s="10">
        <v>1</v>
      </c>
      <c r="L95" t="s">
        <v>442</v>
      </c>
      <c r="M95">
        <v>1</v>
      </c>
      <c r="N95">
        <v>1</v>
      </c>
      <c r="U95">
        <v>1</v>
      </c>
      <c r="V95">
        <f t="shared" si="1"/>
        <v>1</v>
      </c>
    </row>
    <row r="96" spans="1:22" x14ac:dyDescent="0.25">
      <c r="A96" s="9" t="s">
        <v>437</v>
      </c>
      <c r="B96" s="10">
        <v>1</v>
      </c>
      <c r="C96" s="10"/>
      <c r="D96" s="10"/>
      <c r="E96" s="10"/>
      <c r="F96" s="10"/>
      <c r="G96" s="10"/>
      <c r="H96" s="10"/>
      <c r="I96" s="10"/>
      <c r="J96" s="10">
        <v>1</v>
      </c>
      <c r="L96" t="s">
        <v>437</v>
      </c>
      <c r="M96">
        <v>1</v>
      </c>
      <c r="U96">
        <v>1</v>
      </c>
      <c r="V96">
        <f t="shared" si="1"/>
        <v>0</v>
      </c>
    </row>
    <row r="97" spans="1:22" x14ac:dyDescent="0.25">
      <c r="A97" s="9" t="s">
        <v>421</v>
      </c>
      <c r="B97" s="10">
        <v>1</v>
      </c>
      <c r="C97" s="10"/>
      <c r="D97" s="10"/>
      <c r="E97" s="10"/>
      <c r="F97" s="10"/>
      <c r="G97" s="10"/>
      <c r="H97" s="10"/>
      <c r="I97" s="10"/>
      <c r="J97" s="10">
        <v>1</v>
      </c>
      <c r="L97" t="s">
        <v>421</v>
      </c>
      <c r="M97">
        <v>1</v>
      </c>
      <c r="U97">
        <v>1</v>
      </c>
      <c r="V97">
        <f t="shared" si="1"/>
        <v>0</v>
      </c>
    </row>
    <row r="98" spans="1:22" x14ac:dyDescent="0.25">
      <c r="A98" s="9" t="s">
        <v>408</v>
      </c>
      <c r="B98" s="10">
        <v>1</v>
      </c>
      <c r="C98" s="10"/>
      <c r="D98" s="10"/>
      <c r="E98" s="10"/>
      <c r="F98" s="10"/>
      <c r="G98" s="10"/>
      <c r="H98" s="10"/>
      <c r="I98" s="10"/>
      <c r="J98" s="10">
        <v>1</v>
      </c>
      <c r="L98" t="s">
        <v>408</v>
      </c>
      <c r="M98">
        <v>1</v>
      </c>
      <c r="U98">
        <v>1</v>
      </c>
      <c r="V98">
        <f t="shared" si="1"/>
        <v>0</v>
      </c>
    </row>
    <row r="99" spans="1:22" x14ac:dyDescent="0.25">
      <c r="A99" s="9" t="s">
        <v>404</v>
      </c>
      <c r="B99" s="10">
        <v>1</v>
      </c>
      <c r="C99" s="10"/>
      <c r="D99" s="10"/>
      <c r="E99" s="10"/>
      <c r="F99" s="10"/>
      <c r="G99" s="10"/>
      <c r="H99" s="10"/>
      <c r="I99" s="10"/>
      <c r="J99" s="10">
        <v>1</v>
      </c>
      <c r="L99" t="s">
        <v>404</v>
      </c>
      <c r="M99">
        <v>1</v>
      </c>
      <c r="U99">
        <v>1</v>
      </c>
      <c r="V99">
        <f t="shared" si="1"/>
        <v>0</v>
      </c>
    </row>
    <row r="100" spans="1:22" x14ac:dyDescent="0.25">
      <c r="A100" s="9" t="s">
        <v>400</v>
      </c>
      <c r="B100" s="10">
        <v>1</v>
      </c>
      <c r="C100" s="10"/>
      <c r="D100" s="10"/>
      <c r="E100" s="10"/>
      <c r="F100" s="10"/>
      <c r="G100" s="10"/>
      <c r="H100" s="10"/>
      <c r="I100" s="10"/>
      <c r="J100" s="10">
        <v>1</v>
      </c>
      <c r="L100" t="s">
        <v>400</v>
      </c>
      <c r="M100">
        <v>1</v>
      </c>
      <c r="U100">
        <v>1</v>
      </c>
      <c r="V100">
        <f t="shared" si="1"/>
        <v>0</v>
      </c>
    </row>
    <row r="101" spans="1:22" x14ac:dyDescent="0.25">
      <c r="A101" s="9" t="s">
        <v>395</v>
      </c>
      <c r="B101" s="10">
        <v>1</v>
      </c>
      <c r="C101" s="10"/>
      <c r="D101" s="10"/>
      <c r="E101" s="10"/>
      <c r="F101" s="10"/>
      <c r="G101" s="10"/>
      <c r="H101" s="10"/>
      <c r="I101" s="10"/>
      <c r="J101" s="10">
        <v>1</v>
      </c>
      <c r="L101" t="s">
        <v>395</v>
      </c>
      <c r="M101">
        <v>1</v>
      </c>
      <c r="U101">
        <v>1</v>
      </c>
      <c r="V101">
        <f t="shared" si="1"/>
        <v>0</v>
      </c>
    </row>
    <row r="102" spans="1:22" x14ac:dyDescent="0.25">
      <c r="A102" s="9" t="s">
        <v>393</v>
      </c>
      <c r="B102" s="10">
        <v>1</v>
      </c>
      <c r="C102" s="10"/>
      <c r="D102" s="10"/>
      <c r="E102" s="10"/>
      <c r="F102" s="10"/>
      <c r="G102" s="10"/>
      <c r="H102" s="10"/>
      <c r="I102" s="10"/>
      <c r="J102" s="10">
        <v>1</v>
      </c>
      <c r="L102" t="s">
        <v>393</v>
      </c>
      <c r="M102">
        <v>1</v>
      </c>
      <c r="U102">
        <v>1</v>
      </c>
      <c r="V102">
        <f t="shared" si="1"/>
        <v>0</v>
      </c>
    </row>
    <row r="103" spans="1:22" x14ac:dyDescent="0.25">
      <c r="A103" s="9" t="s">
        <v>389</v>
      </c>
      <c r="B103" s="10">
        <v>1</v>
      </c>
      <c r="C103" s="10"/>
      <c r="D103" s="10"/>
      <c r="E103" s="10"/>
      <c r="F103" s="10"/>
      <c r="G103" s="10"/>
      <c r="H103" s="10"/>
      <c r="I103" s="10"/>
      <c r="J103" s="10">
        <v>1</v>
      </c>
      <c r="L103" t="s">
        <v>389</v>
      </c>
      <c r="M103">
        <v>1</v>
      </c>
      <c r="U103">
        <v>1</v>
      </c>
      <c r="V103">
        <f t="shared" si="1"/>
        <v>0</v>
      </c>
    </row>
    <row r="104" spans="1:22" x14ac:dyDescent="0.25">
      <c r="A104" s="9" t="s">
        <v>391</v>
      </c>
      <c r="B104" s="10">
        <v>1</v>
      </c>
      <c r="C104" s="10"/>
      <c r="D104" s="10"/>
      <c r="E104" s="10"/>
      <c r="F104" s="10"/>
      <c r="G104" s="10"/>
      <c r="H104" s="10"/>
      <c r="I104" s="10"/>
      <c r="J104" s="10">
        <v>1</v>
      </c>
      <c r="L104" t="s">
        <v>391</v>
      </c>
      <c r="M104">
        <v>1</v>
      </c>
      <c r="U104">
        <v>1</v>
      </c>
      <c r="V104">
        <f t="shared" si="1"/>
        <v>0</v>
      </c>
    </row>
    <row r="105" spans="1:22" x14ac:dyDescent="0.25">
      <c r="A105" s="9" t="s">
        <v>387</v>
      </c>
      <c r="B105" s="10">
        <v>1</v>
      </c>
      <c r="C105" s="10"/>
      <c r="D105" s="10"/>
      <c r="E105" s="10"/>
      <c r="F105" s="10"/>
      <c r="G105" s="10"/>
      <c r="H105" s="10"/>
      <c r="I105" s="10"/>
      <c r="J105" s="10">
        <v>1</v>
      </c>
      <c r="L105" t="s">
        <v>387</v>
      </c>
      <c r="M105">
        <v>1</v>
      </c>
      <c r="U105">
        <v>1</v>
      </c>
      <c r="V105">
        <f t="shared" si="1"/>
        <v>0</v>
      </c>
    </row>
    <row r="106" spans="1:22" x14ac:dyDescent="0.25">
      <c r="A106" s="9" t="s">
        <v>384</v>
      </c>
      <c r="B106" s="10">
        <v>1</v>
      </c>
      <c r="C106" s="10"/>
      <c r="D106" s="10"/>
      <c r="E106" s="10"/>
      <c r="F106" s="10"/>
      <c r="G106" s="10"/>
      <c r="H106" s="10"/>
      <c r="I106" s="10"/>
      <c r="J106" s="10">
        <v>1</v>
      </c>
      <c r="L106" t="s">
        <v>384</v>
      </c>
      <c r="M106">
        <v>1</v>
      </c>
      <c r="U106">
        <v>1</v>
      </c>
      <c r="V106">
        <f t="shared" si="1"/>
        <v>0</v>
      </c>
    </row>
    <row r="107" spans="1:22" x14ac:dyDescent="0.25">
      <c r="A107" s="9" t="s">
        <v>382</v>
      </c>
      <c r="B107" s="10">
        <v>1</v>
      </c>
      <c r="C107" s="10"/>
      <c r="D107" s="10"/>
      <c r="E107" s="10"/>
      <c r="F107" s="10"/>
      <c r="G107" s="10"/>
      <c r="H107" s="10"/>
      <c r="I107" s="10"/>
      <c r="J107" s="10">
        <v>1</v>
      </c>
      <c r="L107" t="s">
        <v>382</v>
      </c>
      <c r="M107">
        <v>1</v>
      </c>
      <c r="U107">
        <v>1</v>
      </c>
      <c r="V107">
        <f t="shared" si="1"/>
        <v>0</v>
      </c>
    </row>
    <row r="108" spans="1:22" x14ac:dyDescent="0.25">
      <c r="A108" s="9" t="s">
        <v>378</v>
      </c>
      <c r="B108" s="10">
        <v>1</v>
      </c>
      <c r="C108" s="10"/>
      <c r="D108" s="10"/>
      <c r="E108" s="10"/>
      <c r="F108" s="10"/>
      <c r="G108" s="10"/>
      <c r="H108" s="10"/>
      <c r="I108" s="10"/>
      <c r="J108" s="10">
        <v>1</v>
      </c>
      <c r="L108" t="s">
        <v>378</v>
      </c>
      <c r="M108">
        <v>1</v>
      </c>
      <c r="U108">
        <v>1</v>
      </c>
      <c r="V108">
        <f t="shared" si="1"/>
        <v>0</v>
      </c>
    </row>
    <row r="109" spans="1:22" x14ac:dyDescent="0.25">
      <c r="A109" s="9" t="s">
        <v>374</v>
      </c>
      <c r="B109" s="10">
        <v>1</v>
      </c>
      <c r="C109" s="10"/>
      <c r="D109" s="10"/>
      <c r="E109" s="10"/>
      <c r="F109" s="10"/>
      <c r="G109" s="10"/>
      <c r="H109" s="10"/>
      <c r="I109" s="10"/>
      <c r="J109" s="10">
        <v>1</v>
      </c>
      <c r="L109" t="s">
        <v>374</v>
      </c>
      <c r="M109">
        <v>1</v>
      </c>
      <c r="U109">
        <v>1</v>
      </c>
      <c r="V109">
        <f t="shared" si="1"/>
        <v>0</v>
      </c>
    </row>
    <row r="110" spans="1:22" x14ac:dyDescent="0.25">
      <c r="A110" s="9" t="s">
        <v>364</v>
      </c>
      <c r="B110" s="10">
        <v>1</v>
      </c>
      <c r="C110" s="10"/>
      <c r="D110" s="10"/>
      <c r="E110" s="10"/>
      <c r="F110" s="10"/>
      <c r="G110" s="10"/>
      <c r="H110" s="10"/>
      <c r="I110" s="10"/>
      <c r="J110" s="10">
        <v>1</v>
      </c>
      <c r="L110" t="s">
        <v>364</v>
      </c>
      <c r="M110">
        <v>1</v>
      </c>
      <c r="U110">
        <v>1</v>
      </c>
      <c r="V110">
        <f t="shared" si="1"/>
        <v>0</v>
      </c>
    </row>
    <row r="111" spans="1:22" x14ac:dyDescent="0.25">
      <c r="A111" s="9" t="s">
        <v>369</v>
      </c>
      <c r="B111" s="10">
        <v>1</v>
      </c>
      <c r="C111" s="10"/>
      <c r="D111" s="10"/>
      <c r="E111" s="10"/>
      <c r="F111" s="10"/>
      <c r="G111" s="10"/>
      <c r="H111" s="10"/>
      <c r="I111" s="10"/>
      <c r="J111" s="10">
        <v>1</v>
      </c>
      <c r="L111" t="s">
        <v>369</v>
      </c>
      <c r="M111">
        <v>1</v>
      </c>
      <c r="U111">
        <v>1</v>
      </c>
      <c r="V111">
        <f t="shared" si="1"/>
        <v>0</v>
      </c>
    </row>
    <row r="112" spans="1:22" x14ac:dyDescent="0.25">
      <c r="A112" s="9" t="s">
        <v>355</v>
      </c>
      <c r="B112" s="10">
        <v>1</v>
      </c>
      <c r="C112" s="10"/>
      <c r="D112" s="10"/>
      <c r="E112" s="10"/>
      <c r="F112" s="10"/>
      <c r="G112" s="10"/>
      <c r="H112" s="10"/>
      <c r="I112" s="10"/>
      <c r="J112" s="10">
        <v>1</v>
      </c>
      <c r="L112" t="s">
        <v>355</v>
      </c>
      <c r="M112">
        <v>1</v>
      </c>
      <c r="U112">
        <v>1</v>
      </c>
      <c r="V112">
        <f t="shared" si="1"/>
        <v>0</v>
      </c>
    </row>
    <row r="113" spans="1:22" x14ac:dyDescent="0.25">
      <c r="A113" s="9" t="s">
        <v>352</v>
      </c>
      <c r="B113" s="10">
        <v>1</v>
      </c>
      <c r="C113" s="10"/>
      <c r="D113" s="10"/>
      <c r="E113" s="10"/>
      <c r="F113" s="10"/>
      <c r="G113" s="10"/>
      <c r="H113" s="10"/>
      <c r="I113" s="10"/>
      <c r="J113" s="10">
        <v>1</v>
      </c>
      <c r="L113" t="s">
        <v>352</v>
      </c>
      <c r="M113">
        <v>1</v>
      </c>
      <c r="U113">
        <v>1</v>
      </c>
      <c r="V113">
        <f t="shared" si="1"/>
        <v>0</v>
      </c>
    </row>
    <row r="114" spans="1:22" x14ac:dyDescent="0.25">
      <c r="A114" s="9" t="s">
        <v>361</v>
      </c>
      <c r="B114" s="10">
        <v>1</v>
      </c>
      <c r="C114" s="10"/>
      <c r="D114" s="10"/>
      <c r="E114" s="10"/>
      <c r="F114" s="10"/>
      <c r="G114" s="10"/>
      <c r="H114" s="10"/>
      <c r="I114" s="10"/>
      <c r="J114" s="10">
        <v>1</v>
      </c>
      <c r="L114" t="s">
        <v>361</v>
      </c>
      <c r="M114">
        <v>1</v>
      </c>
      <c r="U114">
        <v>1</v>
      </c>
      <c r="V114">
        <f t="shared" si="1"/>
        <v>0</v>
      </c>
    </row>
    <row r="115" spans="1:22" x14ac:dyDescent="0.25">
      <c r="A115" s="9" t="s">
        <v>358</v>
      </c>
      <c r="B115" s="10">
        <v>1</v>
      </c>
      <c r="C115" s="10"/>
      <c r="D115" s="10"/>
      <c r="E115" s="10"/>
      <c r="F115" s="10"/>
      <c r="G115" s="10"/>
      <c r="H115" s="10"/>
      <c r="I115" s="10"/>
      <c r="J115" s="10">
        <v>1</v>
      </c>
      <c r="L115" t="s">
        <v>358</v>
      </c>
      <c r="M115">
        <v>1</v>
      </c>
      <c r="U115">
        <v>1</v>
      </c>
      <c r="V115">
        <f t="shared" si="1"/>
        <v>0</v>
      </c>
    </row>
    <row r="116" spans="1:22" x14ac:dyDescent="0.25">
      <c r="A116" s="9" t="s">
        <v>349</v>
      </c>
      <c r="B116" s="10">
        <v>1</v>
      </c>
      <c r="C116" s="10"/>
      <c r="D116" s="10"/>
      <c r="E116" s="10"/>
      <c r="F116" s="10"/>
      <c r="G116" s="10"/>
      <c r="H116" s="10"/>
      <c r="I116" s="10"/>
      <c r="J116" s="10">
        <v>1</v>
      </c>
      <c r="L116" t="s">
        <v>349</v>
      </c>
      <c r="M116">
        <v>1</v>
      </c>
      <c r="U116">
        <v>1</v>
      </c>
      <c r="V116">
        <f t="shared" si="1"/>
        <v>0</v>
      </c>
    </row>
    <row r="117" spans="1:22" x14ac:dyDescent="0.25">
      <c r="A117" s="9" t="s">
        <v>345</v>
      </c>
      <c r="B117" s="10">
        <v>1</v>
      </c>
      <c r="C117" s="10"/>
      <c r="D117" s="10"/>
      <c r="E117" s="10"/>
      <c r="F117" s="10"/>
      <c r="G117" s="10"/>
      <c r="H117" s="10"/>
      <c r="I117" s="10"/>
      <c r="J117" s="10">
        <v>1</v>
      </c>
      <c r="L117" t="s">
        <v>345</v>
      </c>
      <c r="M117">
        <v>1</v>
      </c>
      <c r="U117">
        <v>1</v>
      </c>
      <c r="V117">
        <f t="shared" si="1"/>
        <v>0</v>
      </c>
    </row>
    <row r="118" spans="1:22" x14ac:dyDescent="0.25">
      <c r="A118" s="9" t="s">
        <v>342</v>
      </c>
      <c r="B118" s="10">
        <v>1</v>
      </c>
      <c r="C118" s="10"/>
      <c r="D118" s="10"/>
      <c r="E118" s="10"/>
      <c r="F118" s="10"/>
      <c r="G118" s="10"/>
      <c r="H118" s="10"/>
      <c r="I118" s="10"/>
      <c r="J118" s="10">
        <v>1</v>
      </c>
      <c r="L118" t="s">
        <v>342</v>
      </c>
      <c r="M118">
        <v>1</v>
      </c>
      <c r="U118">
        <v>1</v>
      </c>
      <c r="V118">
        <f t="shared" si="1"/>
        <v>0</v>
      </c>
    </row>
    <row r="119" spans="1:22" x14ac:dyDescent="0.25">
      <c r="A119" s="9" t="s">
        <v>338</v>
      </c>
      <c r="B119" s="10">
        <v>1</v>
      </c>
      <c r="C119" s="10"/>
      <c r="D119" s="10"/>
      <c r="E119" s="10"/>
      <c r="F119" s="10"/>
      <c r="G119" s="10"/>
      <c r="H119" s="10"/>
      <c r="I119" s="10"/>
      <c r="J119" s="10">
        <v>1</v>
      </c>
      <c r="L119" t="s">
        <v>338</v>
      </c>
      <c r="M119">
        <v>1</v>
      </c>
      <c r="U119">
        <v>1</v>
      </c>
      <c r="V119">
        <f t="shared" si="1"/>
        <v>0</v>
      </c>
    </row>
    <row r="120" spans="1:22" x14ac:dyDescent="0.25">
      <c r="A120" s="9" t="s">
        <v>335</v>
      </c>
      <c r="B120" s="10">
        <v>1</v>
      </c>
      <c r="C120" s="10"/>
      <c r="D120" s="10"/>
      <c r="E120" s="10"/>
      <c r="F120" s="10"/>
      <c r="G120" s="10"/>
      <c r="H120" s="10"/>
      <c r="I120" s="10"/>
      <c r="J120" s="10">
        <v>1</v>
      </c>
      <c r="L120" t="s">
        <v>335</v>
      </c>
      <c r="M120">
        <v>1</v>
      </c>
      <c r="U120">
        <v>1</v>
      </c>
      <c r="V120">
        <f t="shared" si="1"/>
        <v>0</v>
      </c>
    </row>
    <row r="121" spans="1:22" x14ac:dyDescent="0.25">
      <c r="A121" s="9" t="s">
        <v>331</v>
      </c>
      <c r="B121" s="10">
        <v>1</v>
      </c>
      <c r="C121" s="10"/>
      <c r="D121" s="10"/>
      <c r="E121" s="10"/>
      <c r="F121" s="10"/>
      <c r="G121" s="10"/>
      <c r="H121" s="10"/>
      <c r="I121" s="10"/>
      <c r="J121" s="10">
        <v>1</v>
      </c>
      <c r="L121" t="s">
        <v>331</v>
      </c>
      <c r="M121">
        <v>1</v>
      </c>
      <c r="U121">
        <v>1</v>
      </c>
      <c r="V121">
        <f t="shared" si="1"/>
        <v>0</v>
      </c>
    </row>
    <row r="122" spans="1:22" x14ac:dyDescent="0.25">
      <c r="A122" s="9" t="s">
        <v>311</v>
      </c>
      <c r="B122" s="10">
        <v>1</v>
      </c>
      <c r="C122" s="10"/>
      <c r="D122" s="10"/>
      <c r="E122" s="10"/>
      <c r="F122" s="10"/>
      <c r="G122" s="10"/>
      <c r="H122" s="10"/>
      <c r="I122" s="10"/>
      <c r="J122" s="10">
        <v>1</v>
      </c>
      <c r="L122" t="s">
        <v>311</v>
      </c>
      <c r="M122">
        <v>1</v>
      </c>
      <c r="U122">
        <v>1</v>
      </c>
      <c r="V122">
        <f t="shared" si="1"/>
        <v>0</v>
      </c>
    </row>
    <row r="123" spans="1:22" x14ac:dyDescent="0.25">
      <c r="A123" s="9" t="s">
        <v>276</v>
      </c>
      <c r="B123" s="10">
        <v>1</v>
      </c>
      <c r="C123" s="10"/>
      <c r="D123" s="10"/>
      <c r="E123" s="10"/>
      <c r="F123" s="10"/>
      <c r="G123" s="10"/>
      <c r="H123" s="10"/>
      <c r="I123" s="10"/>
      <c r="J123" s="10">
        <v>1</v>
      </c>
      <c r="L123" t="s">
        <v>276</v>
      </c>
      <c r="M123">
        <v>1</v>
      </c>
      <c r="U123">
        <v>1</v>
      </c>
      <c r="V123">
        <f t="shared" si="1"/>
        <v>0</v>
      </c>
    </row>
    <row r="124" spans="1:22" x14ac:dyDescent="0.25">
      <c r="A124" s="9" t="s">
        <v>271</v>
      </c>
      <c r="B124" s="10">
        <v>1</v>
      </c>
      <c r="C124" s="10"/>
      <c r="D124" s="10"/>
      <c r="E124" s="10"/>
      <c r="F124" s="10"/>
      <c r="G124" s="10"/>
      <c r="H124" s="10"/>
      <c r="I124" s="10"/>
      <c r="J124" s="10">
        <v>1</v>
      </c>
      <c r="L124" t="s">
        <v>271</v>
      </c>
      <c r="M124">
        <v>1</v>
      </c>
      <c r="U124">
        <v>1</v>
      </c>
      <c r="V124">
        <f t="shared" si="1"/>
        <v>0</v>
      </c>
    </row>
    <row r="125" spans="1:22" x14ac:dyDescent="0.25">
      <c r="A125" s="9" t="s">
        <v>248</v>
      </c>
      <c r="B125" s="10">
        <v>1</v>
      </c>
      <c r="C125" s="10"/>
      <c r="D125" s="10"/>
      <c r="E125" s="10"/>
      <c r="F125" s="10"/>
      <c r="G125" s="10"/>
      <c r="H125" s="10"/>
      <c r="I125" s="10"/>
      <c r="J125" s="10">
        <v>1</v>
      </c>
      <c r="L125" t="s">
        <v>248</v>
      </c>
      <c r="M125">
        <v>1</v>
      </c>
      <c r="U125">
        <v>1</v>
      </c>
      <c r="V125">
        <f t="shared" si="1"/>
        <v>0</v>
      </c>
    </row>
    <row r="126" spans="1:22" x14ac:dyDescent="0.25">
      <c r="A126" s="9" t="s">
        <v>227</v>
      </c>
      <c r="B126" s="10">
        <v>1</v>
      </c>
      <c r="C126" s="10"/>
      <c r="D126" s="10"/>
      <c r="E126" s="10"/>
      <c r="F126" s="10"/>
      <c r="G126" s="10"/>
      <c r="H126" s="10"/>
      <c r="I126" s="10"/>
      <c r="J126" s="10">
        <v>1</v>
      </c>
      <c r="L126" t="s">
        <v>227</v>
      </c>
      <c r="M126">
        <v>1</v>
      </c>
      <c r="U126">
        <v>1</v>
      </c>
      <c r="V126">
        <f t="shared" si="1"/>
        <v>0</v>
      </c>
    </row>
    <row r="127" spans="1:22" x14ac:dyDescent="0.25">
      <c r="A127" s="9" t="s">
        <v>219</v>
      </c>
      <c r="B127" s="10">
        <v>1</v>
      </c>
      <c r="C127" s="10"/>
      <c r="D127" s="10"/>
      <c r="E127" s="10"/>
      <c r="F127" s="10"/>
      <c r="G127" s="10"/>
      <c r="H127" s="10"/>
      <c r="I127" s="10"/>
      <c r="J127" s="10">
        <v>1</v>
      </c>
      <c r="L127" t="s">
        <v>219</v>
      </c>
      <c r="M127">
        <v>1</v>
      </c>
      <c r="U127">
        <v>1</v>
      </c>
      <c r="V127">
        <f t="shared" si="1"/>
        <v>0</v>
      </c>
    </row>
    <row r="128" spans="1:22" x14ac:dyDescent="0.25">
      <c r="A128" s="9" t="s">
        <v>217</v>
      </c>
      <c r="B128" s="10">
        <v>1</v>
      </c>
      <c r="C128" s="10"/>
      <c r="D128" s="10"/>
      <c r="E128" s="10"/>
      <c r="F128" s="10"/>
      <c r="G128" s="10"/>
      <c r="H128" s="10"/>
      <c r="I128" s="10"/>
      <c r="J128" s="10">
        <v>1</v>
      </c>
      <c r="L128" t="s">
        <v>217</v>
      </c>
      <c r="M128">
        <v>1</v>
      </c>
      <c r="U128">
        <v>1</v>
      </c>
      <c r="V128">
        <f t="shared" si="1"/>
        <v>0</v>
      </c>
    </row>
    <row r="129" spans="1:22" x14ac:dyDescent="0.25">
      <c r="A129" s="9" t="s">
        <v>215</v>
      </c>
      <c r="B129" s="10">
        <v>1</v>
      </c>
      <c r="C129" s="10"/>
      <c r="D129" s="10"/>
      <c r="E129" s="10"/>
      <c r="F129" s="10"/>
      <c r="G129" s="10"/>
      <c r="H129" s="10"/>
      <c r="I129" s="10"/>
      <c r="J129" s="10">
        <v>1</v>
      </c>
      <c r="L129" t="s">
        <v>215</v>
      </c>
      <c r="M129">
        <v>1</v>
      </c>
      <c r="U129">
        <v>1</v>
      </c>
      <c r="V129">
        <f t="shared" si="1"/>
        <v>0</v>
      </c>
    </row>
    <row r="130" spans="1:22" x14ac:dyDescent="0.25">
      <c r="A130" s="9" t="s">
        <v>213</v>
      </c>
      <c r="B130" s="10">
        <v>1</v>
      </c>
      <c r="C130" s="10"/>
      <c r="D130" s="10"/>
      <c r="E130" s="10"/>
      <c r="F130" s="10"/>
      <c r="G130" s="10"/>
      <c r="H130" s="10"/>
      <c r="I130" s="10"/>
      <c r="J130" s="10">
        <v>1</v>
      </c>
      <c r="L130" t="s">
        <v>213</v>
      </c>
      <c r="M130">
        <v>1</v>
      </c>
      <c r="U130">
        <v>1</v>
      </c>
      <c r="V130">
        <f t="shared" si="1"/>
        <v>0</v>
      </c>
    </row>
    <row r="131" spans="1:22" x14ac:dyDescent="0.25">
      <c r="A131" s="9" t="s">
        <v>211</v>
      </c>
      <c r="B131" s="10">
        <v>1</v>
      </c>
      <c r="C131" s="10"/>
      <c r="D131" s="10"/>
      <c r="E131" s="10"/>
      <c r="F131" s="10"/>
      <c r="G131" s="10"/>
      <c r="H131" s="10"/>
      <c r="I131" s="10"/>
      <c r="J131" s="10">
        <v>1</v>
      </c>
      <c r="L131" t="s">
        <v>211</v>
      </c>
      <c r="M131">
        <v>1</v>
      </c>
      <c r="U131">
        <v>1</v>
      </c>
      <c r="V131">
        <f t="shared" si="1"/>
        <v>0</v>
      </c>
    </row>
    <row r="132" spans="1:22" x14ac:dyDescent="0.25">
      <c r="A132" s="9" t="s">
        <v>208</v>
      </c>
      <c r="B132" s="10">
        <v>1</v>
      </c>
      <c r="C132" s="10"/>
      <c r="D132" s="10"/>
      <c r="E132" s="10"/>
      <c r="F132" s="10"/>
      <c r="G132" s="10"/>
      <c r="H132" s="10"/>
      <c r="I132" s="10"/>
      <c r="J132" s="10">
        <v>1</v>
      </c>
      <c r="L132" t="s">
        <v>208</v>
      </c>
      <c r="M132">
        <v>1</v>
      </c>
      <c r="U132">
        <v>1</v>
      </c>
      <c r="V132">
        <f t="shared" si="1"/>
        <v>0</v>
      </c>
    </row>
    <row r="133" spans="1:22" x14ac:dyDescent="0.25">
      <c r="A133" s="9" t="s">
        <v>204</v>
      </c>
      <c r="B133" s="10">
        <v>1</v>
      </c>
      <c r="C133" s="10"/>
      <c r="D133" s="10"/>
      <c r="E133" s="10"/>
      <c r="F133" s="10"/>
      <c r="G133" s="10"/>
      <c r="H133" s="10"/>
      <c r="I133" s="10"/>
      <c r="J133" s="10">
        <v>1</v>
      </c>
      <c r="L133" t="s">
        <v>204</v>
      </c>
      <c r="M133">
        <v>1</v>
      </c>
      <c r="U133">
        <v>1</v>
      </c>
      <c r="V133">
        <f t="shared" si="1"/>
        <v>0</v>
      </c>
    </row>
    <row r="134" spans="1:22" x14ac:dyDescent="0.25">
      <c r="A134" s="9" t="s">
        <v>200</v>
      </c>
      <c r="B134" s="10">
        <v>1</v>
      </c>
      <c r="C134" s="10"/>
      <c r="D134" s="10"/>
      <c r="E134" s="10"/>
      <c r="F134" s="10"/>
      <c r="G134" s="10"/>
      <c r="H134" s="10"/>
      <c r="I134" s="10"/>
      <c r="J134" s="10">
        <v>1</v>
      </c>
      <c r="L134" t="s">
        <v>200</v>
      </c>
      <c r="M134">
        <v>1</v>
      </c>
      <c r="U134">
        <v>1</v>
      </c>
      <c r="V134">
        <f t="shared" ref="V134:V197" si="2">IF(N134=1,1,IF(O134=1,1,IF(S134=1,0.8,0)))</f>
        <v>0</v>
      </c>
    </row>
    <row r="135" spans="1:22" x14ac:dyDescent="0.25">
      <c r="A135" s="9" t="s">
        <v>196</v>
      </c>
      <c r="B135" s="10">
        <v>1</v>
      </c>
      <c r="C135" s="10"/>
      <c r="D135" s="10"/>
      <c r="E135" s="10"/>
      <c r="F135" s="10"/>
      <c r="G135" s="10"/>
      <c r="H135" s="10"/>
      <c r="I135" s="10"/>
      <c r="J135" s="10">
        <v>1</v>
      </c>
      <c r="L135" t="s">
        <v>196</v>
      </c>
      <c r="M135">
        <v>1</v>
      </c>
      <c r="U135">
        <v>1</v>
      </c>
      <c r="V135">
        <f t="shared" si="2"/>
        <v>0</v>
      </c>
    </row>
    <row r="136" spans="1:22" x14ac:dyDescent="0.25">
      <c r="A136" s="9" t="s">
        <v>191</v>
      </c>
      <c r="B136" s="10">
        <v>1</v>
      </c>
      <c r="C136" s="10"/>
      <c r="D136" s="10"/>
      <c r="E136" s="10"/>
      <c r="F136" s="10"/>
      <c r="G136" s="10"/>
      <c r="H136" s="10"/>
      <c r="I136" s="10"/>
      <c r="J136" s="10">
        <v>1</v>
      </c>
      <c r="L136" t="s">
        <v>191</v>
      </c>
      <c r="M136">
        <v>1</v>
      </c>
      <c r="U136">
        <v>1</v>
      </c>
      <c r="V136">
        <f t="shared" si="2"/>
        <v>0</v>
      </c>
    </row>
    <row r="137" spans="1:22" x14ac:dyDescent="0.25">
      <c r="A137" s="9" t="s">
        <v>186</v>
      </c>
      <c r="B137" s="10">
        <v>1</v>
      </c>
      <c r="C137" s="10"/>
      <c r="D137" s="10"/>
      <c r="E137" s="10"/>
      <c r="F137" s="10"/>
      <c r="G137" s="10"/>
      <c r="H137" s="10"/>
      <c r="I137" s="10"/>
      <c r="J137" s="10">
        <v>1</v>
      </c>
      <c r="L137" t="s">
        <v>186</v>
      </c>
      <c r="M137">
        <v>1</v>
      </c>
      <c r="U137">
        <v>1</v>
      </c>
      <c r="V137">
        <f t="shared" si="2"/>
        <v>0</v>
      </c>
    </row>
    <row r="138" spans="1:22" x14ac:dyDescent="0.25">
      <c r="A138" s="9" t="s">
        <v>177</v>
      </c>
      <c r="B138" s="10">
        <v>1</v>
      </c>
      <c r="C138" s="10"/>
      <c r="D138" s="10"/>
      <c r="E138" s="10"/>
      <c r="F138" s="10"/>
      <c r="G138" s="10"/>
      <c r="H138" s="10"/>
      <c r="I138" s="10"/>
      <c r="J138" s="10">
        <v>1</v>
      </c>
      <c r="L138" t="s">
        <v>177</v>
      </c>
      <c r="M138">
        <v>1</v>
      </c>
      <c r="U138">
        <v>1</v>
      </c>
      <c r="V138">
        <f t="shared" si="2"/>
        <v>0</v>
      </c>
    </row>
    <row r="139" spans="1:22" x14ac:dyDescent="0.25">
      <c r="A139" s="9" t="s">
        <v>172</v>
      </c>
      <c r="B139" s="10">
        <v>1</v>
      </c>
      <c r="C139" s="10"/>
      <c r="D139" s="10"/>
      <c r="E139" s="10"/>
      <c r="F139" s="10"/>
      <c r="G139" s="10"/>
      <c r="H139" s="10"/>
      <c r="I139" s="10"/>
      <c r="J139" s="10">
        <v>1</v>
      </c>
      <c r="L139" t="s">
        <v>172</v>
      </c>
      <c r="M139">
        <v>1</v>
      </c>
      <c r="U139">
        <v>1</v>
      </c>
      <c r="V139">
        <f t="shared" si="2"/>
        <v>0</v>
      </c>
    </row>
    <row r="140" spans="1:22" x14ac:dyDescent="0.25">
      <c r="A140" s="9" t="s">
        <v>183</v>
      </c>
      <c r="B140" s="10">
        <v>1</v>
      </c>
      <c r="C140" s="10"/>
      <c r="D140" s="10"/>
      <c r="E140" s="10"/>
      <c r="F140" s="10"/>
      <c r="G140" s="10"/>
      <c r="H140" s="10"/>
      <c r="I140" s="10"/>
      <c r="J140" s="10">
        <v>1</v>
      </c>
      <c r="L140" t="s">
        <v>183</v>
      </c>
      <c r="M140">
        <v>1</v>
      </c>
      <c r="U140">
        <v>1</v>
      </c>
      <c r="V140">
        <f t="shared" si="2"/>
        <v>0</v>
      </c>
    </row>
    <row r="141" spans="1:22" x14ac:dyDescent="0.25">
      <c r="A141" s="9" t="s">
        <v>180</v>
      </c>
      <c r="B141" s="10">
        <v>1</v>
      </c>
      <c r="C141" s="10"/>
      <c r="D141" s="10"/>
      <c r="E141" s="10"/>
      <c r="F141" s="10"/>
      <c r="G141" s="10"/>
      <c r="H141" s="10"/>
      <c r="I141" s="10"/>
      <c r="J141" s="10">
        <v>1</v>
      </c>
      <c r="L141" t="s">
        <v>180</v>
      </c>
      <c r="M141">
        <v>1</v>
      </c>
      <c r="U141">
        <v>1</v>
      </c>
      <c r="V141">
        <f t="shared" si="2"/>
        <v>0</v>
      </c>
    </row>
    <row r="142" spans="1:22" x14ac:dyDescent="0.25">
      <c r="A142" s="9" t="s">
        <v>153</v>
      </c>
      <c r="B142" s="10">
        <v>1</v>
      </c>
      <c r="C142" s="10"/>
      <c r="D142" s="10"/>
      <c r="E142" s="10"/>
      <c r="F142" s="10"/>
      <c r="G142" s="10"/>
      <c r="H142" s="10"/>
      <c r="I142" s="10"/>
      <c r="J142" s="10">
        <v>1</v>
      </c>
      <c r="L142" t="s">
        <v>153</v>
      </c>
      <c r="M142">
        <v>1</v>
      </c>
      <c r="U142">
        <v>1</v>
      </c>
      <c r="V142">
        <f t="shared" si="2"/>
        <v>0</v>
      </c>
    </row>
    <row r="143" spans="1:22" x14ac:dyDescent="0.25">
      <c r="A143" s="9" t="s">
        <v>136</v>
      </c>
      <c r="B143" s="10">
        <v>1</v>
      </c>
      <c r="C143" s="10"/>
      <c r="D143" s="10"/>
      <c r="E143" s="10"/>
      <c r="F143" s="10"/>
      <c r="G143" s="10"/>
      <c r="H143" s="10"/>
      <c r="I143" s="10"/>
      <c r="J143" s="10">
        <v>1</v>
      </c>
      <c r="L143" t="s">
        <v>136</v>
      </c>
      <c r="M143">
        <v>1</v>
      </c>
      <c r="U143">
        <v>1</v>
      </c>
      <c r="V143">
        <f t="shared" si="2"/>
        <v>0</v>
      </c>
    </row>
    <row r="144" spans="1:22" x14ac:dyDescent="0.25">
      <c r="A144" s="9" t="s">
        <v>266</v>
      </c>
      <c r="B144" s="10"/>
      <c r="C144" s="10"/>
      <c r="D144" s="10"/>
      <c r="E144" s="10"/>
      <c r="F144" s="10"/>
      <c r="G144" s="10"/>
      <c r="H144" s="10">
        <v>1</v>
      </c>
      <c r="I144" s="10"/>
      <c r="J144" s="10">
        <v>1</v>
      </c>
      <c r="L144" t="s">
        <v>266</v>
      </c>
      <c r="S144">
        <v>1</v>
      </c>
      <c r="U144">
        <v>1</v>
      </c>
      <c r="V144">
        <f t="shared" si="2"/>
        <v>0.8</v>
      </c>
    </row>
    <row r="145" spans="1:22" x14ac:dyDescent="0.25">
      <c r="A145" s="9" t="s">
        <v>221</v>
      </c>
      <c r="B145" s="10"/>
      <c r="C145" s="10"/>
      <c r="D145" s="10"/>
      <c r="E145" s="10"/>
      <c r="F145" s="10"/>
      <c r="G145" s="10"/>
      <c r="H145" s="10">
        <v>1</v>
      </c>
      <c r="I145" s="10"/>
      <c r="J145" s="10">
        <v>1</v>
      </c>
      <c r="L145" t="s">
        <v>221</v>
      </c>
      <c r="S145">
        <v>1</v>
      </c>
      <c r="U145">
        <v>1</v>
      </c>
      <c r="V145">
        <f t="shared" si="2"/>
        <v>0.8</v>
      </c>
    </row>
    <row r="146" spans="1:22" x14ac:dyDescent="0.25">
      <c r="A146" s="9" t="s">
        <v>1256</v>
      </c>
      <c r="B146" s="10">
        <v>1</v>
      </c>
      <c r="C146" s="10"/>
      <c r="D146" s="10"/>
      <c r="E146" s="10"/>
      <c r="F146" s="10"/>
      <c r="G146" s="10"/>
      <c r="H146" s="10"/>
      <c r="I146" s="10"/>
      <c r="J146" s="10">
        <v>1</v>
      </c>
      <c r="L146" t="s">
        <v>1256</v>
      </c>
      <c r="M146">
        <v>1</v>
      </c>
      <c r="U146">
        <v>1</v>
      </c>
      <c r="V146">
        <f t="shared" si="2"/>
        <v>0</v>
      </c>
    </row>
    <row r="147" spans="1:22" x14ac:dyDescent="0.25">
      <c r="A147" s="9" t="s">
        <v>1271</v>
      </c>
      <c r="B147" s="10">
        <v>1</v>
      </c>
      <c r="C147" s="10">
        <v>1</v>
      </c>
      <c r="D147" s="10"/>
      <c r="E147" s="10">
        <v>1</v>
      </c>
      <c r="F147" s="10"/>
      <c r="G147" s="10"/>
      <c r="H147" s="10"/>
      <c r="I147" s="10"/>
      <c r="J147" s="10">
        <v>1</v>
      </c>
      <c r="L147" t="s">
        <v>1271</v>
      </c>
      <c r="M147">
        <v>1</v>
      </c>
      <c r="N147">
        <v>1</v>
      </c>
      <c r="P147">
        <v>1</v>
      </c>
      <c r="U147">
        <v>1</v>
      </c>
      <c r="V147">
        <f t="shared" si="2"/>
        <v>1</v>
      </c>
    </row>
    <row r="148" spans="1:22" x14ac:dyDescent="0.25">
      <c r="A148" s="9" t="s">
        <v>1233</v>
      </c>
      <c r="B148" s="10">
        <v>1</v>
      </c>
      <c r="C148" s="10"/>
      <c r="D148" s="10"/>
      <c r="E148" s="10"/>
      <c r="F148" s="10"/>
      <c r="G148" s="10"/>
      <c r="H148" s="10"/>
      <c r="I148" s="10"/>
      <c r="J148" s="10">
        <v>1</v>
      </c>
      <c r="L148" t="s">
        <v>1233</v>
      </c>
      <c r="M148">
        <v>1</v>
      </c>
      <c r="U148">
        <v>1</v>
      </c>
      <c r="V148">
        <f t="shared" si="2"/>
        <v>0</v>
      </c>
    </row>
    <row r="149" spans="1:22" x14ac:dyDescent="0.25">
      <c r="A149" s="9" t="s">
        <v>1279</v>
      </c>
      <c r="B149" s="10">
        <v>1</v>
      </c>
      <c r="C149" s="10">
        <v>1</v>
      </c>
      <c r="D149" s="10">
        <v>1</v>
      </c>
      <c r="E149" s="10">
        <v>1</v>
      </c>
      <c r="F149" s="10"/>
      <c r="G149" s="10"/>
      <c r="H149" s="10"/>
      <c r="I149" s="10"/>
      <c r="J149" s="10">
        <v>1</v>
      </c>
      <c r="L149" t="s">
        <v>1279</v>
      </c>
      <c r="M149">
        <v>1</v>
      </c>
      <c r="N149">
        <v>1</v>
      </c>
      <c r="O149">
        <v>1</v>
      </c>
      <c r="P149">
        <v>1</v>
      </c>
      <c r="U149">
        <v>1</v>
      </c>
      <c r="V149">
        <f t="shared" si="2"/>
        <v>1</v>
      </c>
    </row>
    <row r="150" spans="1:22" x14ac:dyDescent="0.25">
      <c r="A150" s="9" t="s">
        <v>87</v>
      </c>
      <c r="B150" s="10">
        <v>1</v>
      </c>
      <c r="C150" s="10">
        <v>1</v>
      </c>
      <c r="D150" s="10">
        <v>1</v>
      </c>
      <c r="E150" s="10"/>
      <c r="F150" s="10"/>
      <c r="G150" s="10"/>
      <c r="H150" s="10"/>
      <c r="I150" s="10"/>
      <c r="J150" s="10">
        <v>1</v>
      </c>
      <c r="L150" t="s">
        <v>87</v>
      </c>
      <c r="M150">
        <v>1</v>
      </c>
      <c r="N150">
        <v>1</v>
      </c>
      <c r="O150">
        <v>1</v>
      </c>
      <c r="U150">
        <v>1</v>
      </c>
      <c r="V150">
        <f t="shared" si="2"/>
        <v>1</v>
      </c>
    </row>
    <row r="151" spans="1:22" x14ac:dyDescent="0.25">
      <c r="A151" s="9" t="s">
        <v>1337</v>
      </c>
      <c r="B151" s="10">
        <v>1</v>
      </c>
      <c r="C151" s="10"/>
      <c r="D151" s="10"/>
      <c r="E151" s="10"/>
      <c r="F151" s="10"/>
      <c r="G151" s="10"/>
      <c r="H151" s="10"/>
      <c r="I151" s="10"/>
      <c r="J151" s="10">
        <v>1</v>
      </c>
      <c r="L151" t="s">
        <v>1337</v>
      </c>
      <c r="M151">
        <v>1</v>
      </c>
      <c r="U151">
        <v>1</v>
      </c>
      <c r="V151">
        <f t="shared" si="2"/>
        <v>0</v>
      </c>
    </row>
    <row r="152" spans="1:22" x14ac:dyDescent="0.25">
      <c r="A152" s="9" t="s">
        <v>1344</v>
      </c>
      <c r="B152" s="10">
        <v>1</v>
      </c>
      <c r="C152" s="10"/>
      <c r="D152" s="10"/>
      <c r="E152" s="10"/>
      <c r="F152" s="10"/>
      <c r="G152" s="10"/>
      <c r="H152" s="10"/>
      <c r="I152" s="10"/>
      <c r="J152" s="10">
        <v>1</v>
      </c>
      <c r="L152" t="s">
        <v>1344</v>
      </c>
      <c r="M152">
        <v>1</v>
      </c>
      <c r="U152">
        <v>1</v>
      </c>
      <c r="V152">
        <f t="shared" si="2"/>
        <v>0</v>
      </c>
    </row>
    <row r="153" spans="1:22" x14ac:dyDescent="0.25">
      <c r="A153" s="9" t="s">
        <v>1240</v>
      </c>
      <c r="B153" s="10">
        <v>1</v>
      </c>
      <c r="C153" s="10">
        <v>1</v>
      </c>
      <c r="D153" s="10">
        <v>1</v>
      </c>
      <c r="E153" s="10">
        <v>1</v>
      </c>
      <c r="F153" s="10"/>
      <c r="G153" s="10"/>
      <c r="H153" s="10"/>
      <c r="I153" s="10"/>
      <c r="J153" s="10">
        <v>1</v>
      </c>
      <c r="L153" t="s">
        <v>1240</v>
      </c>
      <c r="M153">
        <v>1</v>
      </c>
      <c r="N153">
        <v>1</v>
      </c>
      <c r="O153">
        <v>1</v>
      </c>
      <c r="P153">
        <v>1</v>
      </c>
      <c r="U153">
        <v>1</v>
      </c>
      <c r="V153">
        <f t="shared" si="2"/>
        <v>1</v>
      </c>
    </row>
    <row r="154" spans="1:22" x14ac:dyDescent="0.25">
      <c r="A154" s="9" t="s">
        <v>1211</v>
      </c>
      <c r="B154" s="10">
        <v>1</v>
      </c>
      <c r="C154" s="10">
        <v>1</v>
      </c>
      <c r="D154" s="10"/>
      <c r="E154" s="10">
        <v>1</v>
      </c>
      <c r="F154" s="10"/>
      <c r="G154" s="10"/>
      <c r="H154" s="10"/>
      <c r="I154" s="10"/>
      <c r="J154" s="10">
        <v>1</v>
      </c>
      <c r="L154" t="s">
        <v>1211</v>
      </c>
      <c r="M154">
        <v>1</v>
      </c>
      <c r="N154">
        <v>1</v>
      </c>
      <c r="P154">
        <v>1</v>
      </c>
      <c r="U154">
        <v>1</v>
      </c>
      <c r="V154">
        <f t="shared" si="2"/>
        <v>1</v>
      </c>
    </row>
    <row r="155" spans="1:22" x14ac:dyDescent="0.25">
      <c r="A155" s="9" t="s">
        <v>1247</v>
      </c>
      <c r="B155" s="10">
        <v>1</v>
      </c>
      <c r="C155" s="10">
        <v>1</v>
      </c>
      <c r="D155" s="10">
        <v>1</v>
      </c>
      <c r="E155" s="10">
        <v>1</v>
      </c>
      <c r="F155" s="10"/>
      <c r="G155" s="10"/>
      <c r="H155" s="10"/>
      <c r="I155" s="10"/>
      <c r="J155" s="10">
        <v>1</v>
      </c>
      <c r="L155" t="s">
        <v>1247</v>
      </c>
      <c r="M155">
        <v>1</v>
      </c>
      <c r="N155">
        <v>1</v>
      </c>
      <c r="O155">
        <v>1</v>
      </c>
      <c r="P155">
        <v>1</v>
      </c>
      <c r="U155">
        <v>1</v>
      </c>
      <c r="V155">
        <f t="shared" si="2"/>
        <v>1</v>
      </c>
    </row>
    <row r="156" spans="1:22" x14ac:dyDescent="0.25">
      <c r="A156" s="9" t="s">
        <v>1166</v>
      </c>
      <c r="B156" s="10">
        <v>1</v>
      </c>
      <c r="C156" s="10">
        <v>1</v>
      </c>
      <c r="D156" s="10">
        <v>1</v>
      </c>
      <c r="E156" s="10">
        <v>1</v>
      </c>
      <c r="F156" s="10"/>
      <c r="G156" s="10">
        <v>1</v>
      </c>
      <c r="H156" s="10"/>
      <c r="I156" s="10"/>
      <c r="J156" s="10">
        <v>1</v>
      </c>
      <c r="L156" t="s">
        <v>1166</v>
      </c>
      <c r="M156">
        <v>1</v>
      </c>
      <c r="N156">
        <v>1</v>
      </c>
      <c r="O156">
        <v>1</v>
      </c>
      <c r="P156">
        <v>1</v>
      </c>
      <c r="R156">
        <v>1</v>
      </c>
      <c r="U156">
        <v>1</v>
      </c>
      <c r="V156">
        <f t="shared" si="2"/>
        <v>1</v>
      </c>
    </row>
    <row r="157" spans="1:22" x14ac:dyDescent="0.25">
      <c r="A157" s="9" t="s">
        <v>1108</v>
      </c>
      <c r="B157" s="10">
        <v>1</v>
      </c>
      <c r="C157" s="10">
        <v>1</v>
      </c>
      <c r="D157" s="10">
        <v>1</v>
      </c>
      <c r="E157" s="10">
        <v>1</v>
      </c>
      <c r="F157" s="10"/>
      <c r="G157" s="10">
        <v>1</v>
      </c>
      <c r="H157" s="10"/>
      <c r="I157" s="10"/>
      <c r="J157" s="10">
        <v>1</v>
      </c>
      <c r="L157" t="s">
        <v>1108</v>
      </c>
      <c r="M157">
        <v>1</v>
      </c>
      <c r="N157">
        <v>1</v>
      </c>
      <c r="O157">
        <v>1</v>
      </c>
      <c r="P157">
        <v>1</v>
      </c>
      <c r="R157">
        <v>1</v>
      </c>
      <c r="U157">
        <v>1</v>
      </c>
      <c r="V157">
        <f t="shared" si="2"/>
        <v>1</v>
      </c>
    </row>
    <row r="158" spans="1:22" x14ac:dyDescent="0.25">
      <c r="A158" s="9" t="s">
        <v>1099</v>
      </c>
      <c r="B158" s="10">
        <v>1</v>
      </c>
      <c r="C158" s="10">
        <v>1</v>
      </c>
      <c r="D158" s="10">
        <v>1</v>
      </c>
      <c r="E158" s="10">
        <v>1</v>
      </c>
      <c r="F158" s="10"/>
      <c r="G158" s="10">
        <v>1</v>
      </c>
      <c r="H158" s="10"/>
      <c r="I158" s="10"/>
      <c r="J158" s="10">
        <v>1</v>
      </c>
      <c r="L158" t="s">
        <v>1099</v>
      </c>
      <c r="M158">
        <v>1</v>
      </c>
      <c r="N158">
        <v>1</v>
      </c>
      <c r="O158">
        <v>1</v>
      </c>
      <c r="P158">
        <v>1</v>
      </c>
      <c r="R158">
        <v>1</v>
      </c>
      <c r="U158">
        <v>1</v>
      </c>
      <c r="V158">
        <f t="shared" si="2"/>
        <v>1</v>
      </c>
    </row>
    <row r="159" spans="1:22" x14ac:dyDescent="0.25">
      <c r="A159" s="9" t="s">
        <v>1390</v>
      </c>
      <c r="B159" s="10">
        <v>1</v>
      </c>
      <c r="C159" s="10">
        <v>1</v>
      </c>
      <c r="D159" s="10">
        <v>1</v>
      </c>
      <c r="E159" s="10">
        <v>1</v>
      </c>
      <c r="F159" s="10"/>
      <c r="G159" s="10"/>
      <c r="H159" s="10"/>
      <c r="I159" s="10"/>
      <c r="J159" s="10">
        <v>1</v>
      </c>
      <c r="L159" t="s">
        <v>1390</v>
      </c>
      <c r="M159">
        <v>1</v>
      </c>
      <c r="N159">
        <v>1</v>
      </c>
      <c r="O159">
        <v>1</v>
      </c>
      <c r="P159">
        <v>1</v>
      </c>
      <c r="U159">
        <v>1</v>
      </c>
      <c r="V159">
        <f t="shared" si="2"/>
        <v>1</v>
      </c>
    </row>
    <row r="160" spans="1:22" x14ac:dyDescent="0.25">
      <c r="A160" s="9" t="s">
        <v>1382</v>
      </c>
      <c r="B160" s="10">
        <v>1</v>
      </c>
      <c r="C160" s="10">
        <v>1</v>
      </c>
      <c r="D160" s="10">
        <v>1</v>
      </c>
      <c r="E160" s="10">
        <v>1</v>
      </c>
      <c r="F160" s="10"/>
      <c r="G160" s="10"/>
      <c r="H160" s="10"/>
      <c r="I160" s="10"/>
      <c r="J160" s="10">
        <v>1</v>
      </c>
      <c r="L160" t="s">
        <v>1382</v>
      </c>
      <c r="M160">
        <v>1</v>
      </c>
      <c r="N160">
        <v>1</v>
      </c>
      <c r="O160">
        <v>1</v>
      </c>
      <c r="P160">
        <v>1</v>
      </c>
      <c r="U160">
        <v>1</v>
      </c>
      <c r="V160">
        <f t="shared" si="2"/>
        <v>1</v>
      </c>
    </row>
    <row r="161" spans="1:22" x14ac:dyDescent="0.25">
      <c r="A161" s="9" t="s">
        <v>959</v>
      </c>
      <c r="B161" s="10">
        <v>1</v>
      </c>
      <c r="C161" s="10"/>
      <c r="D161" s="10"/>
      <c r="E161" s="10"/>
      <c r="F161" s="10"/>
      <c r="G161" s="10"/>
      <c r="H161" s="10"/>
      <c r="I161" s="10"/>
      <c r="J161" s="10">
        <v>1</v>
      </c>
      <c r="L161" t="s">
        <v>959</v>
      </c>
      <c r="M161">
        <v>1</v>
      </c>
      <c r="U161">
        <v>1</v>
      </c>
      <c r="V161">
        <f t="shared" si="2"/>
        <v>0</v>
      </c>
    </row>
    <row r="162" spans="1:22" x14ac:dyDescent="0.25">
      <c r="A162" s="9" t="s">
        <v>952</v>
      </c>
      <c r="B162" s="10">
        <v>1</v>
      </c>
      <c r="C162" s="10">
        <v>1</v>
      </c>
      <c r="D162" s="10"/>
      <c r="E162" s="10"/>
      <c r="F162" s="10"/>
      <c r="G162" s="10"/>
      <c r="H162" s="10"/>
      <c r="I162" s="10"/>
      <c r="J162" s="10">
        <v>1</v>
      </c>
      <c r="L162" t="s">
        <v>952</v>
      </c>
      <c r="M162">
        <v>1</v>
      </c>
      <c r="N162">
        <v>1</v>
      </c>
      <c r="U162">
        <v>1</v>
      </c>
      <c r="V162">
        <f t="shared" si="2"/>
        <v>1</v>
      </c>
    </row>
    <row r="163" spans="1:22" x14ac:dyDescent="0.25">
      <c r="A163" s="9" t="s">
        <v>895</v>
      </c>
      <c r="B163" s="10">
        <v>1</v>
      </c>
      <c r="C163" s="10">
        <v>1</v>
      </c>
      <c r="D163" s="10"/>
      <c r="E163" s="10"/>
      <c r="F163" s="10"/>
      <c r="G163" s="10"/>
      <c r="H163" s="10"/>
      <c r="I163" s="10"/>
      <c r="J163" s="10">
        <v>1</v>
      </c>
      <c r="L163" t="s">
        <v>895</v>
      </c>
      <c r="M163">
        <v>1</v>
      </c>
      <c r="N163">
        <v>1</v>
      </c>
      <c r="U163">
        <v>1</v>
      </c>
      <c r="V163">
        <f t="shared" si="2"/>
        <v>1</v>
      </c>
    </row>
    <row r="164" spans="1:22" x14ac:dyDescent="0.25">
      <c r="A164" s="9" t="s">
        <v>1307</v>
      </c>
      <c r="B164" s="10">
        <v>1</v>
      </c>
      <c r="C164" s="10">
        <v>1</v>
      </c>
      <c r="D164" s="10"/>
      <c r="E164" s="10"/>
      <c r="F164" s="10"/>
      <c r="G164" s="10"/>
      <c r="H164" s="10"/>
      <c r="I164" s="10"/>
      <c r="J164" s="10">
        <v>1</v>
      </c>
      <c r="L164" t="s">
        <v>1307</v>
      </c>
      <c r="M164">
        <v>1</v>
      </c>
      <c r="N164">
        <v>1</v>
      </c>
      <c r="U164">
        <v>1</v>
      </c>
      <c r="V164">
        <f t="shared" si="2"/>
        <v>1</v>
      </c>
    </row>
    <row r="165" spans="1:22" x14ac:dyDescent="0.25">
      <c r="A165" s="9" t="s">
        <v>1302</v>
      </c>
      <c r="B165" s="10">
        <v>1</v>
      </c>
      <c r="C165" s="10">
        <v>1</v>
      </c>
      <c r="D165" s="10"/>
      <c r="E165" s="10"/>
      <c r="F165" s="10"/>
      <c r="G165" s="10"/>
      <c r="H165" s="10"/>
      <c r="I165" s="10"/>
      <c r="J165" s="10">
        <v>1</v>
      </c>
      <c r="L165" t="s">
        <v>1302</v>
      </c>
      <c r="M165">
        <v>1</v>
      </c>
      <c r="N165">
        <v>1</v>
      </c>
      <c r="U165">
        <v>1</v>
      </c>
      <c r="V165">
        <f t="shared" si="2"/>
        <v>1</v>
      </c>
    </row>
    <row r="166" spans="1:22" x14ac:dyDescent="0.25">
      <c r="A166" s="9" t="s">
        <v>1286</v>
      </c>
      <c r="B166" s="10">
        <v>1</v>
      </c>
      <c r="C166" s="10"/>
      <c r="D166" s="10"/>
      <c r="E166" s="10"/>
      <c r="F166" s="10"/>
      <c r="G166" s="10"/>
      <c r="H166" s="10"/>
      <c r="I166" s="10"/>
      <c r="J166" s="10">
        <v>1</v>
      </c>
      <c r="L166" t="s">
        <v>1286</v>
      </c>
      <c r="M166">
        <v>1</v>
      </c>
      <c r="U166">
        <v>1</v>
      </c>
      <c r="V166">
        <f t="shared" si="2"/>
        <v>0</v>
      </c>
    </row>
    <row r="167" spans="1:22" x14ac:dyDescent="0.25">
      <c r="A167" s="9" t="s">
        <v>1227</v>
      </c>
      <c r="B167" s="10">
        <v>1</v>
      </c>
      <c r="C167" s="10">
        <v>1</v>
      </c>
      <c r="D167" s="10">
        <v>1</v>
      </c>
      <c r="E167" s="10">
        <v>1</v>
      </c>
      <c r="F167" s="10"/>
      <c r="G167" s="10">
        <v>1</v>
      </c>
      <c r="H167" s="10"/>
      <c r="I167" s="10"/>
      <c r="J167" s="10">
        <v>1</v>
      </c>
      <c r="L167" t="s">
        <v>1227</v>
      </c>
      <c r="M167">
        <v>1</v>
      </c>
      <c r="N167">
        <v>1</v>
      </c>
      <c r="O167">
        <v>1</v>
      </c>
      <c r="P167">
        <v>1</v>
      </c>
      <c r="R167">
        <v>1</v>
      </c>
      <c r="U167">
        <v>1</v>
      </c>
      <c r="V167">
        <f t="shared" si="2"/>
        <v>1</v>
      </c>
    </row>
    <row r="168" spans="1:22" x14ac:dyDescent="0.25">
      <c r="A168" s="9" t="s">
        <v>1006</v>
      </c>
      <c r="B168" s="10">
        <v>1</v>
      </c>
      <c r="C168" s="10">
        <v>1</v>
      </c>
      <c r="D168" s="10"/>
      <c r="E168" s="10">
        <v>1</v>
      </c>
      <c r="F168" s="10"/>
      <c r="G168" s="10"/>
      <c r="H168" s="10"/>
      <c r="I168" s="10"/>
      <c r="J168" s="10">
        <v>1</v>
      </c>
      <c r="L168" t="s">
        <v>1006</v>
      </c>
      <c r="M168">
        <v>1</v>
      </c>
      <c r="N168">
        <v>1</v>
      </c>
      <c r="P168">
        <v>1</v>
      </c>
      <c r="U168">
        <v>1</v>
      </c>
      <c r="V168">
        <f t="shared" si="2"/>
        <v>1</v>
      </c>
    </row>
    <row r="169" spans="1:22" x14ac:dyDescent="0.25">
      <c r="A169" s="9" t="s">
        <v>1358</v>
      </c>
      <c r="B169" s="10">
        <v>1</v>
      </c>
      <c r="C169" s="10">
        <v>1</v>
      </c>
      <c r="D169" s="10">
        <v>1</v>
      </c>
      <c r="E169" s="10">
        <v>1</v>
      </c>
      <c r="F169" s="10">
        <v>1</v>
      </c>
      <c r="G169" s="10"/>
      <c r="H169" s="10"/>
      <c r="I169" s="10"/>
      <c r="J169" s="10">
        <v>1</v>
      </c>
      <c r="L169" t="s">
        <v>1358</v>
      </c>
      <c r="M169">
        <v>1</v>
      </c>
      <c r="N169">
        <v>1</v>
      </c>
      <c r="O169">
        <v>1</v>
      </c>
      <c r="P169">
        <v>1</v>
      </c>
      <c r="Q169">
        <v>1</v>
      </c>
      <c r="U169">
        <v>1</v>
      </c>
      <c r="V169">
        <f t="shared" si="2"/>
        <v>1</v>
      </c>
    </row>
    <row r="170" spans="1:22" x14ac:dyDescent="0.25">
      <c r="A170" s="9" t="s">
        <v>1367</v>
      </c>
      <c r="B170" s="10">
        <v>1</v>
      </c>
      <c r="C170" s="10">
        <v>1</v>
      </c>
      <c r="D170" s="10">
        <v>1</v>
      </c>
      <c r="E170" s="10">
        <v>1</v>
      </c>
      <c r="F170" s="10">
        <v>1</v>
      </c>
      <c r="G170" s="10"/>
      <c r="H170" s="10"/>
      <c r="I170" s="10"/>
      <c r="J170" s="10">
        <v>1</v>
      </c>
      <c r="L170" t="s">
        <v>1367</v>
      </c>
      <c r="M170">
        <v>1</v>
      </c>
      <c r="N170">
        <v>1</v>
      </c>
      <c r="O170">
        <v>1</v>
      </c>
      <c r="P170">
        <v>1</v>
      </c>
      <c r="Q170">
        <v>1</v>
      </c>
      <c r="U170">
        <v>1</v>
      </c>
      <c r="V170">
        <f t="shared" si="2"/>
        <v>1</v>
      </c>
    </row>
    <row r="171" spans="1:22" x14ac:dyDescent="0.25">
      <c r="A171" s="9" t="s">
        <v>705</v>
      </c>
      <c r="B171" s="10"/>
      <c r="C171" s="10"/>
      <c r="D171" s="10"/>
      <c r="E171" s="10"/>
      <c r="F171" s="10"/>
      <c r="G171" s="10"/>
      <c r="H171" s="10">
        <v>1</v>
      </c>
      <c r="I171" s="10"/>
      <c r="J171" s="10">
        <v>1</v>
      </c>
      <c r="L171" t="s">
        <v>705</v>
      </c>
      <c r="S171">
        <v>1</v>
      </c>
      <c r="U171">
        <v>1</v>
      </c>
      <c r="V171">
        <f t="shared" si="2"/>
        <v>0.8</v>
      </c>
    </row>
    <row r="172" spans="1:22" x14ac:dyDescent="0.25">
      <c r="A172" s="9" t="s">
        <v>971</v>
      </c>
      <c r="B172" s="10">
        <v>1</v>
      </c>
      <c r="C172" s="10">
        <v>1</v>
      </c>
      <c r="D172" s="10">
        <v>1</v>
      </c>
      <c r="E172" s="10"/>
      <c r="F172" s="10"/>
      <c r="G172" s="10"/>
      <c r="H172" s="10"/>
      <c r="I172" s="10"/>
      <c r="J172" s="10">
        <v>1</v>
      </c>
      <c r="L172" t="s">
        <v>971</v>
      </c>
      <c r="M172">
        <v>1</v>
      </c>
      <c r="N172">
        <v>1</v>
      </c>
      <c r="O172">
        <v>1</v>
      </c>
      <c r="U172">
        <v>1</v>
      </c>
      <c r="V172">
        <f t="shared" si="2"/>
        <v>1</v>
      </c>
    </row>
    <row r="173" spans="1:22" x14ac:dyDescent="0.25">
      <c r="A173" s="9" t="s">
        <v>911</v>
      </c>
      <c r="B173" s="10">
        <v>1</v>
      </c>
      <c r="C173" s="10"/>
      <c r="D173" s="10">
        <v>1</v>
      </c>
      <c r="E173" s="10"/>
      <c r="F173" s="10"/>
      <c r="G173" s="10"/>
      <c r="H173" s="10"/>
      <c r="I173" s="10"/>
      <c r="J173" s="10">
        <v>1</v>
      </c>
      <c r="L173" t="s">
        <v>911</v>
      </c>
      <c r="M173">
        <v>1</v>
      </c>
      <c r="O173">
        <v>1</v>
      </c>
      <c r="U173">
        <v>1</v>
      </c>
      <c r="V173">
        <f t="shared" si="2"/>
        <v>1</v>
      </c>
    </row>
    <row r="174" spans="1:22" x14ac:dyDescent="0.25">
      <c r="A174" s="9" t="s">
        <v>60</v>
      </c>
      <c r="B174" s="10">
        <v>1</v>
      </c>
      <c r="C174" s="10"/>
      <c r="D174" s="10">
        <v>1</v>
      </c>
      <c r="E174" s="10"/>
      <c r="F174" s="10"/>
      <c r="G174" s="10"/>
      <c r="H174" s="10"/>
      <c r="I174" s="10"/>
      <c r="J174" s="10">
        <v>1</v>
      </c>
      <c r="L174" t="s">
        <v>60</v>
      </c>
      <c r="M174">
        <v>1</v>
      </c>
      <c r="O174">
        <v>1</v>
      </c>
      <c r="U174">
        <v>1</v>
      </c>
      <c r="V174">
        <f t="shared" si="2"/>
        <v>1</v>
      </c>
    </row>
    <row r="175" spans="1:22" x14ac:dyDescent="0.25">
      <c r="A175" s="9" t="s">
        <v>1076</v>
      </c>
      <c r="B175" s="10"/>
      <c r="C175" s="10"/>
      <c r="D175" s="10">
        <v>1</v>
      </c>
      <c r="E175" s="10"/>
      <c r="F175" s="10"/>
      <c r="G175" s="10"/>
      <c r="H175" s="10"/>
      <c r="I175" s="10"/>
      <c r="J175" s="10">
        <v>1</v>
      </c>
      <c r="L175" t="s">
        <v>1076</v>
      </c>
      <c r="O175">
        <v>1</v>
      </c>
      <c r="U175">
        <v>1</v>
      </c>
      <c r="V175">
        <f t="shared" si="2"/>
        <v>1</v>
      </c>
    </row>
    <row r="176" spans="1:22" x14ac:dyDescent="0.25">
      <c r="A176" s="9" t="s">
        <v>1034</v>
      </c>
      <c r="B176" s="10"/>
      <c r="C176" s="10"/>
      <c r="D176" s="10">
        <v>1</v>
      </c>
      <c r="E176" s="10"/>
      <c r="F176" s="10"/>
      <c r="G176" s="10"/>
      <c r="H176" s="10"/>
      <c r="I176" s="10"/>
      <c r="J176" s="10">
        <v>1</v>
      </c>
      <c r="L176" t="s">
        <v>1034</v>
      </c>
      <c r="O176">
        <v>1</v>
      </c>
      <c r="U176">
        <v>1</v>
      </c>
      <c r="V176">
        <f t="shared" si="2"/>
        <v>1</v>
      </c>
    </row>
    <row r="177" spans="1:22" x14ac:dyDescent="0.25">
      <c r="A177" s="9" t="s">
        <v>1038</v>
      </c>
      <c r="B177" s="10"/>
      <c r="C177" s="10"/>
      <c r="D177" s="10">
        <v>1</v>
      </c>
      <c r="E177" s="10"/>
      <c r="F177" s="10"/>
      <c r="G177" s="10"/>
      <c r="H177" s="10"/>
      <c r="I177" s="10"/>
      <c r="J177" s="10">
        <v>1</v>
      </c>
      <c r="L177" t="s">
        <v>1038</v>
      </c>
      <c r="O177">
        <v>1</v>
      </c>
      <c r="U177">
        <v>1</v>
      </c>
      <c r="V177">
        <f t="shared" si="2"/>
        <v>1</v>
      </c>
    </row>
    <row r="178" spans="1:22" x14ac:dyDescent="0.25">
      <c r="A178" s="9" t="s">
        <v>1018</v>
      </c>
      <c r="B178" s="10"/>
      <c r="C178" s="10"/>
      <c r="D178" s="10">
        <v>1</v>
      </c>
      <c r="E178" s="10"/>
      <c r="F178" s="10"/>
      <c r="G178" s="10"/>
      <c r="H178" s="10"/>
      <c r="I178" s="10"/>
      <c r="J178" s="10">
        <v>1</v>
      </c>
      <c r="L178" t="s">
        <v>1018</v>
      </c>
      <c r="O178">
        <v>1</v>
      </c>
      <c r="U178">
        <v>1</v>
      </c>
      <c r="V178">
        <f t="shared" si="2"/>
        <v>1</v>
      </c>
    </row>
    <row r="179" spans="1:22" x14ac:dyDescent="0.25">
      <c r="A179" s="9" t="s">
        <v>1001</v>
      </c>
      <c r="B179" s="10"/>
      <c r="C179" s="10"/>
      <c r="D179" s="10">
        <v>1</v>
      </c>
      <c r="E179" s="10"/>
      <c r="F179" s="10"/>
      <c r="G179" s="10"/>
      <c r="H179" s="10"/>
      <c r="I179" s="10"/>
      <c r="J179" s="10">
        <v>1</v>
      </c>
      <c r="L179" t="s">
        <v>1001</v>
      </c>
      <c r="O179">
        <v>1</v>
      </c>
      <c r="U179">
        <v>1</v>
      </c>
      <c r="V179">
        <f t="shared" si="2"/>
        <v>1</v>
      </c>
    </row>
    <row r="180" spans="1:22" x14ac:dyDescent="0.25">
      <c r="A180" s="9" t="s">
        <v>990</v>
      </c>
      <c r="B180" s="10"/>
      <c r="C180" s="10"/>
      <c r="D180" s="10">
        <v>1</v>
      </c>
      <c r="E180" s="10"/>
      <c r="F180" s="10"/>
      <c r="G180" s="10"/>
      <c r="H180" s="10"/>
      <c r="I180" s="10"/>
      <c r="J180" s="10">
        <v>1</v>
      </c>
      <c r="L180" t="s">
        <v>990</v>
      </c>
      <c r="O180">
        <v>1</v>
      </c>
      <c r="U180">
        <v>1</v>
      </c>
      <c r="V180">
        <f t="shared" si="2"/>
        <v>1</v>
      </c>
    </row>
    <row r="181" spans="1:22" x14ac:dyDescent="0.25">
      <c r="A181" s="9" t="s">
        <v>980</v>
      </c>
      <c r="B181" s="10"/>
      <c r="C181" s="10"/>
      <c r="D181" s="10">
        <v>1</v>
      </c>
      <c r="E181" s="10"/>
      <c r="F181" s="10"/>
      <c r="G181" s="10"/>
      <c r="H181" s="10"/>
      <c r="I181" s="10"/>
      <c r="J181" s="10">
        <v>1</v>
      </c>
      <c r="L181" t="s">
        <v>980</v>
      </c>
      <c r="O181">
        <v>1</v>
      </c>
      <c r="U181">
        <v>1</v>
      </c>
      <c r="V181">
        <f t="shared" si="2"/>
        <v>1</v>
      </c>
    </row>
    <row r="182" spans="1:22" x14ac:dyDescent="0.25">
      <c r="A182" s="9" t="s">
        <v>976</v>
      </c>
      <c r="B182" s="10"/>
      <c r="C182" s="10"/>
      <c r="D182" s="10">
        <v>1</v>
      </c>
      <c r="E182" s="10"/>
      <c r="F182" s="10"/>
      <c r="G182" s="10"/>
      <c r="H182" s="10"/>
      <c r="I182" s="10"/>
      <c r="J182" s="10">
        <v>1</v>
      </c>
      <c r="L182" t="s">
        <v>976</v>
      </c>
      <c r="O182">
        <v>1</v>
      </c>
      <c r="U182">
        <v>1</v>
      </c>
      <c r="V182">
        <f t="shared" si="2"/>
        <v>1</v>
      </c>
    </row>
    <row r="183" spans="1:22" x14ac:dyDescent="0.25">
      <c r="A183" s="9" t="s">
        <v>965</v>
      </c>
      <c r="B183" s="10"/>
      <c r="C183" s="10"/>
      <c r="D183" s="10">
        <v>1</v>
      </c>
      <c r="E183" s="10"/>
      <c r="F183" s="10"/>
      <c r="G183" s="10"/>
      <c r="H183" s="10"/>
      <c r="I183" s="10"/>
      <c r="J183" s="10">
        <v>1</v>
      </c>
      <c r="L183" t="s">
        <v>965</v>
      </c>
      <c r="O183">
        <v>1</v>
      </c>
      <c r="U183">
        <v>1</v>
      </c>
      <c r="V183">
        <f t="shared" si="2"/>
        <v>1</v>
      </c>
    </row>
    <row r="184" spans="1:22" x14ac:dyDescent="0.25">
      <c r="A184" s="9" t="s">
        <v>50</v>
      </c>
      <c r="B184" s="10"/>
      <c r="C184" s="10"/>
      <c r="D184" s="10">
        <v>1</v>
      </c>
      <c r="E184" s="10"/>
      <c r="F184" s="10"/>
      <c r="G184" s="10"/>
      <c r="H184" s="10"/>
      <c r="I184" s="10"/>
      <c r="J184" s="10">
        <v>1</v>
      </c>
      <c r="L184" t="s">
        <v>50</v>
      </c>
      <c r="O184">
        <v>1</v>
      </c>
      <c r="U184">
        <v>1</v>
      </c>
      <c r="V184">
        <f t="shared" si="2"/>
        <v>1</v>
      </c>
    </row>
    <row r="185" spans="1:22" x14ac:dyDescent="0.25">
      <c r="A185" s="9" t="s">
        <v>867</v>
      </c>
      <c r="B185" s="10"/>
      <c r="C185" s="10"/>
      <c r="D185" s="10">
        <v>1</v>
      </c>
      <c r="E185" s="10"/>
      <c r="F185" s="10"/>
      <c r="G185" s="10"/>
      <c r="H185" s="10"/>
      <c r="I185" s="10"/>
      <c r="J185" s="10">
        <v>1</v>
      </c>
      <c r="L185" t="s">
        <v>867</v>
      </c>
      <c r="O185">
        <v>1</v>
      </c>
      <c r="U185">
        <v>1</v>
      </c>
      <c r="V185">
        <f t="shared" si="2"/>
        <v>1</v>
      </c>
    </row>
    <row r="186" spans="1:22" x14ac:dyDescent="0.25">
      <c r="A186" s="9" t="s">
        <v>110</v>
      </c>
      <c r="B186" s="10"/>
      <c r="C186" s="10"/>
      <c r="D186" s="10">
        <v>1</v>
      </c>
      <c r="E186" s="10"/>
      <c r="F186" s="10"/>
      <c r="G186" s="10"/>
      <c r="H186" s="10"/>
      <c r="I186" s="10"/>
      <c r="J186" s="10">
        <v>1</v>
      </c>
      <c r="L186" t="s">
        <v>110</v>
      </c>
      <c r="O186">
        <v>1</v>
      </c>
      <c r="U186">
        <v>1</v>
      </c>
      <c r="V186">
        <f t="shared" si="2"/>
        <v>1</v>
      </c>
    </row>
    <row r="187" spans="1:22" x14ac:dyDescent="0.25">
      <c r="A187" s="9" t="s">
        <v>648</v>
      </c>
      <c r="B187" s="10">
        <v>1</v>
      </c>
      <c r="C187" s="10">
        <v>1</v>
      </c>
      <c r="D187" s="10">
        <v>1</v>
      </c>
      <c r="E187" s="10"/>
      <c r="F187" s="10"/>
      <c r="G187" s="10"/>
      <c r="H187" s="10"/>
      <c r="I187" s="10"/>
      <c r="J187" s="10">
        <v>1</v>
      </c>
      <c r="L187" t="s">
        <v>648</v>
      </c>
      <c r="M187">
        <v>1</v>
      </c>
      <c r="N187">
        <v>1</v>
      </c>
      <c r="O187">
        <v>1</v>
      </c>
      <c r="U187">
        <v>1</v>
      </c>
      <c r="V187">
        <f t="shared" si="2"/>
        <v>1</v>
      </c>
    </row>
    <row r="188" spans="1:22" x14ac:dyDescent="0.25">
      <c r="A188" s="9" t="s">
        <v>629</v>
      </c>
      <c r="B188" s="10">
        <v>1</v>
      </c>
      <c r="C188" s="10"/>
      <c r="D188" s="10">
        <v>1</v>
      </c>
      <c r="E188" s="10"/>
      <c r="F188" s="10"/>
      <c r="G188" s="10"/>
      <c r="H188" s="10"/>
      <c r="I188" s="10"/>
      <c r="J188" s="10">
        <v>1</v>
      </c>
      <c r="L188" t="s">
        <v>629</v>
      </c>
      <c r="M188">
        <v>1</v>
      </c>
      <c r="O188">
        <v>1</v>
      </c>
      <c r="U188">
        <v>1</v>
      </c>
      <c r="V188">
        <f t="shared" si="2"/>
        <v>1</v>
      </c>
    </row>
    <row r="189" spans="1:22" x14ac:dyDescent="0.25">
      <c r="A189" s="9" t="s">
        <v>106</v>
      </c>
      <c r="B189" s="10"/>
      <c r="C189" s="10"/>
      <c r="D189" s="10">
        <v>1</v>
      </c>
      <c r="E189" s="10"/>
      <c r="F189" s="10"/>
      <c r="G189" s="10"/>
      <c r="H189" s="10"/>
      <c r="I189" s="10"/>
      <c r="J189" s="10">
        <v>1</v>
      </c>
      <c r="L189" t="s">
        <v>106</v>
      </c>
      <c r="O189">
        <v>1</v>
      </c>
      <c r="U189">
        <v>1</v>
      </c>
      <c r="V189">
        <f t="shared" si="2"/>
        <v>1</v>
      </c>
    </row>
    <row r="190" spans="1:22" x14ac:dyDescent="0.25">
      <c r="A190" s="9" t="s">
        <v>554</v>
      </c>
      <c r="B190" s="10">
        <v>1</v>
      </c>
      <c r="C190" s="10"/>
      <c r="D190" s="10">
        <v>1</v>
      </c>
      <c r="E190" s="10"/>
      <c r="F190" s="10"/>
      <c r="G190" s="10"/>
      <c r="H190" s="10"/>
      <c r="I190" s="10"/>
      <c r="J190" s="10">
        <v>1</v>
      </c>
      <c r="L190" t="s">
        <v>554</v>
      </c>
      <c r="M190">
        <v>1</v>
      </c>
      <c r="O190">
        <v>1</v>
      </c>
      <c r="U190">
        <v>1</v>
      </c>
      <c r="V190">
        <f t="shared" si="2"/>
        <v>1</v>
      </c>
    </row>
    <row r="191" spans="1:22" x14ac:dyDescent="0.25">
      <c r="A191" s="9" t="s">
        <v>100</v>
      </c>
      <c r="B191" s="10">
        <v>1</v>
      </c>
      <c r="C191" s="10"/>
      <c r="D191" s="10">
        <v>1</v>
      </c>
      <c r="E191" s="10"/>
      <c r="F191" s="10"/>
      <c r="G191" s="10"/>
      <c r="H191" s="10"/>
      <c r="I191" s="10"/>
      <c r="J191" s="10">
        <v>1</v>
      </c>
      <c r="L191" t="s">
        <v>100</v>
      </c>
      <c r="M191">
        <v>1</v>
      </c>
      <c r="O191">
        <v>1</v>
      </c>
      <c r="U191">
        <v>1</v>
      </c>
      <c r="V191">
        <f t="shared" si="2"/>
        <v>1</v>
      </c>
    </row>
    <row r="192" spans="1:22" x14ac:dyDescent="0.25">
      <c r="A192" s="9" t="s">
        <v>519</v>
      </c>
      <c r="B192" s="10"/>
      <c r="C192" s="10"/>
      <c r="D192" s="10">
        <v>1</v>
      </c>
      <c r="E192" s="10"/>
      <c r="F192" s="10"/>
      <c r="G192" s="10"/>
      <c r="H192" s="10"/>
      <c r="I192" s="10"/>
      <c r="J192" s="10">
        <v>1</v>
      </c>
      <c r="L192" t="s">
        <v>519</v>
      </c>
      <c r="O192">
        <v>1</v>
      </c>
      <c r="U192">
        <v>1</v>
      </c>
      <c r="V192">
        <f t="shared" si="2"/>
        <v>1</v>
      </c>
    </row>
    <row r="193" spans="1:22" x14ac:dyDescent="0.25">
      <c r="A193" s="9" t="s">
        <v>426</v>
      </c>
      <c r="B193" s="10"/>
      <c r="C193" s="10"/>
      <c r="D193" s="10">
        <v>1</v>
      </c>
      <c r="E193" s="10"/>
      <c r="F193" s="10"/>
      <c r="G193" s="10"/>
      <c r="H193" s="10"/>
      <c r="I193" s="10"/>
      <c r="J193" s="10">
        <v>1</v>
      </c>
      <c r="L193" t="s">
        <v>426</v>
      </c>
      <c r="O193">
        <v>1</v>
      </c>
      <c r="U193">
        <v>1</v>
      </c>
      <c r="V193">
        <f t="shared" si="2"/>
        <v>1</v>
      </c>
    </row>
    <row r="194" spans="1:22" x14ac:dyDescent="0.25">
      <c r="A194" s="9" t="s">
        <v>93</v>
      </c>
      <c r="B194" s="10"/>
      <c r="C194" s="10"/>
      <c r="D194" s="10">
        <v>1</v>
      </c>
      <c r="E194" s="10"/>
      <c r="F194" s="10"/>
      <c r="G194" s="10"/>
      <c r="H194" s="10"/>
      <c r="I194" s="10"/>
      <c r="J194" s="10">
        <v>1</v>
      </c>
      <c r="L194" t="s">
        <v>93</v>
      </c>
      <c r="O194">
        <v>1</v>
      </c>
      <c r="U194">
        <v>1</v>
      </c>
      <c r="V194">
        <f t="shared" si="2"/>
        <v>1</v>
      </c>
    </row>
    <row r="195" spans="1:22" x14ac:dyDescent="0.25">
      <c r="A195" s="9" t="s">
        <v>150</v>
      </c>
      <c r="B195" s="10"/>
      <c r="C195" s="10"/>
      <c r="D195" s="10">
        <v>1</v>
      </c>
      <c r="E195" s="10"/>
      <c r="F195" s="10"/>
      <c r="G195" s="10"/>
      <c r="H195" s="10"/>
      <c r="I195" s="10"/>
      <c r="J195" s="10">
        <v>1</v>
      </c>
      <c r="L195" t="s">
        <v>150</v>
      </c>
      <c r="O195">
        <v>1</v>
      </c>
      <c r="U195">
        <v>1</v>
      </c>
      <c r="V195">
        <f t="shared" si="2"/>
        <v>1</v>
      </c>
    </row>
    <row r="196" spans="1:22" x14ac:dyDescent="0.25">
      <c r="A196" s="9" t="s">
        <v>127</v>
      </c>
      <c r="B196" s="10"/>
      <c r="C196" s="10"/>
      <c r="D196" s="10">
        <v>1</v>
      </c>
      <c r="E196" s="10"/>
      <c r="F196" s="10"/>
      <c r="G196" s="10"/>
      <c r="H196" s="10"/>
      <c r="I196" s="10"/>
      <c r="J196" s="10">
        <v>1</v>
      </c>
      <c r="L196" t="s">
        <v>127</v>
      </c>
      <c r="O196">
        <v>1</v>
      </c>
      <c r="U196">
        <v>1</v>
      </c>
      <c r="V196">
        <f t="shared" si="2"/>
        <v>1</v>
      </c>
    </row>
    <row r="197" spans="1:22" x14ac:dyDescent="0.25">
      <c r="A197" s="9" t="s">
        <v>1055</v>
      </c>
      <c r="B197" s="10">
        <v>1</v>
      </c>
      <c r="C197" s="10"/>
      <c r="D197" s="10">
        <v>1</v>
      </c>
      <c r="E197" s="10"/>
      <c r="F197" s="10"/>
      <c r="G197" s="10"/>
      <c r="H197" s="10"/>
      <c r="I197" s="10"/>
      <c r="J197" s="10">
        <v>1</v>
      </c>
      <c r="L197" t="s">
        <v>1055</v>
      </c>
      <c r="M197">
        <v>1</v>
      </c>
      <c r="O197">
        <v>1</v>
      </c>
      <c r="U197">
        <v>1</v>
      </c>
      <c r="V197">
        <f t="shared" si="2"/>
        <v>1</v>
      </c>
    </row>
    <row r="198" spans="1:22" x14ac:dyDescent="0.25">
      <c r="A198" s="9" t="s">
        <v>11</v>
      </c>
      <c r="B198" s="10">
        <v>1</v>
      </c>
      <c r="C198" s="10"/>
      <c r="D198" s="10"/>
      <c r="E198" s="10"/>
      <c r="F198" s="10"/>
      <c r="G198" s="10"/>
      <c r="H198" s="10"/>
      <c r="I198" s="10"/>
      <c r="J198" s="10">
        <v>1</v>
      </c>
      <c r="L198" t="s">
        <v>11</v>
      </c>
      <c r="M198">
        <v>1</v>
      </c>
      <c r="U198">
        <v>1</v>
      </c>
      <c r="V198">
        <f t="shared" ref="V198:V261" si="3">IF(N198=1,1,IF(O198=1,1,IF(S198=1,0.8,0)))</f>
        <v>0</v>
      </c>
    </row>
    <row r="199" spans="1:22" x14ac:dyDescent="0.25">
      <c r="A199" s="9" t="s">
        <v>1374</v>
      </c>
      <c r="B199" s="10">
        <v>1</v>
      </c>
      <c r="C199" s="10">
        <v>1</v>
      </c>
      <c r="D199" s="10"/>
      <c r="E199" s="10">
        <v>1</v>
      </c>
      <c r="F199" s="10"/>
      <c r="G199" s="10"/>
      <c r="H199" s="10"/>
      <c r="I199" s="10"/>
      <c r="J199" s="10">
        <v>1</v>
      </c>
      <c r="L199" t="s">
        <v>1374</v>
      </c>
      <c r="M199">
        <v>1</v>
      </c>
      <c r="N199">
        <v>1</v>
      </c>
      <c r="P199">
        <v>1</v>
      </c>
      <c r="U199">
        <v>1</v>
      </c>
      <c r="V199">
        <f t="shared" si="3"/>
        <v>1</v>
      </c>
    </row>
    <row r="200" spans="1:22" x14ac:dyDescent="0.25">
      <c r="A200" s="9" t="s">
        <v>1349</v>
      </c>
      <c r="B200" s="10">
        <v>1</v>
      </c>
      <c r="C200" s="10"/>
      <c r="D200" s="10"/>
      <c r="E200" s="10"/>
      <c r="F200" s="10"/>
      <c r="G200" s="10"/>
      <c r="H200" s="10"/>
      <c r="I200" s="10"/>
      <c r="J200" s="10">
        <v>1</v>
      </c>
      <c r="L200" t="s">
        <v>1349</v>
      </c>
      <c r="M200">
        <v>1</v>
      </c>
      <c r="U200">
        <v>1</v>
      </c>
      <c r="V200">
        <f t="shared" si="3"/>
        <v>0</v>
      </c>
    </row>
    <row r="201" spans="1:22" x14ac:dyDescent="0.25">
      <c r="A201" s="9" t="s">
        <v>1310</v>
      </c>
      <c r="B201" s="10">
        <v>1</v>
      </c>
      <c r="C201" s="10"/>
      <c r="D201" s="10"/>
      <c r="E201" s="10"/>
      <c r="F201" s="10"/>
      <c r="G201" s="10"/>
      <c r="H201" s="10"/>
      <c r="I201" s="10"/>
      <c r="J201" s="10">
        <v>1</v>
      </c>
      <c r="L201" t="s">
        <v>1310</v>
      </c>
      <c r="M201">
        <v>1</v>
      </c>
      <c r="U201">
        <v>1</v>
      </c>
      <c r="V201">
        <f t="shared" si="3"/>
        <v>0</v>
      </c>
    </row>
    <row r="202" spans="1:22" x14ac:dyDescent="0.25">
      <c r="A202" s="9" t="s">
        <v>1316</v>
      </c>
      <c r="B202" s="10">
        <v>1</v>
      </c>
      <c r="C202" s="10"/>
      <c r="D202" s="10"/>
      <c r="E202" s="10"/>
      <c r="F202" s="10"/>
      <c r="G202" s="10"/>
      <c r="H202" s="10"/>
      <c r="I202" s="10"/>
      <c r="J202" s="10">
        <v>1</v>
      </c>
      <c r="L202" t="s">
        <v>1316</v>
      </c>
      <c r="M202">
        <v>1</v>
      </c>
      <c r="U202">
        <v>1</v>
      </c>
      <c r="V202">
        <f t="shared" si="3"/>
        <v>0</v>
      </c>
    </row>
    <row r="203" spans="1:22" x14ac:dyDescent="0.25">
      <c r="A203" s="9" t="s">
        <v>19</v>
      </c>
      <c r="B203" s="10">
        <v>1</v>
      </c>
      <c r="C203" s="10"/>
      <c r="D203" s="10"/>
      <c r="E203" s="10"/>
      <c r="F203" s="10"/>
      <c r="G203" s="10"/>
      <c r="H203" s="10"/>
      <c r="I203" s="10"/>
      <c r="J203" s="10">
        <v>1</v>
      </c>
      <c r="L203" t="s">
        <v>19</v>
      </c>
      <c r="M203">
        <v>1</v>
      </c>
      <c r="U203">
        <v>1</v>
      </c>
      <c r="V203">
        <f t="shared" si="3"/>
        <v>0</v>
      </c>
    </row>
    <row r="204" spans="1:22" x14ac:dyDescent="0.25">
      <c r="A204" s="9" t="s">
        <v>1263</v>
      </c>
      <c r="B204" s="10">
        <v>1</v>
      </c>
      <c r="C204" s="10">
        <v>1</v>
      </c>
      <c r="D204" s="10">
        <v>1</v>
      </c>
      <c r="E204" s="10">
        <v>1</v>
      </c>
      <c r="F204" s="10"/>
      <c r="G204" s="10"/>
      <c r="H204" s="10"/>
      <c r="I204" s="10"/>
      <c r="J204" s="10">
        <v>1</v>
      </c>
      <c r="L204" t="s">
        <v>1263</v>
      </c>
      <c r="M204">
        <v>1</v>
      </c>
      <c r="N204">
        <v>1</v>
      </c>
      <c r="O204">
        <v>1</v>
      </c>
      <c r="P204">
        <v>1</v>
      </c>
      <c r="U204">
        <v>1</v>
      </c>
      <c r="V204">
        <f t="shared" si="3"/>
        <v>1</v>
      </c>
    </row>
    <row r="205" spans="1:22" x14ac:dyDescent="0.25">
      <c r="A205" s="9" t="s">
        <v>1203</v>
      </c>
      <c r="B205" s="10">
        <v>1</v>
      </c>
      <c r="C205" s="10">
        <v>1</v>
      </c>
      <c r="D205" s="10">
        <v>1</v>
      </c>
      <c r="E205" s="10">
        <v>1</v>
      </c>
      <c r="F205" s="10"/>
      <c r="G205" s="10"/>
      <c r="H205" s="10"/>
      <c r="I205" s="10"/>
      <c r="J205" s="10">
        <v>1</v>
      </c>
      <c r="L205" t="s">
        <v>1203</v>
      </c>
      <c r="M205">
        <v>1</v>
      </c>
      <c r="N205">
        <v>1</v>
      </c>
      <c r="O205">
        <v>1</v>
      </c>
      <c r="P205">
        <v>1</v>
      </c>
      <c r="U205">
        <v>1</v>
      </c>
      <c r="V205">
        <f t="shared" si="3"/>
        <v>1</v>
      </c>
    </row>
    <row r="206" spans="1:22" x14ac:dyDescent="0.25">
      <c r="A206" s="9" t="s">
        <v>1196</v>
      </c>
      <c r="B206" s="10">
        <v>1</v>
      </c>
      <c r="C206" s="10"/>
      <c r="D206" s="10">
        <v>1</v>
      </c>
      <c r="E206" s="10"/>
      <c r="F206" s="10"/>
      <c r="G206" s="10"/>
      <c r="H206" s="10"/>
      <c r="I206" s="10"/>
      <c r="J206" s="10">
        <v>1</v>
      </c>
      <c r="L206" t="s">
        <v>1196</v>
      </c>
      <c r="M206">
        <v>1</v>
      </c>
      <c r="O206">
        <v>1</v>
      </c>
      <c r="U206">
        <v>1</v>
      </c>
      <c r="V206">
        <f t="shared" si="3"/>
        <v>1</v>
      </c>
    </row>
    <row r="207" spans="1:22" x14ac:dyDescent="0.25">
      <c r="A207" s="9" t="s">
        <v>26</v>
      </c>
      <c r="B207" s="10">
        <v>1</v>
      </c>
      <c r="C207" s="10">
        <v>1</v>
      </c>
      <c r="D207" s="10"/>
      <c r="E207" s="10">
        <v>1</v>
      </c>
      <c r="F207" s="10"/>
      <c r="G207" s="10"/>
      <c r="H207" s="10"/>
      <c r="I207" s="10"/>
      <c r="J207" s="10">
        <v>1</v>
      </c>
      <c r="L207" t="s">
        <v>26</v>
      </c>
      <c r="M207">
        <v>1</v>
      </c>
      <c r="N207">
        <v>1</v>
      </c>
      <c r="P207">
        <v>1</v>
      </c>
      <c r="U207">
        <v>1</v>
      </c>
      <c r="V207">
        <f t="shared" si="3"/>
        <v>1</v>
      </c>
    </row>
    <row r="208" spans="1:22" x14ac:dyDescent="0.25">
      <c r="A208" s="9" t="s">
        <v>1181</v>
      </c>
      <c r="B208" s="10">
        <v>1</v>
      </c>
      <c r="C208" s="10">
        <v>1</v>
      </c>
      <c r="D208" s="10"/>
      <c r="E208" s="10"/>
      <c r="F208" s="10"/>
      <c r="G208" s="10"/>
      <c r="H208" s="10"/>
      <c r="I208" s="10"/>
      <c r="J208" s="10">
        <v>1</v>
      </c>
      <c r="L208" t="s">
        <v>1181</v>
      </c>
      <c r="M208">
        <v>1</v>
      </c>
      <c r="N208">
        <v>1</v>
      </c>
      <c r="U208">
        <v>1</v>
      </c>
      <c r="V208">
        <f t="shared" si="3"/>
        <v>1</v>
      </c>
    </row>
    <row r="209" spans="1:22" x14ac:dyDescent="0.25">
      <c r="A209" s="9" t="s">
        <v>1187</v>
      </c>
      <c r="B209" s="10">
        <v>1</v>
      </c>
      <c r="C209" s="10">
        <v>1</v>
      </c>
      <c r="D209" s="10"/>
      <c r="E209" s="10"/>
      <c r="F209" s="10"/>
      <c r="G209" s="10"/>
      <c r="H209" s="10"/>
      <c r="I209" s="10"/>
      <c r="J209" s="10">
        <v>1</v>
      </c>
      <c r="L209" t="s">
        <v>1187</v>
      </c>
      <c r="M209">
        <v>1</v>
      </c>
      <c r="N209">
        <v>1</v>
      </c>
      <c r="U209">
        <v>1</v>
      </c>
      <c r="V209">
        <f t="shared" si="3"/>
        <v>1</v>
      </c>
    </row>
    <row r="210" spans="1:22" x14ac:dyDescent="0.25">
      <c r="A210" s="9" t="s">
        <v>1191</v>
      </c>
      <c r="B210" s="10">
        <v>1</v>
      </c>
      <c r="C210" s="10"/>
      <c r="D210" s="10"/>
      <c r="E210" s="10"/>
      <c r="F210" s="10"/>
      <c r="G210" s="10"/>
      <c r="H210" s="10"/>
      <c r="I210" s="10"/>
      <c r="J210" s="10">
        <v>1</v>
      </c>
      <c r="L210" t="s">
        <v>1191</v>
      </c>
      <c r="M210">
        <v>1</v>
      </c>
      <c r="U210">
        <v>1</v>
      </c>
      <c r="V210">
        <f t="shared" si="3"/>
        <v>0</v>
      </c>
    </row>
    <row r="211" spans="1:22" x14ac:dyDescent="0.25">
      <c r="A211" s="9" t="s">
        <v>1145</v>
      </c>
      <c r="B211" s="10">
        <v>1</v>
      </c>
      <c r="C211" s="10">
        <v>1</v>
      </c>
      <c r="D211" s="10"/>
      <c r="E211" s="10">
        <v>1</v>
      </c>
      <c r="F211" s="10"/>
      <c r="G211" s="10">
        <v>1</v>
      </c>
      <c r="H211" s="10"/>
      <c r="I211" s="10"/>
      <c r="J211" s="10">
        <v>1</v>
      </c>
      <c r="L211" t="s">
        <v>1145</v>
      </c>
      <c r="M211">
        <v>1</v>
      </c>
      <c r="N211">
        <v>1</v>
      </c>
      <c r="P211">
        <v>1</v>
      </c>
      <c r="R211">
        <v>1</v>
      </c>
      <c r="U211">
        <v>1</v>
      </c>
      <c r="V211">
        <f t="shared" si="3"/>
        <v>1</v>
      </c>
    </row>
    <row r="212" spans="1:22" x14ac:dyDescent="0.25">
      <c r="A212" s="9" t="s">
        <v>1152</v>
      </c>
      <c r="B212" s="10">
        <v>1</v>
      </c>
      <c r="C212" s="10"/>
      <c r="D212" s="10"/>
      <c r="E212" s="10"/>
      <c r="F212" s="10"/>
      <c r="G212" s="10"/>
      <c r="H212" s="10"/>
      <c r="I212" s="10"/>
      <c r="J212" s="10">
        <v>1</v>
      </c>
      <c r="L212" t="s">
        <v>1152</v>
      </c>
      <c r="M212">
        <v>1</v>
      </c>
      <c r="U212">
        <v>1</v>
      </c>
      <c r="V212">
        <f t="shared" si="3"/>
        <v>0</v>
      </c>
    </row>
    <row r="213" spans="1:22" x14ac:dyDescent="0.25">
      <c r="A213" s="9" t="s">
        <v>1159</v>
      </c>
      <c r="B213" s="10">
        <v>1</v>
      </c>
      <c r="C213" s="10">
        <v>1</v>
      </c>
      <c r="D213" s="10"/>
      <c r="E213" s="10">
        <v>1</v>
      </c>
      <c r="F213" s="10"/>
      <c r="G213" s="10">
        <v>1</v>
      </c>
      <c r="H213" s="10"/>
      <c r="I213" s="10"/>
      <c r="J213" s="10">
        <v>1</v>
      </c>
      <c r="L213" t="s">
        <v>1159</v>
      </c>
      <c r="M213">
        <v>1</v>
      </c>
      <c r="N213">
        <v>1</v>
      </c>
      <c r="P213">
        <v>1</v>
      </c>
      <c r="R213">
        <v>1</v>
      </c>
      <c r="U213">
        <v>1</v>
      </c>
      <c r="V213">
        <f t="shared" si="3"/>
        <v>1</v>
      </c>
    </row>
    <row r="214" spans="1:22" x14ac:dyDescent="0.25">
      <c r="A214" s="9" t="s">
        <v>1086</v>
      </c>
      <c r="B214" s="10">
        <v>1</v>
      </c>
      <c r="C214" s="10"/>
      <c r="D214" s="10"/>
      <c r="E214" s="10"/>
      <c r="F214" s="10"/>
      <c r="G214" s="10"/>
      <c r="H214" s="10"/>
      <c r="I214" s="10"/>
      <c r="J214" s="10">
        <v>1</v>
      </c>
      <c r="L214" t="s">
        <v>1086</v>
      </c>
      <c r="M214">
        <v>1</v>
      </c>
      <c r="U214">
        <v>1</v>
      </c>
      <c r="V214">
        <f t="shared" si="3"/>
        <v>0</v>
      </c>
    </row>
    <row r="215" spans="1:22" x14ac:dyDescent="0.25">
      <c r="A215" s="9" t="s">
        <v>1081</v>
      </c>
      <c r="B215" s="10">
        <v>1</v>
      </c>
      <c r="C215" s="10"/>
      <c r="D215" s="10"/>
      <c r="E215" s="10"/>
      <c r="F215" s="10"/>
      <c r="G215" s="10"/>
      <c r="H215" s="10"/>
      <c r="I215" s="10"/>
      <c r="J215" s="10">
        <v>1</v>
      </c>
      <c r="L215" t="s">
        <v>1081</v>
      </c>
      <c r="M215">
        <v>1</v>
      </c>
      <c r="U215">
        <v>1</v>
      </c>
      <c r="V215">
        <f t="shared" si="3"/>
        <v>0</v>
      </c>
    </row>
    <row r="216" spans="1:22" x14ac:dyDescent="0.25">
      <c r="A216" s="9" t="s">
        <v>1047</v>
      </c>
      <c r="B216" s="10">
        <v>1</v>
      </c>
      <c r="C216" s="10"/>
      <c r="D216" s="10"/>
      <c r="E216" s="10"/>
      <c r="F216" s="10"/>
      <c r="G216" s="10"/>
      <c r="H216" s="10"/>
      <c r="I216" s="10"/>
      <c r="J216" s="10">
        <v>1</v>
      </c>
      <c r="L216" t="s">
        <v>1047</v>
      </c>
      <c r="M216">
        <v>1</v>
      </c>
      <c r="U216">
        <v>1</v>
      </c>
      <c r="V216">
        <f t="shared" si="3"/>
        <v>0</v>
      </c>
    </row>
    <row r="217" spans="1:22" x14ac:dyDescent="0.25">
      <c r="A217" s="9" t="s">
        <v>1041</v>
      </c>
      <c r="B217" s="10">
        <v>1</v>
      </c>
      <c r="C217" s="10"/>
      <c r="D217" s="10"/>
      <c r="E217" s="10"/>
      <c r="F217" s="10"/>
      <c r="G217" s="10"/>
      <c r="H217" s="10"/>
      <c r="I217" s="10"/>
      <c r="J217" s="10">
        <v>1</v>
      </c>
      <c r="L217" t="s">
        <v>1041</v>
      </c>
      <c r="M217">
        <v>1</v>
      </c>
      <c r="U217">
        <v>1</v>
      </c>
      <c r="V217">
        <f t="shared" si="3"/>
        <v>0</v>
      </c>
    </row>
    <row r="218" spans="1:22" x14ac:dyDescent="0.25">
      <c r="A218" s="9" t="s">
        <v>1030</v>
      </c>
      <c r="B218" s="10">
        <v>1</v>
      </c>
      <c r="C218" s="10"/>
      <c r="D218" s="10"/>
      <c r="E218" s="10"/>
      <c r="F218" s="10"/>
      <c r="G218" s="10"/>
      <c r="H218" s="10"/>
      <c r="I218" s="10"/>
      <c r="J218" s="10">
        <v>1</v>
      </c>
      <c r="L218" t="s">
        <v>1030</v>
      </c>
      <c r="M218">
        <v>1</v>
      </c>
      <c r="U218">
        <v>1</v>
      </c>
      <c r="V218">
        <f t="shared" si="3"/>
        <v>0</v>
      </c>
    </row>
    <row r="219" spans="1:22" x14ac:dyDescent="0.25">
      <c r="A219" s="9" t="s">
        <v>1024</v>
      </c>
      <c r="B219" s="10">
        <v>1</v>
      </c>
      <c r="C219" s="10"/>
      <c r="D219" s="10"/>
      <c r="E219" s="10"/>
      <c r="F219" s="10"/>
      <c r="G219" s="10"/>
      <c r="H219" s="10"/>
      <c r="I219" s="10"/>
      <c r="J219" s="10">
        <v>1</v>
      </c>
      <c r="L219" t="s">
        <v>1024</v>
      </c>
      <c r="M219">
        <v>1</v>
      </c>
      <c r="U219">
        <v>1</v>
      </c>
      <c r="V219">
        <f t="shared" si="3"/>
        <v>0</v>
      </c>
    </row>
    <row r="220" spans="1:22" x14ac:dyDescent="0.25">
      <c r="A220" s="9" t="s">
        <v>1014</v>
      </c>
      <c r="B220" s="10"/>
      <c r="C220" s="10">
        <v>1</v>
      </c>
      <c r="D220" s="10"/>
      <c r="E220" s="10"/>
      <c r="F220" s="10"/>
      <c r="G220" s="10"/>
      <c r="H220" s="10"/>
      <c r="I220" s="10"/>
      <c r="J220" s="10">
        <v>1</v>
      </c>
      <c r="L220" t="s">
        <v>1014</v>
      </c>
      <c r="N220">
        <v>1</v>
      </c>
      <c r="U220">
        <v>1</v>
      </c>
      <c r="V220">
        <f t="shared" si="3"/>
        <v>1</v>
      </c>
    </row>
    <row r="221" spans="1:22" x14ac:dyDescent="0.25">
      <c r="A221" s="9" t="s">
        <v>751</v>
      </c>
      <c r="B221" s="10">
        <v>1</v>
      </c>
      <c r="C221" s="10">
        <v>1</v>
      </c>
      <c r="D221" s="10"/>
      <c r="E221" s="10"/>
      <c r="F221" s="10"/>
      <c r="G221" s="10"/>
      <c r="H221" s="10"/>
      <c r="I221" s="10"/>
      <c r="J221" s="10">
        <v>1</v>
      </c>
      <c r="L221" t="s">
        <v>751</v>
      </c>
      <c r="M221">
        <v>1</v>
      </c>
      <c r="N221">
        <v>1</v>
      </c>
      <c r="U221">
        <v>1</v>
      </c>
      <c r="V221">
        <f t="shared" si="3"/>
        <v>1</v>
      </c>
    </row>
    <row r="222" spans="1:22" x14ac:dyDescent="0.25">
      <c r="A222" s="9" t="s">
        <v>745</v>
      </c>
      <c r="B222" s="10">
        <v>1</v>
      </c>
      <c r="C222" s="10">
        <v>1</v>
      </c>
      <c r="D222" s="10"/>
      <c r="E222" s="10"/>
      <c r="F222" s="10"/>
      <c r="G222" s="10"/>
      <c r="H222" s="10"/>
      <c r="I222" s="10"/>
      <c r="J222" s="10">
        <v>1</v>
      </c>
      <c r="L222" t="s">
        <v>745</v>
      </c>
      <c r="M222">
        <v>1</v>
      </c>
      <c r="N222">
        <v>1</v>
      </c>
      <c r="U222">
        <v>1</v>
      </c>
      <c r="V222">
        <f t="shared" si="3"/>
        <v>1</v>
      </c>
    </row>
    <row r="223" spans="1:22" x14ac:dyDescent="0.25">
      <c r="A223" s="9" t="s">
        <v>944</v>
      </c>
      <c r="B223" s="10">
        <v>1</v>
      </c>
      <c r="C223" s="10">
        <v>1</v>
      </c>
      <c r="D223" s="10">
        <v>1</v>
      </c>
      <c r="E223" s="10"/>
      <c r="F223" s="10"/>
      <c r="G223" s="10"/>
      <c r="H223" s="10"/>
      <c r="I223" s="10"/>
      <c r="J223" s="10">
        <v>1</v>
      </c>
      <c r="L223" t="s">
        <v>944</v>
      </c>
      <c r="M223">
        <v>1</v>
      </c>
      <c r="N223">
        <v>1</v>
      </c>
      <c r="O223">
        <v>1</v>
      </c>
      <c r="U223">
        <v>1</v>
      </c>
      <c r="V223">
        <f t="shared" si="3"/>
        <v>1</v>
      </c>
    </row>
    <row r="224" spans="1:22" x14ac:dyDescent="0.25">
      <c r="A224" s="9" t="s">
        <v>930</v>
      </c>
      <c r="B224" s="10">
        <v>1</v>
      </c>
      <c r="C224" s="10">
        <v>1</v>
      </c>
      <c r="D224" s="10"/>
      <c r="E224" s="10"/>
      <c r="F224" s="10"/>
      <c r="G224" s="10"/>
      <c r="H224" s="10"/>
      <c r="I224" s="10"/>
      <c r="J224" s="10">
        <v>1</v>
      </c>
      <c r="L224" t="s">
        <v>930</v>
      </c>
      <c r="M224">
        <v>1</v>
      </c>
      <c r="N224">
        <v>1</v>
      </c>
      <c r="U224">
        <v>1</v>
      </c>
      <c r="V224">
        <f t="shared" si="3"/>
        <v>1</v>
      </c>
    </row>
    <row r="225" spans="1:22" x14ac:dyDescent="0.25">
      <c r="A225" s="9" t="s">
        <v>938</v>
      </c>
      <c r="B225" s="10">
        <v>1</v>
      </c>
      <c r="C225" s="10">
        <v>1</v>
      </c>
      <c r="D225" s="10"/>
      <c r="E225" s="10"/>
      <c r="F225" s="10"/>
      <c r="G225" s="10"/>
      <c r="H225" s="10"/>
      <c r="I225" s="10"/>
      <c r="J225" s="10">
        <v>1</v>
      </c>
      <c r="L225" t="s">
        <v>938</v>
      </c>
      <c r="M225">
        <v>1</v>
      </c>
      <c r="N225">
        <v>1</v>
      </c>
      <c r="U225">
        <v>1</v>
      </c>
      <c r="V225">
        <f t="shared" si="3"/>
        <v>1</v>
      </c>
    </row>
    <row r="226" spans="1:22" x14ac:dyDescent="0.25">
      <c r="A226" s="9" t="s">
        <v>902</v>
      </c>
      <c r="B226" s="10">
        <v>1</v>
      </c>
      <c r="C226" s="10">
        <v>1</v>
      </c>
      <c r="D226" s="10"/>
      <c r="E226" s="10"/>
      <c r="F226" s="10"/>
      <c r="G226" s="10"/>
      <c r="H226" s="10"/>
      <c r="I226" s="10"/>
      <c r="J226" s="10">
        <v>1</v>
      </c>
      <c r="L226" t="s">
        <v>902</v>
      </c>
      <c r="M226">
        <v>1</v>
      </c>
      <c r="N226">
        <v>1</v>
      </c>
      <c r="U226">
        <v>1</v>
      </c>
      <c r="V226">
        <f t="shared" si="3"/>
        <v>1</v>
      </c>
    </row>
    <row r="227" spans="1:22" x14ac:dyDescent="0.25">
      <c r="A227" s="9" t="s">
        <v>861</v>
      </c>
      <c r="B227" s="10">
        <v>1</v>
      </c>
      <c r="C227" s="10">
        <v>1</v>
      </c>
      <c r="D227" s="10"/>
      <c r="E227" s="10"/>
      <c r="F227" s="10"/>
      <c r="G227" s="10"/>
      <c r="H227" s="10"/>
      <c r="I227" s="10"/>
      <c r="J227" s="10">
        <v>1</v>
      </c>
      <c r="L227" t="s">
        <v>861</v>
      </c>
      <c r="M227">
        <v>1</v>
      </c>
      <c r="N227">
        <v>1</v>
      </c>
      <c r="U227">
        <v>1</v>
      </c>
      <c r="V227">
        <f t="shared" si="3"/>
        <v>1</v>
      </c>
    </row>
    <row r="228" spans="1:22" x14ac:dyDescent="0.25">
      <c r="A228" s="9" t="s">
        <v>729</v>
      </c>
      <c r="B228" s="10">
        <v>1</v>
      </c>
      <c r="C228" s="10">
        <v>1</v>
      </c>
      <c r="D228" s="10"/>
      <c r="E228" s="10"/>
      <c r="F228" s="10"/>
      <c r="G228" s="10"/>
      <c r="H228" s="10"/>
      <c r="I228" s="10"/>
      <c r="J228" s="10">
        <v>1</v>
      </c>
      <c r="L228" t="s">
        <v>729</v>
      </c>
      <c r="M228">
        <v>1</v>
      </c>
      <c r="N228">
        <v>1</v>
      </c>
      <c r="U228">
        <v>1</v>
      </c>
      <c r="V228">
        <f t="shared" si="3"/>
        <v>1</v>
      </c>
    </row>
    <row r="229" spans="1:22" x14ac:dyDescent="0.25">
      <c r="A229" s="9" t="s">
        <v>767</v>
      </c>
      <c r="B229" s="10">
        <v>1</v>
      </c>
      <c r="C229" s="10">
        <v>1</v>
      </c>
      <c r="D229" s="10">
        <v>1</v>
      </c>
      <c r="E229" s="10"/>
      <c r="F229" s="10"/>
      <c r="G229" s="10"/>
      <c r="H229" s="10"/>
      <c r="I229" s="10"/>
      <c r="J229" s="10">
        <v>1</v>
      </c>
      <c r="L229" t="s">
        <v>767</v>
      </c>
      <c r="M229">
        <v>1</v>
      </c>
      <c r="N229">
        <v>1</v>
      </c>
      <c r="O229">
        <v>1</v>
      </c>
      <c r="U229">
        <v>1</v>
      </c>
      <c r="V229">
        <f t="shared" si="3"/>
        <v>1</v>
      </c>
    </row>
    <row r="230" spans="1:22" x14ac:dyDescent="0.25">
      <c r="A230" s="9" t="s">
        <v>687</v>
      </c>
      <c r="B230" s="10">
        <v>1</v>
      </c>
      <c r="C230" s="10">
        <v>1</v>
      </c>
      <c r="D230" s="10"/>
      <c r="E230" s="10"/>
      <c r="F230" s="10"/>
      <c r="G230" s="10"/>
      <c r="H230" s="10"/>
      <c r="I230" s="10"/>
      <c r="J230" s="10">
        <v>1</v>
      </c>
      <c r="L230" t="s">
        <v>687</v>
      </c>
      <c r="M230">
        <v>1</v>
      </c>
      <c r="N230">
        <v>1</v>
      </c>
      <c r="U230">
        <v>1</v>
      </c>
      <c r="V230">
        <f t="shared" si="3"/>
        <v>1</v>
      </c>
    </row>
    <row r="231" spans="1:22" x14ac:dyDescent="0.25">
      <c r="A231" s="9" t="s">
        <v>530</v>
      </c>
      <c r="B231" s="10">
        <v>1</v>
      </c>
      <c r="C231" s="10">
        <v>1</v>
      </c>
      <c r="D231" s="10"/>
      <c r="E231" s="10"/>
      <c r="F231" s="10"/>
      <c r="G231" s="10"/>
      <c r="H231" s="10"/>
      <c r="I231" s="10"/>
      <c r="J231" s="10">
        <v>1</v>
      </c>
      <c r="L231" t="s">
        <v>530</v>
      </c>
      <c r="M231">
        <v>1</v>
      </c>
      <c r="N231">
        <v>1</v>
      </c>
      <c r="U231">
        <v>1</v>
      </c>
      <c r="V231">
        <f t="shared" si="3"/>
        <v>1</v>
      </c>
    </row>
    <row r="232" spans="1:22" x14ac:dyDescent="0.25">
      <c r="A232" s="9" t="s">
        <v>452</v>
      </c>
      <c r="B232" s="10">
        <v>1</v>
      </c>
      <c r="C232" s="10">
        <v>1</v>
      </c>
      <c r="D232" s="10"/>
      <c r="E232" s="10"/>
      <c r="F232" s="10"/>
      <c r="G232" s="10"/>
      <c r="H232" s="10"/>
      <c r="I232" s="10"/>
      <c r="J232" s="10">
        <v>1</v>
      </c>
      <c r="L232" t="s">
        <v>452</v>
      </c>
      <c r="M232">
        <v>1</v>
      </c>
      <c r="N232">
        <v>1</v>
      </c>
      <c r="U232">
        <v>1</v>
      </c>
      <c r="V232">
        <f t="shared" si="3"/>
        <v>1</v>
      </c>
    </row>
    <row r="233" spans="1:22" x14ac:dyDescent="0.25">
      <c r="A233" s="9" t="s">
        <v>317</v>
      </c>
      <c r="B233" s="10">
        <v>1</v>
      </c>
      <c r="C233" s="10"/>
      <c r="D233" s="10"/>
      <c r="E233" s="10"/>
      <c r="F233" s="10"/>
      <c r="G233" s="10"/>
      <c r="H233" s="10"/>
      <c r="I233" s="10"/>
      <c r="J233" s="10">
        <v>1</v>
      </c>
      <c r="L233" t="s">
        <v>317</v>
      </c>
      <c r="M233">
        <v>1</v>
      </c>
      <c r="U233">
        <v>1</v>
      </c>
      <c r="V233">
        <f t="shared" si="3"/>
        <v>0</v>
      </c>
    </row>
    <row r="234" spans="1:22" x14ac:dyDescent="0.25">
      <c r="A234" s="9" t="s">
        <v>307</v>
      </c>
      <c r="B234" s="10">
        <v>1</v>
      </c>
      <c r="C234" s="10"/>
      <c r="D234" s="10"/>
      <c r="E234" s="10"/>
      <c r="F234" s="10"/>
      <c r="G234" s="10"/>
      <c r="H234" s="10"/>
      <c r="I234" s="10"/>
      <c r="J234" s="10">
        <v>1</v>
      </c>
      <c r="L234" t="s">
        <v>307</v>
      </c>
      <c r="M234">
        <v>1</v>
      </c>
      <c r="U234">
        <v>1</v>
      </c>
      <c r="V234">
        <f t="shared" si="3"/>
        <v>0</v>
      </c>
    </row>
    <row r="235" spans="1:22" x14ac:dyDescent="0.25">
      <c r="A235" s="9" t="s">
        <v>302</v>
      </c>
      <c r="B235" s="10">
        <v>1</v>
      </c>
      <c r="C235" s="10"/>
      <c r="D235" s="10"/>
      <c r="E235" s="10"/>
      <c r="F235" s="10"/>
      <c r="G235" s="10"/>
      <c r="H235" s="10"/>
      <c r="I235" s="10"/>
      <c r="J235" s="10">
        <v>1</v>
      </c>
      <c r="L235" t="s">
        <v>302</v>
      </c>
      <c r="M235">
        <v>1</v>
      </c>
      <c r="U235">
        <v>1</v>
      </c>
      <c r="V235">
        <f t="shared" si="3"/>
        <v>0</v>
      </c>
    </row>
    <row r="236" spans="1:22" x14ac:dyDescent="0.25">
      <c r="A236" s="9" t="s">
        <v>296</v>
      </c>
      <c r="B236" s="10">
        <v>1</v>
      </c>
      <c r="C236" s="10"/>
      <c r="D236" s="10"/>
      <c r="E236" s="10"/>
      <c r="F236" s="10"/>
      <c r="G236" s="10"/>
      <c r="H236" s="10"/>
      <c r="I236" s="10"/>
      <c r="J236" s="10">
        <v>1</v>
      </c>
      <c r="L236" t="s">
        <v>296</v>
      </c>
      <c r="M236">
        <v>1</v>
      </c>
      <c r="U236">
        <v>1</v>
      </c>
      <c r="V236">
        <f t="shared" si="3"/>
        <v>0</v>
      </c>
    </row>
    <row r="237" spans="1:22" x14ac:dyDescent="0.25">
      <c r="A237" s="9" t="s">
        <v>254</v>
      </c>
      <c r="B237" s="10">
        <v>1</v>
      </c>
      <c r="C237" s="10"/>
      <c r="D237" s="10"/>
      <c r="E237" s="10"/>
      <c r="F237" s="10"/>
      <c r="G237" s="10"/>
      <c r="H237" s="10"/>
      <c r="I237" s="10"/>
      <c r="J237" s="10">
        <v>1</v>
      </c>
      <c r="L237" t="s">
        <v>254</v>
      </c>
      <c r="M237">
        <v>1</v>
      </c>
      <c r="U237">
        <v>1</v>
      </c>
      <c r="V237">
        <f t="shared" si="3"/>
        <v>0</v>
      </c>
    </row>
    <row r="238" spans="1:22" x14ac:dyDescent="0.25">
      <c r="A238" s="9" t="s">
        <v>131</v>
      </c>
      <c r="B238" s="10">
        <v>1</v>
      </c>
      <c r="C238" s="10"/>
      <c r="D238" s="10"/>
      <c r="E238" s="10"/>
      <c r="F238" s="10"/>
      <c r="G238" s="10"/>
      <c r="H238" s="10"/>
      <c r="I238" s="10"/>
      <c r="J238" s="10">
        <v>1</v>
      </c>
      <c r="L238" t="s">
        <v>131</v>
      </c>
      <c r="M238">
        <v>1</v>
      </c>
      <c r="U238">
        <v>1</v>
      </c>
      <c r="V238">
        <f t="shared" si="3"/>
        <v>0</v>
      </c>
    </row>
    <row r="239" spans="1:22" x14ac:dyDescent="0.25">
      <c r="A239" s="9" t="s">
        <v>115</v>
      </c>
      <c r="B239" s="10">
        <v>1</v>
      </c>
      <c r="C239" s="10"/>
      <c r="D239" s="10"/>
      <c r="E239" s="10"/>
      <c r="F239" s="10"/>
      <c r="G239" s="10"/>
      <c r="H239" s="10"/>
      <c r="I239" s="10"/>
      <c r="J239" s="10">
        <v>1</v>
      </c>
      <c r="L239" t="s">
        <v>115</v>
      </c>
      <c r="M239">
        <v>1</v>
      </c>
      <c r="U239">
        <v>1</v>
      </c>
      <c r="V239">
        <f t="shared" si="3"/>
        <v>0</v>
      </c>
    </row>
    <row r="240" spans="1:22" x14ac:dyDescent="0.25">
      <c r="A240" s="9" t="s">
        <v>996</v>
      </c>
      <c r="B240" s="10">
        <v>1</v>
      </c>
      <c r="C240" s="10">
        <v>1</v>
      </c>
      <c r="D240" s="10"/>
      <c r="E240" s="10"/>
      <c r="F240" s="10"/>
      <c r="G240" s="10"/>
      <c r="H240" s="10"/>
      <c r="I240" s="10"/>
      <c r="J240" s="10">
        <v>1</v>
      </c>
      <c r="L240" t="s">
        <v>996</v>
      </c>
      <c r="M240">
        <v>1</v>
      </c>
      <c r="N240">
        <v>1</v>
      </c>
      <c r="U240">
        <v>1</v>
      </c>
      <c r="V240">
        <f t="shared" si="3"/>
        <v>1</v>
      </c>
    </row>
    <row r="241" spans="1:22" x14ac:dyDescent="0.25">
      <c r="A241" s="9" t="s">
        <v>985</v>
      </c>
      <c r="B241" s="10">
        <v>1</v>
      </c>
      <c r="C241" s="10"/>
      <c r="D241" s="10"/>
      <c r="E241" s="10"/>
      <c r="F241" s="10"/>
      <c r="G241" s="10"/>
      <c r="H241" s="10"/>
      <c r="I241" s="10"/>
      <c r="J241" s="10">
        <v>1</v>
      </c>
      <c r="L241" t="s">
        <v>985</v>
      </c>
      <c r="M241">
        <v>1</v>
      </c>
      <c r="U241">
        <v>1</v>
      </c>
      <c r="V241">
        <f t="shared" si="3"/>
        <v>0</v>
      </c>
    </row>
    <row r="242" spans="1:22" x14ac:dyDescent="0.25">
      <c r="A242" s="9" t="s">
        <v>917</v>
      </c>
      <c r="B242" s="10">
        <v>1</v>
      </c>
      <c r="C242" s="10">
        <v>1</v>
      </c>
      <c r="D242" s="10"/>
      <c r="E242" s="10"/>
      <c r="F242" s="10"/>
      <c r="G242" s="10"/>
      <c r="H242" s="10"/>
      <c r="I242" s="10"/>
      <c r="J242" s="10">
        <v>1</v>
      </c>
      <c r="L242" t="s">
        <v>917</v>
      </c>
      <c r="M242">
        <v>1</v>
      </c>
      <c r="N242">
        <v>1</v>
      </c>
      <c r="U242">
        <v>1</v>
      </c>
      <c r="V242">
        <f t="shared" si="3"/>
        <v>1</v>
      </c>
    </row>
    <row r="243" spans="1:22" x14ac:dyDescent="0.25">
      <c r="A243" s="9" t="s">
        <v>809</v>
      </c>
      <c r="B243" s="10">
        <v>1</v>
      </c>
      <c r="C243" s="10">
        <v>1</v>
      </c>
      <c r="D243" s="10"/>
      <c r="E243" s="10"/>
      <c r="F243" s="10"/>
      <c r="G243" s="10"/>
      <c r="H243" s="10"/>
      <c r="I243" s="10"/>
      <c r="J243" s="10">
        <v>1</v>
      </c>
      <c r="L243" t="s">
        <v>809</v>
      </c>
      <c r="M243">
        <v>1</v>
      </c>
      <c r="N243">
        <v>1</v>
      </c>
      <c r="U243">
        <v>1</v>
      </c>
      <c r="V243">
        <f t="shared" si="3"/>
        <v>1</v>
      </c>
    </row>
    <row r="244" spans="1:22" x14ac:dyDescent="0.25">
      <c r="A244" s="9" t="s">
        <v>775</v>
      </c>
      <c r="B244" s="10">
        <v>1</v>
      </c>
      <c r="C244" s="10">
        <v>1</v>
      </c>
      <c r="D244" s="10"/>
      <c r="E244" s="10"/>
      <c r="F244" s="10"/>
      <c r="G244" s="10"/>
      <c r="H244" s="10"/>
      <c r="I244" s="10"/>
      <c r="J244" s="10">
        <v>1</v>
      </c>
      <c r="L244" t="s">
        <v>775</v>
      </c>
      <c r="M244">
        <v>1</v>
      </c>
      <c r="N244">
        <v>1</v>
      </c>
      <c r="U244">
        <v>1</v>
      </c>
      <c r="V244">
        <f t="shared" si="3"/>
        <v>1</v>
      </c>
    </row>
    <row r="245" spans="1:22" x14ac:dyDescent="0.25">
      <c r="A245" s="9" t="s">
        <v>665</v>
      </c>
      <c r="B245" s="10">
        <v>1</v>
      </c>
      <c r="C245" s="10"/>
      <c r="D245" s="10"/>
      <c r="E245" s="10"/>
      <c r="F245" s="10"/>
      <c r="G245" s="10"/>
      <c r="H245" s="10"/>
      <c r="I245" s="10"/>
      <c r="J245" s="10">
        <v>1</v>
      </c>
      <c r="L245" t="s">
        <v>665</v>
      </c>
      <c r="M245">
        <v>1</v>
      </c>
      <c r="U245">
        <v>1</v>
      </c>
      <c r="V245">
        <f t="shared" si="3"/>
        <v>0</v>
      </c>
    </row>
    <row r="246" spans="1:22" x14ac:dyDescent="0.25">
      <c r="A246" s="9" t="s">
        <v>561</v>
      </c>
      <c r="B246" s="10">
        <v>1</v>
      </c>
      <c r="C246" s="10"/>
      <c r="D246" s="10"/>
      <c r="E246" s="10"/>
      <c r="F246" s="10"/>
      <c r="G246" s="10"/>
      <c r="H246" s="10"/>
      <c r="I246" s="10"/>
      <c r="J246" s="10">
        <v>1</v>
      </c>
      <c r="L246" t="s">
        <v>561</v>
      </c>
      <c r="M246">
        <v>1</v>
      </c>
      <c r="U246">
        <v>1</v>
      </c>
      <c r="V246">
        <f t="shared" si="3"/>
        <v>0</v>
      </c>
    </row>
    <row r="247" spans="1:22" x14ac:dyDescent="0.25">
      <c r="A247" s="9" t="s">
        <v>415</v>
      </c>
      <c r="B247" s="10">
        <v>1</v>
      </c>
      <c r="C247" s="10">
        <v>1</v>
      </c>
      <c r="D247" s="10"/>
      <c r="E247" s="10"/>
      <c r="F247" s="10"/>
      <c r="G247" s="10"/>
      <c r="H247" s="10"/>
      <c r="I247" s="10"/>
      <c r="J247" s="10">
        <v>1</v>
      </c>
      <c r="L247" t="s">
        <v>415</v>
      </c>
      <c r="M247">
        <v>1</v>
      </c>
      <c r="N247">
        <v>1</v>
      </c>
      <c r="U247">
        <v>1</v>
      </c>
      <c r="V247">
        <f t="shared" si="3"/>
        <v>1</v>
      </c>
    </row>
    <row r="248" spans="1:22" x14ac:dyDescent="0.25">
      <c r="A248" s="9" t="s">
        <v>291</v>
      </c>
      <c r="B248" s="10">
        <v>1</v>
      </c>
      <c r="C248" s="10"/>
      <c r="D248" s="10"/>
      <c r="E248" s="10"/>
      <c r="F248" s="10"/>
      <c r="G248" s="10"/>
      <c r="H248" s="10"/>
      <c r="I248" s="10"/>
      <c r="J248" s="10">
        <v>1</v>
      </c>
      <c r="L248" t="s">
        <v>291</v>
      </c>
      <c r="M248">
        <v>1</v>
      </c>
      <c r="U248">
        <v>1</v>
      </c>
      <c r="V248">
        <f t="shared" si="3"/>
        <v>0</v>
      </c>
    </row>
    <row r="249" spans="1:22" x14ac:dyDescent="0.25">
      <c r="A249" s="9" t="s">
        <v>260</v>
      </c>
      <c r="B249" s="10">
        <v>1</v>
      </c>
      <c r="C249" s="10">
        <v>1</v>
      </c>
      <c r="D249" s="10"/>
      <c r="E249" s="10"/>
      <c r="F249" s="10"/>
      <c r="G249" s="10"/>
      <c r="H249" s="10"/>
      <c r="I249" s="10"/>
      <c r="J249" s="10">
        <v>1</v>
      </c>
      <c r="L249" t="s">
        <v>260</v>
      </c>
      <c r="M249">
        <v>1</v>
      </c>
      <c r="N249">
        <v>1</v>
      </c>
      <c r="U249">
        <v>1</v>
      </c>
      <c r="V249">
        <f t="shared" si="3"/>
        <v>1</v>
      </c>
    </row>
    <row r="250" spans="1:22" x14ac:dyDescent="0.25">
      <c r="A250" s="9" t="s">
        <v>245</v>
      </c>
      <c r="B250" s="10">
        <v>1</v>
      </c>
      <c r="C250" s="10"/>
      <c r="D250" s="10"/>
      <c r="E250" s="10"/>
      <c r="F250" s="10"/>
      <c r="G250" s="10"/>
      <c r="H250" s="10"/>
      <c r="I250" s="10"/>
      <c r="J250" s="10">
        <v>1</v>
      </c>
      <c r="L250" t="s">
        <v>245</v>
      </c>
      <c r="M250">
        <v>1</v>
      </c>
      <c r="U250">
        <v>1</v>
      </c>
      <c r="V250">
        <f t="shared" si="3"/>
        <v>0</v>
      </c>
    </row>
    <row r="251" spans="1:22" x14ac:dyDescent="0.25">
      <c r="A251" s="9" t="s">
        <v>240</v>
      </c>
      <c r="B251" s="10">
        <v>1</v>
      </c>
      <c r="C251" s="10"/>
      <c r="D251" s="10"/>
      <c r="E251" s="10"/>
      <c r="F251" s="10"/>
      <c r="G251" s="10"/>
      <c r="H251" s="10"/>
      <c r="I251" s="10"/>
      <c r="J251" s="10">
        <v>1</v>
      </c>
      <c r="L251" t="s">
        <v>240</v>
      </c>
      <c r="M251">
        <v>1</v>
      </c>
      <c r="U251">
        <v>1</v>
      </c>
      <c r="V251">
        <f t="shared" si="3"/>
        <v>0</v>
      </c>
    </row>
    <row r="252" spans="1:22" x14ac:dyDescent="0.25">
      <c r="A252" s="9" t="s">
        <v>233</v>
      </c>
      <c r="B252" s="10">
        <v>1</v>
      </c>
      <c r="C252" s="10"/>
      <c r="D252" s="10"/>
      <c r="E252" s="10"/>
      <c r="F252" s="10"/>
      <c r="G252" s="10"/>
      <c r="H252" s="10"/>
      <c r="I252" s="10"/>
      <c r="J252" s="10">
        <v>1</v>
      </c>
      <c r="L252" t="s">
        <v>233</v>
      </c>
      <c r="M252">
        <v>1</v>
      </c>
      <c r="U252">
        <v>1</v>
      </c>
      <c r="V252">
        <f t="shared" si="3"/>
        <v>0</v>
      </c>
    </row>
    <row r="253" spans="1:22" x14ac:dyDescent="0.25">
      <c r="A253" s="9" t="s">
        <v>160</v>
      </c>
      <c r="B253" s="10">
        <v>1</v>
      </c>
      <c r="C253" s="10"/>
      <c r="D253" s="10"/>
      <c r="E253" s="10"/>
      <c r="F253" s="10"/>
      <c r="G253" s="10"/>
      <c r="H253" s="10"/>
      <c r="I253" s="10"/>
      <c r="J253" s="10">
        <v>1</v>
      </c>
      <c r="L253" t="s">
        <v>160</v>
      </c>
      <c r="M253">
        <v>1</v>
      </c>
      <c r="U253">
        <v>1</v>
      </c>
      <c r="V253">
        <f t="shared" si="3"/>
        <v>0</v>
      </c>
    </row>
    <row r="254" spans="1:22" x14ac:dyDescent="0.25">
      <c r="A254" s="9" t="s">
        <v>168</v>
      </c>
      <c r="B254" s="10">
        <v>1</v>
      </c>
      <c r="C254" s="10"/>
      <c r="D254" s="10"/>
      <c r="E254" s="10"/>
      <c r="F254" s="10"/>
      <c r="G254" s="10"/>
      <c r="H254" s="10"/>
      <c r="I254" s="10"/>
      <c r="J254" s="10">
        <v>1</v>
      </c>
      <c r="L254" t="s">
        <v>168</v>
      </c>
      <c r="M254">
        <v>1</v>
      </c>
      <c r="U254">
        <v>1</v>
      </c>
      <c r="V254">
        <f t="shared" si="3"/>
        <v>0</v>
      </c>
    </row>
    <row r="255" spans="1:22" x14ac:dyDescent="0.25">
      <c r="A255" s="9" t="s">
        <v>63</v>
      </c>
      <c r="B255" s="10">
        <v>1</v>
      </c>
      <c r="C255" s="10">
        <v>1</v>
      </c>
      <c r="D255" s="10"/>
      <c r="E255" s="10"/>
      <c r="F255" s="10"/>
      <c r="G255" s="10"/>
      <c r="H255" s="10"/>
      <c r="I255" s="10"/>
      <c r="J255" s="10">
        <v>1</v>
      </c>
      <c r="L255" t="s">
        <v>63</v>
      </c>
      <c r="M255">
        <v>1</v>
      </c>
      <c r="N255">
        <v>1</v>
      </c>
      <c r="U255">
        <v>1</v>
      </c>
      <c r="V255">
        <f t="shared" si="3"/>
        <v>1</v>
      </c>
    </row>
    <row r="256" spans="1:22" x14ac:dyDescent="0.25">
      <c r="A256" s="9" t="s">
        <v>1068</v>
      </c>
      <c r="B256" s="10">
        <v>1</v>
      </c>
      <c r="C256" s="10">
        <v>1</v>
      </c>
      <c r="D256" s="10"/>
      <c r="E256" s="10"/>
      <c r="F256" s="10"/>
      <c r="G256" s="10"/>
      <c r="H256" s="10"/>
      <c r="I256" s="10"/>
      <c r="J256" s="10">
        <v>1</v>
      </c>
      <c r="L256" t="s">
        <v>1068</v>
      </c>
      <c r="M256">
        <v>1</v>
      </c>
      <c r="N256">
        <v>1</v>
      </c>
      <c r="U256">
        <v>1</v>
      </c>
      <c r="V256">
        <f t="shared" si="3"/>
        <v>1</v>
      </c>
    </row>
    <row r="257" spans="1:22" x14ac:dyDescent="0.25">
      <c r="A257" s="9" t="s">
        <v>1060</v>
      </c>
      <c r="B257" s="10">
        <v>1</v>
      </c>
      <c r="C257" s="10"/>
      <c r="D257" s="10">
        <v>1</v>
      </c>
      <c r="E257" s="10"/>
      <c r="F257" s="10"/>
      <c r="G257" s="10"/>
      <c r="H257" s="10"/>
      <c r="I257" s="10"/>
      <c r="J257" s="10">
        <v>1</v>
      </c>
      <c r="L257" t="s">
        <v>1060</v>
      </c>
      <c r="M257">
        <v>1</v>
      </c>
      <c r="O257">
        <v>1</v>
      </c>
      <c r="U257">
        <v>1</v>
      </c>
      <c r="V257">
        <f t="shared" si="3"/>
        <v>1</v>
      </c>
    </row>
    <row r="258" spans="1:22" x14ac:dyDescent="0.25">
      <c r="A258" s="9" t="s">
        <v>122</v>
      </c>
      <c r="B258" s="10"/>
      <c r="C258" s="10">
        <v>1</v>
      </c>
      <c r="D258" s="10"/>
      <c r="E258" s="10"/>
      <c r="F258" s="10"/>
      <c r="G258" s="10"/>
      <c r="H258" s="10"/>
      <c r="I258" s="10"/>
      <c r="J258" s="10">
        <v>1</v>
      </c>
      <c r="L258" t="s">
        <v>122</v>
      </c>
      <c r="N258">
        <v>1</v>
      </c>
      <c r="U258">
        <v>1</v>
      </c>
      <c r="V258">
        <f t="shared" si="3"/>
        <v>1</v>
      </c>
    </row>
    <row r="259" spans="1:22" x14ac:dyDescent="0.25">
      <c r="A259" s="9" t="s">
        <v>143</v>
      </c>
      <c r="B259" s="10">
        <v>1</v>
      </c>
      <c r="C259" s="10">
        <v>1</v>
      </c>
      <c r="D259" s="10">
        <v>1</v>
      </c>
      <c r="E259" s="10">
        <v>1</v>
      </c>
      <c r="F259" s="10"/>
      <c r="G259" s="10">
        <v>1</v>
      </c>
      <c r="H259" s="10"/>
      <c r="I259" s="10"/>
      <c r="J259" s="10">
        <v>1</v>
      </c>
      <c r="L259" t="s">
        <v>143</v>
      </c>
      <c r="M259">
        <v>1</v>
      </c>
      <c r="N259">
        <v>1</v>
      </c>
      <c r="O259">
        <v>1</v>
      </c>
      <c r="P259">
        <v>1</v>
      </c>
      <c r="R259">
        <v>1</v>
      </c>
      <c r="U259">
        <v>1</v>
      </c>
      <c r="V259">
        <f t="shared" si="3"/>
        <v>1</v>
      </c>
    </row>
    <row r="260" spans="1:22" x14ac:dyDescent="0.25">
      <c r="A260" s="9" t="s">
        <v>2522</v>
      </c>
      <c r="B260" s="10"/>
      <c r="C260" s="10"/>
      <c r="D260" s="10"/>
      <c r="E260" s="10"/>
      <c r="F260" s="10"/>
      <c r="G260" s="10"/>
      <c r="H260" s="10"/>
      <c r="I260" s="10"/>
      <c r="J260" s="10"/>
      <c r="L260" t="s">
        <v>2522</v>
      </c>
      <c r="V260">
        <f t="shared" si="3"/>
        <v>0</v>
      </c>
    </row>
    <row r="261" spans="1:22" x14ac:dyDescent="0.25">
      <c r="A261" s="9" t="s">
        <v>2523</v>
      </c>
      <c r="B261" s="10">
        <v>1</v>
      </c>
      <c r="C261" s="10">
        <v>1</v>
      </c>
      <c r="D261" s="10">
        <v>1</v>
      </c>
      <c r="E261" s="10">
        <v>1</v>
      </c>
      <c r="F261" s="10">
        <v>1</v>
      </c>
      <c r="G261" s="10">
        <v>1</v>
      </c>
      <c r="H261" s="10">
        <v>1</v>
      </c>
      <c r="I261" s="10"/>
      <c r="J261" s="10">
        <v>1</v>
      </c>
      <c r="L261" t="s">
        <v>2523</v>
      </c>
      <c r="M261">
        <v>1</v>
      </c>
      <c r="N261">
        <v>1</v>
      </c>
      <c r="O261">
        <v>1</v>
      </c>
      <c r="P261">
        <v>1</v>
      </c>
      <c r="Q261">
        <v>1</v>
      </c>
      <c r="R261">
        <v>1</v>
      </c>
      <c r="S261">
        <v>1</v>
      </c>
      <c r="U261">
        <v>1</v>
      </c>
      <c r="V261">
        <f t="shared" si="3"/>
        <v>1</v>
      </c>
    </row>
  </sheetData>
  <autoFilter ref="L4:U261"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77"/>
  <sheetViews>
    <sheetView workbookViewId="0"/>
  </sheetViews>
  <sheetFormatPr defaultRowHeight="15" x14ac:dyDescent="0.25"/>
  <cols>
    <col min="2" max="2" width="22.5703125" bestFit="1" customWidth="1"/>
  </cols>
  <sheetData>
    <row r="1" spans="1:4" x14ac:dyDescent="0.25">
      <c r="A1" s="3" t="s">
        <v>1</v>
      </c>
      <c r="B1" s="3" t="s">
        <v>2</v>
      </c>
      <c r="C1" t="s">
        <v>2519</v>
      </c>
      <c r="D1" t="s">
        <v>2520</v>
      </c>
    </row>
    <row r="2" spans="1:4" x14ac:dyDescent="0.25">
      <c r="A2" s="5" t="s">
        <v>10</v>
      </c>
      <c r="B2" s="5" t="s">
        <v>11</v>
      </c>
      <c r="C2" t="str">
        <f>LEFT(A2,1)</f>
        <v>A</v>
      </c>
      <c r="D2">
        <v>1</v>
      </c>
    </row>
    <row r="3" spans="1:4" x14ac:dyDescent="0.25">
      <c r="A3" s="5" t="s">
        <v>10</v>
      </c>
      <c r="B3" s="5" t="s">
        <v>19</v>
      </c>
      <c r="C3" t="str">
        <f t="shared" ref="C3:C66" si="0">LEFT(A3,1)</f>
        <v>A</v>
      </c>
      <c r="D3">
        <v>1</v>
      </c>
    </row>
    <row r="4" spans="1:4" x14ac:dyDescent="0.25">
      <c r="A4" s="5" t="s">
        <v>10</v>
      </c>
      <c r="B4" s="5" t="s">
        <v>26</v>
      </c>
      <c r="C4" t="str">
        <f t="shared" si="0"/>
        <v>A</v>
      </c>
      <c r="D4">
        <v>1</v>
      </c>
    </row>
    <row r="5" spans="1:4" x14ac:dyDescent="0.25">
      <c r="A5" s="5" t="s">
        <v>10</v>
      </c>
      <c r="B5" s="5" t="s">
        <v>26</v>
      </c>
      <c r="C5" t="str">
        <f t="shared" si="0"/>
        <v>A</v>
      </c>
      <c r="D5">
        <v>1</v>
      </c>
    </row>
    <row r="6" spans="1:4" x14ac:dyDescent="0.25">
      <c r="A6" s="5" t="s">
        <v>10</v>
      </c>
      <c r="B6" s="5" t="s">
        <v>26</v>
      </c>
      <c r="C6" t="str">
        <f t="shared" si="0"/>
        <v>A</v>
      </c>
      <c r="D6">
        <v>1</v>
      </c>
    </row>
    <row r="7" spans="1:4" x14ac:dyDescent="0.25">
      <c r="A7" s="5" t="s">
        <v>132</v>
      </c>
      <c r="B7" s="5" t="s">
        <v>26</v>
      </c>
      <c r="C7" t="str">
        <f t="shared" si="0"/>
        <v>A</v>
      </c>
      <c r="D7">
        <v>1</v>
      </c>
    </row>
    <row r="8" spans="1:4" x14ac:dyDescent="0.25">
      <c r="A8" s="5" t="s">
        <v>1013</v>
      </c>
      <c r="B8" s="5" t="s">
        <v>26</v>
      </c>
      <c r="C8" t="str">
        <f t="shared" si="0"/>
        <v>B</v>
      </c>
      <c r="D8">
        <v>1</v>
      </c>
    </row>
    <row r="9" spans="1:4" x14ac:dyDescent="0.25">
      <c r="A9" s="5" t="s">
        <v>123</v>
      </c>
      <c r="B9" s="5" t="s">
        <v>26</v>
      </c>
      <c r="C9" t="str">
        <f t="shared" si="0"/>
        <v>B</v>
      </c>
      <c r="D9">
        <v>1</v>
      </c>
    </row>
    <row r="10" spans="1:4" x14ac:dyDescent="0.25">
      <c r="A10" s="5" t="s">
        <v>1402</v>
      </c>
      <c r="B10" s="5" t="s">
        <v>26</v>
      </c>
      <c r="C10" t="str">
        <f t="shared" si="0"/>
        <v>D</v>
      </c>
      <c r="D10">
        <v>1</v>
      </c>
    </row>
    <row r="11" spans="1:4" x14ac:dyDescent="0.25">
      <c r="A11" s="5" t="s">
        <v>132</v>
      </c>
      <c r="B11" s="5" t="s">
        <v>34</v>
      </c>
      <c r="C11" t="str">
        <f t="shared" si="0"/>
        <v>A</v>
      </c>
      <c r="D11">
        <v>1</v>
      </c>
    </row>
    <row r="12" spans="1:4" x14ac:dyDescent="0.25">
      <c r="A12" s="5" t="s">
        <v>132</v>
      </c>
      <c r="B12" s="5" t="s">
        <v>34</v>
      </c>
      <c r="C12" t="str">
        <f t="shared" si="0"/>
        <v>A</v>
      </c>
      <c r="D12">
        <v>1</v>
      </c>
    </row>
    <row r="13" spans="1:4" x14ac:dyDescent="0.25">
      <c r="A13" s="5" t="s">
        <v>132</v>
      </c>
      <c r="B13" s="5" t="s">
        <v>34</v>
      </c>
      <c r="C13" t="str">
        <f t="shared" si="0"/>
        <v>A</v>
      </c>
      <c r="D13">
        <v>1</v>
      </c>
    </row>
    <row r="14" spans="1:4" x14ac:dyDescent="0.25">
      <c r="A14" s="5" t="s">
        <v>1408</v>
      </c>
      <c r="B14" s="5" t="s">
        <v>34</v>
      </c>
      <c r="C14" t="str">
        <f t="shared" si="0"/>
        <v>A</v>
      </c>
      <c r="D14">
        <v>1</v>
      </c>
    </row>
    <row r="15" spans="1:4" x14ac:dyDescent="0.25">
      <c r="A15" s="5" t="s">
        <v>132</v>
      </c>
      <c r="B15" s="5" t="s">
        <v>34</v>
      </c>
      <c r="C15" t="str">
        <f t="shared" si="0"/>
        <v>A</v>
      </c>
      <c r="D15">
        <v>1</v>
      </c>
    </row>
    <row r="16" spans="1:4" x14ac:dyDescent="0.25">
      <c r="A16" s="5" t="s">
        <v>132</v>
      </c>
      <c r="B16" s="5" t="s">
        <v>34</v>
      </c>
      <c r="C16" t="str">
        <f t="shared" si="0"/>
        <v>A</v>
      </c>
      <c r="D16">
        <v>1</v>
      </c>
    </row>
    <row r="17" spans="1:4" x14ac:dyDescent="0.25">
      <c r="A17" s="5" t="s">
        <v>1415</v>
      </c>
      <c r="B17" s="5" t="s">
        <v>43</v>
      </c>
      <c r="C17" t="str">
        <f t="shared" si="0"/>
        <v>A</v>
      </c>
      <c r="D17">
        <v>1</v>
      </c>
    </row>
    <row r="18" spans="1:4" x14ac:dyDescent="0.25">
      <c r="A18" s="5" t="s">
        <v>1418</v>
      </c>
      <c r="B18" s="5" t="s">
        <v>43</v>
      </c>
      <c r="C18" t="str">
        <f t="shared" si="0"/>
        <v>A</v>
      </c>
      <c r="D18">
        <v>1</v>
      </c>
    </row>
    <row r="19" spans="1:4" x14ac:dyDescent="0.25">
      <c r="A19" s="5" t="s">
        <v>1415</v>
      </c>
      <c r="B19" s="5" t="s">
        <v>43</v>
      </c>
      <c r="C19" t="str">
        <f t="shared" si="0"/>
        <v>A</v>
      </c>
      <c r="D19">
        <v>1</v>
      </c>
    </row>
    <row r="20" spans="1:4" x14ac:dyDescent="0.25">
      <c r="A20" s="5" t="s">
        <v>132</v>
      </c>
      <c r="B20" s="5" t="s">
        <v>43</v>
      </c>
      <c r="C20" t="str">
        <f t="shared" si="0"/>
        <v>A</v>
      </c>
      <c r="D20">
        <v>1</v>
      </c>
    </row>
    <row r="21" spans="1:4" x14ac:dyDescent="0.25">
      <c r="A21" s="5" t="s">
        <v>1415</v>
      </c>
      <c r="B21" s="5" t="s">
        <v>43</v>
      </c>
      <c r="C21" t="str">
        <f t="shared" si="0"/>
        <v>A</v>
      </c>
      <c r="D21">
        <v>1</v>
      </c>
    </row>
    <row r="22" spans="1:4" x14ac:dyDescent="0.25">
      <c r="A22" s="5" t="s">
        <v>1415</v>
      </c>
      <c r="B22" s="5" t="s">
        <v>43</v>
      </c>
      <c r="C22" t="str">
        <f t="shared" si="0"/>
        <v>A</v>
      </c>
      <c r="D22">
        <v>1</v>
      </c>
    </row>
    <row r="23" spans="1:4" x14ac:dyDescent="0.25">
      <c r="A23" s="5" t="s">
        <v>1013</v>
      </c>
      <c r="B23" s="5" t="s">
        <v>43</v>
      </c>
      <c r="C23" t="str">
        <f t="shared" si="0"/>
        <v>B</v>
      </c>
      <c r="D23">
        <v>1</v>
      </c>
    </row>
    <row r="24" spans="1:4" x14ac:dyDescent="0.25">
      <c r="A24" s="5" t="s">
        <v>1013</v>
      </c>
      <c r="B24" s="5" t="s">
        <v>43</v>
      </c>
      <c r="C24" t="str">
        <f t="shared" si="0"/>
        <v>B</v>
      </c>
      <c r="D24">
        <v>1</v>
      </c>
    </row>
    <row r="25" spans="1:4" x14ac:dyDescent="0.25">
      <c r="A25" s="5" t="s">
        <v>132</v>
      </c>
      <c r="B25" s="5" t="s">
        <v>43</v>
      </c>
      <c r="C25" t="str">
        <f t="shared" si="0"/>
        <v>A</v>
      </c>
      <c r="D25">
        <v>1</v>
      </c>
    </row>
    <row r="26" spans="1:4" x14ac:dyDescent="0.25">
      <c r="A26" s="5" t="s">
        <v>1423</v>
      </c>
      <c r="B26" s="5" t="s">
        <v>43</v>
      </c>
      <c r="C26" t="str">
        <f t="shared" si="0"/>
        <v>C</v>
      </c>
      <c r="D26">
        <v>1</v>
      </c>
    </row>
    <row r="27" spans="1:4" x14ac:dyDescent="0.25">
      <c r="A27" s="5" t="s">
        <v>132</v>
      </c>
      <c r="B27" s="5" t="s">
        <v>43</v>
      </c>
      <c r="C27" t="str">
        <f t="shared" si="0"/>
        <v>A</v>
      </c>
      <c r="D27">
        <v>1</v>
      </c>
    </row>
    <row r="28" spans="1:4" x14ac:dyDescent="0.25">
      <c r="A28" s="5" t="s">
        <v>1428</v>
      </c>
      <c r="B28" s="5" t="s">
        <v>43</v>
      </c>
      <c r="C28" t="str">
        <f t="shared" si="0"/>
        <v>B</v>
      </c>
      <c r="D28">
        <v>1</v>
      </c>
    </row>
    <row r="29" spans="1:4" x14ac:dyDescent="0.25">
      <c r="A29" s="5" t="s">
        <v>132</v>
      </c>
      <c r="B29" s="5" t="s">
        <v>43</v>
      </c>
      <c r="C29" t="str">
        <f t="shared" si="0"/>
        <v>A</v>
      </c>
      <c r="D29">
        <v>1</v>
      </c>
    </row>
    <row r="30" spans="1:4" x14ac:dyDescent="0.25">
      <c r="A30" s="5" t="s">
        <v>1428</v>
      </c>
      <c r="B30" s="5" t="s">
        <v>43</v>
      </c>
      <c r="C30" t="str">
        <f t="shared" si="0"/>
        <v>B</v>
      </c>
      <c r="D30">
        <v>1</v>
      </c>
    </row>
    <row r="31" spans="1:4" x14ac:dyDescent="0.25">
      <c r="A31" s="5" t="s">
        <v>10</v>
      </c>
      <c r="B31" s="5" t="s">
        <v>43</v>
      </c>
      <c r="C31" t="str">
        <f t="shared" si="0"/>
        <v>A</v>
      </c>
      <c r="D31">
        <v>1</v>
      </c>
    </row>
    <row r="32" spans="1:4" x14ac:dyDescent="0.25">
      <c r="A32" s="5" t="s">
        <v>10</v>
      </c>
      <c r="B32" s="5" t="s">
        <v>43</v>
      </c>
      <c r="C32" t="str">
        <f t="shared" si="0"/>
        <v>A</v>
      </c>
      <c r="D32">
        <v>1</v>
      </c>
    </row>
    <row r="33" spans="1:4" x14ac:dyDescent="0.25">
      <c r="A33" s="5" t="s">
        <v>1013</v>
      </c>
      <c r="B33" s="5" t="s">
        <v>43</v>
      </c>
      <c r="C33" t="str">
        <f t="shared" si="0"/>
        <v>B</v>
      </c>
      <c r="D33">
        <v>1</v>
      </c>
    </row>
    <row r="34" spans="1:4" x14ac:dyDescent="0.25">
      <c r="A34" s="5" t="s">
        <v>10</v>
      </c>
      <c r="B34" s="5" t="s">
        <v>43</v>
      </c>
      <c r="C34" t="str">
        <f t="shared" si="0"/>
        <v>A</v>
      </c>
      <c r="D34">
        <v>1</v>
      </c>
    </row>
    <row r="35" spans="1:4" x14ac:dyDescent="0.25">
      <c r="A35" s="5" t="s">
        <v>123</v>
      </c>
      <c r="B35" s="5" t="s">
        <v>43</v>
      </c>
      <c r="C35" t="str">
        <f t="shared" si="0"/>
        <v>B</v>
      </c>
      <c r="D35">
        <v>1</v>
      </c>
    </row>
    <row r="36" spans="1:4" x14ac:dyDescent="0.25">
      <c r="A36" s="5" t="s">
        <v>10</v>
      </c>
      <c r="B36" s="5" t="s">
        <v>43</v>
      </c>
      <c r="C36" t="str">
        <f t="shared" si="0"/>
        <v>A</v>
      </c>
      <c r="D36">
        <v>1</v>
      </c>
    </row>
    <row r="37" spans="1:4" x14ac:dyDescent="0.25">
      <c r="A37" s="5" t="s">
        <v>1428</v>
      </c>
      <c r="B37" s="5" t="s">
        <v>43</v>
      </c>
      <c r="C37" t="str">
        <f t="shared" si="0"/>
        <v>B</v>
      </c>
      <c r="D37">
        <v>1</v>
      </c>
    </row>
    <row r="38" spans="1:4" x14ac:dyDescent="0.25">
      <c r="A38" s="5" t="s">
        <v>10</v>
      </c>
      <c r="B38" s="5" t="s">
        <v>43</v>
      </c>
      <c r="C38" t="str">
        <f t="shared" si="0"/>
        <v>A</v>
      </c>
      <c r="D38">
        <v>1</v>
      </c>
    </row>
    <row r="39" spans="1:4" x14ac:dyDescent="0.25">
      <c r="A39" s="5" t="s">
        <v>123</v>
      </c>
      <c r="B39" s="5" t="s">
        <v>43</v>
      </c>
      <c r="C39" t="str">
        <f t="shared" si="0"/>
        <v>B</v>
      </c>
      <c r="D39">
        <v>1</v>
      </c>
    </row>
    <row r="40" spans="1:4" x14ac:dyDescent="0.25">
      <c r="A40" s="5" t="s">
        <v>10</v>
      </c>
      <c r="B40" s="5" t="s">
        <v>43</v>
      </c>
      <c r="C40" t="str">
        <f t="shared" si="0"/>
        <v>A</v>
      </c>
      <c r="D40">
        <v>1</v>
      </c>
    </row>
    <row r="41" spans="1:4" x14ac:dyDescent="0.25">
      <c r="A41" s="5" t="s">
        <v>10</v>
      </c>
      <c r="B41" s="5" t="s">
        <v>43</v>
      </c>
      <c r="C41" t="str">
        <f t="shared" si="0"/>
        <v>A</v>
      </c>
      <c r="D41">
        <v>1</v>
      </c>
    </row>
    <row r="42" spans="1:4" x14ac:dyDescent="0.25">
      <c r="A42" s="5" t="s">
        <v>991</v>
      </c>
      <c r="B42" s="5" t="s">
        <v>43</v>
      </c>
      <c r="C42" t="str">
        <f t="shared" si="0"/>
        <v>C</v>
      </c>
      <c r="D42">
        <v>1</v>
      </c>
    </row>
    <row r="43" spans="1:4" x14ac:dyDescent="0.25">
      <c r="A43" s="5" t="s">
        <v>123</v>
      </c>
      <c r="B43" s="5" t="s">
        <v>43</v>
      </c>
      <c r="C43" t="str">
        <f t="shared" si="0"/>
        <v>B</v>
      </c>
      <c r="D43">
        <v>1</v>
      </c>
    </row>
    <row r="44" spans="1:4" x14ac:dyDescent="0.25">
      <c r="A44" s="5" t="s">
        <v>51</v>
      </c>
      <c r="B44" s="5" t="s">
        <v>50</v>
      </c>
      <c r="C44" t="str">
        <f t="shared" si="0"/>
        <v>C</v>
      </c>
      <c r="D44">
        <v>1</v>
      </c>
    </row>
    <row r="45" spans="1:4" x14ac:dyDescent="0.25">
      <c r="A45" s="5" t="s">
        <v>10</v>
      </c>
      <c r="B45" s="5" t="s">
        <v>60</v>
      </c>
      <c r="C45" t="str">
        <f t="shared" si="0"/>
        <v>A</v>
      </c>
      <c r="D45">
        <v>1</v>
      </c>
    </row>
    <row r="46" spans="1:4" x14ac:dyDescent="0.25">
      <c r="A46" s="5" t="s">
        <v>51</v>
      </c>
      <c r="B46" s="5" t="s">
        <v>60</v>
      </c>
      <c r="C46" t="str">
        <f t="shared" si="0"/>
        <v>C</v>
      </c>
      <c r="D46">
        <v>1</v>
      </c>
    </row>
    <row r="47" spans="1:4" x14ac:dyDescent="0.25">
      <c r="A47" s="5" t="s">
        <v>132</v>
      </c>
      <c r="B47" s="5" t="s">
        <v>63</v>
      </c>
      <c r="C47" t="str">
        <f t="shared" si="0"/>
        <v>A</v>
      </c>
      <c r="D47">
        <v>1</v>
      </c>
    </row>
    <row r="48" spans="1:4" x14ac:dyDescent="0.25">
      <c r="A48" s="5" t="s">
        <v>132</v>
      </c>
      <c r="B48" s="5" t="s">
        <v>63</v>
      </c>
      <c r="C48" t="str">
        <f t="shared" si="0"/>
        <v>A</v>
      </c>
      <c r="D48">
        <v>1</v>
      </c>
    </row>
    <row r="49" spans="1:4" x14ac:dyDescent="0.25">
      <c r="A49" s="5" t="s">
        <v>1408</v>
      </c>
      <c r="B49" s="5" t="s">
        <v>63</v>
      </c>
      <c r="C49" t="str">
        <f t="shared" si="0"/>
        <v>A</v>
      </c>
      <c r="D49">
        <v>1</v>
      </c>
    </row>
    <row r="50" spans="1:4" x14ac:dyDescent="0.25">
      <c r="A50" s="5" t="s">
        <v>10</v>
      </c>
      <c r="B50" s="5" t="s">
        <v>63</v>
      </c>
      <c r="C50" t="str">
        <f t="shared" si="0"/>
        <v>A</v>
      </c>
      <c r="D50">
        <v>1</v>
      </c>
    </row>
    <row r="51" spans="1:4" x14ac:dyDescent="0.25">
      <c r="A51" s="5" t="s">
        <v>1428</v>
      </c>
      <c r="B51" s="5" t="s">
        <v>63</v>
      </c>
      <c r="C51" t="str">
        <f t="shared" si="0"/>
        <v>B</v>
      </c>
      <c r="D51">
        <v>1</v>
      </c>
    </row>
    <row r="52" spans="1:4" x14ac:dyDescent="0.25">
      <c r="A52" s="5" t="s">
        <v>10</v>
      </c>
      <c r="B52" s="5" t="s">
        <v>63</v>
      </c>
      <c r="C52" t="str">
        <f t="shared" si="0"/>
        <v>A</v>
      </c>
      <c r="D52">
        <v>1</v>
      </c>
    </row>
    <row r="53" spans="1:4" x14ac:dyDescent="0.25">
      <c r="A53" s="5" t="s">
        <v>10</v>
      </c>
      <c r="B53" s="5" t="s">
        <v>63</v>
      </c>
      <c r="C53" t="str">
        <f t="shared" si="0"/>
        <v>A</v>
      </c>
      <c r="D53">
        <v>1</v>
      </c>
    </row>
    <row r="54" spans="1:4" x14ac:dyDescent="0.25">
      <c r="A54" s="5" t="s">
        <v>10</v>
      </c>
      <c r="B54" s="5" t="s">
        <v>63</v>
      </c>
      <c r="C54" t="str">
        <f t="shared" si="0"/>
        <v>A</v>
      </c>
      <c r="D54">
        <v>1</v>
      </c>
    </row>
    <row r="55" spans="1:4" x14ac:dyDescent="0.25">
      <c r="A55" s="5" t="s">
        <v>123</v>
      </c>
      <c r="B55" s="5" t="s">
        <v>63</v>
      </c>
      <c r="C55" t="str">
        <f t="shared" si="0"/>
        <v>B</v>
      </c>
      <c r="D55">
        <v>1</v>
      </c>
    </row>
    <row r="56" spans="1:4" x14ac:dyDescent="0.25">
      <c r="A56" s="5" t="s">
        <v>1415</v>
      </c>
      <c r="B56" s="5" t="s">
        <v>71</v>
      </c>
      <c r="C56" t="str">
        <f t="shared" si="0"/>
        <v>A</v>
      </c>
      <c r="D56">
        <v>1</v>
      </c>
    </row>
    <row r="57" spans="1:4" x14ac:dyDescent="0.25">
      <c r="A57" s="5" t="s">
        <v>1418</v>
      </c>
      <c r="B57" s="5" t="s">
        <v>71</v>
      </c>
      <c r="C57" t="str">
        <f t="shared" si="0"/>
        <v>A</v>
      </c>
      <c r="D57">
        <v>1</v>
      </c>
    </row>
    <row r="58" spans="1:4" x14ac:dyDescent="0.25">
      <c r="A58" s="5" t="s">
        <v>1415</v>
      </c>
      <c r="B58" s="5" t="s">
        <v>71</v>
      </c>
      <c r="C58" t="str">
        <f t="shared" si="0"/>
        <v>A</v>
      </c>
      <c r="D58">
        <v>1</v>
      </c>
    </row>
    <row r="59" spans="1:4" x14ac:dyDescent="0.25">
      <c r="A59" s="5" t="s">
        <v>132</v>
      </c>
      <c r="B59" s="5" t="s">
        <v>71</v>
      </c>
      <c r="C59" t="str">
        <f t="shared" si="0"/>
        <v>A</v>
      </c>
      <c r="D59">
        <v>1</v>
      </c>
    </row>
    <row r="60" spans="1:4" x14ac:dyDescent="0.25">
      <c r="A60" s="5" t="s">
        <v>132</v>
      </c>
      <c r="B60" s="5" t="s">
        <v>71</v>
      </c>
      <c r="C60" t="str">
        <f t="shared" si="0"/>
        <v>A</v>
      </c>
      <c r="D60">
        <v>1</v>
      </c>
    </row>
    <row r="61" spans="1:4" x14ac:dyDescent="0.25">
      <c r="A61" s="5" t="s">
        <v>132</v>
      </c>
      <c r="B61" s="5" t="s">
        <v>71</v>
      </c>
      <c r="C61" t="str">
        <f t="shared" si="0"/>
        <v>A</v>
      </c>
      <c r="D61">
        <v>1</v>
      </c>
    </row>
    <row r="62" spans="1:4" x14ac:dyDescent="0.25">
      <c r="A62" s="5" t="s">
        <v>1428</v>
      </c>
      <c r="B62" s="5" t="s">
        <v>71</v>
      </c>
      <c r="C62" t="str">
        <f t="shared" si="0"/>
        <v>B</v>
      </c>
      <c r="D62">
        <v>1</v>
      </c>
    </row>
    <row r="63" spans="1:4" x14ac:dyDescent="0.25">
      <c r="A63" s="5" t="s">
        <v>10</v>
      </c>
      <c r="B63" s="5" t="s">
        <v>71</v>
      </c>
      <c r="C63" t="str">
        <f t="shared" si="0"/>
        <v>A</v>
      </c>
      <c r="D63">
        <v>1</v>
      </c>
    </row>
    <row r="64" spans="1:4" x14ac:dyDescent="0.25">
      <c r="A64" s="5" t="s">
        <v>10</v>
      </c>
      <c r="B64" s="5" t="s">
        <v>71</v>
      </c>
      <c r="C64" t="str">
        <f t="shared" si="0"/>
        <v>A</v>
      </c>
      <c r="D64">
        <v>1</v>
      </c>
    </row>
    <row r="65" spans="1:4" x14ac:dyDescent="0.25">
      <c r="A65" s="5" t="s">
        <v>10</v>
      </c>
      <c r="B65" s="5" t="s">
        <v>71</v>
      </c>
      <c r="C65" t="str">
        <f t="shared" si="0"/>
        <v>A</v>
      </c>
      <c r="D65">
        <v>1</v>
      </c>
    </row>
    <row r="66" spans="1:4" x14ac:dyDescent="0.25">
      <c r="A66" s="5" t="s">
        <v>1415</v>
      </c>
      <c r="B66" s="5" t="s">
        <v>80</v>
      </c>
      <c r="C66" t="str">
        <f t="shared" si="0"/>
        <v>A</v>
      </c>
      <c r="D66">
        <v>1</v>
      </c>
    </row>
    <row r="67" spans="1:4" x14ac:dyDescent="0.25">
      <c r="A67" s="5" t="s">
        <v>1418</v>
      </c>
      <c r="B67" s="5" t="s">
        <v>80</v>
      </c>
      <c r="C67" t="str">
        <f t="shared" ref="C67:C130" si="1">LEFT(A67,1)</f>
        <v>A</v>
      </c>
      <c r="D67">
        <v>1</v>
      </c>
    </row>
    <row r="68" spans="1:4" x14ac:dyDescent="0.25">
      <c r="A68" s="5" t="s">
        <v>132</v>
      </c>
      <c r="B68" s="5" t="s">
        <v>80</v>
      </c>
      <c r="C68" t="str">
        <f t="shared" si="1"/>
        <v>A</v>
      </c>
      <c r="D68">
        <v>1</v>
      </c>
    </row>
    <row r="69" spans="1:4" x14ac:dyDescent="0.25">
      <c r="A69" s="5" t="s">
        <v>1423</v>
      </c>
      <c r="B69" s="5" t="s">
        <v>80</v>
      </c>
      <c r="C69" t="str">
        <f t="shared" si="1"/>
        <v>C</v>
      </c>
      <c r="D69">
        <v>1</v>
      </c>
    </row>
    <row r="70" spans="1:4" x14ac:dyDescent="0.25">
      <c r="A70" s="5" t="s">
        <v>132</v>
      </c>
      <c r="B70" s="5" t="s">
        <v>80</v>
      </c>
      <c r="C70" t="str">
        <f t="shared" si="1"/>
        <v>A</v>
      </c>
      <c r="D70">
        <v>1</v>
      </c>
    </row>
    <row r="71" spans="1:4" x14ac:dyDescent="0.25">
      <c r="A71" s="5" t="s">
        <v>1428</v>
      </c>
      <c r="B71" s="5" t="s">
        <v>80</v>
      </c>
      <c r="C71" t="str">
        <f t="shared" si="1"/>
        <v>B</v>
      </c>
      <c r="D71">
        <v>1</v>
      </c>
    </row>
    <row r="72" spans="1:4" x14ac:dyDescent="0.25">
      <c r="A72" s="5" t="s">
        <v>10</v>
      </c>
      <c r="B72" s="5" t="s">
        <v>80</v>
      </c>
      <c r="C72" t="str">
        <f t="shared" si="1"/>
        <v>A</v>
      </c>
      <c r="D72">
        <v>1</v>
      </c>
    </row>
    <row r="73" spans="1:4" x14ac:dyDescent="0.25">
      <c r="A73" s="5" t="s">
        <v>123</v>
      </c>
      <c r="B73" s="5" t="s">
        <v>80</v>
      </c>
      <c r="C73" t="str">
        <f t="shared" si="1"/>
        <v>B</v>
      </c>
      <c r="D73">
        <v>1</v>
      </c>
    </row>
    <row r="74" spans="1:4" x14ac:dyDescent="0.25">
      <c r="A74" s="5" t="s">
        <v>10</v>
      </c>
      <c r="B74" s="5" t="s">
        <v>80</v>
      </c>
      <c r="C74" t="str">
        <f t="shared" si="1"/>
        <v>A</v>
      </c>
      <c r="D74">
        <v>1</v>
      </c>
    </row>
    <row r="75" spans="1:4" x14ac:dyDescent="0.25">
      <c r="A75" s="5" t="s">
        <v>10</v>
      </c>
      <c r="B75" s="5" t="s">
        <v>80</v>
      </c>
      <c r="C75" t="str">
        <f t="shared" si="1"/>
        <v>A</v>
      </c>
      <c r="D75">
        <v>1</v>
      </c>
    </row>
    <row r="76" spans="1:4" x14ac:dyDescent="0.25">
      <c r="A76" s="5" t="s">
        <v>10</v>
      </c>
      <c r="B76" s="5" t="s">
        <v>80</v>
      </c>
      <c r="C76" t="str">
        <f t="shared" si="1"/>
        <v>A</v>
      </c>
      <c r="D76">
        <v>1</v>
      </c>
    </row>
    <row r="77" spans="1:4" x14ac:dyDescent="0.25">
      <c r="A77" s="5" t="s">
        <v>10</v>
      </c>
      <c r="B77" s="5" t="s">
        <v>80</v>
      </c>
      <c r="C77" t="str">
        <f t="shared" si="1"/>
        <v>A</v>
      </c>
      <c r="D77">
        <v>1</v>
      </c>
    </row>
    <row r="78" spans="1:4" x14ac:dyDescent="0.25">
      <c r="A78" s="5" t="s">
        <v>132</v>
      </c>
      <c r="B78" s="5" t="s">
        <v>87</v>
      </c>
      <c r="C78" t="str">
        <f t="shared" si="1"/>
        <v>A</v>
      </c>
      <c r="D78">
        <v>1</v>
      </c>
    </row>
    <row r="79" spans="1:4" x14ac:dyDescent="0.25">
      <c r="A79" s="5" t="s">
        <v>1013</v>
      </c>
      <c r="B79" s="5" t="s">
        <v>87</v>
      </c>
      <c r="C79" t="str">
        <f t="shared" si="1"/>
        <v>B</v>
      </c>
      <c r="D79">
        <v>1</v>
      </c>
    </row>
    <row r="80" spans="1:4" x14ac:dyDescent="0.25">
      <c r="A80" s="5" t="s">
        <v>991</v>
      </c>
      <c r="B80" s="5" t="s">
        <v>87</v>
      </c>
      <c r="C80" t="str">
        <f t="shared" si="1"/>
        <v>C</v>
      </c>
      <c r="D80">
        <v>1</v>
      </c>
    </row>
    <row r="81" spans="1:4" x14ac:dyDescent="0.25">
      <c r="A81" s="5" t="s">
        <v>51</v>
      </c>
      <c r="B81" s="5" t="s">
        <v>93</v>
      </c>
      <c r="C81" t="str">
        <f t="shared" si="1"/>
        <v>C</v>
      </c>
      <c r="D81">
        <v>1</v>
      </c>
    </row>
    <row r="82" spans="1:4" x14ac:dyDescent="0.25">
      <c r="A82" s="5" t="s">
        <v>51</v>
      </c>
      <c r="B82" s="5" t="s">
        <v>100</v>
      </c>
      <c r="C82" t="str">
        <f t="shared" si="1"/>
        <v>C</v>
      </c>
      <c r="D82">
        <v>1</v>
      </c>
    </row>
    <row r="83" spans="1:4" x14ac:dyDescent="0.25">
      <c r="A83" s="5" t="s">
        <v>132</v>
      </c>
      <c r="B83" s="5" t="s">
        <v>100</v>
      </c>
      <c r="C83" t="str">
        <f t="shared" si="1"/>
        <v>A</v>
      </c>
      <c r="D83">
        <v>1</v>
      </c>
    </row>
    <row r="84" spans="1:4" x14ac:dyDescent="0.25">
      <c r="A84" s="5" t="s">
        <v>132</v>
      </c>
      <c r="B84" s="5" t="s">
        <v>100</v>
      </c>
      <c r="C84" t="str">
        <f t="shared" si="1"/>
        <v>A</v>
      </c>
      <c r="D84">
        <v>1</v>
      </c>
    </row>
    <row r="85" spans="1:4" x14ac:dyDescent="0.25">
      <c r="A85" s="5" t="s">
        <v>132</v>
      </c>
      <c r="B85" s="5" t="s">
        <v>100</v>
      </c>
      <c r="C85" t="str">
        <f t="shared" si="1"/>
        <v>A</v>
      </c>
      <c r="D85">
        <v>1</v>
      </c>
    </row>
    <row r="86" spans="1:4" x14ac:dyDescent="0.25">
      <c r="A86" s="5" t="s">
        <v>1415</v>
      </c>
      <c r="B86" s="5" t="s">
        <v>100</v>
      </c>
      <c r="C86" t="str">
        <f t="shared" si="1"/>
        <v>A</v>
      </c>
      <c r="D86">
        <v>1</v>
      </c>
    </row>
    <row r="87" spans="1:4" x14ac:dyDescent="0.25">
      <c r="A87" s="5" t="s">
        <v>1418</v>
      </c>
      <c r="B87" s="5" t="s">
        <v>100</v>
      </c>
      <c r="C87" t="str">
        <f t="shared" si="1"/>
        <v>A</v>
      </c>
      <c r="D87">
        <v>1</v>
      </c>
    </row>
    <row r="88" spans="1:4" x14ac:dyDescent="0.25">
      <c r="A88" s="5" t="s">
        <v>1415</v>
      </c>
      <c r="B88" s="5" t="s">
        <v>100</v>
      </c>
      <c r="C88" t="str">
        <f t="shared" si="1"/>
        <v>A</v>
      </c>
      <c r="D88">
        <v>1</v>
      </c>
    </row>
    <row r="89" spans="1:4" x14ac:dyDescent="0.25">
      <c r="A89" s="5" t="s">
        <v>1408</v>
      </c>
      <c r="B89" s="5" t="s">
        <v>100</v>
      </c>
      <c r="C89" t="str">
        <f t="shared" si="1"/>
        <v>A</v>
      </c>
      <c r="D89">
        <v>1</v>
      </c>
    </row>
    <row r="90" spans="1:4" x14ac:dyDescent="0.25">
      <c r="A90" s="5" t="s">
        <v>10</v>
      </c>
      <c r="B90" s="5" t="s">
        <v>100</v>
      </c>
      <c r="C90" t="str">
        <f t="shared" si="1"/>
        <v>A</v>
      </c>
      <c r="D90">
        <v>1</v>
      </c>
    </row>
    <row r="91" spans="1:4" x14ac:dyDescent="0.25">
      <c r="A91" s="5" t="s">
        <v>10</v>
      </c>
      <c r="B91" s="5" t="s">
        <v>100</v>
      </c>
      <c r="C91" t="str">
        <f t="shared" si="1"/>
        <v>A</v>
      </c>
      <c r="D91">
        <v>1</v>
      </c>
    </row>
    <row r="92" spans="1:4" x14ac:dyDescent="0.25">
      <c r="A92" s="5" t="s">
        <v>51</v>
      </c>
      <c r="B92" s="5" t="s">
        <v>106</v>
      </c>
      <c r="C92" t="str">
        <f t="shared" si="1"/>
        <v>C</v>
      </c>
      <c r="D92">
        <v>1</v>
      </c>
    </row>
    <row r="93" spans="1:4" x14ac:dyDescent="0.25">
      <c r="A93" s="5" t="s">
        <v>51</v>
      </c>
      <c r="B93" s="5" t="s">
        <v>110</v>
      </c>
      <c r="C93" t="str">
        <f t="shared" si="1"/>
        <v>C</v>
      </c>
      <c r="D93">
        <v>1</v>
      </c>
    </row>
    <row r="94" spans="1:4" x14ac:dyDescent="0.25">
      <c r="A94" s="5" t="s">
        <v>132</v>
      </c>
      <c r="B94" s="5" t="s">
        <v>115</v>
      </c>
      <c r="C94" t="str">
        <f t="shared" si="1"/>
        <v>A</v>
      </c>
      <c r="D94">
        <v>1</v>
      </c>
    </row>
    <row r="95" spans="1:4" x14ac:dyDescent="0.25">
      <c r="A95" s="5" t="s">
        <v>132</v>
      </c>
      <c r="B95" s="5" t="s">
        <v>115</v>
      </c>
      <c r="C95" t="str">
        <f t="shared" si="1"/>
        <v>A</v>
      </c>
      <c r="D95">
        <v>1</v>
      </c>
    </row>
    <row r="96" spans="1:4" x14ac:dyDescent="0.25">
      <c r="A96" s="5" t="s">
        <v>1510</v>
      </c>
      <c r="B96" s="5" t="s">
        <v>115</v>
      </c>
      <c r="C96" t="str">
        <f t="shared" si="1"/>
        <v>A</v>
      </c>
      <c r="D96">
        <v>1</v>
      </c>
    </row>
    <row r="97" spans="1:4" x14ac:dyDescent="0.25">
      <c r="A97" s="5" t="s">
        <v>123</v>
      </c>
      <c r="B97" s="5" t="s">
        <v>122</v>
      </c>
      <c r="C97" t="str">
        <f t="shared" si="1"/>
        <v>B</v>
      </c>
      <c r="D97">
        <v>1</v>
      </c>
    </row>
    <row r="98" spans="1:4" x14ac:dyDescent="0.25">
      <c r="A98" s="5" t="s">
        <v>51</v>
      </c>
      <c r="B98" s="5" t="s">
        <v>127</v>
      </c>
      <c r="C98" t="str">
        <f t="shared" si="1"/>
        <v>C</v>
      </c>
      <c r="D98">
        <v>1</v>
      </c>
    </row>
    <row r="99" spans="1:4" x14ac:dyDescent="0.25">
      <c r="A99" s="5" t="s">
        <v>132</v>
      </c>
      <c r="B99" s="5" t="s">
        <v>131</v>
      </c>
      <c r="C99" t="str">
        <f t="shared" si="1"/>
        <v>A</v>
      </c>
      <c r="D99">
        <v>1</v>
      </c>
    </row>
    <row r="100" spans="1:4" x14ac:dyDescent="0.25">
      <c r="A100" s="5" t="s">
        <v>10</v>
      </c>
      <c r="B100" s="5" t="s">
        <v>136</v>
      </c>
      <c r="C100" t="str">
        <f t="shared" si="1"/>
        <v>A</v>
      </c>
      <c r="D100">
        <v>1</v>
      </c>
    </row>
    <row r="101" spans="1:4" x14ac:dyDescent="0.25">
      <c r="A101" s="5" t="s">
        <v>123</v>
      </c>
      <c r="B101" s="5" t="s">
        <v>143</v>
      </c>
      <c r="C101" t="str">
        <f t="shared" si="1"/>
        <v>B</v>
      </c>
      <c r="D101">
        <v>1</v>
      </c>
    </row>
    <row r="102" spans="1:4" x14ac:dyDescent="0.25">
      <c r="A102" s="5" t="s">
        <v>123</v>
      </c>
      <c r="B102" s="5" t="s">
        <v>143</v>
      </c>
      <c r="C102" t="str">
        <f t="shared" si="1"/>
        <v>B</v>
      </c>
      <c r="D102">
        <v>1</v>
      </c>
    </row>
    <row r="103" spans="1:4" x14ac:dyDescent="0.25">
      <c r="A103" s="5" t="s">
        <v>132</v>
      </c>
      <c r="B103" s="5" t="s">
        <v>143</v>
      </c>
      <c r="C103" t="str">
        <f t="shared" si="1"/>
        <v>A</v>
      </c>
      <c r="D103">
        <v>1</v>
      </c>
    </row>
    <row r="104" spans="1:4" x14ac:dyDescent="0.25">
      <c r="A104" s="5" t="s">
        <v>1013</v>
      </c>
      <c r="B104" s="5" t="s">
        <v>143</v>
      </c>
      <c r="C104" t="str">
        <f t="shared" si="1"/>
        <v>B</v>
      </c>
      <c r="D104">
        <v>1</v>
      </c>
    </row>
    <row r="105" spans="1:4" x14ac:dyDescent="0.25">
      <c r="A105" s="5" t="s">
        <v>10</v>
      </c>
      <c r="B105" s="5" t="s">
        <v>143</v>
      </c>
      <c r="C105" t="str">
        <f t="shared" si="1"/>
        <v>A</v>
      </c>
      <c r="D105">
        <v>1</v>
      </c>
    </row>
    <row r="106" spans="1:4" x14ac:dyDescent="0.25">
      <c r="A106" s="5" t="s">
        <v>132</v>
      </c>
      <c r="B106" s="5" t="s">
        <v>143</v>
      </c>
      <c r="C106" t="str">
        <f t="shared" si="1"/>
        <v>A</v>
      </c>
      <c r="D106">
        <v>1</v>
      </c>
    </row>
    <row r="107" spans="1:4" x14ac:dyDescent="0.25">
      <c r="A107" s="5" t="s">
        <v>1013</v>
      </c>
      <c r="B107" s="5" t="s">
        <v>143</v>
      </c>
      <c r="C107" t="str">
        <f t="shared" si="1"/>
        <v>B</v>
      </c>
      <c r="D107">
        <v>1</v>
      </c>
    </row>
    <row r="108" spans="1:4" x14ac:dyDescent="0.25">
      <c r="A108" s="5" t="s">
        <v>10</v>
      </c>
      <c r="B108" s="5" t="s">
        <v>143</v>
      </c>
      <c r="C108" t="str">
        <f t="shared" si="1"/>
        <v>A</v>
      </c>
      <c r="D108">
        <v>1</v>
      </c>
    </row>
    <row r="109" spans="1:4" x14ac:dyDescent="0.25">
      <c r="A109" s="5" t="s">
        <v>1428</v>
      </c>
      <c r="B109" s="5" t="s">
        <v>143</v>
      </c>
      <c r="C109" t="str">
        <f t="shared" si="1"/>
        <v>B</v>
      </c>
      <c r="D109">
        <v>1</v>
      </c>
    </row>
    <row r="110" spans="1:4" x14ac:dyDescent="0.25">
      <c r="A110" s="5" t="s">
        <v>10</v>
      </c>
      <c r="B110" s="5" t="s">
        <v>143</v>
      </c>
      <c r="C110" t="str">
        <f t="shared" si="1"/>
        <v>A</v>
      </c>
      <c r="D110">
        <v>1</v>
      </c>
    </row>
    <row r="111" spans="1:4" x14ac:dyDescent="0.25">
      <c r="A111" s="5" t="s">
        <v>1428</v>
      </c>
      <c r="B111" s="5" t="s">
        <v>143</v>
      </c>
      <c r="C111" t="str">
        <f t="shared" si="1"/>
        <v>B</v>
      </c>
      <c r="D111">
        <v>1</v>
      </c>
    </row>
    <row r="112" spans="1:4" x14ac:dyDescent="0.25">
      <c r="A112" s="5" t="s">
        <v>10</v>
      </c>
      <c r="B112" s="5" t="s">
        <v>143</v>
      </c>
      <c r="C112" t="str">
        <f t="shared" si="1"/>
        <v>A</v>
      </c>
      <c r="D112">
        <v>1</v>
      </c>
    </row>
    <row r="113" spans="1:4" x14ac:dyDescent="0.25">
      <c r="A113" s="5" t="s">
        <v>1527</v>
      </c>
      <c r="B113" s="5" t="s">
        <v>143</v>
      </c>
      <c r="C113" t="str">
        <f t="shared" si="1"/>
        <v>T</v>
      </c>
      <c r="D113">
        <v>1</v>
      </c>
    </row>
    <row r="114" spans="1:4" x14ac:dyDescent="0.25">
      <c r="A114" s="5" t="s">
        <v>1402</v>
      </c>
      <c r="B114" s="5" t="s">
        <v>143</v>
      </c>
      <c r="C114" t="str">
        <f t="shared" si="1"/>
        <v>D</v>
      </c>
      <c r="D114">
        <v>1</v>
      </c>
    </row>
    <row r="115" spans="1:4" x14ac:dyDescent="0.25">
      <c r="A115" s="5" t="s">
        <v>1529</v>
      </c>
      <c r="B115" s="5" t="s">
        <v>143</v>
      </c>
      <c r="C115" t="str">
        <f t="shared" si="1"/>
        <v>T</v>
      </c>
      <c r="D115">
        <v>1</v>
      </c>
    </row>
    <row r="116" spans="1:4" x14ac:dyDescent="0.25">
      <c r="A116" s="5" t="s">
        <v>1531</v>
      </c>
      <c r="B116" s="5" t="s">
        <v>143</v>
      </c>
      <c r="C116" t="str">
        <f t="shared" si="1"/>
        <v>T</v>
      </c>
      <c r="D116">
        <v>1</v>
      </c>
    </row>
    <row r="117" spans="1:4" x14ac:dyDescent="0.25">
      <c r="A117" s="5" t="s">
        <v>1531</v>
      </c>
      <c r="B117" s="5" t="s">
        <v>143</v>
      </c>
      <c r="C117" t="str">
        <f t="shared" si="1"/>
        <v>T</v>
      </c>
      <c r="D117">
        <v>1</v>
      </c>
    </row>
    <row r="118" spans="1:4" x14ac:dyDescent="0.25">
      <c r="A118" s="5" t="s">
        <v>1423</v>
      </c>
      <c r="B118" s="5" t="s">
        <v>143</v>
      </c>
      <c r="C118" t="str">
        <f t="shared" si="1"/>
        <v>C</v>
      </c>
      <c r="D118">
        <v>1</v>
      </c>
    </row>
    <row r="119" spans="1:4" x14ac:dyDescent="0.25">
      <c r="A119" s="5" t="s">
        <v>51</v>
      </c>
      <c r="B119" s="5" t="s">
        <v>150</v>
      </c>
      <c r="C119" t="str">
        <f t="shared" si="1"/>
        <v>C</v>
      </c>
      <c r="D119">
        <v>1</v>
      </c>
    </row>
    <row r="120" spans="1:4" x14ac:dyDescent="0.25">
      <c r="A120" s="5" t="s">
        <v>10</v>
      </c>
      <c r="B120" s="5" t="s">
        <v>153</v>
      </c>
      <c r="C120" t="str">
        <f t="shared" si="1"/>
        <v>A</v>
      </c>
      <c r="D120">
        <v>1</v>
      </c>
    </row>
    <row r="121" spans="1:4" x14ac:dyDescent="0.25">
      <c r="A121" s="5" t="s">
        <v>132</v>
      </c>
      <c r="B121" s="5" t="s">
        <v>160</v>
      </c>
      <c r="C121" t="str">
        <f t="shared" si="1"/>
        <v>A</v>
      </c>
      <c r="D121">
        <v>1</v>
      </c>
    </row>
    <row r="122" spans="1:4" x14ac:dyDescent="0.25">
      <c r="A122" s="5" t="s">
        <v>132</v>
      </c>
      <c r="B122" s="5" t="s">
        <v>160</v>
      </c>
      <c r="C122" t="str">
        <f t="shared" si="1"/>
        <v>A</v>
      </c>
      <c r="D122">
        <v>1</v>
      </c>
    </row>
    <row r="123" spans="1:4" x14ac:dyDescent="0.25">
      <c r="A123" s="5" t="s">
        <v>132</v>
      </c>
      <c r="B123" s="5" t="s">
        <v>168</v>
      </c>
      <c r="C123" t="str">
        <f t="shared" si="1"/>
        <v>A</v>
      </c>
      <c r="D123">
        <v>1</v>
      </c>
    </row>
    <row r="124" spans="1:4" x14ac:dyDescent="0.25">
      <c r="A124" s="5" t="s">
        <v>1541</v>
      </c>
      <c r="B124" s="5" t="s">
        <v>168</v>
      </c>
      <c r="C124" t="str">
        <f t="shared" si="1"/>
        <v>A</v>
      </c>
      <c r="D124">
        <v>1</v>
      </c>
    </row>
    <row r="125" spans="1:4" x14ac:dyDescent="0.25">
      <c r="A125" s="5" t="s">
        <v>132</v>
      </c>
      <c r="B125" s="5" t="s">
        <v>168</v>
      </c>
      <c r="C125" t="str">
        <f t="shared" si="1"/>
        <v>A</v>
      </c>
      <c r="D125">
        <v>1</v>
      </c>
    </row>
    <row r="126" spans="1:4" x14ac:dyDescent="0.25">
      <c r="A126" s="5" t="s">
        <v>10</v>
      </c>
      <c r="B126" s="5" t="s">
        <v>172</v>
      </c>
      <c r="C126" t="str">
        <f t="shared" si="1"/>
        <v>A</v>
      </c>
      <c r="D126">
        <v>1</v>
      </c>
    </row>
    <row r="127" spans="1:4" x14ac:dyDescent="0.25">
      <c r="A127" s="5" t="s">
        <v>10</v>
      </c>
      <c r="B127" s="5" t="s">
        <v>177</v>
      </c>
      <c r="C127" t="str">
        <f t="shared" si="1"/>
        <v>A</v>
      </c>
      <c r="D127">
        <v>1</v>
      </c>
    </row>
    <row r="128" spans="1:4" x14ac:dyDescent="0.25">
      <c r="A128" s="5" t="s">
        <v>10</v>
      </c>
      <c r="B128" s="5" t="s">
        <v>180</v>
      </c>
      <c r="C128" t="str">
        <f t="shared" si="1"/>
        <v>A</v>
      </c>
      <c r="D128">
        <v>1</v>
      </c>
    </row>
    <row r="129" spans="1:4" x14ac:dyDescent="0.25">
      <c r="A129" s="5" t="s">
        <v>10</v>
      </c>
      <c r="B129" s="5" t="s">
        <v>183</v>
      </c>
      <c r="C129" t="str">
        <f t="shared" si="1"/>
        <v>A</v>
      </c>
      <c r="D129">
        <v>1</v>
      </c>
    </row>
    <row r="130" spans="1:4" x14ac:dyDescent="0.25">
      <c r="A130" s="5" t="s">
        <v>10</v>
      </c>
      <c r="B130" s="5" t="s">
        <v>186</v>
      </c>
      <c r="C130" t="str">
        <f t="shared" si="1"/>
        <v>A</v>
      </c>
      <c r="D130">
        <v>1</v>
      </c>
    </row>
    <row r="131" spans="1:4" x14ac:dyDescent="0.25">
      <c r="A131" s="5" t="s">
        <v>10</v>
      </c>
      <c r="B131" s="5" t="s">
        <v>191</v>
      </c>
      <c r="C131" t="str">
        <f t="shared" ref="C131:C194" si="2">LEFT(A131,1)</f>
        <v>A</v>
      </c>
      <c r="D131">
        <v>1</v>
      </c>
    </row>
    <row r="132" spans="1:4" x14ac:dyDescent="0.25">
      <c r="A132" s="5" t="s">
        <v>10</v>
      </c>
      <c r="B132" s="5" t="s">
        <v>196</v>
      </c>
      <c r="C132" t="str">
        <f t="shared" si="2"/>
        <v>A</v>
      </c>
      <c r="D132">
        <v>1</v>
      </c>
    </row>
    <row r="133" spans="1:4" x14ac:dyDescent="0.25">
      <c r="A133" s="5" t="s">
        <v>10</v>
      </c>
      <c r="B133" s="5" t="s">
        <v>200</v>
      </c>
      <c r="C133" t="str">
        <f t="shared" si="2"/>
        <v>A</v>
      </c>
      <c r="D133">
        <v>1</v>
      </c>
    </row>
    <row r="134" spans="1:4" x14ac:dyDescent="0.25">
      <c r="A134" s="5" t="s">
        <v>10</v>
      </c>
      <c r="B134" s="5" t="s">
        <v>204</v>
      </c>
      <c r="C134" t="str">
        <f t="shared" si="2"/>
        <v>A</v>
      </c>
      <c r="D134">
        <v>1</v>
      </c>
    </row>
    <row r="135" spans="1:4" x14ac:dyDescent="0.25">
      <c r="A135" s="5" t="s">
        <v>10</v>
      </c>
      <c r="B135" s="5" t="s">
        <v>208</v>
      </c>
      <c r="C135" t="str">
        <f t="shared" si="2"/>
        <v>A</v>
      </c>
      <c r="D135">
        <v>1</v>
      </c>
    </row>
    <row r="136" spans="1:4" x14ac:dyDescent="0.25">
      <c r="A136" s="5" t="s">
        <v>10</v>
      </c>
      <c r="B136" s="5" t="s">
        <v>211</v>
      </c>
      <c r="C136" t="str">
        <f t="shared" si="2"/>
        <v>A</v>
      </c>
      <c r="D136">
        <v>1</v>
      </c>
    </row>
    <row r="137" spans="1:4" x14ac:dyDescent="0.25">
      <c r="A137" s="5" t="s">
        <v>10</v>
      </c>
      <c r="B137" s="5" t="s">
        <v>213</v>
      </c>
      <c r="C137" t="str">
        <f t="shared" si="2"/>
        <v>A</v>
      </c>
      <c r="D137">
        <v>1</v>
      </c>
    </row>
    <row r="138" spans="1:4" x14ac:dyDescent="0.25">
      <c r="A138" s="5" t="s">
        <v>10</v>
      </c>
      <c r="B138" s="5" t="s">
        <v>215</v>
      </c>
      <c r="C138" t="str">
        <f t="shared" si="2"/>
        <v>A</v>
      </c>
      <c r="D138">
        <v>1</v>
      </c>
    </row>
    <row r="139" spans="1:4" x14ac:dyDescent="0.25">
      <c r="A139" s="5" t="s">
        <v>10</v>
      </c>
      <c r="B139" s="5" t="s">
        <v>217</v>
      </c>
      <c r="C139" t="str">
        <f t="shared" si="2"/>
        <v>A</v>
      </c>
      <c r="D139">
        <v>1</v>
      </c>
    </row>
    <row r="140" spans="1:4" x14ac:dyDescent="0.25">
      <c r="A140" s="5" t="s">
        <v>10</v>
      </c>
      <c r="B140" s="5" t="s">
        <v>219</v>
      </c>
      <c r="C140" t="str">
        <f t="shared" si="2"/>
        <v>A</v>
      </c>
      <c r="D140">
        <v>1</v>
      </c>
    </row>
    <row r="141" spans="1:4" x14ac:dyDescent="0.25">
      <c r="A141" s="5" t="s">
        <v>222</v>
      </c>
      <c r="B141" s="5" t="s">
        <v>221</v>
      </c>
      <c r="C141" t="str">
        <f t="shared" si="2"/>
        <v>U</v>
      </c>
      <c r="D141">
        <v>1</v>
      </c>
    </row>
    <row r="142" spans="1:4" x14ac:dyDescent="0.25">
      <c r="A142" s="5" t="s">
        <v>10</v>
      </c>
      <c r="B142" s="5" t="s">
        <v>227</v>
      </c>
      <c r="C142" t="str">
        <f t="shared" si="2"/>
        <v>A</v>
      </c>
      <c r="D142">
        <v>1</v>
      </c>
    </row>
    <row r="143" spans="1:4" x14ac:dyDescent="0.25">
      <c r="A143" s="5" t="s">
        <v>132</v>
      </c>
      <c r="B143" s="5" t="s">
        <v>233</v>
      </c>
      <c r="C143" t="str">
        <f t="shared" si="2"/>
        <v>A</v>
      </c>
      <c r="D143">
        <v>1</v>
      </c>
    </row>
    <row r="144" spans="1:4" x14ac:dyDescent="0.25">
      <c r="A144" s="5" t="s">
        <v>10</v>
      </c>
      <c r="B144" s="5" t="s">
        <v>233</v>
      </c>
      <c r="C144" t="str">
        <f t="shared" si="2"/>
        <v>A</v>
      </c>
      <c r="D144">
        <v>1</v>
      </c>
    </row>
    <row r="145" spans="1:4" x14ac:dyDescent="0.25">
      <c r="A145" s="5" t="s">
        <v>132</v>
      </c>
      <c r="B145" s="5" t="s">
        <v>240</v>
      </c>
      <c r="C145" t="str">
        <f t="shared" si="2"/>
        <v>A</v>
      </c>
      <c r="D145">
        <v>1</v>
      </c>
    </row>
    <row r="146" spans="1:4" x14ac:dyDescent="0.25">
      <c r="A146" s="5" t="s">
        <v>10</v>
      </c>
      <c r="B146" s="5" t="s">
        <v>240</v>
      </c>
      <c r="C146" t="str">
        <f t="shared" si="2"/>
        <v>A</v>
      </c>
      <c r="D146">
        <v>1</v>
      </c>
    </row>
    <row r="147" spans="1:4" x14ac:dyDescent="0.25">
      <c r="A147" s="5" t="s">
        <v>132</v>
      </c>
      <c r="B147" s="5" t="s">
        <v>245</v>
      </c>
      <c r="C147" t="str">
        <f t="shared" si="2"/>
        <v>A</v>
      </c>
      <c r="D147">
        <v>1</v>
      </c>
    </row>
    <row r="148" spans="1:4" x14ac:dyDescent="0.25">
      <c r="A148" s="5" t="s">
        <v>10</v>
      </c>
      <c r="B148" s="5" t="s">
        <v>245</v>
      </c>
      <c r="C148" t="str">
        <f t="shared" si="2"/>
        <v>A</v>
      </c>
      <c r="D148">
        <v>1</v>
      </c>
    </row>
    <row r="149" spans="1:4" x14ac:dyDescent="0.25">
      <c r="A149" s="5" t="s">
        <v>10</v>
      </c>
      <c r="B149" s="5" t="s">
        <v>248</v>
      </c>
      <c r="C149" t="str">
        <f t="shared" si="2"/>
        <v>A</v>
      </c>
      <c r="D149">
        <v>1</v>
      </c>
    </row>
    <row r="150" spans="1:4" x14ac:dyDescent="0.25">
      <c r="A150" s="5" t="s">
        <v>132</v>
      </c>
      <c r="B150" s="5" t="s">
        <v>254</v>
      </c>
      <c r="C150" t="str">
        <f t="shared" si="2"/>
        <v>A</v>
      </c>
      <c r="D150">
        <v>1</v>
      </c>
    </row>
    <row r="151" spans="1:4" x14ac:dyDescent="0.25">
      <c r="A151" s="5" t="s">
        <v>132</v>
      </c>
      <c r="B151" s="5" t="s">
        <v>254</v>
      </c>
      <c r="C151" t="str">
        <f t="shared" si="2"/>
        <v>A</v>
      </c>
      <c r="D151">
        <v>1</v>
      </c>
    </row>
    <row r="152" spans="1:4" x14ac:dyDescent="0.25">
      <c r="A152" s="5" t="s">
        <v>10</v>
      </c>
      <c r="B152" s="5" t="s">
        <v>254</v>
      </c>
      <c r="C152" t="str">
        <f t="shared" si="2"/>
        <v>A</v>
      </c>
      <c r="D152">
        <v>1</v>
      </c>
    </row>
    <row r="153" spans="1:4" x14ac:dyDescent="0.25">
      <c r="A153" s="5" t="s">
        <v>132</v>
      </c>
      <c r="B153" s="5" t="s">
        <v>260</v>
      </c>
      <c r="C153" t="str">
        <f t="shared" si="2"/>
        <v>A</v>
      </c>
      <c r="D153">
        <v>1</v>
      </c>
    </row>
    <row r="154" spans="1:4" x14ac:dyDescent="0.25">
      <c r="A154" s="5" t="s">
        <v>132</v>
      </c>
      <c r="B154" s="5" t="s">
        <v>260</v>
      </c>
      <c r="C154" t="str">
        <f t="shared" si="2"/>
        <v>A</v>
      </c>
      <c r="D154">
        <v>1</v>
      </c>
    </row>
    <row r="155" spans="1:4" x14ac:dyDescent="0.25">
      <c r="A155" s="5" t="s">
        <v>10</v>
      </c>
      <c r="B155" s="5" t="s">
        <v>260</v>
      </c>
      <c r="C155" t="str">
        <f t="shared" si="2"/>
        <v>A</v>
      </c>
      <c r="D155">
        <v>1</v>
      </c>
    </row>
    <row r="156" spans="1:4" x14ac:dyDescent="0.25">
      <c r="A156" s="5" t="s">
        <v>123</v>
      </c>
      <c r="B156" s="5" t="s">
        <v>260</v>
      </c>
      <c r="C156" t="str">
        <f t="shared" si="2"/>
        <v>B</v>
      </c>
      <c r="D156">
        <v>1</v>
      </c>
    </row>
    <row r="157" spans="1:4" x14ac:dyDescent="0.25">
      <c r="A157" s="5" t="s">
        <v>222</v>
      </c>
      <c r="B157" s="5" t="s">
        <v>266</v>
      </c>
      <c r="C157" t="str">
        <f t="shared" si="2"/>
        <v>U</v>
      </c>
      <c r="D157">
        <v>1</v>
      </c>
    </row>
    <row r="158" spans="1:4" x14ac:dyDescent="0.25">
      <c r="A158" s="5" t="s">
        <v>10</v>
      </c>
      <c r="B158" s="5" t="s">
        <v>271</v>
      </c>
      <c r="C158" t="str">
        <f t="shared" si="2"/>
        <v>A</v>
      </c>
      <c r="D158">
        <v>1</v>
      </c>
    </row>
    <row r="159" spans="1:4" x14ac:dyDescent="0.25">
      <c r="A159" s="5" t="s">
        <v>10</v>
      </c>
      <c r="B159" s="5" t="s">
        <v>276</v>
      </c>
      <c r="C159" t="str">
        <f t="shared" si="2"/>
        <v>A</v>
      </c>
      <c r="D159">
        <v>1</v>
      </c>
    </row>
    <row r="160" spans="1:4" x14ac:dyDescent="0.25">
      <c r="A160" s="5" t="s">
        <v>132</v>
      </c>
      <c r="B160" s="5" t="s">
        <v>283</v>
      </c>
      <c r="C160" t="str">
        <f t="shared" si="2"/>
        <v>A</v>
      </c>
      <c r="D160">
        <v>1</v>
      </c>
    </row>
    <row r="161" spans="1:4" x14ac:dyDescent="0.25">
      <c r="A161" s="5" t="s">
        <v>132</v>
      </c>
      <c r="B161" s="5" t="s">
        <v>283</v>
      </c>
      <c r="C161" t="str">
        <f t="shared" si="2"/>
        <v>A</v>
      </c>
      <c r="D161">
        <v>1</v>
      </c>
    </row>
    <row r="162" spans="1:4" x14ac:dyDescent="0.25">
      <c r="A162" s="5" t="s">
        <v>132</v>
      </c>
      <c r="B162" s="5" t="s">
        <v>283</v>
      </c>
      <c r="C162" t="str">
        <f t="shared" si="2"/>
        <v>A</v>
      </c>
      <c r="D162">
        <v>1</v>
      </c>
    </row>
    <row r="163" spans="1:4" x14ac:dyDescent="0.25">
      <c r="A163" s="5" t="s">
        <v>132</v>
      </c>
      <c r="B163" s="5" t="s">
        <v>283</v>
      </c>
      <c r="C163" t="str">
        <f t="shared" si="2"/>
        <v>A</v>
      </c>
      <c r="D163">
        <v>1</v>
      </c>
    </row>
    <row r="164" spans="1:4" x14ac:dyDescent="0.25">
      <c r="A164" s="5" t="s">
        <v>10</v>
      </c>
      <c r="B164" s="5" t="s">
        <v>283</v>
      </c>
      <c r="C164" t="str">
        <f t="shared" si="2"/>
        <v>A</v>
      </c>
      <c r="D164">
        <v>1</v>
      </c>
    </row>
    <row r="165" spans="1:4" x14ac:dyDescent="0.25">
      <c r="A165" s="5" t="s">
        <v>132</v>
      </c>
      <c r="B165" s="5" t="s">
        <v>291</v>
      </c>
      <c r="C165" t="str">
        <f t="shared" si="2"/>
        <v>A</v>
      </c>
      <c r="D165">
        <v>1</v>
      </c>
    </row>
    <row r="166" spans="1:4" x14ac:dyDescent="0.25">
      <c r="A166" s="5" t="s">
        <v>132</v>
      </c>
      <c r="B166" s="5" t="s">
        <v>291</v>
      </c>
      <c r="C166" t="str">
        <f t="shared" si="2"/>
        <v>A</v>
      </c>
      <c r="D166">
        <v>1</v>
      </c>
    </row>
    <row r="167" spans="1:4" x14ac:dyDescent="0.25">
      <c r="A167" s="5" t="s">
        <v>132</v>
      </c>
      <c r="B167" s="5" t="s">
        <v>291</v>
      </c>
      <c r="C167" t="str">
        <f t="shared" si="2"/>
        <v>A</v>
      </c>
      <c r="D167">
        <v>1</v>
      </c>
    </row>
    <row r="168" spans="1:4" x14ac:dyDescent="0.25">
      <c r="A168" s="5" t="s">
        <v>132</v>
      </c>
      <c r="B168" s="5" t="s">
        <v>291</v>
      </c>
      <c r="C168" t="str">
        <f t="shared" si="2"/>
        <v>A</v>
      </c>
      <c r="D168">
        <v>1</v>
      </c>
    </row>
    <row r="169" spans="1:4" x14ac:dyDescent="0.25">
      <c r="A169" s="5" t="s">
        <v>132</v>
      </c>
      <c r="B169" s="5" t="s">
        <v>296</v>
      </c>
      <c r="C169" t="str">
        <f t="shared" si="2"/>
        <v>A</v>
      </c>
      <c r="D169">
        <v>1</v>
      </c>
    </row>
    <row r="170" spans="1:4" x14ac:dyDescent="0.25">
      <c r="A170" s="5" t="s">
        <v>132</v>
      </c>
      <c r="B170" s="5" t="s">
        <v>296</v>
      </c>
      <c r="C170" t="str">
        <f t="shared" si="2"/>
        <v>A</v>
      </c>
      <c r="D170">
        <v>1</v>
      </c>
    </row>
    <row r="171" spans="1:4" x14ac:dyDescent="0.25">
      <c r="A171" s="5" t="s">
        <v>10</v>
      </c>
      <c r="B171" s="5" t="s">
        <v>296</v>
      </c>
      <c r="C171" t="str">
        <f t="shared" si="2"/>
        <v>A</v>
      </c>
      <c r="D171">
        <v>1</v>
      </c>
    </row>
    <row r="172" spans="1:4" x14ac:dyDescent="0.25">
      <c r="A172" s="5" t="s">
        <v>132</v>
      </c>
      <c r="B172" s="5" t="s">
        <v>302</v>
      </c>
      <c r="C172" t="str">
        <f t="shared" si="2"/>
        <v>A</v>
      </c>
      <c r="D172">
        <v>1</v>
      </c>
    </row>
    <row r="173" spans="1:4" x14ac:dyDescent="0.25">
      <c r="A173" s="5" t="s">
        <v>132</v>
      </c>
      <c r="B173" s="5" t="s">
        <v>302</v>
      </c>
      <c r="C173" t="str">
        <f t="shared" si="2"/>
        <v>A</v>
      </c>
      <c r="D173">
        <v>1</v>
      </c>
    </row>
    <row r="174" spans="1:4" x14ac:dyDescent="0.25">
      <c r="A174" s="5" t="s">
        <v>10</v>
      </c>
      <c r="B174" s="5" t="s">
        <v>302</v>
      </c>
      <c r="C174" t="str">
        <f t="shared" si="2"/>
        <v>A</v>
      </c>
      <c r="D174">
        <v>1</v>
      </c>
    </row>
    <row r="175" spans="1:4" x14ac:dyDescent="0.25">
      <c r="A175" s="5" t="s">
        <v>132</v>
      </c>
      <c r="B175" s="5" t="s">
        <v>307</v>
      </c>
      <c r="C175" t="str">
        <f t="shared" si="2"/>
        <v>A</v>
      </c>
      <c r="D175">
        <v>1</v>
      </c>
    </row>
    <row r="176" spans="1:4" x14ac:dyDescent="0.25">
      <c r="A176" s="5" t="s">
        <v>132</v>
      </c>
      <c r="B176" s="5" t="s">
        <v>307</v>
      </c>
      <c r="C176" t="str">
        <f t="shared" si="2"/>
        <v>A</v>
      </c>
      <c r="D176">
        <v>1</v>
      </c>
    </row>
    <row r="177" spans="1:4" x14ac:dyDescent="0.25">
      <c r="A177" s="5" t="s">
        <v>10</v>
      </c>
      <c r="B177" s="5" t="s">
        <v>307</v>
      </c>
      <c r="C177" t="str">
        <f t="shared" si="2"/>
        <v>A</v>
      </c>
      <c r="D177">
        <v>1</v>
      </c>
    </row>
    <row r="178" spans="1:4" x14ac:dyDescent="0.25">
      <c r="A178" s="5" t="s">
        <v>10</v>
      </c>
      <c r="B178" s="5" t="s">
        <v>311</v>
      </c>
      <c r="C178" t="str">
        <f t="shared" si="2"/>
        <v>A</v>
      </c>
      <c r="D178">
        <v>1</v>
      </c>
    </row>
    <row r="179" spans="1:4" x14ac:dyDescent="0.25">
      <c r="A179" s="5" t="s">
        <v>132</v>
      </c>
      <c r="B179" s="5" t="s">
        <v>317</v>
      </c>
      <c r="C179" t="str">
        <f t="shared" si="2"/>
        <v>A</v>
      </c>
      <c r="D179">
        <v>1</v>
      </c>
    </row>
    <row r="180" spans="1:4" x14ac:dyDescent="0.25">
      <c r="A180" s="5" t="s">
        <v>132</v>
      </c>
      <c r="B180" s="5" t="s">
        <v>317</v>
      </c>
      <c r="C180" t="str">
        <f t="shared" si="2"/>
        <v>A</v>
      </c>
      <c r="D180">
        <v>1</v>
      </c>
    </row>
    <row r="181" spans="1:4" x14ac:dyDescent="0.25">
      <c r="A181" s="5" t="s">
        <v>132</v>
      </c>
      <c r="B181" s="5" t="s">
        <v>325</v>
      </c>
      <c r="C181" t="str">
        <f t="shared" si="2"/>
        <v>A</v>
      </c>
      <c r="D181">
        <v>1</v>
      </c>
    </row>
    <row r="182" spans="1:4" x14ac:dyDescent="0.25">
      <c r="A182" s="5" t="s">
        <v>132</v>
      </c>
      <c r="B182" s="5" t="s">
        <v>325</v>
      </c>
      <c r="C182" t="str">
        <f t="shared" si="2"/>
        <v>A</v>
      </c>
      <c r="D182">
        <v>1</v>
      </c>
    </row>
    <row r="183" spans="1:4" x14ac:dyDescent="0.25">
      <c r="A183" s="5" t="s">
        <v>132</v>
      </c>
      <c r="B183" s="5" t="s">
        <v>325</v>
      </c>
      <c r="C183" t="str">
        <f t="shared" si="2"/>
        <v>A</v>
      </c>
      <c r="D183">
        <v>1</v>
      </c>
    </row>
    <row r="184" spans="1:4" x14ac:dyDescent="0.25">
      <c r="A184" s="5" t="s">
        <v>132</v>
      </c>
      <c r="B184" s="5" t="s">
        <v>325</v>
      </c>
      <c r="C184" t="str">
        <f t="shared" si="2"/>
        <v>A</v>
      </c>
      <c r="D184">
        <v>1</v>
      </c>
    </row>
    <row r="185" spans="1:4" x14ac:dyDescent="0.25">
      <c r="A185" s="5" t="s">
        <v>132</v>
      </c>
      <c r="B185" s="5" t="s">
        <v>325</v>
      </c>
      <c r="C185" t="str">
        <f t="shared" si="2"/>
        <v>A</v>
      </c>
      <c r="D185">
        <v>1</v>
      </c>
    </row>
    <row r="186" spans="1:4" x14ac:dyDescent="0.25">
      <c r="A186" s="5" t="s">
        <v>132</v>
      </c>
      <c r="B186" s="5" t="s">
        <v>325</v>
      </c>
      <c r="C186" t="str">
        <f t="shared" si="2"/>
        <v>A</v>
      </c>
      <c r="D186">
        <v>1</v>
      </c>
    </row>
    <row r="187" spans="1:4" x14ac:dyDescent="0.25">
      <c r="A187" s="5" t="s">
        <v>132</v>
      </c>
      <c r="B187" s="5" t="s">
        <v>325</v>
      </c>
      <c r="C187" t="str">
        <f t="shared" si="2"/>
        <v>A</v>
      </c>
      <c r="D187">
        <v>1</v>
      </c>
    </row>
    <row r="188" spans="1:4" x14ac:dyDescent="0.25">
      <c r="A188" s="5" t="s">
        <v>1415</v>
      </c>
      <c r="B188" s="5" t="s">
        <v>325</v>
      </c>
      <c r="C188" t="str">
        <f t="shared" si="2"/>
        <v>A</v>
      </c>
      <c r="D188">
        <v>1</v>
      </c>
    </row>
    <row r="189" spans="1:4" x14ac:dyDescent="0.25">
      <c r="A189" s="5" t="s">
        <v>132</v>
      </c>
      <c r="B189" s="5" t="s">
        <v>325</v>
      </c>
      <c r="C189" t="str">
        <f t="shared" si="2"/>
        <v>A</v>
      </c>
      <c r="D189">
        <v>1</v>
      </c>
    </row>
    <row r="190" spans="1:4" x14ac:dyDescent="0.25">
      <c r="A190" s="5" t="s">
        <v>132</v>
      </c>
      <c r="B190" s="5" t="s">
        <v>325</v>
      </c>
      <c r="C190" t="str">
        <f t="shared" si="2"/>
        <v>A</v>
      </c>
      <c r="D190">
        <v>1</v>
      </c>
    </row>
    <row r="191" spans="1:4" x14ac:dyDescent="0.25">
      <c r="A191" s="5" t="s">
        <v>1415</v>
      </c>
      <c r="B191" s="5" t="s">
        <v>325</v>
      </c>
      <c r="C191" t="str">
        <f t="shared" si="2"/>
        <v>A</v>
      </c>
      <c r="D191">
        <v>1</v>
      </c>
    </row>
    <row r="192" spans="1:4" x14ac:dyDescent="0.25">
      <c r="A192" s="5" t="s">
        <v>132</v>
      </c>
      <c r="B192" s="5" t="s">
        <v>325</v>
      </c>
      <c r="C192" t="str">
        <f t="shared" si="2"/>
        <v>A</v>
      </c>
      <c r="D192">
        <v>1</v>
      </c>
    </row>
    <row r="193" spans="1:4" x14ac:dyDescent="0.25">
      <c r="A193" s="5" t="s">
        <v>10</v>
      </c>
      <c r="B193" s="5" t="s">
        <v>325</v>
      </c>
      <c r="C193" t="str">
        <f t="shared" si="2"/>
        <v>A</v>
      </c>
      <c r="D193">
        <v>1</v>
      </c>
    </row>
    <row r="194" spans="1:4" x14ac:dyDescent="0.25">
      <c r="A194" s="5" t="s">
        <v>10</v>
      </c>
      <c r="B194" s="5" t="s">
        <v>325</v>
      </c>
      <c r="C194" t="str">
        <f t="shared" si="2"/>
        <v>A</v>
      </c>
      <c r="D194">
        <v>1</v>
      </c>
    </row>
    <row r="195" spans="1:4" x14ac:dyDescent="0.25">
      <c r="A195" s="5" t="s">
        <v>10</v>
      </c>
      <c r="B195" s="5" t="s">
        <v>325</v>
      </c>
      <c r="C195" t="str">
        <f t="shared" ref="C195:C258" si="3">LEFT(A195,1)</f>
        <v>A</v>
      </c>
      <c r="D195">
        <v>1</v>
      </c>
    </row>
    <row r="196" spans="1:4" x14ac:dyDescent="0.25">
      <c r="A196" s="5" t="s">
        <v>10</v>
      </c>
      <c r="B196" s="5" t="s">
        <v>331</v>
      </c>
      <c r="C196" t="str">
        <f t="shared" si="3"/>
        <v>A</v>
      </c>
      <c r="D196">
        <v>1</v>
      </c>
    </row>
    <row r="197" spans="1:4" x14ac:dyDescent="0.25">
      <c r="A197" s="5" t="s">
        <v>10</v>
      </c>
      <c r="B197" s="5" t="s">
        <v>335</v>
      </c>
      <c r="C197" t="str">
        <f t="shared" si="3"/>
        <v>A</v>
      </c>
      <c r="D197">
        <v>1</v>
      </c>
    </row>
    <row r="198" spans="1:4" x14ac:dyDescent="0.25">
      <c r="A198" s="5" t="s">
        <v>10</v>
      </c>
      <c r="B198" s="5" t="s">
        <v>338</v>
      </c>
      <c r="C198" t="str">
        <f t="shared" si="3"/>
        <v>A</v>
      </c>
      <c r="D198">
        <v>1</v>
      </c>
    </row>
    <row r="199" spans="1:4" x14ac:dyDescent="0.25">
      <c r="A199" s="5" t="s">
        <v>10</v>
      </c>
      <c r="B199" s="5" t="s">
        <v>342</v>
      </c>
      <c r="C199" t="str">
        <f t="shared" si="3"/>
        <v>A</v>
      </c>
      <c r="D199">
        <v>1</v>
      </c>
    </row>
    <row r="200" spans="1:4" x14ac:dyDescent="0.25">
      <c r="A200" s="5" t="s">
        <v>10</v>
      </c>
      <c r="B200" s="5" t="s">
        <v>345</v>
      </c>
      <c r="C200" t="str">
        <f t="shared" si="3"/>
        <v>A</v>
      </c>
      <c r="D200">
        <v>1</v>
      </c>
    </row>
    <row r="201" spans="1:4" x14ac:dyDescent="0.25">
      <c r="A201" s="5" t="s">
        <v>10</v>
      </c>
      <c r="B201" s="5" t="s">
        <v>349</v>
      </c>
      <c r="C201" t="str">
        <f t="shared" si="3"/>
        <v>A</v>
      </c>
      <c r="D201">
        <v>1</v>
      </c>
    </row>
    <row r="202" spans="1:4" x14ac:dyDescent="0.25">
      <c r="A202" s="5" t="s">
        <v>10</v>
      </c>
      <c r="B202" s="5" t="s">
        <v>352</v>
      </c>
      <c r="C202" t="str">
        <f t="shared" si="3"/>
        <v>A</v>
      </c>
      <c r="D202">
        <v>1</v>
      </c>
    </row>
    <row r="203" spans="1:4" x14ac:dyDescent="0.25">
      <c r="A203" s="5" t="s">
        <v>10</v>
      </c>
      <c r="B203" s="5" t="s">
        <v>355</v>
      </c>
      <c r="C203" t="str">
        <f t="shared" si="3"/>
        <v>A</v>
      </c>
      <c r="D203">
        <v>1</v>
      </c>
    </row>
    <row r="204" spans="1:4" x14ac:dyDescent="0.25">
      <c r="A204" s="5" t="s">
        <v>10</v>
      </c>
      <c r="B204" s="5" t="s">
        <v>358</v>
      </c>
      <c r="C204" t="str">
        <f t="shared" si="3"/>
        <v>A</v>
      </c>
      <c r="D204">
        <v>1</v>
      </c>
    </row>
    <row r="205" spans="1:4" x14ac:dyDescent="0.25">
      <c r="A205" s="5" t="s">
        <v>10</v>
      </c>
      <c r="B205" s="5" t="s">
        <v>361</v>
      </c>
      <c r="C205" t="str">
        <f t="shared" si="3"/>
        <v>A</v>
      </c>
      <c r="D205">
        <v>1</v>
      </c>
    </row>
    <row r="206" spans="1:4" x14ac:dyDescent="0.25">
      <c r="A206" s="5" t="s">
        <v>10</v>
      </c>
      <c r="B206" s="5" t="s">
        <v>364</v>
      </c>
      <c r="C206" t="str">
        <f t="shared" si="3"/>
        <v>A</v>
      </c>
      <c r="D206">
        <v>1</v>
      </c>
    </row>
    <row r="207" spans="1:4" x14ac:dyDescent="0.25">
      <c r="A207" s="5" t="s">
        <v>10</v>
      </c>
      <c r="B207" s="5" t="s">
        <v>369</v>
      </c>
      <c r="C207" t="str">
        <f t="shared" si="3"/>
        <v>A</v>
      </c>
      <c r="D207">
        <v>1</v>
      </c>
    </row>
    <row r="208" spans="1:4" x14ac:dyDescent="0.25">
      <c r="A208" s="5" t="s">
        <v>10</v>
      </c>
      <c r="B208" s="5" t="s">
        <v>374</v>
      </c>
      <c r="C208" t="str">
        <f t="shared" si="3"/>
        <v>A</v>
      </c>
      <c r="D208">
        <v>1</v>
      </c>
    </row>
    <row r="209" spans="1:4" x14ac:dyDescent="0.25">
      <c r="A209" s="5" t="s">
        <v>10</v>
      </c>
      <c r="B209" s="5" t="s">
        <v>378</v>
      </c>
      <c r="C209" t="str">
        <f t="shared" si="3"/>
        <v>A</v>
      </c>
      <c r="D209">
        <v>1</v>
      </c>
    </row>
    <row r="210" spans="1:4" x14ac:dyDescent="0.25">
      <c r="A210" s="5" t="s">
        <v>10</v>
      </c>
      <c r="B210" s="5" t="s">
        <v>382</v>
      </c>
      <c r="C210" t="str">
        <f t="shared" si="3"/>
        <v>A</v>
      </c>
      <c r="D210">
        <v>1</v>
      </c>
    </row>
    <row r="211" spans="1:4" x14ac:dyDescent="0.25">
      <c r="A211" s="5" t="s">
        <v>10</v>
      </c>
      <c r="B211" s="5" t="s">
        <v>384</v>
      </c>
      <c r="C211" t="str">
        <f t="shared" si="3"/>
        <v>A</v>
      </c>
      <c r="D211">
        <v>1</v>
      </c>
    </row>
    <row r="212" spans="1:4" x14ac:dyDescent="0.25">
      <c r="A212" s="5" t="s">
        <v>10</v>
      </c>
      <c r="B212" s="5" t="s">
        <v>387</v>
      </c>
      <c r="C212" t="str">
        <f t="shared" si="3"/>
        <v>A</v>
      </c>
      <c r="D212">
        <v>1</v>
      </c>
    </row>
    <row r="213" spans="1:4" x14ac:dyDescent="0.25">
      <c r="A213" s="5" t="s">
        <v>10</v>
      </c>
      <c r="B213" s="5" t="s">
        <v>389</v>
      </c>
      <c r="C213" t="str">
        <f t="shared" si="3"/>
        <v>A</v>
      </c>
      <c r="D213">
        <v>1</v>
      </c>
    </row>
    <row r="214" spans="1:4" x14ac:dyDescent="0.25">
      <c r="A214" s="5" t="s">
        <v>10</v>
      </c>
      <c r="B214" s="5" t="s">
        <v>391</v>
      </c>
      <c r="C214" t="str">
        <f t="shared" si="3"/>
        <v>A</v>
      </c>
      <c r="D214">
        <v>1</v>
      </c>
    </row>
    <row r="215" spans="1:4" x14ac:dyDescent="0.25">
      <c r="A215" s="5" t="s">
        <v>10</v>
      </c>
      <c r="B215" s="5" t="s">
        <v>393</v>
      </c>
      <c r="C215" t="str">
        <f t="shared" si="3"/>
        <v>A</v>
      </c>
      <c r="D215">
        <v>1</v>
      </c>
    </row>
    <row r="216" spans="1:4" x14ac:dyDescent="0.25">
      <c r="A216" s="5" t="s">
        <v>10</v>
      </c>
      <c r="B216" s="5" t="s">
        <v>395</v>
      </c>
      <c r="C216" t="str">
        <f t="shared" si="3"/>
        <v>A</v>
      </c>
      <c r="D216">
        <v>1</v>
      </c>
    </row>
    <row r="217" spans="1:4" x14ac:dyDescent="0.25">
      <c r="A217" s="5" t="s">
        <v>10</v>
      </c>
      <c r="B217" s="5" t="s">
        <v>400</v>
      </c>
      <c r="C217" t="str">
        <f t="shared" si="3"/>
        <v>A</v>
      </c>
      <c r="D217">
        <v>1</v>
      </c>
    </row>
    <row r="218" spans="1:4" x14ac:dyDescent="0.25">
      <c r="A218" s="5" t="s">
        <v>10</v>
      </c>
      <c r="B218" s="5" t="s">
        <v>404</v>
      </c>
      <c r="C218" t="str">
        <f t="shared" si="3"/>
        <v>A</v>
      </c>
      <c r="D218">
        <v>1</v>
      </c>
    </row>
    <row r="219" spans="1:4" x14ac:dyDescent="0.25">
      <c r="A219" s="5" t="s">
        <v>10</v>
      </c>
      <c r="B219" s="5" t="s">
        <v>408</v>
      </c>
      <c r="C219" t="str">
        <f t="shared" si="3"/>
        <v>A</v>
      </c>
      <c r="D219">
        <v>1</v>
      </c>
    </row>
    <row r="220" spans="1:4" x14ac:dyDescent="0.25">
      <c r="A220" s="5" t="s">
        <v>132</v>
      </c>
      <c r="B220" s="5" t="s">
        <v>415</v>
      </c>
      <c r="C220" t="str">
        <f t="shared" si="3"/>
        <v>A</v>
      </c>
      <c r="D220">
        <v>1</v>
      </c>
    </row>
    <row r="221" spans="1:4" x14ac:dyDescent="0.25">
      <c r="A221" s="5" t="s">
        <v>132</v>
      </c>
      <c r="B221" s="5" t="s">
        <v>415</v>
      </c>
      <c r="C221" t="str">
        <f t="shared" si="3"/>
        <v>A</v>
      </c>
      <c r="D221">
        <v>1</v>
      </c>
    </row>
    <row r="222" spans="1:4" x14ac:dyDescent="0.25">
      <c r="A222" s="5" t="s">
        <v>1428</v>
      </c>
      <c r="B222" s="5" t="s">
        <v>415</v>
      </c>
      <c r="C222" t="str">
        <f t="shared" si="3"/>
        <v>B</v>
      </c>
      <c r="D222">
        <v>1</v>
      </c>
    </row>
    <row r="223" spans="1:4" x14ac:dyDescent="0.25">
      <c r="A223" s="5" t="s">
        <v>10</v>
      </c>
      <c r="B223" s="5" t="s">
        <v>415</v>
      </c>
      <c r="C223" t="str">
        <f t="shared" si="3"/>
        <v>A</v>
      </c>
      <c r="D223">
        <v>1</v>
      </c>
    </row>
    <row r="224" spans="1:4" x14ac:dyDescent="0.25">
      <c r="A224" s="5" t="s">
        <v>10</v>
      </c>
      <c r="B224" s="5" t="s">
        <v>415</v>
      </c>
      <c r="C224" t="str">
        <f t="shared" si="3"/>
        <v>A</v>
      </c>
      <c r="D224">
        <v>1</v>
      </c>
    </row>
    <row r="225" spans="1:4" x14ac:dyDescent="0.25">
      <c r="A225" s="5" t="s">
        <v>10</v>
      </c>
      <c r="B225" s="5" t="s">
        <v>421</v>
      </c>
      <c r="C225" t="str">
        <f t="shared" si="3"/>
        <v>A</v>
      </c>
      <c r="D225">
        <v>1</v>
      </c>
    </row>
    <row r="226" spans="1:4" x14ac:dyDescent="0.25">
      <c r="A226" s="5" t="s">
        <v>51</v>
      </c>
      <c r="B226" s="5" t="s">
        <v>426</v>
      </c>
      <c r="C226" t="str">
        <f t="shared" si="3"/>
        <v>C</v>
      </c>
      <c r="D226">
        <v>1</v>
      </c>
    </row>
    <row r="227" spans="1:4" x14ac:dyDescent="0.25">
      <c r="A227" s="5" t="s">
        <v>132</v>
      </c>
      <c r="B227" s="5" t="s">
        <v>432</v>
      </c>
      <c r="C227" t="str">
        <f t="shared" si="3"/>
        <v>A</v>
      </c>
      <c r="D227">
        <v>1</v>
      </c>
    </row>
    <row r="228" spans="1:4" x14ac:dyDescent="0.25">
      <c r="A228" s="5" t="s">
        <v>132</v>
      </c>
      <c r="B228" s="5" t="s">
        <v>432</v>
      </c>
      <c r="C228" t="str">
        <f t="shared" si="3"/>
        <v>A</v>
      </c>
      <c r="D228">
        <v>1</v>
      </c>
    </row>
    <row r="229" spans="1:4" x14ac:dyDescent="0.25">
      <c r="A229" s="5" t="s">
        <v>132</v>
      </c>
      <c r="B229" s="5" t="s">
        <v>432</v>
      </c>
      <c r="C229" t="str">
        <f t="shared" si="3"/>
        <v>A</v>
      </c>
      <c r="D229">
        <v>1</v>
      </c>
    </row>
    <row r="230" spans="1:4" x14ac:dyDescent="0.25">
      <c r="A230" s="5" t="s">
        <v>132</v>
      </c>
      <c r="B230" s="5" t="s">
        <v>432</v>
      </c>
      <c r="C230" t="str">
        <f t="shared" si="3"/>
        <v>A</v>
      </c>
      <c r="D230">
        <v>1</v>
      </c>
    </row>
    <row r="231" spans="1:4" x14ac:dyDescent="0.25">
      <c r="A231" s="5" t="s">
        <v>132</v>
      </c>
      <c r="B231" s="5" t="s">
        <v>432</v>
      </c>
      <c r="C231" t="str">
        <f t="shared" si="3"/>
        <v>A</v>
      </c>
      <c r="D231">
        <v>1</v>
      </c>
    </row>
    <row r="232" spans="1:4" x14ac:dyDescent="0.25">
      <c r="A232" s="5" t="s">
        <v>132</v>
      </c>
      <c r="B232" s="5" t="s">
        <v>432</v>
      </c>
      <c r="C232" t="str">
        <f t="shared" si="3"/>
        <v>A</v>
      </c>
      <c r="D232">
        <v>1</v>
      </c>
    </row>
    <row r="233" spans="1:4" x14ac:dyDescent="0.25">
      <c r="A233" s="5" t="s">
        <v>132</v>
      </c>
      <c r="B233" s="5" t="s">
        <v>432</v>
      </c>
      <c r="C233" t="str">
        <f t="shared" si="3"/>
        <v>A</v>
      </c>
      <c r="D233">
        <v>1</v>
      </c>
    </row>
    <row r="234" spans="1:4" x14ac:dyDescent="0.25">
      <c r="A234" s="5" t="s">
        <v>132</v>
      </c>
      <c r="B234" s="5" t="s">
        <v>432</v>
      </c>
      <c r="C234" t="str">
        <f t="shared" si="3"/>
        <v>A</v>
      </c>
      <c r="D234">
        <v>1</v>
      </c>
    </row>
    <row r="235" spans="1:4" x14ac:dyDescent="0.25">
      <c r="A235" s="5" t="s">
        <v>132</v>
      </c>
      <c r="B235" s="5" t="s">
        <v>432</v>
      </c>
      <c r="C235" t="str">
        <f t="shared" si="3"/>
        <v>A</v>
      </c>
      <c r="D235">
        <v>1</v>
      </c>
    </row>
    <row r="236" spans="1:4" x14ac:dyDescent="0.25">
      <c r="A236" s="5" t="s">
        <v>132</v>
      </c>
      <c r="B236" s="5" t="s">
        <v>432</v>
      </c>
      <c r="C236" t="str">
        <f t="shared" si="3"/>
        <v>A</v>
      </c>
      <c r="D236">
        <v>1</v>
      </c>
    </row>
    <row r="237" spans="1:4" x14ac:dyDescent="0.25">
      <c r="A237" s="5" t="s">
        <v>132</v>
      </c>
      <c r="B237" s="5" t="s">
        <v>432</v>
      </c>
      <c r="C237" t="str">
        <f t="shared" si="3"/>
        <v>A</v>
      </c>
      <c r="D237">
        <v>1</v>
      </c>
    </row>
    <row r="238" spans="1:4" x14ac:dyDescent="0.25">
      <c r="A238" s="5" t="s">
        <v>1415</v>
      </c>
      <c r="B238" s="5" t="s">
        <v>432</v>
      </c>
      <c r="C238" t="str">
        <f t="shared" si="3"/>
        <v>A</v>
      </c>
      <c r="D238">
        <v>1</v>
      </c>
    </row>
    <row r="239" spans="1:4" x14ac:dyDescent="0.25">
      <c r="A239" s="5" t="s">
        <v>132</v>
      </c>
      <c r="B239" s="5" t="s">
        <v>432</v>
      </c>
      <c r="C239" t="str">
        <f t="shared" si="3"/>
        <v>A</v>
      </c>
      <c r="D239">
        <v>1</v>
      </c>
    </row>
    <row r="240" spans="1:4" x14ac:dyDescent="0.25">
      <c r="A240" s="5" t="s">
        <v>1415</v>
      </c>
      <c r="B240" s="5" t="s">
        <v>432</v>
      </c>
      <c r="C240" t="str">
        <f t="shared" si="3"/>
        <v>A</v>
      </c>
      <c r="D240">
        <v>1</v>
      </c>
    </row>
    <row r="241" spans="1:4" x14ac:dyDescent="0.25">
      <c r="A241" s="5" t="s">
        <v>10</v>
      </c>
      <c r="B241" s="5" t="s">
        <v>432</v>
      </c>
      <c r="C241" t="str">
        <f t="shared" si="3"/>
        <v>A</v>
      </c>
      <c r="D241">
        <v>1</v>
      </c>
    </row>
    <row r="242" spans="1:4" x14ac:dyDescent="0.25">
      <c r="A242" s="5" t="s">
        <v>10</v>
      </c>
      <c r="B242" s="5" t="s">
        <v>432</v>
      </c>
      <c r="C242" t="str">
        <f t="shared" si="3"/>
        <v>A</v>
      </c>
      <c r="D242">
        <v>1</v>
      </c>
    </row>
    <row r="243" spans="1:4" x14ac:dyDescent="0.25">
      <c r="A243" s="5" t="s">
        <v>10</v>
      </c>
      <c r="B243" s="5" t="s">
        <v>432</v>
      </c>
      <c r="C243" t="str">
        <f t="shared" si="3"/>
        <v>A</v>
      </c>
      <c r="D243">
        <v>1</v>
      </c>
    </row>
    <row r="244" spans="1:4" x14ac:dyDescent="0.25">
      <c r="A244" s="5" t="s">
        <v>10</v>
      </c>
      <c r="B244" s="5" t="s">
        <v>432</v>
      </c>
      <c r="C244" t="str">
        <f t="shared" si="3"/>
        <v>A</v>
      </c>
      <c r="D244">
        <v>1</v>
      </c>
    </row>
    <row r="245" spans="1:4" x14ac:dyDescent="0.25">
      <c r="A245" s="5" t="s">
        <v>10</v>
      </c>
      <c r="B245" s="5" t="s">
        <v>432</v>
      </c>
      <c r="C245" t="str">
        <f t="shared" si="3"/>
        <v>A</v>
      </c>
      <c r="D245">
        <v>1</v>
      </c>
    </row>
    <row r="246" spans="1:4" x14ac:dyDescent="0.25">
      <c r="A246" s="5" t="s">
        <v>10</v>
      </c>
      <c r="B246" s="5" t="s">
        <v>432</v>
      </c>
      <c r="C246" t="str">
        <f t="shared" si="3"/>
        <v>A</v>
      </c>
      <c r="D246">
        <v>1</v>
      </c>
    </row>
    <row r="247" spans="1:4" x14ac:dyDescent="0.25">
      <c r="A247" s="5" t="s">
        <v>10</v>
      </c>
      <c r="B247" s="5" t="s">
        <v>437</v>
      </c>
      <c r="C247" t="str">
        <f t="shared" si="3"/>
        <v>A</v>
      </c>
      <c r="D247">
        <v>1</v>
      </c>
    </row>
    <row r="248" spans="1:4" x14ac:dyDescent="0.25">
      <c r="A248" s="5" t="s">
        <v>10</v>
      </c>
      <c r="B248" s="5" t="s">
        <v>442</v>
      </c>
      <c r="C248" t="str">
        <f t="shared" si="3"/>
        <v>A</v>
      </c>
      <c r="D248">
        <v>1</v>
      </c>
    </row>
    <row r="249" spans="1:4" x14ac:dyDescent="0.25">
      <c r="A249" s="5" t="s">
        <v>123</v>
      </c>
      <c r="B249" s="5" t="s">
        <v>442</v>
      </c>
      <c r="C249" t="str">
        <f t="shared" si="3"/>
        <v>B</v>
      </c>
      <c r="D249">
        <v>1</v>
      </c>
    </row>
    <row r="250" spans="1:4" x14ac:dyDescent="0.25">
      <c r="A250" s="5" t="s">
        <v>10</v>
      </c>
      <c r="B250" s="5" t="s">
        <v>447</v>
      </c>
      <c r="C250" t="str">
        <f t="shared" si="3"/>
        <v>A</v>
      </c>
      <c r="D250">
        <v>1</v>
      </c>
    </row>
    <row r="251" spans="1:4" x14ac:dyDescent="0.25">
      <c r="A251" s="5" t="s">
        <v>123</v>
      </c>
      <c r="B251" s="5" t="s">
        <v>447</v>
      </c>
      <c r="C251" t="str">
        <f t="shared" si="3"/>
        <v>B</v>
      </c>
      <c r="D251">
        <v>1</v>
      </c>
    </row>
    <row r="252" spans="1:4" x14ac:dyDescent="0.25">
      <c r="A252" s="5" t="s">
        <v>132</v>
      </c>
      <c r="B252" s="5" t="s">
        <v>452</v>
      </c>
      <c r="C252" t="str">
        <f t="shared" si="3"/>
        <v>A</v>
      </c>
      <c r="D252">
        <v>1</v>
      </c>
    </row>
    <row r="253" spans="1:4" x14ac:dyDescent="0.25">
      <c r="A253" s="5" t="s">
        <v>1428</v>
      </c>
      <c r="B253" s="5" t="s">
        <v>452</v>
      </c>
      <c r="C253" t="str">
        <f t="shared" si="3"/>
        <v>B</v>
      </c>
      <c r="D253">
        <v>1</v>
      </c>
    </row>
    <row r="254" spans="1:4" x14ac:dyDescent="0.25">
      <c r="A254" s="5" t="s">
        <v>10</v>
      </c>
      <c r="B254" s="5" t="s">
        <v>458</v>
      </c>
      <c r="C254" t="str">
        <f t="shared" si="3"/>
        <v>A</v>
      </c>
      <c r="D254">
        <v>1</v>
      </c>
    </row>
    <row r="255" spans="1:4" x14ac:dyDescent="0.25">
      <c r="A255" s="5" t="s">
        <v>123</v>
      </c>
      <c r="B255" s="5" t="s">
        <v>458</v>
      </c>
      <c r="C255" t="str">
        <f t="shared" si="3"/>
        <v>B</v>
      </c>
      <c r="D255">
        <v>1</v>
      </c>
    </row>
    <row r="256" spans="1:4" x14ac:dyDescent="0.25">
      <c r="A256" s="5" t="s">
        <v>10</v>
      </c>
      <c r="B256" s="5" t="s">
        <v>463</v>
      </c>
      <c r="C256" t="str">
        <f t="shared" si="3"/>
        <v>A</v>
      </c>
      <c r="D256">
        <v>1</v>
      </c>
    </row>
    <row r="257" spans="1:4" x14ac:dyDescent="0.25">
      <c r="A257" s="5" t="s">
        <v>123</v>
      </c>
      <c r="B257" s="5" t="s">
        <v>463</v>
      </c>
      <c r="C257" t="str">
        <f t="shared" si="3"/>
        <v>B</v>
      </c>
      <c r="D257">
        <v>1</v>
      </c>
    </row>
    <row r="258" spans="1:4" x14ac:dyDescent="0.25">
      <c r="A258" s="5" t="s">
        <v>10</v>
      </c>
      <c r="B258" s="5" t="s">
        <v>466</v>
      </c>
      <c r="C258" t="str">
        <f t="shared" si="3"/>
        <v>A</v>
      </c>
      <c r="D258">
        <v>1</v>
      </c>
    </row>
    <row r="259" spans="1:4" x14ac:dyDescent="0.25">
      <c r="A259" s="5" t="s">
        <v>123</v>
      </c>
      <c r="B259" s="5" t="s">
        <v>466</v>
      </c>
      <c r="C259" t="str">
        <f t="shared" ref="C259:C322" si="4">LEFT(A259,1)</f>
        <v>B</v>
      </c>
      <c r="D259">
        <v>1</v>
      </c>
    </row>
    <row r="260" spans="1:4" x14ac:dyDescent="0.25">
      <c r="A260" s="5" t="s">
        <v>10</v>
      </c>
      <c r="B260" s="5" t="s">
        <v>469</v>
      </c>
      <c r="C260" t="str">
        <f t="shared" si="4"/>
        <v>A</v>
      </c>
      <c r="D260">
        <v>1</v>
      </c>
    </row>
    <row r="261" spans="1:4" x14ac:dyDescent="0.25">
      <c r="A261" s="5" t="s">
        <v>123</v>
      </c>
      <c r="B261" s="5" t="s">
        <v>469</v>
      </c>
      <c r="C261" t="str">
        <f t="shared" si="4"/>
        <v>B</v>
      </c>
      <c r="D261">
        <v>1</v>
      </c>
    </row>
    <row r="262" spans="1:4" x14ac:dyDescent="0.25">
      <c r="A262" s="5" t="s">
        <v>10</v>
      </c>
      <c r="B262" s="5" t="s">
        <v>472</v>
      </c>
      <c r="C262" t="str">
        <f t="shared" si="4"/>
        <v>A</v>
      </c>
      <c r="D262">
        <v>1</v>
      </c>
    </row>
    <row r="263" spans="1:4" x14ac:dyDescent="0.25">
      <c r="A263" s="5" t="s">
        <v>123</v>
      </c>
      <c r="B263" s="5" t="s">
        <v>472</v>
      </c>
      <c r="C263" t="str">
        <f t="shared" si="4"/>
        <v>B</v>
      </c>
      <c r="D263">
        <v>1</v>
      </c>
    </row>
    <row r="264" spans="1:4" x14ac:dyDescent="0.25">
      <c r="A264" s="5" t="s">
        <v>10</v>
      </c>
      <c r="B264" s="5" t="s">
        <v>478</v>
      </c>
      <c r="C264" t="str">
        <f t="shared" si="4"/>
        <v>A</v>
      </c>
      <c r="D264">
        <v>1</v>
      </c>
    </row>
    <row r="265" spans="1:4" x14ac:dyDescent="0.25">
      <c r="A265" s="5" t="s">
        <v>123</v>
      </c>
      <c r="B265" s="5" t="s">
        <v>478</v>
      </c>
      <c r="C265" t="str">
        <f t="shared" si="4"/>
        <v>B</v>
      </c>
      <c r="D265">
        <v>1</v>
      </c>
    </row>
    <row r="266" spans="1:4" x14ac:dyDescent="0.25">
      <c r="A266" s="5" t="s">
        <v>10</v>
      </c>
      <c r="B266" s="5" t="s">
        <v>483</v>
      </c>
      <c r="C266" t="str">
        <f t="shared" si="4"/>
        <v>A</v>
      </c>
      <c r="D266">
        <v>1</v>
      </c>
    </row>
    <row r="267" spans="1:4" x14ac:dyDescent="0.25">
      <c r="A267" s="5" t="s">
        <v>123</v>
      </c>
      <c r="B267" s="5" t="s">
        <v>483</v>
      </c>
      <c r="C267" t="str">
        <f t="shared" si="4"/>
        <v>B</v>
      </c>
      <c r="D267">
        <v>1</v>
      </c>
    </row>
    <row r="268" spans="1:4" x14ac:dyDescent="0.25">
      <c r="A268" s="5" t="s">
        <v>10</v>
      </c>
      <c r="B268" s="5" t="s">
        <v>488</v>
      </c>
      <c r="C268" t="str">
        <f t="shared" si="4"/>
        <v>A</v>
      </c>
      <c r="D268">
        <v>1</v>
      </c>
    </row>
    <row r="269" spans="1:4" x14ac:dyDescent="0.25">
      <c r="A269" s="5" t="s">
        <v>123</v>
      </c>
      <c r="B269" s="5" t="s">
        <v>488</v>
      </c>
      <c r="C269" t="str">
        <f t="shared" si="4"/>
        <v>B</v>
      </c>
      <c r="D269">
        <v>1</v>
      </c>
    </row>
    <row r="270" spans="1:4" x14ac:dyDescent="0.25">
      <c r="A270" s="5" t="s">
        <v>10</v>
      </c>
      <c r="B270" s="5" t="s">
        <v>493</v>
      </c>
      <c r="C270" t="str">
        <f t="shared" si="4"/>
        <v>A</v>
      </c>
      <c r="D270">
        <v>1</v>
      </c>
    </row>
    <row r="271" spans="1:4" x14ac:dyDescent="0.25">
      <c r="A271" s="5" t="s">
        <v>123</v>
      </c>
      <c r="B271" s="5" t="s">
        <v>493</v>
      </c>
      <c r="C271" t="str">
        <f t="shared" si="4"/>
        <v>B</v>
      </c>
      <c r="D271">
        <v>1</v>
      </c>
    </row>
    <row r="272" spans="1:4" x14ac:dyDescent="0.25">
      <c r="A272" s="5" t="s">
        <v>10</v>
      </c>
      <c r="B272" s="5" t="s">
        <v>498</v>
      </c>
      <c r="C272" t="str">
        <f t="shared" si="4"/>
        <v>A</v>
      </c>
      <c r="D272">
        <v>1</v>
      </c>
    </row>
    <row r="273" spans="1:4" x14ac:dyDescent="0.25">
      <c r="A273" s="5" t="s">
        <v>10</v>
      </c>
      <c r="B273" s="5" t="s">
        <v>504</v>
      </c>
      <c r="C273" t="str">
        <f t="shared" si="4"/>
        <v>A</v>
      </c>
      <c r="D273">
        <v>1</v>
      </c>
    </row>
    <row r="274" spans="1:4" x14ac:dyDescent="0.25">
      <c r="A274" s="5" t="s">
        <v>123</v>
      </c>
      <c r="B274" s="5" t="s">
        <v>504</v>
      </c>
      <c r="C274" t="str">
        <f t="shared" si="4"/>
        <v>B</v>
      </c>
      <c r="D274">
        <v>1</v>
      </c>
    </row>
    <row r="275" spans="1:4" x14ac:dyDescent="0.25">
      <c r="A275" s="5" t="s">
        <v>10</v>
      </c>
      <c r="B275" s="5" t="s">
        <v>509</v>
      </c>
      <c r="C275" t="str">
        <f t="shared" si="4"/>
        <v>A</v>
      </c>
      <c r="D275">
        <v>1</v>
      </c>
    </row>
    <row r="276" spans="1:4" x14ac:dyDescent="0.25">
      <c r="A276" s="5" t="s">
        <v>10</v>
      </c>
      <c r="B276" s="5" t="s">
        <v>515</v>
      </c>
      <c r="C276" t="str">
        <f t="shared" si="4"/>
        <v>A</v>
      </c>
      <c r="D276">
        <v>1</v>
      </c>
    </row>
    <row r="277" spans="1:4" x14ac:dyDescent="0.25">
      <c r="A277" s="5" t="s">
        <v>123</v>
      </c>
      <c r="B277" s="5" t="s">
        <v>515</v>
      </c>
      <c r="C277" t="str">
        <f t="shared" si="4"/>
        <v>B</v>
      </c>
      <c r="D277">
        <v>1</v>
      </c>
    </row>
    <row r="278" spans="1:4" x14ac:dyDescent="0.25">
      <c r="A278" s="5" t="s">
        <v>51</v>
      </c>
      <c r="B278" s="5" t="s">
        <v>519</v>
      </c>
      <c r="C278" t="str">
        <f t="shared" si="4"/>
        <v>C</v>
      </c>
      <c r="D278">
        <v>1</v>
      </c>
    </row>
    <row r="279" spans="1:4" x14ac:dyDescent="0.25">
      <c r="A279" s="5" t="s">
        <v>10</v>
      </c>
      <c r="B279" s="5" t="s">
        <v>524</v>
      </c>
      <c r="C279" t="str">
        <f t="shared" si="4"/>
        <v>A</v>
      </c>
      <c r="D279">
        <v>1</v>
      </c>
    </row>
    <row r="280" spans="1:4" x14ac:dyDescent="0.25">
      <c r="A280" s="5" t="s">
        <v>123</v>
      </c>
      <c r="B280" s="5" t="s">
        <v>524</v>
      </c>
      <c r="C280" t="str">
        <f t="shared" si="4"/>
        <v>B</v>
      </c>
      <c r="D280">
        <v>1</v>
      </c>
    </row>
    <row r="281" spans="1:4" x14ac:dyDescent="0.25">
      <c r="A281" s="5" t="s">
        <v>132</v>
      </c>
      <c r="B281" s="5" t="s">
        <v>530</v>
      </c>
      <c r="C281" t="str">
        <f t="shared" si="4"/>
        <v>A</v>
      </c>
      <c r="D281">
        <v>1</v>
      </c>
    </row>
    <row r="282" spans="1:4" x14ac:dyDescent="0.25">
      <c r="A282" s="5" t="s">
        <v>1428</v>
      </c>
      <c r="B282" s="5" t="s">
        <v>530</v>
      </c>
      <c r="C282" t="str">
        <f t="shared" si="4"/>
        <v>B</v>
      </c>
      <c r="D282">
        <v>1</v>
      </c>
    </row>
    <row r="283" spans="1:4" x14ac:dyDescent="0.25">
      <c r="A283" s="5" t="s">
        <v>132</v>
      </c>
      <c r="B283" s="5" t="s">
        <v>530</v>
      </c>
      <c r="C283" t="str">
        <f t="shared" si="4"/>
        <v>A</v>
      </c>
      <c r="D283">
        <v>1</v>
      </c>
    </row>
    <row r="284" spans="1:4" x14ac:dyDescent="0.25">
      <c r="A284" s="5" t="s">
        <v>1428</v>
      </c>
      <c r="B284" s="5" t="s">
        <v>530</v>
      </c>
      <c r="C284" t="str">
        <f t="shared" si="4"/>
        <v>B</v>
      </c>
      <c r="D284">
        <v>1</v>
      </c>
    </row>
    <row r="285" spans="1:4" x14ac:dyDescent="0.25">
      <c r="A285" s="5" t="s">
        <v>1415</v>
      </c>
      <c r="B285" s="5" t="s">
        <v>530</v>
      </c>
      <c r="C285" t="str">
        <f t="shared" si="4"/>
        <v>A</v>
      </c>
      <c r="D285">
        <v>1</v>
      </c>
    </row>
    <row r="286" spans="1:4" x14ac:dyDescent="0.25">
      <c r="A286" s="5" t="s">
        <v>1418</v>
      </c>
      <c r="B286" s="5" t="s">
        <v>530</v>
      </c>
      <c r="C286" t="str">
        <f t="shared" si="4"/>
        <v>A</v>
      </c>
      <c r="D286">
        <v>1</v>
      </c>
    </row>
    <row r="287" spans="1:4" x14ac:dyDescent="0.25">
      <c r="A287" s="5" t="s">
        <v>10</v>
      </c>
      <c r="B287" s="5" t="s">
        <v>530</v>
      </c>
      <c r="C287" t="str">
        <f t="shared" si="4"/>
        <v>A</v>
      </c>
      <c r="D287">
        <v>1</v>
      </c>
    </row>
    <row r="288" spans="1:4" x14ac:dyDescent="0.25">
      <c r="A288" s="5" t="s">
        <v>123</v>
      </c>
      <c r="B288" s="5" t="s">
        <v>530</v>
      </c>
      <c r="C288" t="str">
        <f t="shared" si="4"/>
        <v>B</v>
      </c>
      <c r="D288">
        <v>1</v>
      </c>
    </row>
    <row r="289" spans="1:4" x14ac:dyDescent="0.25">
      <c r="A289" s="5" t="s">
        <v>10</v>
      </c>
      <c r="B289" s="5" t="s">
        <v>530</v>
      </c>
      <c r="C289" t="str">
        <f t="shared" si="4"/>
        <v>A</v>
      </c>
      <c r="D289">
        <v>1</v>
      </c>
    </row>
    <row r="290" spans="1:4" x14ac:dyDescent="0.25">
      <c r="A290" s="5" t="s">
        <v>10</v>
      </c>
      <c r="B290" s="5" t="s">
        <v>530</v>
      </c>
      <c r="C290" t="str">
        <f t="shared" si="4"/>
        <v>A</v>
      </c>
      <c r="D290">
        <v>1</v>
      </c>
    </row>
    <row r="291" spans="1:4" x14ac:dyDescent="0.25">
      <c r="A291" s="5" t="s">
        <v>10</v>
      </c>
      <c r="B291" s="5" t="s">
        <v>537</v>
      </c>
      <c r="C291" t="str">
        <f t="shared" si="4"/>
        <v>A</v>
      </c>
      <c r="D291">
        <v>1</v>
      </c>
    </row>
    <row r="292" spans="1:4" x14ac:dyDescent="0.25">
      <c r="A292" s="5" t="s">
        <v>123</v>
      </c>
      <c r="B292" s="5" t="s">
        <v>537</v>
      </c>
      <c r="C292" t="str">
        <f t="shared" si="4"/>
        <v>B</v>
      </c>
      <c r="D292">
        <v>1</v>
      </c>
    </row>
    <row r="293" spans="1:4" x14ac:dyDescent="0.25">
      <c r="A293" s="5" t="s">
        <v>10</v>
      </c>
      <c r="B293" s="5" t="s">
        <v>543</v>
      </c>
      <c r="C293" t="str">
        <f t="shared" si="4"/>
        <v>A</v>
      </c>
      <c r="D293">
        <v>1</v>
      </c>
    </row>
    <row r="294" spans="1:4" x14ac:dyDescent="0.25">
      <c r="A294" s="5" t="s">
        <v>123</v>
      </c>
      <c r="B294" s="5" t="s">
        <v>543</v>
      </c>
      <c r="C294" t="str">
        <f t="shared" si="4"/>
        <v>B</v>
      </c>
      <c r="D294">
        <v>1</v>
      </c>
    </row>
    <row r="295" spans="1:4" x14ac:dyDescent="0.25">
      <c r="A295" s="5" t="s">
        <v>10</v>
      </c>
      <c r="B295" s="5" t="s">
        <v>548</v>
      </c>
      <c r="C295" t="str">
        <f t="shared" si="4"/>
        <v>A</v>
      </c>
      <c r="D295">
        <v>1</v>
      </c>
    </row>
    <row r="296" spans="1:4" x14ac:dyDescent="0.25">
      <c r="A296" s="5" t="s">
        <v>123</v>
      </c>
      <c r="B296" s="5" t="s">
        <v>548</v>
      </c>
      <c r="C296" t="str">
        <f t="shared" si="4"/>
        <v>B</v>
      </c>
      <c r="D296">
        <v>1</v>
      </c>
    </row>
    <row r="297" spans="1:4" x14ac:dyDescent="0.25">
      <c r="A297" s="5" t="s">
        <v>51</v>
      </c>
      <c r="B297" s="5" t="s">
        <v>554</v>
      </c>
      <c r="C297" t="str">
        <f t="shared" si="4"/>
        <v>C</v>
      </c>
      <c r="D297">
        <v>1</v>
      </c>
    </row>
    <row r="298" spans="1:4" x14ac:dyDescent="0.25">
      <c r="A298" s="5" t="s">
        <v>132</v>
      </c>
      <c r="B298" s="5" t="s">
        <v>554</v>
      </c>
      <c r="C298" t="str">
        <f t="shared" si="4"/>
        <v>A</v>
      </c>
      <c r="D298">
        <v>1</v>
      </c>
    </row>
    <row r="299" spans="1:4" x14ac:dyDescent="0.25">
      <c r="A299" s="5" t="s">
        <v>132</v>
      </c>
      <c r="B299" s="5" t="s">
        <v>554</v>
      </c>
      <c r="C299" t="str">
        <f t="shared" si="4"/>
        <v>A</v>
      </c>
      <c r="D299">
        <v>1</v>
      </c>
    </row>
    <row r="300" spans="1:4" x14ac:dyDescent="0.25">
      <c r="A300" s="5" t="s">
        <v>132</v>
      </c>
      <c r="B300" s="5" t="s">
        <v>554</v>
      </c>
      <c r="C300" t="str">
        <f t="shared" si="4"/>
        <v>A</v>
      </c>
      <c r="D300">
        <v>1</v>
      </c>
    </row>
    <row r="301" spans="1:4" x14ac:dyDescent="0.25">
      <c r="A301" s="5" t="s">
        <v>1408</v>
      </c>
      <c r="B301" s="5" t="s">
        <v>554</v>
      </c>
      <c r="C301" t="str">
        <f t="shared" si="4"/>
        <v>A</v>
      </c>
      <c r="D301">
        <v>1</v>
      </c>
    </row>
    <row r="302" spans="1:4" x14ac:dyDescent="0.25">
      <c r="A302" s="5" t="s">
        <v>132</v>
      </c>
      <c r="B302" s="5" t="s">
        <v>554</v>
      </c>
      <c r="C302" t="str">
        <f t="shared" si="4"/>
        <v>A</v>
      </c>
      <c r="D302">
        <v>1</v>
      </c>
    </row>
    <row r="303" spans="1:4" x14ac:dyDescent="0.25">
      <c r="A303" s="5" t="s">
        <v>132</v>
      </c>
      <c r="B303" s="5" t="s">
        <v>561</v>
      </c>
      <c r="C303" t="str">
        <f t="shared" si="4"/>
        <v>A</v>
      </c>
      <c r="D303">
        <v>1</v>
      </c>
    </row>
    <row r="304" spans="1:4" x14ac:dyDescent="0.25">
      <c r="A304" s="5" t="s">
        <v>132</v>
      </c>
      <c r="B304" s="5" t="s">
        <v>561</v>
      </c>
      <c r="C304" t="str">
        <f t="shared" si="4"/>
        <v>A</v>
      </c>
      <c r="D304">
        <v>1</v>
      </c>
    </row>
    <row r="305" spans="1:4" x14ac:dyDescent="0.25">
      <c r="A305" s="5" t="s">
        <v>132</v>
      </c>
      <c r="B305" s="5" t="s">
        <v>561</v>
      </c>
      <c r="C305" t="str">
        <f t="shared" si="4"/>
        <v>A</v>
      </c>
      <c r="D305">
        <v>1</v>
      </c>
    </row>
    <row r="306" spans="1:4" x14ac:dyDescent="0.25">
      <c r="A306" s="5" t="s">
        <v>10</v>
      </c>
      <c r="B306" s="5" t="s">
        <v>566</v>
      </c>
      <c r="C306" t="str">
        <f t="shared" si="4"/>
        <v>A</v>
      </c>
      <c r="D306">
        <v>1</v>
      </c>
    </row>
    <row r="307" spans="1:4" x14ac:dyDescent="0.25">
      <c r="A307" s="5" t="s">
        <v>10</v>
      </c>
      <c r="B307" s="5" t="s">
        <v>571</v>
      </c>
      <c r="C307" t="str">
        <f t="shared" si="4"/>
        <v>A</v>
      </c>
      <c r="D307">
        <v>1</v>
      </c>
    </row>
    <row r="308" spans="1:4" x14ac:dyDescent="0.25">
      <c r="A308" s="5" t="s">
        <v>123</v>
      </c>
      <c r="B308" s="5" t="s">
        <v>571</v>
      </c>
      <c r="C308" t="str">
        <f t="shared" si="4"/>
        <v>B</v>
      </c>
      <c r="D308">
        <v>1</v>
      </c>
    </row>
    <row r="309" spans="1:4" x14ac:dyDescent="0.25">
      <c r="A309" s="5" t="s">
        <v>10</v>
      </c>
      <c r="B309" s="5" t="s">
        <v>573</v>
      </c>
      <c r="C309" t="str">
        <f t="shared" si="4"/>
        <v>A</v>
      </c>
      <c r="D309">
        <v>1</v>
      </c>
    </row>
    <row r="310" spans="1:4" x14ac:dyDescent="0.25">
      <c r="A310" s="5" t="s">
        <v>10</v>
      </c>
      <c r="B310" s="5" t="s">
        <v>575</v>
      </c>
      <c r="C310" t="str">
        <f t="shared" si="4"/>
        <v>A</v>
      </c>
      <c r="D310">
        <v>1</v>
      </c>
    </row>
    <row r="311" spans="1:4" x14ac:dyDescent="0.25">
      <c r="A311" s="5" t="s">
        <v>10</v>
      </c>
      <c r="B311" s="5" t="s">
        <v>579</v>
      </c>
      <c r="C311" t="str">
        <f t="shared" si="4"/>
        <v>A</v>
      </c>
      <c r="D311">
        <v>1</v>
      </c>
    </row>
    <row r="312" spans="1:4" x14ac:dyDescent="0.25">
      <c r="A312" s="5" t="s">
        <v>123</v>
      </c>
      <c r="B312" s="5" t="s">
        <v>579</v>
      </c>
      <c r="C312" t="str">
        <f t="shared" si="4"/>
        <v>B</v>
      </c>
      <c r="D312">
        <v>1</v>
      </c>
    </row>
    <row r="313" spans="1:4" x14ac:dyDescent="0.25">
      <c r="A313" s="5" t="s">
        <v>10</v>
      </c>
      <c r="B313" s="5" t="s">
        <v>583</v>
      </c>
      <c r="C313" t="str">
        <f t="shared" si="4"/>
        <v>A</v>
      </c>
      <c r="D313">
        <v>1</v>
      </c>
    </row>
    <row r="314" spans="1:4" x14ac:dyDescent="0.25">
      <c r="A314" s="5" t="s">
        <v>123</v>
      </c>
      <c r="B314" s="5" t="s">
        <v>583</v>
      </c>
      <c r="C314" t="str">
        <f t="shared" si="4"/>
        <v>B</v>
      </c>
      <c r="D314">
        <v>1</v>
      </c>
    </row>
    <row r="315" spans="1:4" x14ac:dyDescent="0.25">
      <c r="A315" s="5" t="s">
        <v>10</v>
      </c>
      <c r="B315" s="5" t="s">
        <v>587</v>
      </c>
      <c r="C315" t="str">
        <f t="shared" si="4"/>
        <v>A</v>
      </c>
      <c r="D315">
        <v>1</v>
      </c>
    </row>
    <row r="316" spans="1:4" x14ac:dyDescent="0.25">
      <c r="A316" s="5" t="s">
        <v>123</v>
      </c>
      <c r="B316" s="5" t="s">
        <v>587</v>
      </c>
      <c r="C316" t="str">
        <f t="shared" si="4"/>
        <v>B</v>
      </c>
      <c r="D316">
        <v>1</v>
      </c>
    </row>
    <row r="317" spans="1:4" x14ac:dyDescent="0.25">
      <c r="A317" s="5" t="s">
        <v>10</v>
      </c>
      <c r="B317" s="5" t="s">
        <v>591</v>
      </c>
      <c r="C317" t="str">
        <f t="shared" si="4"/>
        <v>A</v>
      </c>
      <c r="D317">
        <v>1</v>
      </c>
    </row>
    <row r="318" spans="1:4" x14ac:dyDescent="0.25">
      <c r="A318" s="5" t="s">
        <v>123</v>
      </c>
      <c r="B318" s="5" t="s">
        <v>591</v>
      </c>
      <c r="C318" t="str">
        <f t="shared" si="4"/>
        <v>B</v>
      </c>
      <c r="D318">
        <v>1</v>
      </c>
    </row>
    <row r="319" spans="1:4" x14ac:dyDescent="0.25">
      <c r="A319" s="5" t="s">
        <v>10</v>
      </c>
      <c r="B319" s="5" t="s">
        <v>594</v>
      </c>
      <c r="C319" t="str">
        <f t="shared" si="4"/>
        <v>A</v>
      </c>
      <c r="D319">
        <v>1</v>
      </c>
    </row>
    <row r="320" spans="1:4" x14ac:dyDescent="0.25">
      <c r="A320" s="5" t="s">
        <v>123</v>
      </c>
      <c r="B320" s="5" t="s">
        <v>594</v>
      </c>
      <c r="C320" t="str">
        <f t="shared" si="4"/>
        <v>B</v>
      </c>
      <c r="D320">
        <v>1</v>
      </c>
    </row>
    <row r="321" spans="1:4" x14ac:dyDescent="0.25">
      <c r="A321" s="5" t="s">
        <v>10</v>
      </c>
      <c r="B321" s="5" t="s">
        <v>598</v>
      </c>
      <c r="C321" t="str">
        <f t="shared" si="4"/>
        <v>A</v>
      </c>
      <c r="D321">
        <v>1</v>
      </c>
    </row>
    <row r="322" spans="1:4" x14ac:dyDescent="0.25">
      <c r="A322" s="5" t="s">
        <v>123</v>
      </c>
      <c r="B322" s="5" t="s">
        <v>598</v>
      </c>
      <c r="C322" t="str">
        <f t="shared" si="4"/>
        <v>B</v>
      </c>
      <c r="D322">
        <v>1</v>
      </c>
    </row>
    <row r="323" spans="1:4" x14ac:dyDescent="0.25">
      <c r="A323" s="5" t="s">
        <v>10</v>
      </c>
      <c r="B323" s="5" t="s">
        <v>602</v>
      </c>
      <c r="C323" t="str">
        <f t="shared" ref="C323:C386" si="5">LEFT(A323,1)</f>
        <v>A</v>
      </c>
      <c r="D323">
        <v>1</v>
      </c>
    </row>
    <row r="324" spans="1:4" x14ac:dyDescent="0.25">
      <c r="A324" s="5" t="s">
        <v>123</v>
      </c>
      <c r="B324" s="5" t="s">
        <v>602</v>
      </c>
      <c r="C324" t="str">
        <f t="shared" si="5"/>
        <v>B</v>
      </c>
      <c r="D324">
        <v>1</v>
      </c>
    </row>
    <row r="325" spans="1:4" x14ac:dyDescent="0.25">
      <c r="A325" s="5" t="s">
        <v>10</v>
      </c>
      <c r="B325" s="5" t="s">
        <v>606</v>
      </c>
      <c r="C325" t="str">
        <f t="shared" si="5"/>
        <v>A</v>
      </c>
      <c r="D325">
        <v>1</v>
      </c>
    </row>
    <row r="326" spans="1:4" x14ac:dyDescent="0.25">
      <c r="A326" s="5" t="s">
        <v>123</v>
      </c>
      <c r="B326" s="5" t="s">
        <v>606</v>
      </c>
      <c r="C326" t="str">
        <f t="shared" si="5"/>
        <v>B</v>
      </c>
      <c r="D326">
        <v>1</v>
      </c>
    </row>
    <row r="327" spans="1:4" x14ac:dyDescent="0.25">
      <c r="A327" s="5" t="s">
        <v>10</v>
      </c>
      <c r="B327" s="5" t="s">
        <v>609</v>
      </c>
      <c r="C327" t="str">
        <f t="shared" si="5"/>
        <v>A</v>
      </c>
      <c r="D327">
        <v>1</v>
      </c>
    </row>
    <row r="328" spans="1:4" x14ac:dyDescent="0.25">
      <c r="A328" s="5" t="s">
        <v>123</v>
      </c>
      <c r="B328" s="5" t="s">
        <v>609</v>
      </c>
      <c r="C328" t="str">
        <f t="shared" si="5"/>
        <v>B</v>
      </c>
      <c r="D328">
        <v>1</v>
      </c>
    </row>
    <row r="329" spans="1:4" x14ac:dyDescent="0.25">
      <c r="A329" s="5" t="s">
        <v>10</v>
      </c>
      <c r="B329" s="5" t="s">
        <v>612</v>
      </c>
      <c r="C329" t="str">
        <f t="shared" si="5"/>
        <v>A</v>
      </c>
      <c r="D329">
        <v>1</v>
      </c>
    </row>
    <row r="330" spans="1:4" x14ac:dyDescent="0.25">
      <c r="A330" s="5" t="s">
        <v>123</v>
      </c>
      <c r="B330" s="5" t="s">
        <v>612</v>
      </c>
      <c r="C330" t="str">
        <f t="shared" si="5"/>
        <v>B</v>
      </c>
      <c r="D330">
        <v>1</v>
      </c>
    </row>
    <row r="331" spans="1:4" x14ac:dyDescent="0.25">
      <c r="A331" s="5" t="s">
        <v>10</v>
      </c>
      <c r="B331" s="5" t="s">
        <v>615</v>
      </c>
      <c r="C331" t="str">
        <f t="shared" si="5"/>
        <v>A</v>
      </c>
      <c r="D331">
        <v>1</v>
      </c>
    </row>
    <row r="332" spans="1:4" x14ac:dyDescent="0.25">
      <c r="A332" s="5" t="s">
        <v>10</v>
      </c>
      <c r="B332" s="5" t="s">
        <v>618</v>
      </c>
      <c r="C332" t="str">
        <f t="shared" si="5"/>
        <v>A</v>
      </c>
      <c r="D332">
        <v>1</v>
      </c>
    </row>
    <row r="333" spans="1:4" x14ac:dyDescent="0.25">
      <c r="A333" s="5" t="s">
        <v>10</v>
      </c>
      <c r="B333" s="5" t="s">
        <v>622</v>
      </c>
      <c r="C333" t="str">
        <f t="shared" si="5"/>
        <v>A</v>
      </c>
      <c r="D333">
        <v>1</v>
      </c>
    </row>
    <row r="334" spans="1:4" x14ac:dyDescent="0.25">
      <c r="A334" s="5" t="s">
        <v>123</v>
      </c>
      <c r="B334" s="5" t="s">
        <v>622</v>
      </c>
      <c r="C334" t="str">
        <f t="shared" si="5"/>
        <v>B</v>
      </c>
      <c r="D334">
        <v>1</v>
      </c>
    </row>
    <row r="335" spans="1:4" x14ac:dyDescent="0.25">
      <c r="A335" s="5" t="s">
        <v>51</v>
      </c>
      <c r="B335" s="5" t="s">
        <v>629</v>
      </c>
      <c r="C335" t="str">
        <f t="shared" si="5"/>
        <v>C</v>
      </c>
      <c r="D335">
        <v>1</v>
      </c>
    </row>
    <row r="336" spans="1:4" x14ac:dyDescent="0.25">
      <c r="A336" s="5" t="s">
        <v>132</v>
      </c>
      <c r="B336" s="5" t="s">
        <v>629</v>
      </c>
      <c r="C336" t="str">
        <f t="shared" si="5"/>
        <v>A</v>
      </c>
      <c r="D336">
        <v>1</v>
      </c>
    </row>
    <row r="337" spans="1:4" x14ac:dyDescent="0.25">
      <c r="A337" s="5" t="s">
        <v>132</v>
      </c>
      <c r="B337" s="5" t="s">
        <v>629</v>
      </c>
      <c r="C337" t="str">
        <f t="shared" si="5"/>
        <v>A</v>
      </c>
      <c r="D337">
        <v>1</v>
      </c>
    </row>
    <row r="338" spans="1:4" x14ac:dyDescent="0.25">
      <c r="A338" s="5" t="s">
        <v>1408</v>
      </c>
      <c r="B338" s="5" t="s">
        <v>629</v>
      </c>
      <c r="C338" t="str">
        <f t="shared" si="5"/>
        <v>A</v>
      </c>
      <c r="D338">
        <v>1</v>
      </c>
    </row>
    <row r="339" spans="1:4" x14ac:dyDescent="0.25">
      <c r="A339" s="5" t="s">
        <v>132</v>
      </c>
      <c r="B339" s="5" t="s">
        <v>629</v>
      </c>
      <c r="C339" t="str">
        <f t="shared" si="5"/>
        <v>A</v>
      </c>
      <c r="D339">
        <v>1</v>
      </c>
    </row>
    <row r="340" spans="1:4" x14ac:dyDescent="0.25">
      <c r="A340" s="5" t="s">
        <v>132</v>
      </c>
      <c r="B340" s="5" t="s">
        <v>629</v>
      </c>
      <c r="C340" t="str">
        <f t="shared" si="5"/>
        <v>A</v>
      </c>
      <c r="D340">
        <v>1</v>
      </c>
    </row>
    <row r="341" spans="1:4" x14ac:dyDescent="0.25">
      <c r="A341" s="5" t="s">
        <v>10</v>
      </c>
      <c r="B341" s="5" t="s">
        <v>629</v>
      </c>
      <c r="C341" t="str">
        <f t="shared" si="5"/>
        <v>A</v>
      </c>
      <c r="D341">
        <v>1</v>
      </c>
    </row>
    <row r="342" spans="1:4" x14ac:dyDescent="0.25">
      <c r="A342" s="5" t="s">
        <v>10</v>
      </c>
      <c r="B342" s="5" t="s">
        <v>635</v>
      </c>
      <c r="C342" t="str">
        <f t="shared" si="5"/>
        <v>A</v>
      </c>
      <c r="D342">
        <v>1</v>
      </c>
    </row>
    <row r="343" spans="1:4" x14ac:dyDescent="0.25">
      <c r="A343" s="5" t="s">
        <v>123</v>
      </c>
      <c r="B343" s="5" t="s">
        <v>635</v>
      </c>
      <c r="C343" t="str">
        <f t="shared" si="5"/>
        <v>B</v>
      </c>
      <c r="D343">
        <v>1</v>
      </c>
    </row>
    <row r="344" spans="1:4" x14ac:dyDescent="0.25">
      <c r="A344" s="5" t="s">
        <v>10</v>
      </c>
      <c r="B344" s="5" t="s">
        <v>639</v>
      </c>
      <c r="C344" t="str">
        <f t="shared" si="5"/>
        <v>A</v>
      </c>
      <c r="D344">
        <v>1</v>
      </c>
    </row>
    <row r="345" spans="1:4" x14ac:dyDescent="0.25">
      <c r="A345" s="5" t="s">
        <v>123</v>
      </c>
      <c r="B345" s="5" t="s">
        <v>639</v>
      </c>
      <c r="C345" t="str">
        <f t="shared" si="5"/>
        <v>B</v>
      </c>
      <c r="D345">
        <v>1</v>
      </c>
    </row>
    <row r="346" spans="1:4" x14ac:dyDescent="0.25">
      <c r="A346" s="5" t="s">
        <v>10</v>
      </c>
      <c r="B346" s="5" t="s">
        <v>644</v>
      </c>
      <c r="C346" t="str">
        <f t="shared" si="5"/>
        <v>A</v>
      </c>
      <c r="D346">
        <v>1</v>
      </c>
    </row>
    <row r="347" spans="1:4" x14ac:dyDescent="0.25">
      <c r="A347" s="5" t="s">
        <v>123</v>
      </c>
      <c r="B347" s="5" t="s">
        <v>644</v>
      </c>
      <c r="C347" t="str">
        <f t="shared" si="5"/>
        <v>B</v>
      </c>
      <c r="D347">
        <v>1</v>
      </c>
    </row>
    <row r="348" spans="1:4" x14ac:dyDescent="0.25">
      <c r="A348" s="5" t="s">
        <v>51</v>
      </c>
      <c r="B348" s="5" t="s">
        <v>648</v>
      </c>
      <c r="C348" t="str">
        <f t="shared" si="5"/>
        <v>C</v>
      </c>
      <c r="D348">
        <v>1</v>
      </c>
    </row>
    <row r="349" spans="1:4" x14ac:dyDescent="0.25">
      <c r="A349" s="5" t="s">
        <v>132</v>
      </c>
      <c r="B349" s="5" t="s">
        <v>648</v>
      </c>
      <c r="C349" t="str">
        <f t="shared" si="5"/>
        <v>A</v>
      </c>
      <c r="D349">
        <v>1</v>
      </c>
    </row>
    <row r="350" spans="1:4" x14ac:dyDescent="0.25">
      <c r="A350" s="5" t="s">
        <v>132</v>
      </c>
      <c r="B350" s="5" t="s">
        <v>648</v>
      </c>
      <c r="C350" t="str">
        <f t="shared" si="5"/>
        <v>A</v>
      </c>
      <c r="D350">
        <v>1</v>
      </c>
    </row>
    <row r="351" spans="1:4" x14ac:dyDescent="0.25">
      <c r="A351" s="5" t="s">
        <v>132</v>
      </c>
      <c r="B351" s="5" t="s">
        <v>648</v>
      </c>
      <c r="C351" t="str">
        <f t="shared" si="5"/>
        <v>A</v>
      </c>
      <c r="D351">
        <v>1</v>
      </c>
    </row>
    <row r="352" spans="1:4" x14ac:dyDescent="0.25">
      <c r="A352" s="5" t="s">
        <v>1415</v>
      </c>
      <c r="B352" s="5" t="s">
        <v>648</v>
      </c>
      <c r="C352" t="str">
        <f t="shared" si="5"/>
        <v>A</v>
      </c>
      <c r="D352">
        <v>1</v>
      </c>
    </row>
    <row r="353" spans="1:4" x14ac:dyDescent="0.25">
      <c r="A353" s="5" t="s">
        <v>132</v>
      </c>
      <c r="B353" s="5" t="s">
        <v>648</v>
      </c>
      <c r="C353" t="str">
        <f t="shared" si="5"/>
        <v>A</v>
      </c>
      <c r="D353">
        <v>1</v>
      </c>
    </row>
    <row r="354" spans="1:4" x14ac:dyDescent="0.25">
      <c r="A354" s="5" t="s">
        <v>1428</v>
      </c>
      <c r="B354" s="5" t="s">
        <v>648</v>
      </c>
      <c r="C354" t="str">
        <f t="shared" si="5"/>
        <v>B</v>
      </c>
      <c r="D354">
        <v>1</v>
      </c>
    </row>
    <row r="355" spans="1:4" x14ac:dyDescent="0.25">
      <c r="A355" s="5" t="s">
        <v>132</v>
      </c>
      <c r="B355" s="5" t="s">
        <v>648</v>
      </c>
      <c r="C355" t="str">
        <f t="shared" si="5"/>
        <v>A</v>
      </c>
      <c r="D355">
        <v>1</v>
      </c>
    </row>
    <row r="356" spans="1:4" x14ac:dyDescent="0.25">
      <c r="A356" s="5" t="s">
        <v>132</v>
      </c>
      <c r="B356" s="5" t="s">
        <v>648</v>
      </c>
      <c r="C356" t="str">
        <f t="shared" si="5"/>
        <v>A</v>
      </c>
      <c r="D356">
        <v>1</v>
      </c>
    </row>
    <row r="357" spans="1:4" x14ac:dyDescent="0.25">
      <c r="A357" s="5" t="s">
        <v>1408</v>
      </c>
      <c r="B357" s="5" t="s">
        <v>648</v>
      </c>
      <c r="C357" t="str">
        <f t="shared" si="5"/>
        <v>A</v>
      </c>
      <c r="D357">
        <v>1</v>
      </c>
    </row>
    <row r="358" spans="1:4" x14ac:dyDescent="0.25">
      <c r="A358" s="5" t="s">
        <v>132</v>
      </c>
      <c r="B358" s="5" t="s">
        <v>648</v>
      </c>
      <c r="C358" t="str">
        <f t="shared" si="5"/>
        <v>A</v>
      </c>
      <c r="D358">
        <v>1</v>
      </c>
    </row>
    <row r="359" spans="1:4" x14ac:dyDescent="0.25">
      <c r="A359" s="5" t="s">
        <v>1428</v>
      </c>
      <c r="B359" s="5" t="s">
        <v>648</v>
      </c>
      <c r="C359" t="str">
        <f t="shared" si="5"/>
        <v>B</v>
      </c>
      <c r="D359">
        <v>1</v>
      </c>
    </row>
    <row r="360" spans="1:4" x14ac:dyDescent="0.25">
      <c r="A360" s="5" t="s">
        <v>10</v>
      </c>
      <c r="B360" s="5" t="s">
        <v>648</v>
      </c>
      <c r="C360" t="str">
        <f t="shared" si="5"/>
        <v>A</v>
      </c>
      <c r="D360">
        <v>1</v>
      </c>
    </row>
    <row r="361" spans="1:4" x14ac:dyDescent="0.25">
      <c r="A361" s="5" t="s">
        <v>10</v>
      </c>
      <c r="B361" s="5" t="s">
        <v>648</v>
      </c>
      <c r="C361" t="str">
        <f t="shared" si="5"/>
        <v>A</v>
      </c>
      <c r="D361">
        <v>1</v>
      </c>
    </row>
    <row r="362" spans="1:4" x14ac:dyDescent="0.25">
      <c r="A362" s="5" t="s">
        <v>10</v>
      </c>
      <c r="B362" s="5" t="s">
        <v>654</v>
      </c>
      <c r="C362" t="str">
        <f t="shared" si="5"/>
        <v>A</v>
      </c>
      <c r="D362">
        <v>1</v>
      </c>
    </row>
    <row r="363" spans="1:4" x14ac:dyDescent="0.25">
      <c r="A363" s="5" t="s">
        <v>123</v>
      </c>
      <c r="B363" s="5" t="s">
        <v>654</v>
      </c>
      <c r="C363" t="str">
        <f t="shared" si="5"/>
        <v>B</v>
      </c>
      <c r="D363">
        <v>1</v>
      </c>
    </row>
    <row r="364" spans="1:4" x14ac:dyDescent="0.25">
      <c r="A364" s="5" t="s">
        <v>10</v>
      </c>
      <c r="B364" s="5" t="s">
        <v>659</v>
      </c>
      <c r="C364" t="str">
        <f t="shared" si="5"/>
        <v>A</v>
      </c>
      <c r="D364">
        <v>1</v>
      </c>
    </row>
    <row r="365" spans="1:4" x14ac:dyDescent="0.25">
      <c r="A365" s="5" t="s">
        <v>123</v>
      </c>
      <c r="B365" s="5" t="s">
        <v>659</v>
      </c>
      <c r="C365" t="str">
        <f t="shared" si="5"/>
        <v>B</v>
      </c>
      <c r="D365">
        <v>1</v>
      </c>
    </row>
    <row r="366" spans="1:4" x14ac:dyDescent="0.25">
      <c r="A366" s="5" t="s">
        <v>132</v>
      </c>
      <c r="B366" s="5" t="s">
        <v>665</v>
      </c>
      <c r="C366" t="str">
        <f t="shared" si="5"/>
        <v>A</v>
      </c>
      <c r="D366">
        <v>1</v>
      </c>
    </row>
    <row r="367" spans="1:4" x14ac:dyDescent="0.25">
      <c r="A367" s="5" t="s">
        <v>132</v>
      </c>
      <c r="B367" s="5" t="s">
        <v>665</v>
      </c>
      <c r="C367" t="str">
        <f t="shared" si="5"/>
        <v>A</v>
      </c>
      <c r="D367">
        <v>1</v>
      </c>
    </row>
    <row r="368" spans="1:4" x14ac:dyDescent="0.25">
      <c r="A368" s="5" t="s">
        <v>1415</v>
      </c>
      <c r="B368" s="5" t="s">
        <v>665</v>
      </c>
      <c r="C368" t="str">
        <f t="shared" si="5"/>
        <v>A</v>
      </c>
      <c r="D368">
        <v>1</v>
      </c>
    </row>
    <row r="369" spans="1:4" x14ac:dyDescent="0.25">
      <c r="A369" s="5" t="s">
        <v>132</v>
      </c>
      <c r="B369" s="5" t="s">
        <v>665</v>
      </c>
      <c r="C369" t="str">
        <f t="shared" si="5"/>
        <v>A</v>
      </c>
      <c r="D369">
        <v>1</v>
      </c>
    </row>
    <row r="370" spans="1:4" x14ac:dyDescent="0.25">
      <c r="A370" s="5" t="s">
        <v>132</v>
      </c>
      <c r="B370" s="5" t="s">
        <v>665</v>
      </c>
      <c r="C370" t="str">
        <f t="shared" si="5"/>
        <v>A</v>
      </c>
      <c r="D370">
        <v>1</v>
      </c>
    </row>
    <row r="371" spans="1:4" x14ac:dyDescent="0.25">
      <c r="A371" s="5" t="s">
        <v>10</v>
      </c>
      <c r="B371" s="5" t="s">
        <v>665</v>
      </c>
      <c r="C371" t="str">
        <f t="shared" si="5"/>
        <v>A</v>
      </c>
      <c r="D371">
        <v>1</v>
      </c>
    </row>
    <row r="372" spans="1:4" x14ac:dyDescent="0.25">
      <c r="A372" s="5" t="s">
        <v>10</v>
      </c>
      <c r="B372" s="5" t="s">
        <v>665</v>
      </c>
      <c r="C372" t="str">
        <f t="shared" si="5"/>
        <v>A</v>
      </c>
      <c r="D372">
        <v>1</v>
      </c>
    </row>
    <row r="373" spans="1:4" x14ac:dyDescent="0.25">
      <c r="A373" s="5" t="s">
        <v>10</v>
      </c>
      <c r="B373" s="5" t="s">
        <v>665</v>
      </c>
      <c r="C373" t="str">
        <f t="shared" si="5"/>
        <v>A</v>
      </c>
      <c r="D373">
        <v>1</v>
      </c>
    </row>
    <row r="374" spans="1:4" x14ac:dyDescent="0.25">
      <c r="A374" s="5" t="s">
        <v>10</v>
      </c>
      <c r="B374" s="5" t="s">
        <v>672</v>
      </c>
      <c r="C374" t="str">
        <f t="shared" si="5"/>
        <v>A</v>
      </c>
      <c r="D374">
        <v>1</v>
      </c>
    </row>
    <row r="375" spans="1:4" x14ac:dyDescent="0.25">
      <c r="A375" s="5" t="s">
        <v>123</v>
      </c>
      <c r="B375" s="5" t="s">
        <v>672</v>
      </c>
      <c r="C375" t="str">
        <f t="shared" si="5"/>
        <v>B</v>
      </c>
      <c r="D375">
        <v>1</v>
      </c>
    </row>
    <row r="376" spans="1:4" x14ac:dyDescent="0.25">
      <c r="A376" s="5" t="s">
        <v>10</v>
      </c>
      <c r="B376" s="5" t="s">
        <v>676</v>
      </c>
      <c r="C376" t="str">
        <f t="shared" si="5"/>
        <v>A</v>
      </c>
      <c r="D376">
        <v>1</v>
      </c>
    </row>
    <row r="377" spans="1:4" x14ac:dyDescent="0.25">
      <c r="A377" s="5" t="s">
        <v>10</v>
      </c>
      <c r="B377" s="5" t="s">
        <v>681</v>
      </c>
      <c r="C377" t="str">
        <f t="shared" si="5"/>
        <v>A</v>
      </c>
      <c r="D377">
        <v>1</v>
      </c>
    </row>
    <row r="378" spans="1:4" x14ac:dyDescent="0.25">
      <c r="A378" s="5" t="s">
        <v>123</v>
      </c>
      <c r="B378" s="5" t="s">
        <v>681</v>
      </c>
      <c r="C378" t="str">
        <f t="shared" si="5"/>
        <v>B</v>
      </c>
      <c r="D378">
        <v>1</v>
      </c>
    </row>
    <row r="379" spans="1:4" x14ac:dyDescent="0.25">
      <c r="A379" s="5" t="s">
        <v>132</v>
      </c>
      <c r="B379" s="5" t="s">
        <v>687</v>
      </c>
      <c r="C379" t="str">
        <f t="shared" si="5"/>
        <v>A</v>
      </c>
      <c r="D379">
        <v>1</v>
      </c>
    </row>
    <row r="380" spans="1:4" x14ac:dyDescent="0.25">
      <c r="A380" s="5" t="s">
        <v>1428</v>
      </c>
      <c r="B380" s="5" t="s">
        <v>687</v>
      </c>
      <c r="C380" t="str">
        <f t="shared" si="5"/>
        <v>B</v>
      </c>
      <c r="D380">
        <v>1</v>
      </c>
    </row>
    <row r="381" spans="1:4" x14ac:dyDescent="0.25">
      <c r="A381" s="5" t="s">
        <v>132</v>
      </c>
      <c r="B381" s="5" t="s">
        <v>687</v>
      </c>
      <c r="C381" t="str">
        <f t="shared" si="5"/>
        <v>A</v>
      </c>
      <c r="D381">
        <v>1</v>
      </c>
    </row>
    <row r="382" spans="1:4" x14ac:dyDescent="0.25">
      <c r="A382" s="5" t="s">
        <v>132</v>
      </c>
      <c r="B382" s="5" t="s">
        <v>687</v>
      </c>
      <c r="C382" t="str">
        <f t="shared" si="5"/>
        <v>A</v>
      </c>
      <c r="D382">
        <v>1</v>
      </c>
    </row>
    <row r="383" spans="1:4" x14ac:dyDescent="0.25">
      <c r="A383" s="5" t="s">
        <v>132</v>
      </c>
      <c r="B383" s="5" t="s">
        <v>687</v>
      </c>
      <c r="C383" t="str">
        <f t="shared" si="5"/>
        <v>A</v>
      </c>
      <c r="D383">
        <v>1</v>
      </c>
    </row>
    <row r="384" spans="1:4" x14ac:dyDescent="0.25">
      <c r="A384" s="5" t="s">
        <v>1428</v>
      </c>
      <c r="B384" s="5" t="s">
        <v>687</v>
      </c>
      <c r="C384" t="str">
        <f t="shared" si="5"/>
        <v>B</v>
      </c>
      <c r="D384">
        <v>1</v>
      </c>
    </row>
    <row r="385" spans="1:4" x14ac:dyDescent="0.25">
      <c r="A385" s="5" t="s">
        <v>132</v>
      </c>
      <c r="B385" s="5" t="s">
        <v>687</v>
      </c>
      <c r="C385" t="str">
        <f t="shared" si="5"/>
        <v>A</v>
      </c>
      <c r="D385">
        <v>1</v>
      </c>
    </row>
    <row r="386" spans="1:4" x14ac:dyDescent="0.25">
      <c r="A386" s="5" t="s">
        <v>1415</v>
      </c>
      <c r="B386" s="5" t="s">
        <v>687</v>
      </c>
      <c r="C386" t="str">
        <f t="shared" si="5"/>
        <v>A</v>
      </c>
      <c r="D386">
        <v>1</v>
      </c>
    </row>
    <row r="387" spans="1:4" x14ac:dyDescent="0.25">
      <c r="A387" s="5" t="s">
        <v>132</v>
      </c>
      <c r="B387" s="5" t="s">
        <v>687</v>
      </c>
      <c r="C387" t="str">
        <f t="shared" ref="C387:C450" si="6">LEFT(A387,1)</f>
        <v>A</v>
      </c>
      <c r="D387">
        <v>1</v>
      </c>
    </row>
    <row r="388" spans="1:4" x14ac:dyDescent="0.25">
      <c r="A388" s="5" t="s">
        <v>1408</v>
      </c>
      <c r="B388" s="5" t="s">
        <v>687</v>
      </c>
      <c r="C388" t="str">
        <f t="shared" si="6"/>
        <v>A</v>
      </c>
      <c r="D388">
        <v>1</v>
      </c>
    </row>
    <row r="389" spans="1:4" x14ac:dyDescent="0.25">
      <c r="A389" s="5" t="s">
        <v>132</v>
      </c>
      <c r="B389" s="5" t="s">
        <v>687</v>
      </c>
      <c r="C389" t="str">
        <f t="shared" si="6"/>
        <v>A</v>
      </c>
      <c r="D389">
        <v>1</v>
      </c>
    </row>
    <row r="390" spans="1:4" x14ac:dyDescent="0.25">
      <c r="A390" s="5" t="s">
        <v>10</v>
      </c>
      <c r="B390" s="5" t="s">
        <v>687</v>
      </c>
      <c r="C390" t="str">
        <f t="shared" si="6"/>
        <v>A</v>
      </c>
      <c r="D390">
        <v>1</v>
      </c>
    </row>
    <row r="391" spans="1:4" x14ac:dyDescent="0.25">
      <c r="A391" s="5" t="s">
        <v>10</v>
      </c>
      <c r="B391" s="5" t="s">
        <v>687</v>
      </c>
      <c r="C391" t="str">
        <f t="shared" si="6"/>
        <v>A</v>
      </c>
      <c r="D391">
        <v>1</v>
      </c>
    </row>
    <row r="392" spans="1:4" x14ac:dyDescent="0.25">
      <c r="A392" s="5" t="s">
        <v>10</v>
      </c>
      <c r="B392" s="5" t="s">
        <v>687</v>
      </c>
      <c r="C392" t="str">
        <f t="shared" si="6"/>
        <v>A</v>
      </c>
      <c r="D392">
        <v>1</v>
      </c>
    </row>
    <row r="393" spans="1:4" x14ac:dyDescent="0.25">
      <c r="A393" s="5" t="s">
        <v>10</v>
      </c>
      <c r="B393" s="5" t="s">
        <v>687</v>
      </c>
      <c r="C393" t="str">
        <f t="shared" si="6"/>
        <v>A</v>
      </c>
      <c r="D393">
        <v>1</v>
      </c>
    </row>
    <row r="394" spans="1:4" x14ac:dyDescent="0.25">
      <c r="A394" s="5" t="s">
        <v>10</v>
      </c>
      <c r="B394" s="5" t="s">
        <v>694</v>
      </c>
      <c r="C394" t="str">
        <f t="shared" si="6"/>
        <v>A</v>
      </c>
      <c r="D394">
        <v>1</v>
      </c>
    </row>
    <row r="395" spans="1:4" x14ac:dyDescent="0.25">
      <c r="A395" s="5" t="s">
        <v>123</v>
      </c>
      <c r="B395" s="5" t="s">
        <v>694</v>
      </c>
      <c r="C395" t="str">
        <f t="shared" si="6"/>
        <v>B</v>
      </c>
      <c r="D395">
        <v>1</v>
      </c>
    </row>
    <row r="396" spans="1:4" x14ac:dyDescent="0.25">
      <c r="A396" s="5" t="s">
        <v>10</v>
      </c>
      <c r="B396" s="5" t="s">
        <v>700</v>
      </c>
      <c r="C396" t="str">
        <f t="shared" si="6"/>
        <v>A</v>
      </c>
      <c r="D396">
        <v>1</v>
      </c>
    </row>
    <row r="397" spans="1:4" x14ac:dyDescent="0.25">
      <c r="A397" s="5" t="s">
        <v>123</v>
      </c>
      <c r="B397" s="5" t="s">
        <v>700</v>
      </c>
      <c r="C397" t="str">
        <f t="shared" si="6"/>
        <v>B</v>
      </c>
      <c r="D397">
        <v>1</v>
      </c>
    </row>
    <row r="398" spans="1:4" x14ac:dyDescent="0.25">
      <c r="A398" s="5" t="s">
        <v>706</v>
      </c>
      <c r="B398" s="5" t="s">
        <v>705</v>
      </c>
      <c r="C398" t="str">
        <f t="shared" si="6"/>
        <v>U</v>
      </c>
      <c r="D398">
        <v>1</v>
      </c>
    </row>
    <row r="399" spans="1:4" x14ac:dyDescent="0.25">
      <c r="A399" s="5" t="s">
        <v>10</v>
      </c>
      <c r="B399" s="5" t="s">
        <v>709</v>
      </c>
      <c r="C399" t="str">
        <f t="shared" si="6"/>
        <v>A</v>
      </c>
      <c r="D399">
        <v>1</v>
      </c>
    </row>
    <row r="400" spans="1:4" x14ac:dyDescent="0.25">
      <c r="A400" s="5" t="s">
        <v>123</v>
      </c>
      <c r="B400" s="5" t="s">
        <v>709</v>
      </c>
      <c r="C400" t="str">
        <f t="shared" si="6"/>
        <v>B</v>
      </c>
      <c r="D400">
        <v>1</v>
      </c>
    </row>
    <row r="401" spans="1:4" x14ac:dyDescent="0.25">
      <c r="A401" s="5" t="s">
        <v>10</v>
      </c>
      <c r="B401" s="5" t="s">
        <v>714</v>
      </c>
      <c r="C401" t="str">
        <f t="shared" si="6"/>
        <v>A</v>
      </c>
      <c r="D401">
        <v>1</v>
      </c>
    </row>
    <row r="402" spans="1:4" x14ac:dyDescent="0.25">
      <c r="A402" s="5" t="s">
        <v>123</v>
      </c>
      <c r="B402" s="5" t="s">
        <v>714</v>
      </c>
      <c r="C402" t="str">
        <f t="shared" si="6"/>
        <v>B</v>
      </c>
      <c r="D402">
        <v>1</v>
      </c>
    </row>
    <row r="403" spans="1:4" x14ac:dyDescent="0.25">
      <c r="A403" s="5" t="s">
        <v>10</v>
      </c>
      <c r="B403" s="5" t="s">
        <v>719</v>
      </c>
      <c r="C403" t="str">
        <f t="shared" si="6"/>
        <v>A</v>
      </c>
      <c r="D403">
        <v>1</v>
      </c>
    </row>
    <row r="404" spans="1:4" x14ac:dyDescent="0.25">
      <c r="A404" s="5" t="s">
        <v>123</v>
      </c>
      <c r="B404" s="5" t="s">
        <v>719</v>
      </c>
      <c r="C404" t="str">
        <f t="shared" si="6"/>
        <v>B</v>
      </c>
      <c r="D404">
        <v>1</v>
      </c>
    </row>
    <row r="405" spans="1:4" x14ac:dyDescent="0.25">
      <c r="A405" s="5" t="s">
        <v>10</v>
      </c>
      <c r="B405" s="5" t="s">
        <v>723</v>
      </c>
      <c r="C405" t="str">
        <f t="shared" si="6"/>
        <v>A</v>
      </c>
      <c r="D405">
        <v>1</v>
      </c>
    </row>
    <row r="406" spans="1:4" x14ac:dyDescent="0.25">
      <c r="A406" s="5" t="s">
        <v>123</v>
      </c>
      <c r="B406" s="5" t="s">
        <v>723</v>
      </c>
      <c r="C406" t="str">
        <f t="shared" si="6"/>
        <v>B</v>
      </c>
      <c r="D406">
        <v>1</v>
      </c>
    </row>
    <row r="407" spans="1:4" x14ac:dyDescent="0.25">
      <c r="A407" s="5" t="s">
        <v>132</v>
      </c>
      <c r="B407" s="5" t="s">
        <v>729</v>
      </c>
      <c r="C407" t="str">
        <f t="shared" si="6"/>
        <v>A</v>
      </c>
      <c r="D407">
        <v>1</v>
      </c>
    </row>
    <row r="408" spans="1:4" x14ac:dyDescent="0.25">
      <c r="A408" s="5" t="s">
        <v>1428</v>
      </c>
      <c r="B408" s="5" t="s">
        <v>729</v>
      </c>
      <c r="C408" t="str">
        <f t="shared" si="6"/>
        <v>B</v>
      </c>
      <c r="D408">
        <v>1</v>
      </c>
    </row>
    <row r="409" spans="1:4" x14ac:dyDescent="0.25">
      <c r="A409" s="5" t="s">
        <v>132</v>
      </c>
      <c r="B409" s="5" t="s">
        <v>729</v>
      </c>
      <c r="C409" t="str">
        <f t="shared" si="6"/>
        <v>A</v>
      </c>
      <c r="D409">
        <v>1</v>
      </c>
    </row>
    <row r="410" spans="1:4" x14ac:dyDescent="0.25">
      <c r="A410" s="5" t="s">
        <v>132</v>
      </c>
      <c r="B410" s="5" t="s">
        <v>729</v>
      </c>
      <c r="C410" t="str">
        <f t="shared" si="6"/>
        <v>A</v>
      </c>
      <c r="D410">
        <v>1</v>
      </c>
    </row>
    <row r="411" spans="1:4" x14ac:dyDescent="0.25">
      <c r="A411" s="5" t="s">
        <v>10</v>
      </c>
      <c r="B411" s="5" t="s">
        <v>729</v>
      </c>
      <c r="C411" t="str">
        <f t="shared" si="6"/>
        <v>A</v>
      </c>
      <c r="D411">
        <v>1</v>
      </c>
    </row>
    <row r="412" spans="1:4" x14ac:dyDescent="0.25">
      <c r="A412" s="5" t="s">
        <v>123</v>
      </c>
      <c r="B412" s="5" t="s">
        <v>729</v>
      </c>
      <c r="C412" t="str">
        <f t="shared" si="6"/>
        <v>B</v>
      </c>
      <c r="D412">
        <v>1</v>
      </c>
    </row>
    <row r="413" spans="1:4" x14ac:dyDescent="0.25">
      <c r="A413" s="5" t="s">
        <v>10</v>
      </c>
      <c r="B413" s="5" t="s">
        <v>729</v>
      </c>
      <c r="C413" t="str">
        <f t="shared" si="6"/>
        <v>A</v>
      </c>
      <c r="D413">
        <v>1</v>
      </c>
    </row>
    <row r="414" spans="1:4" x14ac:dyDescent="0.25">
      <c r="A414" s="5" t="s">
        <v>10</v>
      </c>
      <c r="B414" s="5" t="s">
        <v>729</v>
      </c>
      <c r="C414" t="str">
        <f t="shared" si="6"/>
        <v>A</v>
      </c>
      <c r="D414">
        <v>1</v>
      </c>
    </row>
    <row r="415" spans="1:4" x14ac:dyDescent="0.25">
      <c r="A415" s="5" t="s">
        <v>132</v>
      </c>
      <c r="B415" s="5" t="s">
        <v>737</v>
      </c>
      <c r="C415" t="str">
        <f t="shared" si="6"/>
        <v>A</v>
      </c>
      <c r="D415">
        <v>1</v>
      </c>
    </row>
    <row r="416" spans="1:4" x14ac:dyDescent="0.25">
      <c r="A416" s="5" t="s">
        <v>132</v>
      </c>
      <c r="B416" s="5" t="s">
        <v>737</v>
      </c>
      <c r="C416" t="str">
        <f t="shared" si="6"/>
        <v>A</v>
      </c>
      <c r="D416">
        <v>1</v>
      </c>
    </row>
    <row r="417" spans="1:4" x14ac:dyDescent="0.25">
      <c r="A417" s="5" t="s">
        <v>1428</v>
      </c>
      <c r="B417" s="5" t="s">
        <v>737</v>
      </c>
      <c r="C417" t="str">
        <f t="shared" si="6"/>
        <v>B</v>
      </c>
      <c r="D417">
        <v>1</v>
      </c>
    </row>
    <row r="418" spans="1:4" x14ac:dyDescent="0.25">
      <c r="A418" s="5" t="s">
        <v>132</v>
      </c>
      <c r="B418" s="5" t="s">
        <v>737</v>
      </c>
      <c r="C418" t="str">
        <f t="shared" si="6"/>
        <v>A</v>
      </c>
      <c r="D418">
        <v>1</v>
      </c>
    </row>
    <row r="419" spans="1:4" x14ac:dyDescent="0.25">
      <c r="A419" s="5" t="s">
        <v>132</v>
      </c>
      <c r="B419" s="5" t="s">
        <v>737</v>
      </c>
      <c r="C419" t="str">
        <f t="shared" si="6"/>
        <v>A</v>
      </c>
      <c r="D419">
        <v>1</v>
      </c>
    </row>
    <row r="420" spans="1:4" x14ac:dyDescent="0.25">
      <c r="A420" s="5" t="s">
        <v>1428</v>
      </c>
      <c r="B420" s="5" t="s">
        <v>737</v>
      </c>
      <c r="C420" t="str">
        <f t="shared" si="6"/>
        <v>B</v>
      </c>
      <c r="D420">
        <v>1</v>
      </c>
    </row>
    <row r="421" spans="1:4" x14ac:dyDescent="0.25">
      <c r="A421" s="5" t="s">
        <v>132</v>
      </c>
      <c r="B421" s="5" t="s">
        <v>737</v>
      </c>
      <c r="C421" t="str">
        <f t="shared" si="6"/>
        <v>A</v>
      </c>
      <c r="D421">
        <v>1</v>
      </c>
    </row>
    <row r="422" spans="1:4" x14ac:dyDescent="0.25">
      <c r="A422" s="5" t="s">
        <v>1428</v>
      </c>
      <c r="B422" s="5" t="s">
        <v>737</v>
      </c>
      <c r="C422" t="str">
        <f t="shared" si="6"/>
        <v>B</v>
      </c>
      <c r="D422">
        <v>1</v>
      </c>
    </row>
    <row r="423" spans="1:4" x14ac:dyDescent="0.25">
      <c r="A423" s="5" t="s">
        <v>132</v>
      </c>
      <c r="B423" s="5" t="s">
        <v>737</v>
      </c>
      <c r="C423" t="str">
        <f t="shared" si="6"/>
        <v>A</v>
      </c>
      <c r="D423">
        <v>1</v>
      </c>
    </row>
    <row r="424" spans="1:4" x14ac:dyDescent="0.25">
      <c r="A424" s="5" t="s">
        <v>1428</v>
      </c>
      <c r="B424" s="5" t="s">
        <v>737</v>
      </c>
      <c r="C424" t="str">
        <f t="shared" si="6"/>
        <v>B</v>
      </c>
      <c r="D424">
        <v>1</v>
      </c>
    </row>
    <row r="425" spans="1:4" x14ac:dyDescent="0.25">
      <c r="A425" s="5" t="s">
        <v>132</v>
      </c>
      <c r="B425" s="5" t="s">
        <v>737</v>
      </c>
      <c r="C425" t="str">
        <f t="shared" si="6"/>
        <v>A</v>
      </c>
      <c r="D425">
        <v>1</v>
      </c>
    </row>
    <row r="426" spans="1:4" x14ac:dyDescent="0.25">
      <c r="A426" s="5" t="s">
        <v>1013</v>
      </c>
      <c r="B426" s="5" t="s">
        <v>737</v>
      </c>
      <c r="C426" t="str">
        <f t="shared" si="6"/>
        <v>B</v>
      </c>
      <c r="D426">
        <v>1</v>
      </c>
    </row>
    <row r="427" spans="1:4" x14ac:dyDescent="0.25">
      <c r="A427" s="5" t="s">
        <v>132</v>
      </c>
      <c r="B427" s="5" t="s">
        <v>737</v>
      </c>
      <c r="C427" t="str">
        <f t="shared" si="6"/>
        <v>A</v>
      </c>
      <c r="D427">
        <v>1</v>
      </c>
    </row>
    <row r="428" spans="1:4" x14ac:dyDescent="0.25">
      <c r="A428" s="5" t="s">
        <v>1415</v>
      </c>
      <c r="B428" s="5" t="s">
        <v>737</v>
      </c>
      <c r="C428" t="str">
        <f t="shared" si="6"/>
        <v>A</v>
      </c>
      <c r="D428">
        <v>1</v>
      </c>
    </row>
    <row r="429" spans="1:4" x14ac:dyDescent="0.25">
      <c r="A429" s="5" t="s">
        <v>1510</v>
      </c>
      <c r="B429" s="5" t="s">
        <v>737</v>
      </c>
      <c r="C429" t="str">
        <f t="shared" si="6"/>
        <v>A</v>
      </c>
      <c r="D429">
        <v>1</v>
      </c>
    </row>
    <row r="430" spans="1:4" x14ac:dyDescent="0.25">
      <c r="A430" s="5" t="s">
        <v>1510</v>
      </c>
      <c r="B430" s="5" t="s">
        <v>737</v>
      </c>
      <c r="C430" t="str">
        <f t="shared" si="6"/>
        <v>A</v>
      </c>
      <c r="D430">
        <v>1</v>
      </c>
    </row>
    <row r="431" spans="1:4" x14ac:dyDescent="0.25">
      <c r="A431" s="5" t="s">
        <v>1415</v>
      </c>
      <c r="B431" s="5" t="s">
        <v>737</v>
      </c>
      <c r="C431" t="str">
        <f t="shared" si="6"/>
        <v>A</v>
      </c>
      <c r="D431">
        <v>1</v>
      </c>
    </row>
    <row r="432" spans="1:4" x14ac:dyDescent="0.25">
      <c r="A432" s="5" t="s">
        <v>1418</v>
      </c>
      <c r="B432" s="5" t="s">
        <v>737</v>
      </c>
      <c r="C432" t="str">
        <f t="shared" si="6"/>
        <v>A</v>
      </c>
      <c r="D432">
        <v>1</v>
      </c>
    </row>
    <row r="433" spans="1:4" x14ac:dyDescent="0.25">
      <c r="A433" s="5" t="s">
        <v>1415</v>
      </c>
      <c r="B433" s="5" t="s">
        <v>737</v>
      </c>
      <c r="C433" t="str">
        <f t="shared" si="6"/>
        <v>A</v>
      </c>
      <c r="D433">
        <v>1</v>
      </c>
    </row>
    <row r="434" spans="1:4" x14ac:dyDescent="0.25">
      <c r="A434" s="5" t="s">
        <v>1408</v>
      </c>
      <c r="B434" s="5" t="s">
        <v>737</v>
      </c>
      <c r="C434" t="str">
        <f t="shared" si="6"/>
        <v>A</v>
      </c>
      <c r="D434">
        <v>1</v>
      </c>
    </row>
    <row r="435" spans="1:4" x14ac:dyDescent="0.25">
      <c r="A435" s="5" t="s">
        <v>10</v>
      </c>
      <c r="B435" s="5" t="s">
        <v>737</v>
      </c>
      <c r="C435" t="str">
        <f t="shared" si="6"/>
        <v>A</v>
      </c>
      <c r="D435">
        <v>1</v>
      </c>
    </row>
    <row r="436" spans="1:4" x14ac:dyDescent="0.25">
      <c r="A436" s="5" t="s">
        <v>1428</v>
      </c>
      <c r="B436" s="5" t="s">
        <v>737</v>
      </c>
      <c r="C436" t="str">
        <f t="shared" si="6"/>
        <v>B</v>
      </c>
      <c r="D436">
        <v>1</v>
      </c>
    </row>
    <row r="437" spans="1:4" x14ac:dyDescent="0.25">
      <c r="A437" s="5" t="s">
        <v>10</v>
      </c>
      <c r="B437" s="5" t="s">
        <v>737</v>
      </c>
      <c r="C437" t="str">
        <f t="shared" si="6"/>
        <v>A</v>
      </c>
      <c r="D437">
        <v>1</v>
      </c>
    </row>
    <row r="438" spans="1:4" x14ac:dyDescent="0.25">
      <c r="A438" s="5" t="s">
        <v>1013</v>
      </c>
      <c r="B438" s="5" t="s">
        <v>737</v>
      </c>
      <c r="C438" t="str">
        <f t="shared" si="6"/>
        <v>B</v>
      </c>
      <c r="D438">
        <v>1</v>
      </c>
    </row>
    <row r="439" spans="1:4" x14ac:dyDescent="0.25">
      <c r="A439" s="5" t="s">
        <v>10</v>
      </c>
      <c r="B439" s="5" t="s">
        <v>737</v>
      </c>
      <c r="C439" t="str">
        <f t="shared" si="6"/>
        <v>A</v>
      </c>
      <c r="D439">
        <v>1</v>
      </c>
    </row>
    <row r="440" spans="1:4" x14ac:dyDescent="0.25">
      <c r="A440" s="5" t="s">
        <v>123</v>
      </c>
      <c r="B440" s="5" t="s">
        <v>737</v>
      </c>
      <c r="C440" t="str">
        <f t="shared" si="6"/>
        <v>B</v>
      </c>
      <c r="D440">
        <v>1</v>
      </c>
    </row>
    <row r="441" spans="1:4" x14ac:dyDescent="0.25">
      <c r="A441" s="5" t="s">
        <v>10</v>
      </c>
      <c r="B441" s="5" t="s">
        <v>737</v>
      </c>
      <c r="C441" t="str">
        <f t="shared" si="6"/>
        <v>A</v>
      </c>
      <c r="D441">
        <v>1</v>
      </c>
    </row>
    <row r="442" spans="1:4" x14ac:dyDescent="0.25">
      <c r="A442" s="5" t="s">
        <v>10</v>
      </c>
      <c r="B442" s="5" t="s">
        <v>737</v>
      </c>
      <c r="C442" t="str">
        <f t="shared" si="6"/>
        <v>A</v>
      </c>
      <c r="D442">
        <v>1</v>
      </c>
    </row>
    <row r="443" spans="1:4" x14ac:dyDescent="0.25">
      <c r="A443" s="5" t="s">
        <v>10</v>
      </c>
      <c r="B443" s="5" t="s">
        <v>737</v>
      </c>
      <c r="C443" t="str">
        <f t="shared" si="6"/>
        <v>A</v>
      </c>
      <c r="D443">
        <v>1</v>
      </c>
    </row>
    <row r="444" spans="1:4" x14ac:dyDescent="0.25">
      <c r="A444" s="5" t="s">
        <v>123</v>
      </c>
      <c r="B444" s="5" t="s">
        <v>737</v>
      </c>
      <c r="C444" t="str">
        <f t="shared" si="6"/>
        <v>B</v>
      </c>
      <c r="D444">
        <v>1</v>
      </c>
    </row>
    <row r="445" spans="1:4" x14ac:dyDescent="0.25">
      <c r="A445" s="5" t="s">
        <v>1013</v>
      </c>
      <c r="B445" s="5" t="s">
        <v>745</v>
      </c>
      <c r="C445" t="str">
        <f t="shared" si="6"/>
        <v>B</v>
      </c>
      <c r="D445">
        <v>1</v>
      </c>
    </row>
    <row r="446" spans="1:4" x14ac:dyDescent="0.25">
      <c r="A446" s="5" t="s">
        <v>1013</v>
      </c>
      <c r="B446" s="5" t="s">
        <v>745</v>
      </c>
      <c r="C446" t="str">
        <f t="shared" si="6"/>
        <v>B</v>
      </c>
      <c r="D446">
        <v>1</v>
      </c>
    </row>
    <row r="447" spans="1:4" x14ac:dyDescent="0.25">
      <c r="A447" s="5" t="s">
        <v>132</v>
      </c>
      <c r="B447" s="5" t="s">
        <v>745</v>
      </c>
      <c r="C447" t="str">
        <f t="shared" si="6"/>
        <v>A</v>
      </c>
      <c r="D447">
        <v>1</v>
      </c>
    </row>
    <row r="448" spans="1:4" x14ac:dyDescent="0.25">
      <c r="A448" s="5" t="s">
        <v>1428</v>
      </c>
      <c r="B448" s="5" t="s">
        <v>745</v>
      </c>
      <c r="C448" t="str">
        <f t="shared" si="6"/>
        <v>B</v>
      </c>
      <c r="D448">
        <v>1</v>
      </c>
    </row>
    <row r="449" spans="1:4" x14ac:dyDescent="0.25">
      <c r="A449" s="5" t="s">
        <v>1013</v>
      </c>
      <c r="B449" s="5" t="s">
        <v>751</v>
      </c>
      <c r="C449" t="str">
        <f t="shared" si="6"/>
        <v>B</v>
      </c>
      <c r="D449">
        <v>1</v>
      </c>
    </row>
    <row r="450" spans="1:4" x14ac:dyDescent="0.25">
      <c r="A450" s="5" t="s">
        <v>1013</v>
      </c>
      <c r="B450" s="5" t="s">
        <v>751</v>
      </c>
      <c r="C450" t="str">
        <f t="shared" si="6"/>
        <v>B</v>
      </c>
      <c r="D450">
        <v>1</v>
      </c>
    </row>
    <row r="451" spans="1:4" x14ac:dyDescent="0.25">
      <c r="A451" s="5" t="s">
        <v>132</v>
      </c>
      <c r="B451" s="5" t="s">
        <v>751</v>
      </c>
      <c r="C451" t="str">
        <f t="shared" ref="C451:C514" si="7">LEFT(A451,1)</f>
        <v>A</v>
      </c>
      <c r="D451">
        <v>1</v>
      </c>
    </row>
    <row r="452" spans="1:4" x14ac:dyDescent="0.25">
      <c r="A452" s="5" t="s">
        <v>1428</v>
      </c>
      <c r="B452" s="5" t="s">
        <v>751</v>
      </c>
      <c r="C452" t="str">
        <f t="shared" si="7"/>
        <v>B</v>
      </c>
      <c r="D452">
        <v>1</v>
      </c>
    </row>
    <row r="453" spans="1:4" x14ac:dyDescent="0.25">
      <c r="A453" s="5" t="s">
        <v>10</v>
      </c>
      <c r="B453" s="5" t="s">
        <v>756</v>
      </c>
      <c r="C453" t="str">
        <f t="shared" si="7"/>
        <v>A</v>
      </c>
      <c r="D453">
        <v>1</v>
      </c>
    </row>
    <row r="454" spans="1:4" x14ac:dyDescent="0.25">
      <c r="A454" s="5" t="s">
        <v>123</v>
      </c>
      <c r="B454" s="5" t="s">
        <v>756</v>
      </c>
      <c r="C454" t="str">
        <f t="shared" si="7"/>
        <v>B</v>
      </c>
      <c r="D454">
        <v>1</v>
      </c>
    </row>
    <row r="455" spans="1:4" x14ac:dyDescent="0.25">
      <c r="A455" s="5" t="s">
        <v>10</v>
      </c>
      <c r="B455" s="5" t="s">
        <v>760</v>
      </c>
      <c r="C455" t="str">
        <f t="shared" si="7"/>
        <v>A</v>
      </c>
      <c r="D455">
        <v>1</v>
      </c>
    </row>
    <row r="456" spans="1:4" x14ac:dyDescent="0.25">
      <c r="A456" s="5" t="s">
        <v>132</v>
      </c>
      <c r="B456" s="5" t="s">
        <v>767</v>
      </c>
      <c r="C456" t="str">
        <f t="shared" si="7"/>
        <v>A</v>
      </c>
      <c r="D456">
        <v>1</v>
      </c>
    </row>
    <row r="457" spans="1:4" x14ac:dyDescent="0.25">
      <c r="A457" s="5" t="s">
        <v>1428</v>
      </c>
      <c r="B457" s="5" t="s">
        <v>767</v>
      </c>
      <c r="C457" t="str">
        <f t="shared" si="7"/>
        <v>B</v>
      </c>
      <c r="D457">
        <v>1</v>
      </c>
    </row>
    <row r="458" spans="1:4" x14ac:dyDescent="0.25">
      <c r="A458" s="5" t="s">
        <v>132</v>
      </c>
      <c r="B458" s="5" t="s">
        <v>767</v>
      </c>
      <c r="C458" t="str">
        <f t="shared" si="7"/>
        <v>A</v>
      </c>
      <c r="D458">
        <v>1</v>
      </c>
    </row>
    <row r="459" spans="1:4" x14ac:dyDescent="0.25">
      <c r="A459" s="5" t="s">
        <v>1428</v>
      </c>
      <c r="B459" s="5" t="s">
        <v>767</v>
      </c>
      <c r="C459" t="str">
        <f t="shared" si="7"/>
        <v>B</v>
      </c>
      <c r="D459">
        <v>1</v>
      </c>
    </row>
    <row r="460" spans="1:4" x14ac:dyDescent="0.25">
      <c r="A460" s="5" t="s">
        <v>132</v>
      </c>
      <c r="B460" s="5" t="s">
        <v>767</v>
      </c>
      <c r="C460" t="str">
        <f t="shared" si="7"/>
        <v>A</v>
      </c>
      <c r="D460">
        <v>1</v>
      </c>
    </row>
    <row r="461" spans="1:4" x14ac:dyDescent="0.25">
      <c r="A461" s="5" t="s">
        <v>1415</v>
      </c>
      <c r="B461" s="5" t="s">
        <v>767</v>
      </c>
      <c r="C461" t="str">
        <f t="shared" si="7"/>
        <v>A</v>
      </c>
      <c r="D461">
        <v>1</v>
      </c>
    </row>
    <row r="462" spans="1:4" x14ac:dyDescent="0.25">
      <c r="A462" s="5" t="s">
        <v>10</v>
      </c>
      <c r="B462" s="5" t="s">
        <v>767</v>
      </c>
      <c r="C462" t="str">
        <f t="shared" si="7"/>
        <v>A</v>
      </c>
      <c r="D462">
        <v>1</v>
      </c>
    </row>
    <row r="463" spans="1:4" x14ac:dyDescent="0.25">
      <c r="A463" s="5" t="s">
        <v>123</v>
      </c>
      <c r="B463" s="5" t="s">
        <v>767</v>
      </c>
      <c r="C463" t="str">
        <f t="shared" si="7"/>
        <v>B</v>
      </c>
      <c r="D463">
        <v>1</v>
      </c>
    </row>
    <row r="464" spans="1:4" x14ac:dyDescent="0.25">
      <c r="A464" s="5" t="s">
        <v>10</v>
      </c>
      <c r="B464" s="5" t="s">
        <v>767</v>
      </c>
      <c r="C464" t="str">
        <f t="shared" si="7"/>
        <v>A</v>
      </c>
      <c r="D464">
        <v>1</v>
      </c>
    </row>
    <row r="465" spans="1:4" x14ac:dyDescent="0.25">
      <c r="A465" s="5" t="s">
        <v>991</v>
      </c>
      <c r="B465" s="5" t="s">
        <v>767</v>
      </c>
      <c r="C465" t="str">
        <f t="shared" si="7"/>
        <v>C</v>
      </c>
      <c r="D465">
        <v>1</v>
      </c>
    </row>
    <row r="466" spans="1:4" x14ac:dyDescent="0.25">
      <c r="A466" s="5" t="s">
        <v>123</v>
      </c>
      <c r="B466" s="5" t="s">
        <v>767</v>
      </c>
      <c r="C466" t="str">
        <f t="shared" si="7"/>
        <v>B</v>
      </c>
      <c r="D466">
        <v>1</v>
      </c>
    </row>
    <row r="467" spans="1:4" x14ac:dyDescent="0.25">
      <c r="A467" s="5" t="s">
        <v>132</v>
      </c>
      <c r="B467" s="5" t="s">
        <v>775</v>
      </c>
      <c r="C467" t="str">
        <f t="shared" si="7"/>
        <v>A</v>
      </c>
      <c r="D467">
        <v>1</v>
      </c>
    </row>
    <row r="468" spans="1:4" x14ac:dyDescent="0.25">
      <c r="A468" s="5" t="s">
        <v>132</v>
      </c>
      <c r="B468" s="5" t="s">
        <v>775</v>
      </c>
      <c r="C468" t="str">
        <f t="shared" si="7"/>
        <v>A</v>
      </c>
      <c r="D468">
        <v>1</v>
      </c>
    </row>
    <row r="469" spans="1:4" x14ac:dyDescent="0.25">
      <c r="A469" s="5" t="s">
        <v>1428</v>
      </c>
      <c r="B469" s="5" t="s">
        <v>775</v>
      </c>
      <c r="C469" t="str">
        <f t="shared" si="7"/>
        <v>B</v>
      </c>
      <c r="D469">
        <v>1</v>
      </c>
    </row>
    <row r="470" spans="1:4" x14ac:dyDescent="0.25">
      <c r="A470" s="5" t="s">
        <v>132</v>
      </c>
      <c r="B470" s="5" t="s">
        <v>775</v>
      </c>
      <c r="C470" t="str">
        <f t="shared" si="7"/>
        <v>A</v>
      </c>
      <c r="D470">
        <v>1</v>
      </c>
    </row>
    <row r="471" spans="1:4" x14ac:dyDescent="0.25">
      <c r="A471" s="5" t="s">
        <v>1428</v>
      </c>
      <c r="B471" s="5" t="s">
        <v>775</v>
      </c>
      <c r="C471" t="str">
        <f t="shared" si="7"/>
        <v>B</v>
      </c>
      <c r="D471">
        <v>1</v>
      </c>
    </row>
    <row r="472" spans="1:4" x14ac:dyDescent="0.25">
      <c r="A472" s="5" t="s">
        <v>132</v>
      </c>
      <c r="B472" s="5" t="s">
        <v>775</v>
      </c>
      <c r="C472" t="str">
        <f t="shared" si="7"/>
        <v>A</v>
      </c>
      <c r="D472">
        <v>1</v>
      </c>
    </row>
    <row r="473" spans="1:4" x14ac:dyDescent="0.25">
      <c r="A473" s="5" t="s">
        <v>10</v>
      </c>
      <c r="B473" s="5" t="s">
        <v>775</v>
      </c>
      <c r="C473" t="str">
        <f t="shared" si="7"/>
        <v>A</v>
      </c>
      <c r="D473">
        <v>1</v>
      </c>
    </row>
    <row r="474" spans="1:4" x14ac:dyDescent="0.25">
      <c r="A474" s="5" t="s">
        <v>10</v>
      </c>
      <c r="B474" s="5" t="s">
        <v>775</v>
      </c>
      <c r="C474" t="str">
        <f t="shared" si="7"/>
        <v>A</v>
      </c>
      <c r="D474">
        <v>1</v>
      </c>
    </row>
    <row r="475" spans="1:4" x14ac:dyDescent="0.25">
      <c r="A475" s="5" t="s">
        <v>123</v>
      </c>
      <c r="B475" s="5" t="s">
        <v>775</v>
      </c>
      <c r="C475" t="str">
        <f t="shared" si="7"/>
        <v>B</v>
      </c>
      <c r="D475">
        <v>1</v>
      </c>
    </row>
    <row r="476" spans="1:4" x14ac:dyDescent="0.25">
      <c r="A476" s="5" t="s">
        <v>10</v>
      </c>
      <c r="B476" s="5" t="s">
        <v>775</v>
      </c>
      <c r="C476" t="str">
        <f t="shared" si="7"/>
        <v>A</v>
      </c>
      <c r="D476">
        <v>1</v>
      </c>
    </row>
    <row r="477" spans="1:4" x14ac:dyDescent="0.25">
      <c r="A477" s="5" t="s">
        <v>123</v>
      </c>
      <c r="B477" s="5" t="s">
        <v>775</v>
      </c>
      <c r="C477" t="str">
        <f t="shared" si="7"/>
        <v>B</v>
      </c>
      <c r="D477">
        <v>1</v>
      </c>
    </row>
    <row r="478" spans="1:4" x14ac:dyDescent="0.25">
      <c r="A478" s="5" t="s">
        <v>10</v>
      </c>
      <c r="B478" s="5" t="s">
        <v>775</v>
      </c>
      <c r="C478" t="str">
        <f t="shared" si="7"/>
        <v>A</v>
      </c>
      <c r="D478">
        <v>1</v>
      </c>
    </row>
    <row r="479" spans="1:4" x14ac:dyDescent="0.25">
      <c r="A479" s="5" t="s">
        <v>10</v>
      </c>
      <c r="B479" s="5" t="s">
        <v>775</v>
      </c>
      <c r="C479" t="str">
        <f t="shared" si="7"/>
        <v>A</v>
      </c>
      <c r="D479">
        <v>1</v>
      </c>
    </row>
    <row r="480" spans="1:4" x14ac:dyDescent="0.25">
      <c r="A480" s="5" t="s">
        <v>10</v>
      </c>
      <c r="B480" s="5" t="s">
        <v>775</v>
      </c>
      <c r="C480" t="str">
        <f t="shared" si="7"/>
        <v>A</v>
      </c>
      <c r="D480">
        <v>1</v>
      </c>
    </row>
    <row r="481" spans="1:4" x14ac:dyDescent="0.25">
      <c r="A481" s="5" t="s">
        <v>10</v>
      </c>
      <c r="B481" s="5" t="s">
        <v>782</v>
      </c>
      <c r="C481" t="str">
        <f t="shared" si="7"/>
        <v>A</v>
      </c>
      <c r="D481">
        <v>1</v>
      </c>
    </row>
    <row r="482" spans="1:4" x14ac:dyDescent="0.25">
      <c r="A482" s="5" t="s">
        <v>123</v>
      </c>
      <c r="B482" s="5" t="s">
        <v>782</v>
      </c>
      <c r="C482" t="str">
        <f t="shared" si="7"/>
        <v>B</v>
      </c>
      <c r="D482">
        <v>1</v>
      </c>
    </row>
    <row r="483" spans="1:4" x14ac:dyDescent="0.25">
      <c r="A483" s="5" t="s">
        <v>10</v>
      </c>
      <c r="B483" s="5" t="s">
        <v>786</v>
      </c>
      <c r="C483" t="str">
        <f t="shared" si="7"/>
        <v>A</v>
      </c>
      <c r="D483">
        <v>1</v>
      </c>
    </row>
    <row r="484" spans="1:4" x14ac:dyDescent="0.25">
      <c r="A484" s="5" t="s">
        <v>10</v>
      </c>
      <c r="B484" s="5" t="s">
        <v>789</v>
      </c>
      <c r="C484" t="str">
        <f t="shared" si="7"/>
        <v>A</v>
      </c>
      <c r="D484">
        <v>1</v>
      </c>
    </row>
    <row r="485" spans="1:4" x14ac:dyDescent="0.25">
      <c r="A485" s="5" t="s">
        <v>10</v>
      </c>
      <c r="B485" s="5" t="s">
        <v>794</v>
      </c>
      <c r="C485" t="str">
        <f t="shared" si="7"/>
        <v>A</v>
      </c>
      <c r="D485">
        <v>1</v>
      </c>
    </row>
    <row r="486" spans="1:4" x14ac:dyDescent="0.25">
      <c r="A486" s="5" t="s">
        <v>123</v>
      </c>
      <c r="B486" s="5" t="s">
        <v>794</v>
      </c>
      <c r="C486" t="str">
        <f t="shared" si="7"/>
        <v>B</v>
      </c>
      <c r="D486">
        <v>1</v>
      </c>
    </row>
    <row r="487" spans="1:4" x14ac:dyDescent="0.25">
      <c r="A487" s="5" t="s">
        <v>10</v>
      </c>
      <c r="B487" s="5" t="s">
        <v>799</v>
      </c>
      <c r="C487" t="str">
        <f t="shared" si="7"/>
        <v>A</v>
      </c>
      <c r="D487">
        <v>1</v>
      </c>
    </row>
    <row r="488" spans="1:4" x14ac:dyDescent="0.25">
      <c r="A488" s="5" t="s">
        <v>123</v>
      </c>
      <c r="B488" s="5" t="s">
        <v>799</v>
      </c>
      <c r="C488" t="str">
        <f t="shared" si="7"/>
        <v>B</v>
      </c>
      <c r="D488">
        <v>1</v>
      </c>
    </row>
    <row r="489" spans="1:4" x14ac:dyDescent="0.25">
      <c r="A489" s="5" t="s">
        <v>10</v>
      </c>
      <c r="B489" s="5" t="s">
        <v>804</v>
      </c>
      <c r="C489" t="str">
        <f t="shared" si="7"/>
        <v>A</v>
      </c>
      <c r="D489">
        <v>1</v>
      </c>
    </row>
    <row r="490" spans="1:4" x14ac:dyDescent="0.25">
      <c r="A490" s="5" t="s">
        <v>123</v>
      </c>
      <c r="B490" s="5" t="s">
        <v>804</v>
      </c>
      <c r="C490" t="str">
        <f t="shared" si="7"/>
        <v>B</v>
      </c>
      <c r="D490">
        <v>1</v>
      </c>
    </row>
    <row r="491" spans="1:4" x14ac:dyDescent="0.25">
      <c r="A491" s="5" t="s">
        <v>132</v>
      </c>
      <c r="B491" s="5" t="s">
        <v>809</v>
      </c>
      <c r="C491" t="str">
        <f t="shared" si="7"/>
        <v>A</v>
      </c>
      <c r="D491">
        <v>1</v>
      </c>
    </row>
    <row r="492" spans="1:4" x14ac:dyDescent="0.25">
      <c r="A492" s="5" t="s">
        <v>132</v>
      </c>
      <c r="B492" s="5" t="s">
        <v>809</v>
      </c>
      <c r="C492" t="str">
        <f t="shared" si="7"/>
        <v>A</v>
      </c>
      <c r="D492">
        <v>1</v>
      </c>
    </row>
    <row r="493" spans="1:4" x14ac:dyDescent="0.25">
      <c r="A493" s="5" t="s">
        <v>1428</v>
      </c>
      <c r="B493" s="5" t="s">
        <v>809</v>
      </c>
      <c r="C493" t="str">
        <f t="shared" si="7"/>
        <v>B</v>
      </c>
      <c r="D493">
        <v>1</v>
      </c>
    </row>
    <row r="494" spans="1:4" x14ac:dyDescent="0.25">
      <c r="A494" s="5" t="s">
        <v>132</v>
      </c>
      <c r="B494" s="5" t="s">
        <v>809</v>
      </c>
      <c r="C494" t="str">
        <f t="shared" si="7"/>
        <v>A</v>
      </c>
      <c r="D494">
        <v>1</v>
      </c>
    </row>
    <row r="495" spans="1:4" x14ac:dyDescent="0.25">
      <c r="A495" s="5" t="s">
        <v>1428</v>
      </c>
      <c r="B495" s="5" t="s">
        <v>809</v>
      </c>
      <c r="C495" t="str">
        <f t="shared" si="7"/>
        <v>B</v>
      </c>
      <c r="D495">
        <v>1</v>
      </c>
    </row>
    <row r="496" spans="1:4" x14ac:dyDescent="0.25">
      <c r="A496" s="5" t="s">
        <v>132</v>
      </c>
      <c r="B496" s="5" t="s">
        <v>809</v>
      </c>
      <c r="C496" t="str">
        <f t="shared" si="7"/>
        <v>A</v>
      </c>
      <c r="D496">
        <v>1</v>
      </c>
    </row>
    <row r="497" spans="1:4" x14ac:dyDescent="0.25">
      <c r="A497" s="5" t="s">
        <v>10</v>
      </c>
      <c r="B497" s="5" t="s">
        <v>809</v>
      </c>
      <c r="C497" t="str">
        <f t="shared" si="7"/>
        <v>A</v>
      </c>
      <c r="D497">
        <v>1</v>
      </c>
    </row>
    <row r="498" spans="1:4" x14ac:dyDescent="0.25">
      <c r="A498" s="5" t="s">
        <v>10</v>
      </c>
      <c r="B498" s="5" t="s">
        <v>809</v>
      </c>
      <c r="C498" t="str">
        <f t="shared" si="7"/>
        <v>A</v>
      </c>
      <c r="D498">
        <v>1</v>
      </c>
    </row>
    <row r="499" spans="1:4" x14ac:dyDescent="0.25">
      <c r="A499" s="5" t="s">
        <v>10</v>
      </c>
      <c r="B499" s="5" t="s">
        <v>809</v>
      </c>
      <c r="C499" t="str">
        <f t="shared" si="7"/>
        <v>A</v>
      </c>
      <c r="D499">
        <v>1</v>
      </c>
    </row>
    <row r="500" spans="1:4" x14ac:dyDescent="0.25">
      <c r="A500" s="5" t="s">
        <v>123</v>
      </c>
      <c r="B500" s="5" t="s">
        <v>809</v>
      </c>
      <c r="C500" t="str">
        <f t="shared" si="7"/>
        <v>B</v>
      </c>
      <c r="D500">
        <v>1</v>
      </c>
    </row>
    <row r="501" spans="1:4" x14ac:dyDescent="0.25">
      <c r="A501" s="5" t="s">
        <v>10</v>
      </c>
      <c r="B501" s="5" t="s">
        <v>809</v>
      </c>
      <c r="C501" t="str">
        <f t="shared" si="7"/>
        <v>A</v>
      </c>
      <c r="D501">
        <v>1</v>
      </c>
    </row>
    <row r="502" spans="1:4" x14ac:dyDescent="0.25">
      <c r="A502" s="5" t="s">
        <v>10</v>
      </c>
      <c r="B502" s="5" t="s">
        <v>809</v>
      </c>
      <c r="C502" t="str">
        <f t="shared" si="7"/>
        <v>A</v>
      </c>
      <c r="D502">
        <v>1</v>
      </c>
    </row>
    <row r="503" spans="1:4" x14ac:dyDescent="0.25">
      <c r="A503" s="5" t="s">
        <v>10</v>
      </c>
      <c r="B503" s="5" t="s">
        <v>809</v>
      </c>
      <c r="C503" t="str">
        <f t="shared" si="7"/>
        <v>A</v>
      </c>
      <c r="D503">
        <v>1</v>
      </c>
    </row>
    <row r="504" spans="1:4" x14ac:dyDescent="0.25">
      <c r="A504" s="5" t="s">
        <v>10</v>
      </c>
      <c r="B504" s="5" t="s">
        <v>815</v>
      </c>
      <c r="C504" t="str">
        <f t="shared" si="7"/>
        <v>A</v>
      </c>
      <c r="D504">
        <v>1</v>
      </c>
    </row>
    <row r="505" spans="1:4" x14ac:dyDescent="0.25">
      <c r="A505" s="5" t="s">
        <v>123</v>
      </c>
      <c r="B505" s="5" t="s">
        <v>815</v>
      </c>
      <c r="C505" t="str">
        <f t="shared" si="7"/>
        <v>B</v>
      </c>
      <c r="D505">
        <v>1</v>
      </c>
    </row>
    <row r="506" spans="1:4" x14ac:dyDescent="0.25">
      <c r="A506" s="5" t="s">
        <v>10</v>
      </c>
      <c r="B506" s="5" t="s">
        <v>821</v>
      </c>
      <c r="C506" t="str">
        <f t="shared" si="7"/>
        <v>A</v>
      </c>
      <c r="D506">
        <v>1</v>
      </c>
    </row>
    <row r="507" spans="1:4" x14ac:dyDescent="0.25">
      <c r="A507" s="5" t="s">
        <v>123</v>
      </c>
      <c r="B507" s="5" t="s">
        <v>821</v>
      </c>
      <c r="C507" t="str">
        <f t="shared" si="7"/>
        <v>B</v>
      </c>
      <c r="D507">
        <v>1</v>
      </c>
    </row>
    <row r="508" spans="1:4" x14ac:dyDescent="0.25">
      <c r="A508" s="5" t="s">
        <v>10</v>
      </c>
      <c r="B508" s="5" t="s">
        <v>821</v>
      </c>
      <c r="C508" t="str">
        <f t="shared" si="7"/>
        <v>A</v>
      </c>
      <c r="D508">
        <v>1</v>
      </c>
    </row>
    <row r="509" spans="1:4" x14ac:dyDescent="0.25">
      <c r="A509" s="5" t="s">
        <v>1013</v>
      </c>
      <c r="B509" s="5" t="s">
        <v>821</v>
      </c>
      <c r="C509" t="str">
        <f t="shared" si="7"/>
        <v>B</v>
      </c>
      <c r="D509">
        <v>1</v>
      </c>
    </row>
    <row r="510" spans="1:4" x14ac:dyDescent="0.25">
      <c r="A510" s="5" t="s">
        <v>10</v>
      </c>
      <c r="B510" s="5" t="s">
        <v>821</v>
      </c>
      <c r="C510" t="str">
        <f t="shared" si="7"/>
        <v>A</v>
      </c>
      <c r="D510">
        <v>1</v>
      </c>
    </row>
    <row r="511" spans="1:4" x14ac:dyDescent="0.25">
      <c r="A511" s="5" t="s">
        <v>1428</v>
      </c>
      <c r="B511" s="5" t="s">
        <v>821</v>
      </c>
      <c r="C511" t="str">
        <f t="shared" si="7"/>
        <v>B</v>
      </c>
      <c r="D511">
        <v>1</v>
      </c>
    </row>
    <row r="512" spans="1:4" x14ac:dyDescent="0.25">
      <c r="A512" s="5" t="s">
        <v>10</v>
      </c>
      <c r="B512" s="5" t="s">
        <v>821</v>
      </c>
      <c r="C512" t="str">
        <f t="shared" si="7"/>
        <v>A</v>
      </c>
      <c r="D512">
        <v>1</v>
      </c>
    </row>
    <row r="513" spans="1:4" x14ac:dyDescent="0.25">
      <c r="A513" s="5" t="s">
        <v>123</v>
      </c>
      <c r="B513" s="5" t="s">
        <v>821</v>
      </c>
      <c r="C513" t="str">
        <f t="shared" si="7"/>
        <v>B</v>
      </c>
      <c r="D513">
        <v>1</v>
      </c>
    </row>
    <row r="514" spans="1:4" x14ac:dyDescent="0.25">
      <c r="A514" s="5" t="s">
        <v>10</v>
      </c>
      <c r="B514" s="5" t="s">
        <v>821</v>
      </c>
      <c r="C514" t="str">
        <f t="shared" si="7"/>
        <v>A</v>
      </c>
      <c r="D514">
        <v>1</v>
      </c>
    </row>
    <row r="515" spans="1:4" x14ac:dyDescent="0.25">
      <c r="A515" s="5" t="s">
        <v>132</v>
      </c>
      <c r="B515" s="5" t="s">
        <v>821</v>
      </c>
      <c r="C515" t="str">
        <f t="shared" ref="C515:C578" si="8">LEFT(A515,1)</f>
        <v>A</v>
      </c>
      <c r="D515">
        <v>1</v>
      </c>
    </row>
    <row r="516" spans="1:4" x14ac:dyDescent="0.25">
      <c r="A516" s="5" t="s">
        <v>132</v>
      </c>
      <c r="B516" s="5" t="s">
        <v>821</v>
      </c>
      <c r="C516" t="str">
        <f t="shared" si="8"/>
        <v>A</v>
      </c>
      <c r="D516">
        <v>1</v>
      </c>
    </row>
    <row r="517" spans="1:4" x14ac:dyDescent="0.25">
      <c r="A517" s="5" t="s">
        <v>1428</v>
      </c>
      <c r="B517" s="5" t="s">
        <v>821</v>
      </c>
      <c r="C517" t="str">
        <f t="shared" si="8"/>
        <v>B</v>
      </c>
      <c r="D517">
        <v>1</v>
      </c>
    </row>
    <row r="518" spans="1:4" x14ac:dyDescent="0.25">
      <c r="A518" s="5" t="s">
        <v>132</v>
      </c>
      <c r="B518" s="5" t="s">
        <v>821</v>
      </c>
      <c r="C518" t="str">
        <f t="shared" si="8"/>
        <v>A</v>
      </c>
      <c r="D518">
        <v>1</v>
      </c>
    </row>
    <row r="519" spans="1:4" x14ac:dyDescent="0.25">
      <c r="A519" s="5" t="s">
        <v>132</v>
      </c>
      <c r="B519" s="5" t="s">
        <v>821</v>
      </c>
      <c r="C519" t="str">
        <f t="shared" si="8"/>
        <v>A</v>
      </c>
      <c r="D519">
        <v>1</v>
      </c>
    </row>
    <row r="520" spans="1:4" x14ac:dyDescent="0.25">
      <c r="A520" s="5" t="s">
        <v>1408</v>
      </c>
      <c r="B520" s="5" t="s">
        <v>821</v>
      </c>
      <c r="C520" t="str">
        <f t="shared" si="8"/>
        <v>A</v>
      </c>
      <c r="D520">
        <v>1</v>
      </c>
    </row>
    <row r="521" spans="1:4" x14ac:dyDescent="0.25">
      <c r="A521" s="5" t="s">
        <v>1013</v>
      </c>
      <c r="B521" s="5" t="s">
        <v>821</v>
      </c>
      <c r="C521" t="str">
        <f t="shared" si="8"/>
        <v>B</v>
      </c>
      <c r="D521">
        <v>1</v>
      </c>
    </row>
    <row r="522" spans="1:4" x14ac:dyDescent="0.25">
      <c r="A522" s="5" t="s">
        <v>132</v>
      </c>
      <c r="B522" s="5" t="s">
        <v>821</v>
      </c>
      <c r="C522" t="str">
        <f t="shared" si="8"/>
        <v>A</v>
      </c>
      <c r="D522">
        <v>1</v>
      </c>
    </row>
    <row r="523" spans="1:4" x14ac:dyDescent="0.25">
      <c r="A523" s="5" t="s">
        <v>1428</v>
      </c>
      <c r="B523" s="5" t="s">
        <v>821</v>
      </c>
      <c r="C523" t="str">
        <f t="shared" si="8"/>
        <v>B</v>
      </c>
      <c r="D523">
        <v>1</v>
      </c>
    </row>
    <row r="524" spans="1:4" x14ac:dyDescent="0.25">
      <c r="A524" s="5" t="s">
        <v>132</v>
      </c>
      <c r="B524" s="5" t="s">
        <v>821</v>
      </c>
      <c r="C524" t="str">
        <f t="shared" si="8"/>
        <v>A</v>
      </c>
      <c r="D524">
        <v>1</v>
      </c>
    </row>
    <row r="525" spans="1:4" x14ac:dyDescent="0.25">
      <c r="A525" s="5" t="s">
        <v>1415</v>
      </c>
      <c r="B525" s="5" t="s">
        <v>821</v>
      </c>
      <c r="C525" t="str">
        <f t="shared" si="8"/>
        <v>A</v>
      </c>
      <c r="D525">
        <v>1</v>
      </c>
    </row>
    <row r="526" spans="1:4" x14ac:dyDescent="0.25">
      <c r="A526" s="5" t="s">
        <v>1013</v>
      </c>
      <c r="B526" s="5" t="s">
        <v>821</v>
      </c>
      <c r="C526" t="str">
        <f t="shared" si="8"/>
        <v>B</v>
      </c>
      <c r="D526">
        <v>1</v>
      </c>
    </row>
    <row r="527" spans="1:4" x14ac:dyDescent="0.25">
      <c r="A527" s="5" t="s">
        <v>123</v>
      </c>
      <c r="B527" s="5" t="s">
        <v>821</v>
      </c>
      <c r="C527" t="str">
        <f t="shared" si="8"/>
        <v>B</v>
      </c>
      <c r="D527">
        <v>1</v>
      </c>
    </row>
    <row r="528" spans="1:4" x14ac:dyDescent="0.25">
      <c r="A528" s="5" t="s">
        <v>1531</v>
      </c>
      <c r="B528" s="5" t="s">
        <v>821</v>
      </c>
      <c r="C528" t="str">
        <f t="shared" si="8"/>
        <v>T</v>
      </c>
      <c r="D528">
        <v>1</v>
      </c>
    </row>
    <row r="529" spans="1:4" x14ac:dyDescent="0.25">
      <c r="A529" s="5" t="s">
        <v>10</v>
      </c>
      <c r="B529" s="5" t="s">
        <v>829</v>
      </c>
      <c r="C529" t="str">
        <f t="shared" si="8"/>
        <v>A</v>
      </c>
      <c r="D529">
        <v>1</v>
      </c>
    </row>
    <row r="530" spans="1:4" x14ac:dyDescent="0.25">
      <c r="A530" s="5" t="s">
        <v>123</v>
      </c>
      <c r="B530" s="5" t="s">
        <v>829</v>
      </c>
      <c r="C530" t="str">
        <f t="shared" si="8"/>
        <v>B</v>
      </c>
      <c r="D530">
        <v>1</v>
      </c>
    </row>
    <row r="531" spans="1:4" x14ac:dyDescent="0.25">
      <c r="A531" s="5" t="s">
        <v>10</v>
      </c>
      <c r="B531" s="5" t="s">
        <v>835</v>
      </c>
      <c r="C531" t="str">
        <f t="shared" si="8"/>
        <v>A</v>
      </c>
      <c r="D531">
        <v>1</v>
      </c>
    </row>
    <row r="532" spans="1:4" x14ac:dyDescent="0.25">
      <c r="A532" s="5" t="s">
        <v>123</v>
      </c>
      <c r="B532" s="5" t="s">
        <v>835</v>
      </c>
      <c r="C532" t="str">
        <f t="shared" si="8"/>
        <v>B</v>
      </c>
      <c r="D532">
        <v>1</v>
      </c>
    </row>
    <row r="533" spans="1:4" x14ac:dyDescent="0.25">
      <c r="A533" s="5" t="s">
        <v>10</v>
      </c>
      <c r="B533" s="5" t="s">
        <v>840</v>
      </c>
      <c r="C533" t="str">
        <f t="shared" si="8"/>
        <v>A</v>
      </c>
      <c r="D533">
        <v>1</v>
      </c>
    </row>
    <row r="534" spans="1:4" x14ac:dyDescent="0.25">
      <c r="A534" s="5" t="s">
        <v>123</v>
      </c>
      <c r="B534" s="5" t="s">
        <v>840</v>
      </c>
      <c r="C534" t="str">
        <f t="shared" si="8"/>
        <v>B</v>
      </c>
      <c r="D534">
        <v>1</v>
      </c>
    </row>
    <row r="535" spans="1:4" x14ac:dyDescent="0.25">
      <c r="A535" s="5" t="s">
        <v>10</v>
      </c>
      <c r="B535" s="5" t="s">
        <v>844</v>
      </c>
      <c r="C535" t="str">
        <f t="shared" si="8"/>
        <v>A</v>
      </c>
      <c r="D535">
        <v>1</v>
      </c>
    </row>
    <row r="536" spans="1:4" x14ac:dyDescent="0.25">
      <c r="A536" s="5" t="s">
        <v>123</v>
      </c>
      <c r="B536" s="5" t="s">
        <v>844</v>
      </c>
      <c r="C536" t="str">
        <f t="shared" si="8"/>
        <v>B</v>
      </c>
      <c r="D536">
        <v>1</v>
      </c>
    </row>
    <row r="537" spans="1:4" x14ac:dyDescent="0.25">
      <c r="A537" s="5" t="s">
        <v>10</v>
      </c>
      <c r="B537" s="5" t="s">
        <v>847</v>
      </c>
      <c r="C537" t="str">
        <f t="shared" si="8"/>
        <v>A</v>
      </c>
      <c r="D537">
        <v>1</v>
      </c>
    </row>
    <row r="538" spans="1:4" x14ac:dyDescent="0.25">
      <c r="A538" s="5" t="s">
        <v>10</v>
      </c>
      <c r="B538" s="5" t="s">
        <v>850</v>
      </c>
      <c r="C538" t="str">
        <f t="shared" si="8"/>
        <v>A</v>
      </c>
      <c r="D538">
        <v>1</v>
      </c>
    </row>
    <row r="539" spans="1:4" x14ac:dyDescent="0.25">
      <c r="A539" s="5" t="s">
        <v>123</v>
      </c>
      <c r="B539" s="5" t="s">
        <v>850</v>
      </c>
      <c r="C539" t="str">
        <f t="shared" si="8"/>
        <v>B</v>
      </c>
      <c r="D539">
        <v>1</v>
      </c>
    </row>
    <row r="540" spans="1:4" x14ac:dyDescent="0.25">
      <c r="A540" s="5" t="s">
        <v>10</v>
      </c>
      <c r="B540" s="5" t="s">
        <v>854</v>
      </c>
      <c r="C540" t="str">
        <f t="shared" si="8"/>
        <v>A</v>
      </c>
      <c r="D540">
        <v>1</v>
      </c>
    </row>
    <row r="541" spans="1:4" x14ac:dyDescent="0.25">
      <c r="A541" s="5" t="s">
        <v>123</v>
      </c>
      <c r="B541" s="5" t="s">
        <v>854</v>
      </c>
      <c r="C541" t="str">
        <f t="shared" si="8"/>
        <v>B</v>
      </c>
      <c r="D541">
        <v>1</v>
      </c>
    </row>
    <row r="542" spans="1:4" x14ac:dyDescent="0.25">
      <c r="A542" s="5" t="s">
        <v>10</v>
      </c>
      <c r="B542" s="5" t="s">
        <v>856</v>
      </c>
      <c r="C542" t="str">
        <f t="shared" si="8"/>
        <v>A</v>
      </c>
      <c r="D542">
        <v>1</v>
      </c>
    </row>
    <row r="543" spans="1:4" x14ac:dyDescent="0.25">
      <c r="A543" s="5" t="s">
        <v>132</v>
      </c>
      <c r="B543" s="5" t="s">
        <v>861</v>
      </c>
      <c r="C543" t="str">
        <f t="shared" si="8"/>
        <v>A</v>
      </c>
      <c r="D543">
        <v>1</v>
      </c>
    </row>
    <row r="544" spans="1:4" x14ac:dyDescent="0.25">
      <c r="A544" s="5" t="s">
        <v>1428</v>
      </c>
      <c r="B544" s="5" t="s">
        <v>861</v>
      </c>
      <c r="C544" t="str">
        <f t="shared" si="8"/>
        <v>B</v>
      </c>
      <c r="D544">
        <v>1</v>
      </c>
    </row>
    <row r="545" spans="1:4" x14ac:dyDescent="0.25">
      <c r="A545" s="5" t="s">
        <v>132</v>
      </c>
      <c r="B545" s="5" t="s">
        <v>861</v>
      </c>
      <c r="C545" t="str">
        <f t="shared" si="8"/>
        <v>A</v>
      </c>
      <c r="D545">
        <v>1</v>
      </c>
    </row>
    <row r="546" spans="1:4" x14ac:dyDescent="0.25">
      <c r="A546" s="5" t="s">
        <v>132</v>
      </c>
      <c r="B546" s="5" t="s">
        <v>861</v>
      </c>
      <c r="C546" t="str">
        <f t="shared" si="8"/>
        <v>A</v>
      </c>
      <c r="D546">
        <v>1</v>
      </c>
    </row>
    <row r="547" spans="1:4" x14ac:dyDescent="0.25">
      <c r="A547" s="5" t="s">
        <v>51</v>
      </c>
      <c r="B547" s="5" t="s">
        <v>867</v>
      </c>
      <c r="C547" t="str">
        <f t="shared" si="8"/>
        <v>C</v>
      </c>
      <c r="D547">
        <v>1</v>
      </c>
    </row>
    <row r="548" spans="1:4" x14ac:dyDescent="0.25">
      <c r="A548" s="5" t="s">
        <v>10</v>
      </c>
      <c r="B548" s="5" t="s">
        <v>871</v>
      </c>
      <c r="C548" t="str">
        <f t="shared" si="8"/>
        <v>A</v>
      </c>
      <c r="D548">
        <v>1</v>
      </c>
    </row>
    <row r="549" spans="1:4" x14ac:dyDescent="0.25">
      <c r="A549" s="5" t="s">
        <v>123</v>
      </c>
      <c r="B549" s="5" t="s">
        <v>871</v>
      </c>
      <c r="C549" t="str">
        <f t="shared" si="8"/>
        <v>B</v>
      </c>
      <c r="D549">
        <v>1</v>
      </c>
    </row>
    <row r="550" spans="1:4" x14ac:dyDescent="0.25">
      <c r="A550" s="5" t="s">
        <v>10</v>
      </c>
      <c r="B550" s="5" t="s">
        <v>876</v>
      </c>
      <c r="C550" t="str">
        <f t="shared" si="8"/>
        <v>A</v>
      </c>
      <c r="D550">
        <v>1</v>
      </c>
    </row>
    <row r="551" spans="1:4" x14ac:dyDescent="0.25">
      <c r="A551" s="5" t="s">
        <v>123</v>
      </c>
      <c r="B551" s="5" t="s">
        <v>876</v>
      </c>
      <c r="C551" t="str">
        <f t="shared" si="8"/>
        <v>B</v>
      </c>
      <c r="D551">
        <v>1</v>
      </c>
    </row>
    <row r="552" spans="1:4" x14ac:dyDescent="0.25">
      <c r="A552" s="5" t="s">
        <v>10</v>
      </c>
      <c r="B552" s="5" t="s">
        <v>881</v>
      </c>
      <c r="C552" t="str">
        <f t="shared" si="8"/>
        <v>A</v>
      </c>
      <c r="D552">
        <v>1</v>
      </c>
    </row>
    <row r="553" spans="1:4" x14ac:dyDescent="0.25">
      <c r="A553" s="5" t="s">
        <v>10</v>
      </c>
      <c r="B553" s="5" t="s">
        <v>887</v>
      </c>
      <c r="C553" t="str">
        <f t="shared" si="8"/>
        <v>A</v>
      </c>
      <c r="D553">
        <v>1</v>
      </c>
    </row>
    <row r="554" spans="1:4" x14ac:dyDescent="0.25">
      <c r="A554" s="5" t="s">
        <v>123</v>
      </c>
      <c r="B554" s="5" t="s">
        <v>887</v>
      </c>
      <c r="C554" t="str">
        <f t="shared" si="8"/>
        <v>B</v>
      </c>
      <c r="D554">
        <v>1</v>
      </c>
    </row>
    <row r="555" spans="1:4" x14ac:dyDescent="0.25">
      <c r="A555" s="5" t="s">
        <v>10</v>
      </c>
      <c r="B555" s="5" t="s">
        <v>895</v>
      </c>
      <c r="C555" t="str">
        <f t="shared" si="8"/>
        <v>A</v>
      </c>
      <c r="D555">
        <v>1</v>
      </c>
    </row>
    <row r="556" spans="1:4" x14ac:dyDescent="0.25">
      <c r="A556" s="5" t="s">
        <v>1428</v>
      </c>
      <c r="B556" s="5" t="s">
        <v>895</v>
      </c>
      <c r="C556" t="str">
        <f t="shared" si="8"/>
        <v>B</v>
      </c>
      <c r="D556">
        <v>1</v>
      </c>
    </row>
    <row r="557" spans="1:4" x14ac:dyDescent="0.25">
      <c r="A557" s="5" t="s">
        <v>132</v>
      </c>
      <c r="B557" s="5" t="s">
        <v>902</v>
      </c>
      <c r="C557" t="str">
        <f t="shared" si="8"/>
        <v>A</v>
      </c>
      <c r="D557">
        <v>1</v>
      </c>
    </row>
    <row r="558" spans="1:4" x14ac:dyDescent="0.25">
      <c r="A558" s="5" t="s">
        <v>1428</v>
      </c>
      <c r="B558" s="5" t="s">
        <v>902</v>
      </c>
      <c r="C558" t="str">
        <f t="shared" si="8"/>
        <v>B</v>
      </c>
      <c r="D558">
        <v>1</v>
      </c>
    </row>
    <row r="559" spans="1:4" x14ac:dyDescent="0.25">
      <c r="A559" s="5" t="s">
        <v>1415</v>
      </c>
      <c r="B559" s="5" t="s">
        <v>902</v>
      </c>
      <c r="C559" t="str">
        <f t="shared" si="8"/>
        <v>A</v>
      </c>
      <c r="D559">
        <v>1</v>
      </c>
    </row>
    <row r="560" spans="1:4" x14ac:dyDescent="0.25">
      <c r="A560" s="5" t="s">
        <v>1418</v>
      </c>
      <c r="B560" s="5" t="s">
        <v>902</v>
      </c>
      <c r="C560" t="str">
        <f t="shared" si="8"/>
        <v>A</v>
      </c>
      <c r="D560">
        <v>1</v>
      </c>
    </row>
    <row r="561" spans="1:4" x14ac:dyDescent="0.25">
      <c r="A561" s="5" t="s">
        <v>10</v>
      </c>
      <c r="B561" s="5" t="s">
        <v>902</v>
      </c>
      <c r="C561" t="str">
        <f t="shared" si="8"/>
        <v>A</v>
      </c>
      <c r="D561">
        <v>1</v>
      </c>
    </row>
    <row r="562" spans="1:4" x14ac:dyDescent="0.25">
      <c r="A562" s="5" t="s">
        <v>123</v>
      </c>
      <c r="B562" s="5" t="s">
        <v>902</v>
      </c>
      <c r="C562" t="str">
        <f t="shared" si="8"/>
        <v>B</v>
      </c>
      <c r="D562">
        <v>1</v>
      </c>
    </row>
    <row r="563" spans="1:4" x14ac:dyDescent="0.25">
      <c r="A563" s="5" t="s">
        <v>123</v>
      </c>
      <c r="B563" s="5" t="s">
        <v>902</v>
      </c>
      <c r="C563" t="str">
        <f t="shared" si="8"/>
        <v>B</v>
      </c>
      <c r="D563">
        <v>1</v>
      </c>
    </row>
    <row r="564" spans="1:4" x14ac:dyDescent="0.25">
      <c r="A564" s="5" t="s">
        <v>10</v>
      </c>
      <c r="B564" s="5" t="s">
        <v>911</v>
      </c>
      <c r="C564" t="str">
        <f t="shared" si="8"/>
        <v>A</v>
      </c>
      <c r="D564">
        <v>1</v>
      </c>
    </row>
    <row r="565" spans="1:4" x14ac:dyDescent="0.25">
      <c r="A565" s="5" t="s">
        <v>991</v>
      </c>
      <c r="B565" s="5" t="s">
        <v>911</v>
      </c>
      <c r="C565" t="str">
        <f t="shared" si="8"/>
        <v>C</v>
      </c>
      <c r="D565">
        <v>1</v>
      </c>
    </row>
    <row r="566" spans="1:4" x14ac:dyDescent="0.25">
      <c r="A566" s="5" t="s">
        <v>1415</v>
      </c>
      <c r="B566" s="5" t="s">
        <v>917</v>
      </c>
      <c r="C566" t="str">
        <f t="shared" si="8"/>
        <v>A</v>
      </c>
      <c r="D566">
        <v>1</v>
      </c>
    </row>
    <row r="567" spans="1:4" x14ac:dyDescent="0.25">
      <c r="A567" s="5" t="s">
        <v>1418</v>
      </c>
      <c r="B567" s="5" t="s">
        <v>917</v>
      </c>
      <c r="C567" t="str">
        <f t="shared" si="8"/>
        <v>A</v>
      </c>
      <c r="D567">
        <v>1</v>
      </c>
    </row>
    <row r="568" spans="1:4" x14ac:dyDescent="0.25">
      <c r="A568" s="5" t="s">
        <v>132</v>
      </c>
      <c r="B568" s="5" t="s">
        <v>917</v>
      </c>
      <c r="C568" t="str">
        <f t="shared" si="8"/>
        <v>A</v>
      </c>
      <c r="D568">
        <v>1</v>
      </c>
    </row>
    <row r="569" spans="1:4" x14ac:dyDescent="0.25">
      <c r="A569" s="5" t="s">
        <v>1428</v>
      </c>
      <c r="B569" s="5" t="s">
        <v>917</v>
      </c>
      <c r="C569" t="str">
        <f t="shared" si="8"/>
        <v>B</v>
      </c>
      <c r="D569">
        <v>1</v>
      </c>
    </row>
    <row r="570" spans="1:4" x14ac:dyDescent="0.25">
      <c r="A570" s="5" t="s">
        <v>132</v>
      </c>
      <c r="B570" s="5" t="s">
        <v>917</v>
      </c>
      <c r="C570" t="str">
        <f t="shared" si="8"/>
        <v>A</v>
      </c>
      <c r="D570">
        <v>1</v>
      </c>
    </row>
    <row r="571" spans="1:4" x14ac:dyDescent="0.25">
      <c r="A571" s="5" t="s">
        <v>1428</v>
      </c>
      <c r="B571" s="5" t="s">
        <v>917</v>
      </c>
      <c r="C571" t="str">
        <f t="shared" si="8"/>
        <v>B</v>
      </c>
      <c r="D571">
        <v>1</v>
      </c>
    </row>
    <row r="572" spans="1:4" x14ac:dyDescent="0.25">
      <c r="A572" s="5" t="s">
        <v>10</v>
      </c>
      <c r="B572" s="5" t="s">
        <v>924</v>
      </c>
      <c r="C572" t="str">
        <f t="shared" si="8"/>
        <v>A</v>
      </c>
      <c r="D572">
        <v>1</v>
      </c>
    </row>
    <row r="573" spans="1:4" x14ac:dyDescent="0.25">
      <c r="A573" s="5" t="s">
        <v>123</v>
      </c>
      <c r="B573" s="5" t="s">
        <v>924</v>
      </c>
      <c r="C573" t="str">
        <f t="shared" si="8"/>
        <v>B</v>
      </c>
      <c r="D573">
        <v>1</v>
      </c>
    </row>
    <row r="574" spans="1:4" x14ac:dyDescent="0.25">
      <c r="A574" s="5" t="s">
        <v>132</v>
      </c>
      <c r="B574" s="5" t="s">
        <v>930</v>
      </c>
      <c r="C574" t="str">
        <f t="shared" si="8"/>
        <v>A</v>
      </c>
      <c r="D574">
        <v>1</v>
      </c>
    </row>
    <row r="575" spans="1:4" x14ac:dyDescent="0.25">
      <c r="A575" s="5" t="s">
        <v>1428</v>
      </c>
      <c r="B575" s="5" t="s">
        <v>930</v>
      </c>
      <c r="C575" t="str">
        <f t="shared" si="8"/>
        <v>B</v>
      </c>
      <c r="D575">
        <v>1</v>
      </c>
    </row>
    <row r="576" spans="1:4" x14ac:dyDescent="0.25">
      <c r="A576" s="5" t="s">
        <v>132</v>
      </c>
      <c r="B576" s="5" t="s">
        <v>930</v>
      </c>
      <c r="C576" t="str">
        <f t="shared" si="8"/>
        <v>A</v>
      </c>
      <c r="D576">
        <v>1</v>
      </c>
    </row>
    <row r="577" spans="1:4" x14ac:dyDescent="0.25">
      <c r="A577" s="5" t="s">
        <v>1428</v>
      </c>
      <c r="B577" s="5" t="s">
        <v>930</v>
      </c>
      <c r="C577" t="str">
        <f t="shared" si="8"/>
        <v>B</v>
      </c>
      <c r="D577">
        <v>1</v>
      </c>
    </row>
    <row r="578" spans="1:4" x14ac:dyDescent="0.25">
      <c r="A578" s="5" t="s">
        <v>1415</v>
      </c>
      <c r="B578" s="5" t="s">
        <v>930</v>
      </c>
      <c r="C578" t="str">
        <f t="shared" si="8"/>
        <v>A</v>
      </c>
      <c r="D578">
        <v>1</v>
      </c>
    </row>
    <row r="579" spans="1:4" x14ac:dyDescent="0.25">
      <c r="A579" s="5" t="s">
        <v>1418</v>
      </c>
      <c r="B579" s="5" t="s">
        <v>930</v>
      </c>
      <c r="C579" t="str">
        <f t="shared" ref="C579:C642" si="9">LEFT(A579,1)</f>
        <v>A</v>
      </c>
      <c r="D579">
        <v>1</v>
      </c>
    </row>
    <row r="580" spans="1:4" x14ac:dyDescent="0.25">
      <c r="A580" s="5" t="s">
        <v>1415</v>
      </c>
      <c r="B580" s="5" t="s">
        <v>930</v>
      </c>
      <c r="C580" t="str">
        <f t="shared" si="9"/>
        <v>A</v>
      </c>
      <c r="D580">
        <v>1</v>
      </c>
    </row>
    <row r="581" spans="1:4" x14ac:dyDescent="0.25">
      <c r="A581" s="5" t="s">
        <v>1013</v>
      </c>
      <c r="B581" s="5" t="s">
        <v>930</v>
      </c>
      <c r="C581" t="str">
        <f t="shared" si="9"/>
        <v>B</v>
      </c>
      <c r="D581">
        <v>1</v>
      </c>
    </row>
    <row r="582" spans="1:4" x14ac:dyDescent="0.25">
      <c r="A582" s="5" t="s">
        <v>1415</v>
      </c>
      <c r="B582" s="5" t="s">
        <v>930</v>
      </c>
      <c r="C582" t="str">
        <f t="shared" si="9"/>
        <v>A</v>
      </c>
      <c r="D582">
        <v>1</v>
      </c>
    </row>
    <row r="583" spans="1:4" x14ac:dyDescent="0.25">
      <c r="A583" s="5" t="s">
        <v>10</v>
      </c>
      <c r="B583" s="5" t="s">
        <v>930</v>
      </c>
      <c r="C583" t="str">
        <f t="shared" si="9"/>
        <v>A</v>
      </c>
      <c r="D583">
        <v>1</v>
      </c>
    </row>
    <row r="584" spans="1:4" x14ac:dyDescent="0.25">
      <c r="A584" s="5" t="s">
        <v>123</v>
      </c>
      <c r="B584" s="5" t="s">
        <v>930</v>
      </c>
      <c r="C584" t="str">
        <f t="shared" si="9"/>
        <v>B</v>
      </c>
      <c r="D584">
        <v>1</v>
      </c>
    </row>
    <row r="585" spans="1:4" x14ac:dyDescent="0.25">
      <c r="A585" s="5" t="s">
        <v>10</v>
      </c>
      <c r="B585" s="5" t="s">
        <v>930</v>
      </c>
      <c r="C585" t="str">
        <f t="shared" si="9"/>
        <v>A</v>
      </c>
      <c r="D585">
        <v>1</v>
      </c>
    </row>
    <row r="586" spans="1:4" x14ac:dyDescent="0.25">
      <c r="A586" s="5" t="s">
        <v>1013</v>
      </c>
      <c r="B586" s="5" t="s">
        <v>930</v>
      </c>
      <c r="C586" t="str">
        <f t="shared" si="9"/>
        <v>B</v>
      </c>
      <c r="D586">
        <v>1</v>
      </c>
    </row>
    <row r="587" spans="1:4" x14ac:dyDescent="0.25">
      <c r="A587" s="5" t="s">
        <v>10</v>
      </c>
      <c r="B587" s="5" t="s">
        <v>930</v>
      </c>
      <c r="C587" t="str">
        <f t="shared" si="9"/>
        <v>A</v>
      </c>
      <c r="D587">
        <v>1</v>
      </c>
    </row>
    <row r="588" spans="1:4" x14ac:dyDescent="0.25">
      <c r="A588" s="5" t="s">
        <v>123</v>
      </c>
      <c r="B588" s="5" t="s">
        <v>930</v>
      </c>
      <c r="C588" t="str">
        <f t="shared" si="9"/>
        <v>B</v>
      </c>
      <c r="D588">
        <v>1</v>
      </c>
    </row>
    <row r="589" spans="1:4" x14ac:dyDescent="0.25">
      <c r="A589" s="5" t="s">
        <v>10</v>
      </c>
      <c r="B589" s="5" t="s">
        <v>930</v>
      </c>
      <c r="C589" t="str">
        <f t="shared" si="9"/>
        <v>A</v>
      </c>
      <c r="D589">
        <v>1</v>
      </c>
    </row>
    <row r="590" spans="1:4" x14ac:dyDescent="0.25">
      <c r="A590" s="5" t="s">
        <v>123</v>
      </c>
      <c r="B590" s="5" t="s">
        <v>930</v>
      </c>
      <c r="C590" t="str">
        <f t="shared" si="9"/>
        <v>B</v>
      </c>
      <c r="D590">
        <v>1</v>
      </c>
    </row>
    <row r="591" spans="1:4" x14ac:dyDescent="0.25">
      <c r="A591" s="5" t="s">
        <v>10</v>
      </c>
      <c r="B591" s="5" t="s">
        <v>930</v>
      </c>
      <c r="C591" t="str">
        <f t="shared" si="9"/>
        <v>A</v>
      </c>
      <c r="D591">
        <v>1</v>
      </c>
    </row>
    <row r="592" spans="1:4" x14ac:dyDescent="0.25">
      <c r="A592" s="5" t="s">
        <v>1428</v>
      </c>
      <c r="B592" s="5" t="s">
        <v>930</v>
      </c>
      <c r="C592" t="str">
        <f t="shared" si="9"/>
        <v>B</v>
      </c>
      <c r="D592">
        <v>1</v>
      </c>
    </row>
    <row r="593" spans="1:4" x14ac:dyDescent="0.25">
      <c r="A593" s="5" t="s">
        <v>132</v>
      </c>
      <c r="B593" s="5" t="s">
        <v>938</v>
      </c>
      <c r="C593" t="str">
        <f t="shared" si="9"/>
        <v>A</v>
      </c>
      <c r="D593">
        <v>1</v>
      </c>
    </row>
    <row r="594" spans="1:4" x14ac:dyDescent="0.25">
      <c r="A594" s="5" t="s">
        <v>1428</v>
      </c>
      <c r="B594" s="5" t="s">
        <v>938</v>
      </c>
      <c r="C594" t="str">
        <f t="shared" si="9"/>
        <v>B</v>
      </c>
      <c r="D594">
        <v>1</v>
      </c>
    </row>
    <row r="595" spans="1:4" x14ac:dyDescent="0.25">
      <c r="A595" s="5" t="s">
        <v>132</v>
      </c>
      <c r="B595" s="5" t="s">
        <v>938</v>
      </c>
      <c r="C595" t="str">
        <f t="shared" si="9"/>
        <v>A</v>
      </c>
      <c r="D595">
        <v>1</v>
      </c>
    </row>
    <row r="596" spans="1:4" x14ac:dyDescent="0.25">
      <c r="A596" s="5" t="s">
        <v>132</v>
      </c>
      <c r="B596" s="5" t="s">
        <v>938</v>
      </c>
      <c r="C596" t="str">
        <f t="shared" si="9"/>
        <v>A</v>
      </c>
      <c r="D596">
        <v>1</v>
      </c>
    </row>
    <row r="597" spans="1:4" x14ac:dyDescent="0.25">
      <c r="A597" s="5" t="s">
        <v>1428</v>
      </c>
      <c r="B597" s="5" t="s">
        <v>938</v>
      </c>
      <c r="C597" t="str">
        <f t="shared" si="9"/>
        <v>B</v>
      </c>
      <c r="D597">
        <v>1</v>
      </c>
    </row>
    <row r="598" spans="1:4" x14ac:dyDescent="0.25">
      <c r="A598" s="5" t="s">
        <v>132</v>
      </c>
      <c r="B598" s="5" t="s">
        <v>938</v>
      </c>
      <c r="C598" t="str">
        <f t="shared" si="9"/>
        <v>A</v>
      </c>
      <c r="D598">
        <v>1</v>
      </c>
    </row>
    <row r="599" spans="1:4" x14ac:dyDescent="0.25">
      <c r="A599" s="5" t="s">
        <v>1428</v>
      </c>
      <c r="B599" s="5" t="s">
        <v>938</v>
      </c>
      <c r="C599" t="str">
        <f t="shared" si="9"/>
        <v>B</v>
      </c>
      <c r="D599">
        <v>1</v>
      </c>
    </row>
    <row r="600" spans="1:4" x14ac:dyDescent="0.25">
      <c r="A600" s="5" t="s">
        <v>132</v>
      </c>
      <c r="B600" s="5" t="s">
        <v>944</v>
      </c>
      <c r="C600" t="str">
        <f t="shared" si="9"/>
        <v>A</v>
      </c>
      <c r="D600">
        <v>1</v>
      </c>
    </row>
    <row r="601" spans="1:4" x14ac:dyDescent="0.25">
      <c r="A601" s="5" t="s">
        <v>1428</v>
      </c>
      <c r="B601" s="5" t="s">
        <v>944</v>
      </c>
      <c r="C601" t="str">
        <f t="shared" si="9"/>
        <v>B</v>
      </c>
      <c r="D601">
        <v>1</v>
      </c>
    </row>
    <row r="602" spans="1:4" x14ac:dyDescent="0.25">
      <c r="A602" s="5" t="s">
        <v>132</v>
      </c>
      <c r="B602" s="5" t="s">
        <v>944</v>
      </c>
      <c r="C602" t="str">
        <f t="shared" si="9"/>
        <v>A</v>
      </c>
      <c r="D602">
        <v>1</v>
      </c>
    </row>
    <row r="603" spans="1:4" x14ac:dyDescent="0.25">
      <c r="A603" s="5" t="s">
        <v>1423</v>
      </c>
      <c r="B603" s="5" t="s">
        <v>944</v>
      </c>
      <c r="C603" t="str">
        <f t="shared" si="9"/>
        <v>C</v>
      </c>
      <c r="D603">
        <v>1</v>
      </c>
    </row>
    <row r="604" spans="1:4" x14ac:dyDescent="0.25">
      <c r="A604" s="5" t="s">
        <v>132</v>
      </c>
      <c r="B604" s="5" t="s">
        <v>944</v>
      </c>
      <c r="C604" t="str">
        <f t="shared" si="9"/>
        <v>A</v>
      </c>
      <c r="D604">
        <v>1</v>
      </c>
    </row>
    <row r="605" spans="1:4" x14ac:dyDescent="0.25">
      <c r="A605" s="5" t="s">
        <v>1428</v>
      </c>
      <c r="B605" s="5" t="s">
        <v>944</v>
      </c>
      <c r="C605" t="str">
        <f t="shared" si="9"/>
        <v>B</v>
      </c>
      <c r="D605">
        <v>1</v>
      </c>
    </row>
    <row r="606" spans="1:4" x14ac:dyDescent="0.25">
      <c r="A606" s="5" t="s">
        <v>132</v>
      </c>
      <c r="B606" s="5" t="s">
        <v>944</v>
      </c>
      <c r="C606" t="str">
        <f t="shared" si="9"/>
        <v>A</v>
      </c>
      <c r="D606">
        <v>1</v>
      </c>
    </row>
    <row r="607" spans="1:4" x14ac:dyDescent="0.25">
      <c r="A607" s="5" t="s">
        <v>1428</v>
      </c>
      <c r="B607" s="5" t="s">
        <v>944</v>
      </c>
      <c r="C607" t="str">
        <f t="shared" si="9"/>
        <v>B</v>
      </c>
      <c r="D607">
        <v>1</v>
      </c>
    </row>
    <row r="608" spans="1:4" x14ac:dyDescent="0.25">
      <c r="A608" s="5" t="s">
        <v>1415</v>
      </c>
      <c r="B608" s="5" t="s">
        <v>944</v>
      </c>
      <c r="C608" t="str">
        <f t="shared" si="9"/>
        <v>A</v>
      </c>
      <c r="D608">
        <v>1</v>
      </c>
    </row>
    <row r="609" spans="1:4" x14ac:dyDescent="0.25">
      <c r="A609" s="5" t="s">
        <v>1418</v>
      </c>
      <c r="B609" s="5" t="s">
        <v>944</v>
      </c>
      <c r="C609" t="str">
        <f t="shared" si="9"/>
        <v>A</v>
      </c>
      <c r="D609">
        <v>1</v>
      </c>
    </row>
    <row r="610" spans="1:4" x14ac:dyDescent="0.25">
      <c r="A610" s="5" t="s">
        <v>1510</v>
      </c>
      <c r="B610" s="5" t="s">
        <v>944</v>
      </c>
      <c r="C610" t="str">
        <f t="shared" si="9"/>
        <v>A</v>
      </c>
      <c r="D610">
        <v>1</v>
      </c>
    </row>
    <row r="611" spans="1:4" x14ac:dyDescent="0.25">
      <c r="A611" s="5" t="s">
        <v>1415</v>
      </c>
      <c r="B611" s="5" t="s">
        <v>944</v>
      </c>
      <c r="C611" t="str">
        <f t="shared" si="9"/>
        <v>A</v>
      </c>
      <c r="D611">
        <v>1</v>
      </c>
    </row>
    <row r="612" spans="1:4" x14ac:dyDescent="0.25">
      <c r="A612" s="5" t="s">
        <v>1408</v>
      </c>
      <c r="B612" s="5" t="s">
        <v>944</v>
      </c>
      <c r="C612" t="str">
        <f t="shared" si="9"/>
        <v>A</v>
      </c>
      <c r="D612">
        <v>1</v>
      </c>
    </row>
    <row r="613" spans="1:4" x14ac:dyDescent="0.25">
      <c r="A613" s="5" t="s">
        <v>10</v>
      </c>
      <c r="B613" s="5" t="s">
        <v>944</v>
      </c>
      <c r="C613" t="str">
        <f t="shared" si="9"/>
        <v>A</v>
      </c>
      <c r="D613">
        <v>1</v>
      </c>
    </row>
    <row r="614" spans="1:4" x14ac:dyDescent="0.25">
      <c r="A614" s="5" t="s">
        <v>1013</v>
      </c>
      <c r="B614" s="5" t="s">
        <v>944</v>
      </c>
      <c r="C614" t="str">
        <f t="shared" si="9"/>
        <v>B</v>
      </c>
      <c r="D614">
        <v>1</v>
      </c>
    </row>
    <row r="615" spans="1:4" x14ac:dyDescent="0.25">
      <c r="A615" s="5" t="s">
        <v>10</v>
      </c>
      <c r="B615" s="5" t="s">
        <v>944</v>
      </c>
      <c r="C615" t="str">
        <f t="shared" si="9"/>
        <v>A</v>
      </c>
      <c r="D615">
        <v>1</v>
      </c>
    </row>
    <row r="616" spans="1:4" x14ac:dyDescent="0.25">
      <c r="A616" s="5" t="s">
        <v>123</v>
      </c>
      <c r="B616" s="5" t="s">
        <v>944</v>
      </c>
      <c r="C616" t="str">
        <f t="shared" si="9"/>
        <v>B</v>
      </c>
      <c r="D616">
        <v>1</v>
      </c>
    </row>
    <row r="617" spans="1:4" x14ac:dyDescent="0.25">
      <c r="A617" s="5" t="s">
        <v>10</v>
      </c>
      <c r="B617" s="5" t="s">
        <v>944</v>
      </c>
      <c r="C617" t="str">
        <f t="shared" si="9"/>
        <v>A</v>
      </c>
      <c r="D617">
        <v>1</v>
      </c>
    </row>
    <row r="618" spans="1:4" x14ac:dyDescent="0.25">
      <c r="A618" s="5" t="s">
        <v>123</v>
      </c>
      <c r="B618" s="5" t="s">
        <v>944</v>
      </c>
      <c r="C618" t="str">
        <f t="shared" si="9"/>
        <v>B</v>
      </c>
      <c r="D618">
        <v>1</v>
      </c>
    </row>
    <row r="619" spans="1:4" x14ac:dyDescent="0.25">
      <c r="A619" s="5" t="s">
        <v>10</v>
      </c>
      <c r="B619" s="5" t="s">
        <v>944</v>
      </c>
      <c r="C619" t="str">
        <f t="shared" si="9"/>
        <v>A</v>
      </c>
      <c r="D619">
        <v>1</v>
      </c>
    </row>
    <row r="620" spans="1:4" x14ac:dyDescent="0.25">
      <c r="A620" s="5" t="s">
        <v>1428</v>
      </c>
      <c r="B620" s="5" t="s">
        <v>944</v>
      </c>
      <c r="C620" t="str">
        <f t="shared" si="9"/>
        <v>B</v>
      </c>
      <c r="D620">
        <v>1</v>
      </c>
    </row>
    <row r="621" spans="1:4" x14ac:dyDescent="0.25">
      <c r="A621" s="5" t="s">
        <v>10</v>
      </c>
      <c r="B621" s="5" t="s">
        <v>952</v>
      </c>
      <c r="C621" t="str">
        <f t="shared" si="9"/>
        <v>A</v>
      </c>
      <c r="D621">
        <v>1</v>
      </c>
    </row>
    <row r="622" spans="1:4" x14ac:dyDescent="0.25">
      <c r="A622" s="5" t="s">
        <v>1428</v>
      </c>
      <c r="B622" s="5" t="s">
        <v>952</v>
      </c>
      <c r="C622" t="str">
        <f t="shared" si="9"/>
        <v>B</v>
      </c>
      <c r="D622">
        <v>1</v>
      </c>
    </row>
    <row r="623" spans="1:4" x14ac:dyDescent="0.25">
      <c r="A623" s="5" t="s">
        <v>132</v>
      </c>
      <c r="B623" s="5" t="s">
        <v>959</v>
      </c>
      <c r="C623" t="str">
        <f t="shared" si="9"/>
        <v>A</v>
      </c>
      <c r="D623">
        <v>1</v>
      </c>
    </row>
    <row r="624" spans="1:4" x14ac:dyDescent="0.25">
      <c r="A624" s="5" t="s">
        <v>132</v>
      </c>
      <c r="B624" s="5" t="s">
        <v>959</v>
      </c>
      <c r="C624" t="str">
        <f t="shared" si="9"/>
        <v>A</v>
      </c>
      <c r="D624">
        <v>1</v>
      </c>
    </row>
    <row r="625" spans="1:4" x14ac:dyDescent="0.25">
      <c r="A625" s="5" t="s">
        <v>1408</v>
      </c>
      <c r="B625" s="5" t="s">
        <v>959</v>
      </c>
      <c r="C625" t="str">
        <f t="shared" si="9"/>
        <v>A</v>
      </c>
      <c r="D625">
        <v>1</v>
      </c>
    </row>
    <row r="626" spans="1:4" x14ac:dyDescent="0.25">
      <c r="A626" s="5" t="s">
        <v>132</v>
      </c>
      <c r="B626" s="5" t="s">
        <v>959</v>
      </c>
      <c r="C626" t="str">
        <f t="shared" si="9"/>
        <v>A</v>
      </c>
      <c r="D626">
        <v>1</v>
      </c>
    </row>
    <row r="627" spans="1:4" x14ac:dyDescent="0.25">
      <c r="A627" s="5" t="s">
        <v>10</v>
      </c>
      <c r="B627" s="5" t="s">
        <v>959</v>
      </c>
      <c r="C627" t="str">
        <f t="shared" si="9"/>
        <v>A</v>
      </c>
      <c r="D627">
        <v>1</v>
      </c>
    </row>
    <row r="628" spans="1:4" x14ac:dyDescent="0.25">
      <c r="A628" s="5" t="s">
        <v>10</v>
      </c>
      <c r="B628" s="5" t="s">
        <v>959</v>
      </c>
      <c r="C628" t="str">
        <f t="shared" si="9"/>
        <v>A</v>
      </c>
      <c r="D628">
        <v>1</v>
      </c>
    </row>
    <row r="629" spans="1:4" x14ac:dyDescent="0.25">
      <c r="A629" s="5" t="s">
        <v>10</v>
      </c>
      <c r="B629" s="5" t="s">
        <v>959</v>
      </c>
      <c r="C629" t="str">
        <f t="shared" si="9"/>
        <v>A</v>
      </c>
      <c r="D629">
        <v>1</v>
      </c>
    </row>
    <row r="630" spans="1:4" x14ac:dyDescent="0.25">
      <c r="A630" s="5" t="s">
        <v>10</v>
      </c>
      <c r="B630" s="5" t="s">
        <v>959</v>
      </c>
      <c r="C630" t="str">
        <f t="shared" si="9"/>
        <v>A</v>
      </c>
      <c r="D630">
        <v>1</v>
      </c>
    </row>
    <row r="631" spans="1:4" x14ac:dyDescent="0.25">
      <c r="A631" s="5" t="s">
        <v>10</v>
      </c>
      <c r="B631" s="5" t="s">
        <v>959</v>
      </c>
      <c r="C631" t="str">
        <f t="shared" si="9"/>
        <v>A</v>
      </c>
      <c r="D631">
        <v>1</v>
      </c>
    </row>
    <row r="632" spans="1:4" x14ac:dyDescent="0.25">
      <c r="A632" s="5" t="s">
        <v>51</v>
      </c>
      <c r="B632" s="5" t="s">
        <v>965</v>
      </c>
      <c r="C632" t="str">
        <f t="shared" si="9"/>
        <v>C</v>
      </c>
      <c r="D632">
        <v>1</v>
      </c>
    </row>
    <row r="633" spans="1:4" x14ac:dyDescent="0.25">
      <c r="A633" s="5" t="s">
        <v>10</v>
      </c>
      <c r="B633" s="5" t="s">
        <v>971</v>
      </c>
      <c r="C633" t="str">
        <f t="shared" si="9"/>
        <v>A</v>
      </c>
      <c r="D633">
        <v>1</v>
      </c>
    </row>
    <row r="634" spans="1:4" x14ac:dyDescent="0.25">
      <c r="A634" s="5" t="s">
        <v>991</v>
      </c>
      <c r="B634" s="5" t="s">
        <v>971</v>
      </c>
      <c r="C634" t="str">
        <f t="shared" si="9"/>
        <v>C</v>
      </c>
      <c r="D634">
        <v>1</v>
      </c>
    </row>
    <row r="635" spans="1:4" x14ac:dyDescent="0.25">
      <c r="A635" s="5" t="s">
        <v>132</v>
      </c>
      <c r="B635" s="5" t="s">
        <v>971</v>
      </c>
      <c r="C635" t="str">
        <f t="shared" si="9"/>
        <v>A</v>
      </c>
      <c r="D635">
        <v>1</v>
      </c>
    </row>
    <row r="636" spans="1:4" x14ac:dyDescent="0.25">
      <c r="A636" s="5" t="s">
        <v>1013</v>
      </c>
      <c r="B636" s="5" t="s">
        <v>971</v>
      </c>
      <c r="C636" t="str">
        <f t="shared" si="9"/>
        <v>B</v>
      </c>
      <c r="D636">
        <v>1</v>
      </c>
    </row>
    <row r="637" spans="1:4" x14ac:dyDescent="0.25">
      <c r="A637" s="5" t="s">
        <v>51</v>
      </c>
      <c r="B637" s="5" t="s">
        <v>976</v>
      </c>
      <c r="C637" t="str">
        <f t="shared" si="9"/>
        <v>C</v>
      </c>
      <c r="D637">
        <v>1</v>
      </c>
    </row>
    <row r="638" spans="1:4" x14ac:dyDescent="0.25">
      <c r="A638" s="5" t="s">
        <v>51</v>
      </c>
      <c r="B638" s="5" t="s">
        <v>980</v>
      </c>
      <c r="C638" t="str">
        <f t="shared" si="9"/>
        <v>C</v>
      </c>
      <c r="D638">
        <v>1</v>
      </c>
    </row>
    <row r="639" spans="1:4" x14ac:dyDescent="0.25">
      <c r="A639" s="5" t="s">
        <v>132</v>
      </c>
      <c r="B639" s="5" t="s">
        <v>985</v>
      </c>
      <c r="C639" t="str">
        <f t="shared" si="9"/>
        <v>A</v>
      </c>
      <c r="D639">
        <v>1</v>
      </c>
    </row>
    <row r="640" spans="1:4" x14ac:dyDescent="0.25">
      <c r="A640" s="5" t="s">
        <v>10</v>
      </c>
      <c r="B640" s="5" t="s">
        <v>985</v>
      </c>
      <c r="C640" t="str">
        <f t="shared" si="9"/>
        <v>A</v>
      </c>
      <c r="D640">
        <v>1</v>
      </c>
    </row>
    <row r="641" spans="1:4" x14ac:dyDescent="0.25">
      <c r="A641" s="5" t="s">
        <v>991</v>
      </c>
      <c r="B641" s="5" t="s">
        <v>990</v>
      </c>
      <c r="C641" t="str">
        <f t="shared" si="9"/>
        <v>C</v>
      </c>
      <c r="D641">
        <v>1</v>
      </c>
    </row>
    <row r="642" spans="1:4" x14ac:dyDescent="0.25">
      <c r="A642" s="5" t="s">
        <v>132</v>
      </c>
      <c r="B642" s="5" t="s">
        <v>996</v>
      </c>
      <c r="C642" t="str">
        <f t="shared" si="9"/>
        <v>A</v>
      </c>
      <c r="D642">
        <v>1</v>
      </c>
    </row>
    <row r="643" spans="1:4" x14ac:dyDescent="0.25">
      <c r="A643" s="5" t="s">
        <v>132</v>
      </c>
      <c r="B643" s="5" t="s">
        <v>996</v>
      </c>
      <c r="C643" t="str">
        <f t="shared" ref="C643:C706" si="10">LEFT(A643,1)</f>
        <v>A</v>
      </c>
      <c r="D643">
        <v>1</v>
      </c>
    </row>
    <row r="644" spans="1:4" x14ac:dyDescent="0.25">
      <c r="A644" s="5" t="s">
        <v>10</v>
      </c>
      <c r="B644" s="5" t="s">
        <v>996</v>
      </c>
      <c r="C644" t="str">
        <f t="shared" si="10"/>
        <v>A</v>
      </c>
      <c r="D644">
        <v>1</v>
      </c>
    </row>
    <row r="645" spans="1:4" x14ac:dyDescent="0.25">
      <c r="A645" s="5" t="s">
        <v>1013</v>
      </c>
      <c r="B645" s="5" t="s">
        <v>996</v>
      </c>
      <c r="C645" t="str">
        <f t="shared" si="10"/>
        <v>B</v>
      </c>
      <c r="D645">
        <v>1</v>
      </c>
    </row>
    <row r="646" spans="1:4" x14ac:dyDescent="0.25">
      <c r="A646" s="5" t="s">
        <v>51</v>
      </c>
      <c r="B646" s="5" t="s">
        <v>1001</v>
      </c>
      <c r="C646" t="str">
        <f t="shared" si="10"/>
        <v>C</v>
      </c>
      <c r="D646">
        <v>1</v>
      </c>
    </row>
    <row r="647" spans="1:4" x14ac:dyDescent="0.25">
      <c r="A647" s="5" t="s">
        <v>2013</v>
      </c>
      <c r="B647" s="5" t="s">
        <v>1006</v>
      </c>
      <c r="C647" t="str">
        <f t="shared" si="10"/>
        <v>D</v>
      </c>
      <c r="D647">
        <v>1</v>
      </c>
    </row>
    <row r="648" spans="1:4" x14ac:dyDescent="0.25">
      <c r="A648" s="5" t="s">
        <v>10</v>
      </c>
      <c r="B648" s="5" t="s">
        <v>1006</v>
      </c>
      <c r="C648" t="str">
        <f t="shared" si="10"/>
        <v>A</v>
      </c>
      <c r="D648">
        <v>1</v>
      </c>
    </row>
    <row r="649" spans="1:4" x14ac:dyDescent="0.25">
      <c r="A649" s="5" t="s">
        <v>1013</v>
      </c>
      <c r="B649" s="5" t="s">
        <v>1006</v>
      </c>
      <c r="C649" t="str">
        <f t="shared" si="10"/>
        <v>B</v>
      </c>
      <c r="D649">
        <v>1</v>
      </c>
    </row>
    <row r="650" spans="1:4" x14ac:dyDescent="0.25">
      <c r="A650" s="5" t="s">
        <v>1013</v>
      </c>
      <c r="B650" s="5" t="s">
        <v>1006</v>
      </c>
      <c r="C650" t="str">
        <f t="shared" si="10"/>
        <v>B</v>
      </c>
      <c r="D650">
        <v>1</v>
      </c>
    </row>
    <row r="651" spans="1:4" x14ac:dyDescent="0.25">
      <c r="A651" s="5" t="s">
        <v>1013</v>
      </c>
      <c r="B651" s="5" t="s">
        <v>1014</v>
      </c>
      <c r="C651" t="str">
        <f t="shared" si="10"/>
        <v>B</v>
      </c>
      <c r="D651">
        <v>1</v>
      </c>
    </row>
    <row r="652" spans="1:4" x14ac:dyDescent="0.25">
      <c r="A652" s="5" t="s">
        <v>51</v>
      </c>
      <c r="B652" s="5" t="s">
        <v>1018</v>
      </c>
      <c r="C652" t="str">
        <f t="shared" si="10"/>
        <v>C</v>
      </c>
      <c r="D652">
        <v>1</v>
      </c>
    </row>
    <row r="653" spans="1:4" x14ac:dyDescent="0.25">
      <c r="A653" s="5" t="s">
        <v>10</v>
      </c>
      <c r="B653" s="5" t="s">
        <v>1024</v>
      </c>
      <c r="C653" t="str">
        <f t="shared" si="10"/>
        <v>A</v>
      </c>
      <c r="D653">
        <v>1</v>
      </c>
    </row>
    <row r="654" spans="1:4" x14ac:dyDescent="0.25">
      <c r="A654" s="5" t="s">
        <v>10</v>
      </c>
      <c r="B654" s="5" t="s">
        <v>1024</v>
      </c>
      <c r="C654" t="str">
        <f t="shared" si="10"/>
        <v>A</v>
      </c>
      <c r="D654">
        <v>1</v>
      </c>
    </row>
    <row r="655" spans="1:4" x14ac:dyDescent="0.25">
      <c r="A655" s="5" t="s">
        <v>10</v>
      </c>
      <c r="B655" s="5" t="s">
        <v>1030</v>
      </c>
      <c r="C655" t="str">
        <f t="shared" si="10"/>
        <v>A</v>
      </c>
      <c r="D655">
        <v>1</v>
      </c>
    </row>
    <row r="656" spans="1:4" x14ac:dyDescent="0.25">
      <c r="A656" s="5" t="s">
        <v>51</v>
      </c>
      <c r="B656" s="5" t="s">
        <v>1034</v>
      </c>
      <c r="C656" t="str">
        <f t="shared" si="10"/>
        <v>C</v>
      </c>
      <c r="D656">
        <v>1</v>
      </c>
    </row>
    <row r="657" spans="1:4" x14ac:dyDescent="0.25">
      <c r="A657" s="5" t="s">
        <v>51</v>
      </c>
      <c r="B657" s="5" t="s">
        <v>1038</v>
      </c>
      <c r="C657" t="str">
        <f t="shared" si="10"/>
        <v>C</v>
      </c>
      <c r="D657">
        <v>1</v>
      </c>
    </row>
    <row r="658" spans="1:4" x14ac:dyDescent="0.25">
      <c r="A658" s="5" t="s">
        <v>10</v>
      </c>
      <c r="B658" s="5" t="s">
        <v>1041</v>
      </c>
      <c r="C658" t="str">
        <f t="shared" si="10"/>
        <v>A</v>
      </c>
      <c r="D658">
        <v>1</v>
      </c>
    </row>
    <row r="659" spans="1:4" x14ac:dyDescent="0.25">
      <c r="A659" s="5" t="s">
        <v>10</v>
      </c>
      <c r="B659" s="5" t="s">
        <v>1047</v>
      </c>
      <c r="C659" t="str">
        <f t="shared" si="10"/>
        <v>A</v>
      </c>
      <c r="D659">
        <v>1</v>
      </c>
    </row>
    <row r="660" spans="1:4" x14ac:dyDescent="0.25">
      <c r="A660" s="5" t="s">
        <v>10</v>
      </c>
      <c r="B660" s="5" t="s">
        <v>1047</v>
      </c>
      <c r="C660" t="str">
        <f t="shared" si="10"/>
        <v>A</v>
      </c>
      <c r="D660">
        <v>1</v>
      </c>
    </row>
    <row r="661" spans="1:4" x14ac:dyDescent="0.25">
      <c r="A661" s="5" t="s">
        <v>10</v>
      </c>
      <c r="B661" s="5" t="s">
        <v>1047</v>
      </c>
      <c r="C661" t="str">
        <f t="shared" si="10"/>
        <v>A</v>
      </c>
      <c r="D661">
        <v>1</v>
      </c>
    </row>
    <row r="662" spans="1:4" x14ac:dyDescent="0.25">
      <c r="A662" s="5" t="s">
        <v>10</v>
      </c>
      <c r="B662" s="5" t="s">
        <v>1055</v>
      </c>
      <c r="C662" t="str">
        <f t="shared" si="10"/>
        <v>A</v>
      </c>
      <c r="D662">
        <v>1</v>
      </c>
    </row>
    <row r="663" spans="1:4" x14ac:dyDescent="0.25">
      <c r="A663" s="5" t="s">
        <v>132</v>
      </c>
      <c r="B663" s="5" t="s">
        <v>1055</v>
      </c>
      <c r="C663" t="str">
        <f t="shared" si="10"/>
        <v>A</v>
      </c>
      <c r="D663">
        <v>1</v>
      </c>
    </row>
    <row r="664" spans="1:4" x14ac:dyDescent="0.25">
      <c r="A664" s="5" t="s">
        <v>51</v>
      </c>
      <c r="B664" s="5" t="s">
        <v>1055</v>
      </c>
      <c r="C664" t="str">
        <f t="shared" si="10"/>
        <v>C</v>
      </c>
      <c r="D664">
        <v>1</v>
      </c>
    </row>
    <row r="665" spans="1:4" x14ac:dyDescent="0.25">
      <c r="A665" s="5" t="s">
        <v>132</v>
      </c>
      <c r="B665" s="5" t="s">
        <v>1060</v>
      </c>
      <c r="C665" t="str">
        <f t="shared" si="10"/>
        <v>A</v>
      </c>
      <c r="D665">
        <v>1</v>
      </c>
    </row>
    <row r="666" spans="1:4" x14ac:dyDescent="0.25">
      <c r="A666" s="5" t="s">
        <v>132</v>
      </c>
      <c r="B666" s="5" t="s">
        <v>1060</v>
      </c>
      <c r="C666" t="str">
        <f t="shared" si="10"/>
        <v>A</v>
      </c>
      <c r="D666">
        <v>1</v>
      </c>
    </row>
    <row r="667" spans="1:4" x14ac:dyDescent="0.25">
      <c r="A667" s="5" t="s">
        <v>1408</v>
      </c>
      <c r="B667" s="5" t="s">
        <v>1060</v>
      </c>
      <c r="C667" t="str">
        <f t="shared" si="10"/>
        <v>A</v>
      </c>
      <c r="D667">
        <v>1</v>
      </c>
    </row>
    <row r="668" spans="1:4" x14ac:dyDescent="0.25">
      <c r="A668" s="5" t="s">
        <v>10</v>
      </c>
      <c r="B668" s="5" t="s">
        <v>1060</v>
      </c>
      <c r="C668" t="str">
        <f t="shared" si="10"/>
        <v>A</v>
      </c>
      <c r="D668">
        <v>1</v>
      </c>
    </row>
    <row r="669" spans="1:4" x14ac:dyDescent="0.25">
      <c r="A669" s="5" t="s">
        <v>132</v>
      </c>
      <c r="B669" s="5" t="s">
        <v>1060</v>
      </c>
      <c r="C669" t="str">
        <f t="shared" si="10"/>
        <v>A</v>
      </c>
      <c r="D669">
        <v>1</v>
      </c>
    </row>
    <row r="670" spans="1:4" x14ac:dyDescent="0.25">
      <c r="A670" s="5" t="s">
        <v>10</v>
      </c>
      <c r="B670" s="5" t="s">
        <v>1060</v>
      </c>
      <c r="C670" t="str">
        <f t="shared" si="10"/>
        <v>A</v>
      </c>
      <c r="D670">
        <v>1</v>
      </c>
    </row>
    <row r="671" spans="1:4" x14ac:dyDescent="0.25">
      <c r="A671" s="5" t="s">
        <v>10</v>
      </c>
      <c r="B671" s="5" t="s">
        <v>1060</v>
      </c>
      <c r="C671" t="str">
        <f t="shared" si="10"/>
        <v>A</v>
      </c>
      <c r="D671">
        <v>1</v>
      </c>
    </row>
    <row r="672" spans="1:4" x14ac:dyDescent="0.25">
      <c r="A672" s="5" t="s">
        <v>10</v>
      </c>
      <c r="B672" s="5" t="s">
        <v>1060</v>
      </c>
      <c r="C672" t="str">
        <f t="shared" si="10"/>
        <v>A</v>
      </c>
      <c r="D672">
        <v>1</v>
      </c>
    </row>
    <row r="673" spans="1:4" x14ac:dyDescent="0.25">
      <c r="A673" s="5" t="s">
        <v>10</v>
      </c>
      <c r="B673" s="5" t="s">
        <v>1060</v>
      </c>
      <c r="C673" t="str">
        <f t="shared" si="10"/>
        <v>A</v>
      </c>
      <c r="D673">
        <v>1</v>
      </c>
    </row>
    <row r="674" spans="1:4" x14ac:dyDescent="0.25">
      <c r="A674" s="5" t="s">
        <v>10</v>
      </c>
      <c r="B674" s="5" t="s">
        <v>1060</v>
      </c>
      <c r="C674" t="str">
        <f t="shared" si="10"/>
        <v>A</v>
      </c>
      <c r="D674">
        <v>1</v>
      </c>
    </row>
    <row r="675" spans="1:4" x14ac:dyDescent="0.25">
      <c r="A675" s="5" t="s">
        <v>10</v>
      </c>
      <c r="B675" s="5" t="s">
        <v>1060</v>
      </c>
      <c r="C675" t="str">
        <f t="shared" si="10"/>
        <v>A</v>
      </c>
      <c r="D675">
        <v>1</v>
      </c>
    </row>
    <row r="676" spans="1:4" x14ac:dyDescent="0.25">
      <c r="A676" s="5" t="s">
        <v>10</v>
      </c>
      <c r="B676" s="5" t="s">
        <v>1060</v>
      </c>
      <c r="C676" t="str">
        <f t="shared" si="10"/>
        <v>A</v>
      </c>
      <c r="D676">
        <v>1</v>
      </c>
    </row>
    <row r="677" spans="1:4" x14ac:dyDescent="0.25">
      <c r="A677" s="5" t="s">
        <v>10</v>
      </c>
      <c r="B677" s="5" t="s">
        <v>1060</v>
      </c>
      <c r="C677" t="str">
        <f t="shared" si="10"/>
        <v>A</v>
      </c>
      <c r="D677">
        <v>1</v>
      </c>
    </row>
    <row r="678" spans="1:4" x14ac:dyDescent="0.25">
      <c r="A678" s="5" t="s">
        <v>991</v>
      </c>
      <c r="B678" s="5" t="s">
        <v>1060</v>
      </c>
      <c r="C678" t="str">
        <f t="shared" si="10"/>
        <v>C</v>
      </c>
      <c r="D678">
        <v>1</v>
      </c>
    </row>
    <row r="679" spans="1:4" x14ac:dyDescent="0.25">
      <c r="A679" s="5" t="s">
        <v>132</v>
      </c>
      <c r="B679" s="5" t="s">
        <v>1068</v>
      </c>
      <c r="C679" t="str">
        <f t="shared" si="10"/>
        <v>A</v>
      </c>
      <c r="D679">
        <v>1</v>
      </c>
    </row>
    <row r="680" spans="1:4" x14ac:dyDescent="0.25">
      <c r="A680" s="5" t="s">
        <v>132</v>
      </c>
      <c r="B680" s="5" t="s">
        <v>1068</v>
      </c>
      <c r="C680" t="str">
        <f t="shared" si="10"/>
        <v>A</v>
      </c>
      <c r="D680">
        <v>1</v>
      </c>
    </row>
    <row r="681" spans="1:4" x14ac:dyDescent="0.25">
      <c r="A681" s="5" t="s">
        <v>1408</v>
      </c>
      <c r="B681" s="5" t="s">
        <v>1068</v>
      </c>
      <c r="C681" t="str">
        <f t="shared" si="10"/>
        <v>A</v>
      </c>
      <c r="D681">
        <v>1</v>
      </c>
    </row>
    <row r="682" spans="1:4" x14ac:dyDescent="0.25">
      <c r="A682" s="5" t="s">
        <v>10</v>
      </c>
      <c r="B682" s="5" t="s">
        <v>1068</v>
      </c>
      <c r="C682" t="str">
        <f t="shared" si="10"/>
        <v>A</v>
      </c>
      <c r="D682">
        <v>1</v>
      </c>
    </row>
    <row r="683" spans="1:4" x14ac:dyDescent="0.25">
      <c r="A683" s="5" t="s">
        <v>10</v>
      </c>
      <c r="B683" s="5" t="s">
        <v>1068</v>
      </c>
      <c r="C683" t="str">
        <f t="shared" si="10"/>
        <v>A</v>
      </c>
      <c r="D683">
        <v>1</v>
      </c>
    </row>
    <row r="684" spans="1:4" x14ac:dyDescent="0.25">
      <c r="A684" s="5" t="s">
        <v>10</v>
      </c>
      <c r="B684" s="5" t="s">
        <v>1068</v>
      </c>
      <c r="C684" t="str">
        <f t="shared" si="10"/>
        <v>A</v>
      </c>
      <c r="D684">
        <v>1</v>
      </c>
    </row>
    <row r="685" spans="1:4" x14ac:dyDescent="0.25">
      <c r="A685" s="5" t="s">
        <v>1013</v>
      </c>
      <c r="B685" s="5" t="s">
        <v>1068</v>
      </c>
      <c r="C685" t="str">
        <f t="shared" si="10"/>
        <v>B</v>
      </c>
      <c r="D685">
        <v>1</v>
      </c>
    </row>
    <row r="686" spans="1:4" x14ac:dyDescent="0.25">
      <c r="A686" s="5" t="s">
        <v>10</v>
      </c>
      <c r="B686" s="5" t="s">
        <v>1068</v>
      </c>
      <c r="C686" t="str">
        <f t="shared" si="10"/>
        <v>A</v>
      </c>
      <c r="D686">
        <v>1</v>
      </c>
    </row>
    <row r="687" spans="1:4" x14ac:dyDescent="0.25">
      <c r="A687" s="5" t="s">
        <v>10</v>
      </c>
      <c r="B687" s="5" t="s">
        <v>1068</v>
      </c>
      <c r="C687" t="str">
        <f t="shared" si="10"/>
        <v>A</v>
      </c>
      <c r="D687">
        <v>1</v>
      </c>
    </row>
    <row r="688" spans="1:4" x14ac:dyDescent="0.25">
      <c r="A688" s="5" t="s">
        <v>1428</v>
      </c>
      <c r="B688" s="5" t="s">
        <v>1068</v>
      </c>
      <c r="C688" t="str">
        <f t="shared" si="10"/>
        <v>B</v>
      </c>
      <c r="D688">
        <v>1</v>
      </c>
    </row>
    <row r="689" spans="1:4" x14ac:dyDescent="0.25">
      <c r="A689" s="5" t="s">
        <v>51</v>
      </c>
      <c r="B689" s="5" t="s">
        <v>1076</v>
      </c>
      <c r="C689" t="str">
        <f t="shared" si="10"/>
        <v>C</v>
      </c>
      <c r="D689">
        <v>1</v>
      </c>
    </row>
    <row r="690" spans="1:4" x14ac:dyDescent="0.25">
      <c r="A690" s="5" t="s">
        <v>51</v>
      </c>
      <c r="B690" s="5" t="s">
        <v>1076</v>
      </c>
      <c r="C690" t="str">
        <f t="shared" si="10"/>
        <v>C</v>
      </c>
      <c r="D690">
        <v>1</v>
      </c>
    </row>
    <row r="691" spans="1:4" x14ac:dyDescent="0.25">
      <c r="A691" s="5" t="s">
        <v>10</v>
      </c>
      <c r="B691" s="5" t="s">
        <v>1081</v>
      </c>
      <c r="C691" t="str">
        <f t="shared" si="10"/>
        <v>A</v>
      </c>
      <c r="D691">
        <v>1</v>
      </c>
    </row>
    <row r="692" spans="1:4" x14ac:dyDescent="0.25">
      <c r="A692" s="5" t="s">
        <v>10</v>
      </c>
      <c r="B692" s="5" t="s">
        <v>1086</v>
      </c>
      <c r="C692" t="str">
        <f t="shared" si="10"/>
        <v>A</v>
      </c>
      <c r="D692">
        <v>1</v>
      </c>
    </row>
    <row r="693" spans="1:4" x14ac:dyDescent="0.25">
      <c r="A693" s="5" t="s">
        <v>132</v>
      </c>
      <c r="B693" s="5" t="s">
        <v>1092</v>
      </c>
      <c r="C693" t="str">
        <f t="shared" si="10"/>
        <v>A</v>
      </c>
      <c r="D693">
        <v>1</v>
      </c>
    </row>
    <row r="694" spans="1:4" x14ac:dyDescent="0.25">
      <c r="A694" s="5" t="s">
        <v>132</v>
      </c>
      <c r="B694" s="5" t="s">
        <v>1092</v>
      </c>
      <c r="C694" t="str">
        <f t="shared" si="10"/>
        <v>A</v>
      </c>
      <c r="D694">
        <v>1</v>
      </c>
    </row>
    <row r="695" spans="1:4" x14ac:dyDescent="0.25">
      <c r="A695" s="5" t="s">
        <v>132</v>
      </c>
      <c r="B695" s="5" t="s">
        <v>1092</v>
      </c>
      <c r="C695" t="str">
        <f t="shared" si="10"/>
        <v>A</v>
      </c>
      <c r="D695">
        <v>1</v>
      </c>
    </row>
    <row r="696" spans="1:4" x14ac:dyDescent="0.25">
      <c r="A696" s="5" t="s">
        <v>10</v>
      </c>
      <c r="B696" s="5" t="s">
        <v>1092</v>
      </c>
      <c r="C696" t="str">
        <f t="shared" si="10"/>
        <v>A</v>
      </c>
      <c r="D696">
        <v>1</v>
      </c>
    </row>
    <row r="697" spans="1:4" x14ac:dyDescent="0.25">
      <c r="A697" s="5" t="s">
        <v>1415</v>
      </c>
      <c r="B697" s="5" t="s">
        <v>1092</v>
      </c>
      <c r="C697" t="str">
        <f t="shared" si="10"/>
        <v>A</v>
      </c>
      <c r="D697">
        <v>1</v>
      </c>
    </row>
    <row r="698" spans="1:4" x14ac:dyDescent="0.25">
      <c r="A698" s="5" t="s">
        <v>132</v>
      </c>
      <c r="B698" s="5" t="s">
        <v>1092</v>
      </c>
      <c r="C698" t="str">
        <f t="shared" si="10"/>
        <v>A</v>
      </c>
      <c r="D698">
        <v>1</v>
      </c>
    </row>
    <row r="699" spans="1:4" x14ac:dyDescent="0.25">
      <c r="A699" s="5" t="s">
        <v>1408</v>
      </c>
      <c r="B699" s="5" t="s">
        <v>1092</v>
      </c>
      <c r="C699" t="str">
        <f t="shared" si="10"/>
        <v>A</v>
      </c>
      <c r="D699">
        <v>1</v>
      </c>
    </row>
    <row r="700" spans="1:4" x14ac:dyDescent="0.25">
      <c r="A700" s="5" t="s">
        <v>10</v>
      </c>
      <c r="B700" s="5" t="s">
        <v>1092</v>
      </c>
      <c r="C700" t="str">
        <f t="shared" si="10"/>
        <v>A</v>
      </c>
      <c r="D700">
        <v>1</v>
      </c>
    </row>
    <row r="701" spans="1:4" x14ac:dyDescent="0.25">
      <c r="A701" s="5" t="s">
        <v>10</v>
      </c>
      <c r="B701" s="5" t="s">
        <v>1092</v>
      </c>
      <c r="C701" t="str">
        <f t="shared" si="10"/>
        <v>A</v>
      </c>
      <c r="D701">
        <v>1</v>
      </c>
    </row>
    <row r="702" spans="1:4" x14ac:dyDescent="0.25">
      <c r="A702" s="5" t="s">
        <v>10</v>
      </c>
      <c r="B702" s="5" t="s">
        <v>1092</v>
      </c>
      <c r="C702" t="str">
        <f t="shared" si="10"/>
        <v>A</v>
      </c>
      <c r="D702">
        <v>1</v>
      </c>
    </row>
    <row r="703" spans="1:4" x14ac:dyDescent="0.25">
      <c r="A703" s="5" t="s">
        <v>10</v>
      </c>
      <c r="B703" s="5" t="s">
        <v>1092</v>
      </c>
      <c r="C703" t="str">
        <f t="shared" si="10"/>
        <v>A</v>
      </c>
      <c r="D703">
        <v>1</v>
      </c>
    </row>
    <row r="704" spans="1:4" x14ac:dyDescent="0.25">
      <c r="A704" s="5" t="s">
        <v>123</v>
      </c>
      <c r="B704" s="5" t="s">
        <v>1092</v>
      </c>
      <c r="C704" t="str">
        <f t="shared" si="10"/>
        <v>B</v>
      </c>
      <c r="D704">
        <v>1</v>
      </c>
    </row>
    <row r="705" spans="1:4" x14ac:dyDescent="0.25">
      <c r="A705" s="5" t="s">
        <v>2013</v>
      </c>
      <c r="B705" s="5" t="s">
        <v>1099</v>
      </c>
      <c r="C705" t="str">
        <f t="shared" si="10"/>
        <v>D</v>
      </c>
      <c r="D705">
        <v>1</v>
      </c>
    </row>
    <row r="706" spans="1:4" x14ac:dyDescent="0.25">
      <c r="A706" s="5" t="s">
        <v>2013</v>
      </c>
      <c r="B706" s="5" t="s">
        <v>1099</v>
      </c>
      <c r="C706" t="str">
        <f t="shared" si="10"/>
        <v>D</v>
      </c>
      <c r="D706">
        <v>1</v>
      </c>
    </row>
    <row r="707" spans="1:4" x14ac:dyDescent="0.25">
      <c r="A707" s="5" t="s">
        <v>10</v>
      </c>
      <c r="B707" s="5" t="s">
        <v>1099</v>
      </c>
      <c r="C707" t="str">
        <f t="shared" ref="C707:C770" si="11">LEFT(A707,1)</f>
        <v>A</v>
      </c>
      <c r="D707">
        <v>1</v>
      </c>
    </row>
    <row r="708" spans="1:4" x14ac:dyDescent="0.25">
      <c r="A708" s="5" t="s">
        <v>1013</v>
      </c>
      <c r="B708" s="5" t="s">
        <v>1099</v>
      </c>
      <c r="C708" t="str">
        <f t="shared" si="11"/>
        <v>B</v>
      </c>
      <c r="D708">
        <v>1</v>
      </c>
    </row>
    <row r="709" spans="1:4" x14ac:dyDescent="0.25">
      <c r="A709" s="5" t="s">
        <v>10</v>
      </c>
      <c r="B709" s="5" t="s">
        <v>1099</v>
      </c>
      <c r="C709" t="str">
        <f t="shared" si="11"/>
        <v>A</v>
      </c>
      <c r="D709">
        <v>1</v>
      </c>
    </row>
    <row r="710" spans="1:4" x14ac:dyDescent="0.25">
      <c r="A710" s="5" t="s">
        <v>1428</v>
      </c>
      <c r="B710" s="5" t="s">
        <v>1099</v>
      </c>
      <c r="C710" t="str">
        <f t="shared" si="11"/>
        <v>B</v>
      </c>
      <c r="D710">
        <v>1</v>
      </c>
    </row>
    <row r="711" spans="1:4" x14ac:dyDescent="0.25">
      <c r="A711" s="5" t="s">
        <v>10</v>
      </c>
      <c r="B711" s="5" t="s">
        <v>1099</v>
      </c>
      <c r="C711" t="str">
        <f t="shared" si="11"/>
        <v>A</v>
      </c>
      <c r="D711">
        <v>1</v>
      </c>
    </row>
    <row r="712" spans="1:4" x14ac:dyDescent="0.25">
      <c r="A712" s="5" t="s">
        <v>1013</v>
      </c>
      <c r="B712" s="5" t="s">
        <v>1099</v>
      </c>
      <c r="C712" t="str">
        <f t="shared" si="11"/>
        <v>B</v>
      </c>
      <c r="D712">
        <v>1</v>
      </c>
    </row>
    <row r="713" spans="1:4" x14ac:dyDescent="0.25">
      <c r="A713" s="5" t="s">
        <v>10</v>
      </c>
      <c r="B713" s="5" t="s">
        <v>1099</v>
      </c>
      <c r="C713" t="str">
        <f t="shared" si="11"/>
        <v>A</v>
      </c>
      <c r="D713">
        <v>1</v>
      </c>
    </row>
    <row r="714" spans="1:4" x14ac:dyDescent="0.25">
      <c r="A714" s="5" t="s">
        <v>1423</v>
      </c>
      <c r="B714" s="5" t="s">
        <v>1099</v>
      </c>
      <c r="C714" t="str">
        <f t="shared" si="11"/>
        <v>C</v>
      </c>
      <c r="D714">
        <v>1</v>
      </c>
    </row>
    <row r="715" spans="1:4" x14ac:dyDescent="0.25">
      <c r="A715" s="5" t="s">
        <v>10</v>
      </c>
      <c r="B715" s="5" t="s">
        <v>1099</v>
      </c>
      <c r="C715" t="str">
        <f t="shared" si="11"/>
        <v>A</v>
      </c>
      <c r="D715">
        <v>1</v>
      </c>
    </row>
    <row r="716" spans="1:4" x14ac:dyDescent="0.25">
      <c r="A716" s="5" t="s">
        <v>10</v>
      </c>
      <c r="B716" s="5" t="s">
        <v>1099</v>
      </c>
      <c r="C716" t="str">
        <f t="shared" si="11"/>
        <v>A</v>
      </c>
      <c r="D716">
        <v>1</v>
      </c>
    </row>
    <row r="717" spans="1:4" x14ac:dyDescent="0.25">
      <c r="A717" s="5" t="s">
        <v>1428</v>
      </c>
      <c r="B717" s="5" t="s">
        <v>1099</v>
      </c>
      <c r="C717" t="str">
        <f t="shared" si="11"/>
        <v>B</v>
      </c>
      <c r="D717">
        <v>1</v>
      </c>
    </row>
    <row r="718" spans="1:4" x14ac:dyDescent="0.25">
      <c r="A718" s="5" t="s">
        <v>132</v>
      </c>
      <c r="B718" s="5" t="s">
        <v>1099</v>
      </c>
      <c r="C718" t="str">
        <f t="shared" si="11"/>
        <v>A</v>
      </c>
      <c r="D718">
        <v>1</v>
      </c>
    </row>
    <row r="719" spans="1:4" x14ac:dyDescent="0.25">
      <c r="A719" s="5" t="s">
        <v>1423</v>
      </c>
      <c r="B719" s="5" t="s">
        <v>1099</v>
      </c>
      <c r="C719" t="str">
        <f t="shared" si="11"/>
        <v>C</v>
      </c>
      <c r="D719">
        <v>1</v>
      </c>
    </row>
    <row r="720" spans="1:4" x14ac:dyDescent="0.25">
      <c r="A720" s="5" t="s">
        <v>1415</v>
      </c>
      <c r="B720" s="5" t="s">
        <v>1099</v>
      </c>
      <c r="C720" t="str">
        <f t="shared" si="11"/>
        <v>A</v>
      </c>
      <c r="D720">
        <v>1</v>
      </c>
    </row>
    <row r="721" spans="1:4" x14ac:dyDescent="0.25">
      <c r="A721" s="5" t="s">
        <v>1418</v>
      </c>
      <c r="B721" s="5" t="s">
        <v>1099</v>
      </c>
      <c r="C721" t="str">
        <f t="shared" si="11"/>
        <v>A</v>
      </c>
      <c r="D721">
        <v>1</v>
      </c>
    </row>
    <row r="722" spans="1:4" x14ac:dyDescent="0.25">
      <c r="A722" s="5" t="s">
        <v>1013</v>
      </c>
      <c r="B722" s="5" t="s">
        <v>1099</v>
      </c>
      <c r="C722" t="str">
        <f t="shared" si="11"/>
        <v>B</v>
      </c>
      <c r="D722">
        <v>1</v>
      </c>
    </row>
    <row r="723" spans="1:4" x14ac:dyDescent="0.25">
      <c r="A723" s="5" t="s">
        <v>123</v>
      </c>
      <c r="B723" s="5" t="s">
        <v>1099</v>
      </c>
      <c r="C723" t="str">
        <f t="shared" si="11"/>
        <v>B</v>
      </c>
      <c r="D723">
        <v>1</v>
      </c>
    </row>
    <row r="724" spans="1:4" x14ac:dyDescent="0.25">
      <c r="A724" s="5" t="s">
        <v>123</v>
      </c>
      <c r="B724" s="5" t="s">
        <v>1099</v>
      </c>
      <c r="C724" t="str">
        <f t="shared" si="11"/>
        <v>B</v>
      </c>
      <c r="D724">
        <v>1</v>
      </c>
    </row>
    <row r="725" spans="1:4" x14ac:dyDescent="0.25">
      <c r="A725" s="5" t="s">
        <v>1527</v>
      </c>
      <c r="B725" s="5" t="s">
        <v>1099</v>
      </c>
      <c r="C725" t="str">
        <f t="shared" si="11"/>
        <v>T</v>
      </c>
      <c r="D725">
        <v>1</v>
      </c>
    </row>
    <row r="726" spans="1:4" x14ac:dyDescent="0.25">
      <c r="A726" s="5" t="s">
        <v>1531</v>
      </c>
      <c r="B726" s="5" t="s">
        <v>1099</v>
      </c>
      <c r="C726" t="str">
        <f t="shared" si="11"/>
        <v>T</v>
      </c>
      <c r="D726">
        <v>1</v>
      </c>
    </row>
    <row r="727" spans="1:4" x14ac:dyDescent="0.25">
      <c r="A727" s="5" t="s">
        <v>1531</v>
      </c>
      <c r="B727" s="5" t="s">
        <v>1099</v>
      </c>
      <c r="C727" t="str">
        <f t="shared" si="11"/>
        <v>T</v>
      </c>
      <c r="D727">
        <v>1</v>
      </c>
    </row>
    <row r="728" spans="1:4" x14ac:dyDescent="0.25">
      <c r="A728" s="5" t="s">
        <v>1531</v>
      </c>
      <c r="B728" s="5" t="s">
        <v>1099</v>
      </c>
      <c r="C728" t="str">
        <f t="shared" si="11"/>
        <v>T</v>
      </c>
      <c r="D728">
        <v>1</v>
      </c>
    </row>
    <row r="729" spans="1:4" x14ac:dyDescent="0.25">
      <c r="A729" s="5" t="s">
        <v>1402</v>
      </c>
      <c r="B729" s="5" t="s">
        <v>1099</v>
      </c>
      <c r="C729" t="str">
        <f t="shared" si="11"/>
        <v>D</v>
      </c>
      <c r="D729">
        <v>1</v>
      </c>
    </row>
    <row r="730" spans="1:4" x14ac:dyDescent="0.25">
      <c r="A730" s="5" t="s">
        <v>1529</v>
      </c>
      <c r="B730" s="5" t="s">
        <v>1099</v>
      </c>
      <c r="C730" t="str">
        <f t="shared" si="11"/>
        <v>T</v>
      </c>
      <c r="D730">
        <v>1</v>
      </c>
    </row>
    <row r="731" spans="1:4" x14ac:dyDescent="0.25">
      <c r="A731" s="5" t="s">
        <v>51</v>
      </c>
      <c r="B731" s="5" t="s">
        <v>1099</v>
      </c>
      <c r="C731" t="str">
        <f t="shared" si="11"/>
        <v>C</v>
      </c>
      <c r="D731">
        <v>1</v>
      </c>
    </row>
    <row r="732" spans="1:4" x14ac:dyDescent="0.25">
      <c r="A732" s="5" t="s">
        <v>51</v>
      </c>
      <c r="B732" s="5" t="s">
        <v>1099</v>
      </c>
      <c r="C732" t="str">
        <f t="shared" si="11"/>
        <v>C</v>
      </c>
      <c r="D732">
        <v>1</v>
      </c>
    </row>
    <row r="733" spans="1:4" x14ac:dyDescent="0.25">
      <c r="A733" s="5" t="s">
        <v>2013</v>
      </c>
      <c r="B733" s="5" t="s">
        <v>1108</v>
      </c>
      <c r="C733" t="str">
        <f t="shared" si="11"/>
        <v>D</v>
      </c>
      <c r="D733">
        <v>1</v>
      </c>
    </row>
    <row r="734" spans="1:4" x14ac:dyDescent="0.25">
      <c r="A734" s="5" t="s">
        <v>132</v>
      </c>
      <c r="B734" s="5" t="s">
        <v>1108</v>
      </c>
      <c r="C734" t="str">
        <f t="shared" si="11"/>
        <v>A</v>
      </c>
      <c r="D734">
        <v>1</v>
      </c>
    </row>
    <row r="735" spans="1:4" x14ac:dyDescent="0.25">
      <c r="A735" s="5" t="s">
        <v>1423</v>
      </c>
      <c r="B735" s="5" t="s">
        <v>1108</v>
      </c>
      <c r="C735" t="str">
        <f t="shared" si="11"/>
        <v>C</v>
      </c>
      <c r="D735">
        <v>1</v>
      </c>
    </row>
    <row r="736" spans="1:4" x14ac:dyDescent="0.25">
      <c r="A736" s="5" t="s">
        <v>1415</v>
      </c>
      <c r="B736" s="5" t="s">
        <v>1108</v>
      </c>
      <c r="C736" t="str">
        <f t="shared" si="11"/>
        <v>A</v>
      </c>
      <c r="D736">
        <v>1</v>
      </c>
    </row>
    <row r="737" spans="1:4" x14ac:dyDescent="0.25">
      <c r="A737" s="5" t="s">
        <v>1418</v>
      </c>
      <c r="B737" s="5" t="s">
        <v>1108</v>
      </c>
      <c r="C737" t="str">
        <f t="shared" si="11"/>
        <v>A</v>
      </c>
      <c r="D737">
        <v>1</v>
      </c>
    </row>
    <row r="738" spans="1:4" x14ac:dyDescent="0.25">
      <c r="A738" s="5" t="s">
        <v>1013</v>
      </c>
      <c r="B738" s="5" t="s">
        <v>1108</v>
      </c>
      <c r="C738" t="str">
        <f t="shared" si="11"/>
        <v>B</v>
      </c>
      <c r="D738">
        <v>1</v>
      </c>
    </row>
    <row r="739" spans="1:4" x14ac:dyDescent="0.25">
      <c r="A739" s="5" t="s">
        <v>10</v>
      </c>
      <c r="B739" s="5" t="s">
        <v>1108</v>
      </c>
      <c r="C739" t="str">
        <f t="shared" si="11"/>
        <v>A</v>
      </c>
      <c r="D739">
        <v>1</v>
      </c>
    </row>
    <row r="740" spans="1:4" x14ac:dyDescent="0.25">
      <c r="A740" s="5" t="s">
        <v>1428</v>
      </c>
      <c r="B740" s="5" t="s">
        <v>1108</v>
      </c>
      <c r="C740" t="str">
        <f t="shared" si="11"/>
        <v>B</v>
      </c>
      <c r="D740">
        <v>1</v>
      </c>
    </row>
    <row r="741" spans="1:4" x14ac:dyDescent="0.25">
      <c r="A741" s="5" t="s">
        <v>10</v>
      </c>
      <c r="B741" s="5" t="s">
        <v>1108</v>
      </c>
      <c r="C741" t="str">
        <f t="shared" si="11"/>
        <v>A</v>
      </c>
      <c r="D741">
        <v>1</v>
      </c>
    </row>
    <row r="742" spans="1:4" x14ac:dyDescent="0.25">
      <c r="A742" s="5" t="s">
        <v>1423</v>
      </c>
      <c r="B742" s="5" t="s">
        <v>1108</v>
      </c>
      <c r="C742" t="str">
        <f t="shared" si="11"/>
        <v>C</v>
      </c>
      <c r="D742">
        <v>1</v>
      </c>
    </row>
    <row r="743" spans="1:4" x14ac:dyDescent="0.25">
      <c r="A743" s="5" t="s">
        <v>10</v>
      </c>
      <c r="B743" s="5" t="s">
        <v>1108</v>
      </c>
      <c r="C743" t="str">
        <f t="shared" si="11"/>
        <v>A</v>
      </c>
      <c r="D743">
        <v>1</v>
      </c>
    </row>
    <row r="744" spans="1:4" x14ac:dyDescent="0.25">
      <c r="A744" s="5" t="s">
        <v>10</v>
      </c>
      <c r="B744" s="5" t="s">
        <v>1108</v>
      </c>
      <c r="C744" t="str">
        <f t="shared" si="11"/>
        <v>A</v>
      </c>
      <c r="D744">
        <v>1</v>
      </c>
    </row>
    <row r="745" spans="1:4" x14ac:dyDescent="0.25">
      <c r="A745" s="5" t="s">
        <v>1428</v>
      </c>
      <c r="B745" s="5" t="s">
        <v>1108</v>
      </c>
      <c r="C745" t="str">
        <f t="shared" si="11"/>
        <v>B</v>
      </c>
      <c r="D745">
        <v>1</v>
      </c>
    </row>
    <row r="746" spans="1:4" x14ac:dyDescent="0.25">
      <c r="A746" s="5" t="s">
        <v>10</v>
      </c>
      <c r="B746" s="5" t="s">
        <v>1108</v>
      </c>
      <c r="C746" t="str">
        <f t="shared" si="11"/>
        <v>A</v>
      </c>
      <c r="D746">
        <v>1</v>
      </c>
    </row>
    <row r="747" spans="1:4" x14ac:dyDescent="0.25">
      <c r="A747" s="5" t="s">
        <v>10</v>
      </c>
      <c r="B747" s="5" t="s">
        <v>1108</v>
      </c>
      <c r="C747" t="str">
        <f t="shared" si="11"/>
        <v>A</v>
      </c>
      <c r="D747">
        <v>1</v>
      </c>
    </row>
    <row r="748" spans="1:4" x14ac:dyDescent="0.25">
      <c r="A748" s="5" t="s">
        <v>10</v>
      </c>
      <c r="B748" s="5" t="s">
        <v>1108</v>
      </c>
      <c r="C748" t="str">
        <f t="shared" si="11"/>
        <v>A</v>
      </c>
      <c r="D748">
        <v>1</v>
      </c>
    </row>
    <row r="749" spans="1:4" x14ac:dyDescent="0.25">
      <c r="A749" s="5" t="s">
        <v>1423</v>
      </c>
      <c r="B749" s="5" t="s">
        <v>1108</v>
      </c>
      <c r="C749" t="str">
        <f t="shared" si="11"/>
        <v>C</v>
      </c>
      <c r="D749">
        <v>1</v>
      </c>
    </row>
    <row r="750" spans="1:4" x14ac:dyDescent="0.25">
      <c r="A750" s="5" t="s">
        <v>123</v>
      </c>
      <c r="B750" s="5" t="s">
        <v>1108</v>
      </c>
      <c r="C750" t="str">
        <f t="shared" si="11"/>
        <v>B</v>
      </c>
      <c r="D750">
        <v>1</v>
      </c>
    </row>
    <row r="751" spans="1:4" x14ac:dyDescent="0.25">
      <c r="A751" s="5" t="s">
        <v>123</v>
      </c>
      <c r="B751" s="5" t="s">
        <v>1108</v>
      </c>
      <c r="C751" t="str">
        <f t="shared" si="11"/>
        <v>B</v>
      </c>
      <c r="D751">
        <v>1</v>
      </c>
    </row>
    <row r="752" spans="1:4" x14ac:dyDescent="0.25">
      <c r="A752" s="5" t="s">
        <v>1527</v>
      </c>
      <c r="B752" s="5" t="s">
        <v>1108</v>
      </c>
      <c r="C752" t="str">
        <f t="shared" si="11"/>
        <v>T</v>
      </c>
      <c r="D752">
        <v>1</v>
      </c>
    </row>
    <row r="753" spans="1:4" x14ac:dyDescent="0.25">
      <c r="A753" s="5" t="s">
        <v>1402</v>
      </c>
      <c r="B753" s="5" t="s">
        <v>1108</v>
      </c>
      <c r="C753" t="str">
        <f t="shared" si="11"/>
        <v>D</v>
      </c>
      <c r="D753">
        <v>1</v>
      </c>
    </row>
    <row r="754" spans="1:4" x14ac:dyDescent="0.25">
      <c r="A754" s="5" t="s">
        <v>1529</v>
      </c>
      <c r="B754" s="5" t="s">
        <v>1108</v>
      </c>
      <c r="C754" t="str">
        <f t="shared" si="11"/>
        <v>T</v>
      </c>
      <c r="D754">
        <v>1</v>
      </c>
    </row>
    <row r="755" spans="1:4" x14ac:dyDescent="0.25">
      <c r="A755" s="5" t="s">
        <v>1531</v>
      </c>
      <c r="B755" s="5" t="s">
        <v>1108</v>
      </c>
      <c r="C755" t="str">
        <f t="shared" si="11"/>
        <v>T</v>
      </c>
      <c r="D755">
        <v>1</v>
      </c>
    </row>
    <row r="756" spans="1:4" x14ac:dyDescent="0.25">
      <c r="A756" s="5" t="s">
        <v>1531</v>
      </c>
      <c r="B756" s="5" t="s">
        <v>1108</v>
      </c>
      <c r="C756" t="str">
        <f t="shared" si="11"/>
        <v>T</v>
      </c>
      <c r="D756">
        <v>1</v>
      </c>
    </row>
    <row r="757" spans="1:4" x14ac:dyDescent="0.25">
      <c r="A757" s="5" t="s">
        <v>1531</v>
      </c>
      <c r="B757" s="5" t="s">
        <v>1108</v>
      </c>
      <c r="C757" t="str">
        <f t="shared" si="11"/>
        <v>T</v>
      </c>
      <c r="D757">
        <v>1</v>
      </c>
    </row>
    <row r="758" spans="1:4" x14ac:dyDescent="0.25">
      <c r="A758" s="5" t="s">
        <v>132</v>
      </c>
      <c r="B758" s="5" t="s">
        <v>1116</v>
      </c>
      <c r="C758" t="str">
        <f t="shared" si="11"/>
        <v>A</v>
      </c>
      <c r="D758">
        <v>1</v>
      </c>
    </row>
    <row r="759" spans="1:4" x14ac:dyDescent="0.25">
      <c r="A759" s="5" t="s">
        <v>132</v>
      </c>
      <c r="B759" s="5" t="s">
        <v>1116</v>
      </c>
      <c r="C759" t="str">
        <f t="shared" si="11"/>
        <v>A</v>
      </c>
      <c r="D759">
        <v>1</v>
      </c>
    </row>
    <row r="760" spans="1:4" x14ac:dyDescent="0.25">
      <c r="A760" s="5" t="s">
        <v>132</v>
      </c>
      <c r="B760" s="5" t="s">
        <v>1116</v>
      </c>
      <c r="C760" t="str">
        <f t="shared" si="11"/>
        <v>A</v>
      </c>
      <c r="D760">
        <v>1</v>
      </c>
    </row>
    <row r="761" spans="1:4" x14ac:dyDescent="0.25">
      <c r="A761" s="5" t="s">
        <v>10</v>
      </c>
      <c r="B761" s="5" t="s">
        <v>1116</v>
      </c>
      <c r="C761" t="str">
        <f t="shared" si="11"/>
        <v>A</v>
      </c>
      <c r="D761">
        <v>1</v>
      </c>
    </row>
    <row r="762" spans="1:4" x14ac:dyDescent="0.25">
      <c r="A762" s="5" t="s">
        <v>10</v>
      </c>
      <c r="B762" s="5" t="s">
        <v>1116</v>
      </c>
      <c r="C762" t="str">
        <f t="shared" si="11"/>
        <v>A</v>
      </c>
      <c r="D762">
        <v>1</v>
      </c>
    </row>
    <row r="763" spans="1:4" x14ac:dyDescent="0.25">
      <c r="A763" s="5" t="s">
        <v>132</v>
      </c>
      <c r="B763" s="5" t="s">
        <v>1123</v>
      </c>
      <c r="C763" t="str">
        <f t="shared" si="11"/>
        <v>A</v>
      </c>
      <c r="D763">
        <v>1</v>
      </c>
    </row>
    <row r="764" spans="1:4" x14ac:dyDescent="0.25">
      <c r="A764" s="5" t="s">
        <v>132</v>
      </c>
      <c r="B764" s="5" t="s">
        <v>1123</v>
      </c>
      <c r="C764" t="str">
        <f t="shared" si="11"/>
        <v>A</v>
      </c>
      <c r="D764">
        <v>1</v>
      </c>
    </row>
    <row r="765" spans="1:4" x14ac:dyDescent="0.25">
      <c r="A765" s="5" t="s">
        <v>132</v>
      </c>
      <c r="B765" s="5" t="s">
        <v>1123</v>
      </c>
      <c r="C765" t="str">
        <f t="shared" si="11"/>
        <v>A</v>
      </c>
      <c r="D765">
        <v>1</v>
      </c>
    </row>
    <row r="766" spans="1:4" x14ac:dyDescent="0.25">
      <c r="A766" s="5" t="s">
        <v>10</v>
      </c>
      <c r="B766" s="5" t="s">
        <v>1123</v>
      </c>
      <c r="C766" t="str">
        <f t="shared" si="11"/>
        <v>A</v>
      </c>
      <c r="D766">
        <v>1</v>
      </c>
    </row>
    <row r="767" spans="1:4" x14ac:dyDescent="0.25">
      <c r="A767" s="5" t="s">
        <v>1428</v>
      </c>
      <c r="B767" s="5" t="s">
        <v>1123</v>
      </c>
      <c r="C767" t="str">
        <f t="shared" si="11"/>
        <v>B</v>
      </c>
      <c r="D767">
        <v>1</v>
      </c>
    </row>
    <row r="768" spans="1:4" x14ac:dyDescent="0.25">
      <c r="A768" s="5" t="s">
        <v>10</v>
      </c>
      <c r="B768" s="5" t="s">
        <v>1123</v>
      </c>
      <c r="C768" t="str">
        <f t="shared" si="11"/>
        <v>A</v>
      </c>
      <c r="D768">
        <v>1</v>
      </c>
    </row>
    <row r="769" spans="1:4" x14ac:dyDescent="0.25">
      <c r="A769" s="5" t="s">
        <v>10</v>
      </c>
      <c r="B769" s="5" t="s">
        <v>1123</v>
      </c>
      <c r="C769" t="str">
        <f t="shared" si="11"/>
        <v>A</v>
      </c>
      <c r="D769">
        <v>1</v>
      </c>
    </row>
    <row r="770" spans="1:4" x14ac:dyDescent="0.25">
      <c r="A770" s="5" t="s">
        <v>132</v>
      </c>
      <c r="B770" s="5" t="s">
        <v>1129</v>
      </c>
      <c r="C770" t="str">
        <f t="shared" si="11"/>
        <v>A</v>
      </c>
      <c r="D770">
        <v>1</v>
      </c>
    </row>
    <row r="771" spans="1:4" x14ac:dyDescent="0.25">
      <c r="A771" s="5" t="s">
        <v>1423</v>
      </c>
      <c r="B771" s="5" t="s">
        <v>1129</v>
      </c>
      <c r="C771" t="str">
        <f t="shared" ref="C771:C834" si="12">LEFT(A771,1)</f>
        <v>C</v>
      </c>
      <c r="D771">
        <v>1</v>
      </c>
    </row>
    <row r="772" spans="1:4" x14ac:dyDescent="0.25">
      <c r="A772" s="5" t="s">
        <v>132</v>
      </c>
      <c r="B772" s="5" t="s">
        <v>1129</v>
      </c>
      <c r="C772" t="str">
        <f t="shared" si="12"/>
        <v>A</v>
      </c>
      <c r="D772">
        <v>1</v>
      </c>
    </row>
    <row r="773" spans="1:4" x14ac:dyDescent="0.25">
      <c r="A773" s="5" t="s">
        <v>1013</v>
      </c>
      <c r="B773" s="5" t="s">
        <v>1129</v>
      </c>
      <c r="C773" t="str">
        <f t="shared" si="12"/>
        <v>B</v>
      </c>
      <c r="D773">
        <v>1</v>
      </c>
    </row>
    <row r="774" spans="1:4" x14ac:dyDescent="0.25">
      <c r="A774" s="5" t="s">
        <v>10</v>
      </c>
      <c r="B774" s="5" t="s">
        <v>1129</v>
      </c>
      <c r="C774" t="str">
        <f t="shared" si="12"/>
        <v>A</v>
      </c>
      <c r="D774">
        <v>1</v>
      </c>
    </row>
    <row r="775" spans="1:4" x14ac:dyDescent="0.25">
      <c r="A775" s="5" t="s">
        <v>132</v>
      </c>
      <c r="B775" s="5" t="s">
        <v>1129</v>
      </c>
      <c r="C775" t="str">
        <f t="shared" si="12"/>
        <v>A</v>
      </c>
      <c r="D775">
        <v>1</v>
      </c>
    </row>
    <row r="776" spans="1:4" x14ac:dyDescent="0.25">
      <c r="A776" s="5" t="s">
        <v>1415</v>
      </c>
      <c r="B776" s="5" t="s">
        <v>1129</v>
      </c>
      <c r="C776" t="str">
        <f t="shared" si="12"/>
        <v>A</v>
      </c>
      <c r="D776">
        <v>1</v>
      </c>
    </row>
    <row r="777" spans="1:4" x14ac:dyDescent="0.25">
      <c r="A777" s="5" t="s">
        <v>132</v>
      </c>
      <c r="B777" s="5" t="s">
        <v>1129</v>
      </c>
      <c r="C777" t="str">
        <f t="shared" si="12"/>
        <v>A</v>
      </c>
      <c r="D777">
        <v>1</v>
      </c>
    </row>
    <row r="778" spans="1:4" x14ac:dyDescent="0.25">
      <c r="A778" s="5" t="s">
        <v>10</v>
      </c>
      <c r="B778" s="5" t="s">
        <v>1129</v>
      </c>
      <c r="C778" t="str">
        <f t="shared" si="12"/>
        <v>A</v>
      </c>
      <c r="D778">
        <v>1</v>
      </c>
    </row>
    <row r="779" spans="1:4" x14ac:dyDescent="0.25">
      <c r="A779" s="5" t="s">
        <v>1428</v>
      </c>
      <c r="B779" s="5" t="s">
        <v>1129</v>
      </c>
      <c r="C779" t="str">
        <f t="shared" si="12"/>
        <v>B</v>
      </c>
      <c r="D779">
        <v>1</v>
      </c>
    </row>
    <row r="780" spans="1:4" x14ac:dyDescent="0.25">
      <c r="A780" s="5" t="s">
        <v>10</v>
      </c>
      <c r="B780" s="5" t="s">
        <v>1129</v>
      </c>
      <c r="C780" t="str">
        <f t="shared" si="12"/>
        <v>A</v>
      </c>
      <c r="D780">
        <v>1</v>
      </c>
    </row>
    <row r="781" spans="1:4" x14ac:dyDescent="0.25">
      <c r="A781" s="5" t="s">
        <v>1428</v>
      </c>
      <c r="B781" s="5" t="s">
        <v>1129</v>
      </c>
      <c r="C781" t="str">
        <f t="shared" si="12"/>
        <v>B</v>
      </c>
      <c r="D781">
        <v>1</v>
      </c>
    </row>
    <row r="782" spans="1:4" x14ac:dyDescent="0.25">
      <c r="A782" s="5" t="s">
        <v>10</v>
      </c>
      <c r="B782" s="5" t="s">
        <v>1129</v>
      </c>
      <c r="C782" t="str">
        <f t="shared" si="12"/>
        <v>A</v>
      </c>
      <c r="D782">
        <v>1</v>
      </c>
    </row>
    <row r="783" spans="1:4" x14ac:dyDescent="0.25">
      <c r="A783" s="5" t="s">
        <v>123</v>
      </c>
      <c r="B783" s="5" t="s">
        <v>1129</v>
      </c>
      <c r="C783" t="str">
        <f t="shared" si="12"/>
        <v>B</v>
      </c>
      <c r="D783">
        <v>1</v>
      </c>
    </row>
    <row r="784" spans="1:4" x14ac:dyDescent="0.25">
      <c r="A784" s="5" t="s">
        <v>123</v>
      </c>
      <c r="B784" s="5" t="s">
        <v>1129</v>
      </c>
      <c r="C784" t="str">
        <f t="shared" si="12"/>
        <v>B</v>
      </c>
      <c r="D784">
        <v>1</v>
      </c>
    </row>
    <row r="785" spans="1:4" x14ac:dyDescent="0.25">
      <c r="A785" s="5" t="s">
        <v>1527</v>
      </c>
      <c r="B785" s="5" t="s">
        <v>1129</v>
      </c>
      <c r="C785" t="str">
        <f t="shared" si="12"/>
        <v>T</v>
      </c>
      <c r="D785">
        <v>1</v>
      </c>
    </row>
    <row r="786" spans="1:4" x14ac:dyDescent="0.25">
      <c r="A786" s="5" t="s">
        <v>1402</v>
      </c>
      <c r="B786" s="5" t="s">
        <v>1129</v>
      </c>
      <c r="C786" t="str">
        <f t="shared" si="12"/>
        <v>D</v>
      </c>
      <c r="D786">
        <v>1</v>
      </c>
    </row>
    <row r="787" spans="1:4" x14ac:dyDescent="0.25">
      <c r="A787" s="5" t="s">
        <v>1529</v>
      </c>
      <c r="B787" s="5" t="s">
        <v>1129</v>
      </c>
      <c r="C787" t="str">
        <f t="shared" si="12"/>
        <v>T</v>
      </c>
      <c r="D787">
        <v>1</v>
      </c>
    </row>
    <row r="788" spans="1:4" x14ac:dyDescent="0.25">
      <c r="A788" s="5" t="s">
        <v>1531</v>
      </c>
      <c r="B788" s="5" t="s">
        <v>1129</v>
      </c>
      <c r="C788" t="str">
        <f t="shared" si="12"/>
        <v>T</v>
      </c>
      <c r="D788">
        <v>1</v>
      </c>
    </row>
    <row r="789" spans="1:4" x14ac:dyDescent="0.25">
      <c r="A789" s="5" t="s">
        <v>1531</v>
      </c>
      <c r="B789" s="5" t="s">
        <v>1129</v>
      </c>
      <c r="C789" t="str">
        <f t="shared" si="12"/>
        <v>T</v>
      </c>
      <c r="D789">
        <v>1</v>
      </c>
    </row>
    <row r="790" spans="1:4" x14ac:dyDescent="0.25">
      <c r="A790" s="5" t="s">
        <v>132</v>
      </c>
      <c r="B790" s="5" t="s">
        <v>1137</v>
      </c>
      <c r="C790" t="str">
        <f t="shared" si="12"/>
        <v>A</v>
      </c>
      <c r="D790">
        <v>1</v>
      </c>
    </row>
    <row r="791" spans="1:4" x14ac:dyDescent="0.25">
      <c r="A791" s="5" t="s">
        <v>132</v>
      </c>
      <c r="B791" s="5" t="s">
        <v>1137</v>
      </c>
      <c r="C791" t="str">
        <f t="shared" si="12"/>
        <v>A</v>
      </c>
      <c r="D791">
        <v>1</v>
      </c>
    </row>
    <row r="792" spans="1:4" x14ac:dyDescent="0.25">
      <c r="A792" s="5" t="s">
        <v>10</v>
      </c>
      <c r="B792" s="5" t="s">
        <v>1137</v>
      </c>
      <c r="C792" t="str">
        <f t="shared" si="12"/>
        <v>A</v>
      </c>
      <c r="D792">
        <v>1</v>
      </c>
    </row>
    <row r="793" spans="1:4" x14ac:dyDescent="0.25">
      <c r="A793" s="5" t="s">
        <v>10</v>
      </c>
      <c r="B793" s="5" t="s">
        <v>1137</v>
      </c>
      <c r="C793" t="str">
        <f t="shared" si="12"/>
        <v>A</v>
      </c>
      <c r="D793">
        <v>1</v>
      </c>
    </row>
    <row r="794" spans="1:4" x14ac:dyDescent="0.25">
      <c r="A794" s="5" t="s">
        <v>10</v>
      </c>
      <c r="B794" s="5" t="s">
        <v>1137</v>
      </c>
      <c r="C794" t="str">
        <f t="shared" si="12"/>
        <v>A</v>
      </c>
      <c r="D794">
        <v>1</v>
      </c>
    </row>
    <row r="795" spans="1:4" x14ac:dyDescent="0.25">
      <c r="A795" s="5" t="s">
        <v>10</v>
      </c>
      <c r="B795" s="5" t="s">
        <v>1145</v>
      </c>
      <c r="C795" t="str">
        <f t="shared" si="12"/>
        <v>A</v>
      </c>
      <c r="D795">
        <v>1</v>
      </c>
    </row>
    <row r="796" spans="1:4" x14ac:dyDescent="0.25">
      <c r="A796" s="5" t="s">
        <v>10</v>
      </c>
      <c r="B796" s="5" t="s">
        <v>1145</v>
      </c>
      <c r="C796" t="str">
        <f t="shared" si="12"/>
        <v>A</v>
      </c>
      <c r="D796">
        <v>1</v>
      </c>
    </row>
    <row r="797" spans="1:4" x14ac:dyDescent="0.25">
      <c r="A797" s="5" t="s">
        <v>1428</v>
      </c>
      <c r="B797" s="5" t="s">
        <v>1145</v>
      </c>
      <c r="C797" t="str">
        <f t="shared" si="12"/>
        <v>B</v>
      </c>
      <c r="D797">
        <v>1</v>
      </c>
    </row>
    <row r="798" spans="1:4" x14ac:dyDescent="0.25">
      <c r="A798" s="5" t="s">
        <v>10</v>
      </c>
      <c r="B798" s="5" t="s">
        <v>1145</v>
      </c>
      <c r="C798" t="str">
        <f t="shared" si="12"/>
        <v>A</v>
      </c>
      <c r="D798">
        <v>1</v>
      </c>
    </row>
    <row r="799" spans="1:4" x14ac:dyDescent="0.25">
      <c r="A799" s="5" t="s">
        <v>10</v>
      </c>
      <c r="B799" s="5" t="s">
        <v>1145</v>
      </c>
      <c r="C799" t="str">
        <f t="shared" si="12"/>
        <v>A</v>
      </c>
      <c r="D799">
        <v>1</v>
      </c>
    </row>
    <row r="800" spans="1:4" x14ac:dyDescent="0.25">
      <c r="A800" s="5" t="s">
        <v>132</v>
      </c>
      <c r="B800" s="5" t="s">
        <v>1145</v>
      </c>
      <c r="C800" t="str">
        <f t="shared" si="12"/>
        <v>A</v>
      </c>
      <c r="D800">
        <v>1</v>
      </c>
    </row>
    <row r="801" spans="1:4" x14ac:dyDescent="0.25">
      <c r="A801" s="5" t="s">
        <v>132</v>
      </c>
      <c r="B801" s="5" t="s">
        <v>1145</v>
      </c>
      <c r="C801" t="str">
        <f t="shared" si="12"/>
        <v>A</v>
      </c>
      <c r="D801">
        <v>1</v>
      </c>
    </row>
    <row r="802" spans="1:4" x14ac:dyDescent="0.25">
      <c r="A802" s="5" t="s">
        <v>1013</v>
      </c>
      <c r="B802" s="5" t="s">
        <v>1145</v>
      </c>
      <c r="C802" t="str">
        <f t="shared" si="12"/>
        <v>B</v>
      </c>
      <c r="D802">
        <v>1</v>
      </c>
    </row>
    <row r="803" spans="1:4" x14ac:dyDescent="0.25">
      <c r="A803" s="5" t="s">
        <v>1402</v>
      </c>
      <c r="B803" s="5" t="s">
        <v>1145</v>
      </c>
      <c r="C803" t="str">
        <f t="shared" si="12"/>
        <v>D</v>
      </c>
      <c r="D803">
        <v>1</v>
      </c>
    </row>
    <row r="804" spans="1:4" x14ac:dyDescent="0.25">
      <c r="A804" s="5" t="s">
        <v>1529</v>
      </c>
      <c r="B804" s="5" t="s">
        <v>1145</v>
      </c>
      <c r="C804" t="str">
        <f t="shared" si="12"/>
        <v>T</v>
      </c>
      <c r="D804">
        <v>1</v>
      </c>
    </row>
    <row r="805" spans="1:4" x14ac:dyDescent="0.25">
      <c r="A805" s="5" t="s">
        <v>10</v>
      </c>
      <c r="B805" s="5" t="s">
        <v>1152</v>
      </c>
      <c r="C805" t="str">
        <f t="shared" si="12"/>
        <v>A</v>
      </c>
      <c r="D805">
        <v>1</v>
      </c>
    </row>
    <row r="806" spans="1:4" x14ac:dyDescent="0.25">
      <c r="A806" s="5" t="s">
        <v>10</v>
      </c>
      <c r="B806" s="5" t="s">
        <v>1152</v>
      </c>
      <c r="C806" t="str">
        <f t="shared" si="12"/>
        <v>A</v>
      </c>
      <c r="D806">
        <v>1</v>
      </c>
    </row>
    <row r="807" spans="1:4" x14ac:dyDescent="0.25">
      <c r="A807" s="5" t="s">
        <v>10</v>
      </c>
      <c r="B807" s="5" t="s">
        <v>1152</v>
      </c>
      <c r="C807" t="str">
        <f t="shared" si="12"/>
        <v>A</v>
      </c>
      <c r="D807">
        <v>1</v>
      </c>
    </row>
    <row r="808" spans="1:4" x14ac:dyDescent="0.25">
      <c r="A808" s="5" t="s">
        <v>10</v>
      </c>
      <c r="B808" s="5" t="s">
        <v>1152</v>
      </c>
      <c r="C808" t="str">
        <f t="shared" si="12"/>
        <v>A</v>
      </c>
      <c r="D808">
        <v>1</v>
      </c>
    </row>
    <row r="809" spans="1:4" x14ac:dyDescent="0.25">
      <c r="A809" s="5" t="s">
        <v>132</v>
      </c>
      <c r="B809" s="5" t="s">
        <v>1152</v>
      </c>
      <c r="C809" t="str">
        <f t="shared" si="12"/>
        <v>A</v>
      </c>
      <c r="D809">
        <v>1</v>
      </c>
    </row>
    <row r="810" spans="1:4" x14ac:dyDescent="0.25">
      <c r="A810" s="5" t="s">
        <v>132</v>
      </c>
      <c r="B810" s="5" t="s">
        <v>1152</v>
      </c>
      <c r="C810" t="str">
        <f t="shared" si="12"/>
        <v>A</v>
      </c>
      <c r="D810">
        <v>1</v>
      </c>
    </row>
    <row r="811" spans="1:4" x14ac:dyDescent="0.25">
      <c r="A811" s="5" t="s">
        <v>10</v>
      </c>
      <c r="B811" s="5" t="s">
        <v>1159</v>
      </c>
      <c r="C811" t="str">
        <f t="shared" si="12"/>
        <v>A</v>
      </c>
      <c r="D811">
        <v>1</v>
      </c>
    </row>
    <row r="812" spans="1:4" x14ac:dyDescent="0.25">
      <c r="A812" s="5" t="s">
        <v>10</v>
      </c>
      <c r="B812" s="5" t="s">
        <v>1159</v>
      </c>
      <c r="C812" t="str">
        <f t="shared" si="12"/>
        <v>A</v>
      </c>
      <c r="D812">
        <v>1</v>
      </c>
    </row>
    <row r="813" spans="1:4" x14ac:dyDescent="0.25">
      <c r="A813" s="5" t="s">
        <v>1428</v>
      </c>
      <c r="B813" s="5" t="s">
        <v>1159</v>
      </c>
      <c r="C813" t="str">
        <f t="shared" si="12"/>
        <v>B</v>
      </c>
      <c r="D813">
        <v>1</v>
      </c>
    </row>
    <row r="814" spans="1:4" x14ac:dyDescent="0.25">
      <c r="A814" s="5" t="s">
        <v>10</v>
      </c>
      <c r="B814" s="5" t="s">
        <v>1159</v>
      </c>
      <c r="C814" t="str">
        <f t="shared" si="12"/>
        <v>A</v>
      </c>
      <c r="D814">
        <v>1</v>
      </c>
    </row>
    <row r="815" spans="1:4" x14ac:dyDescent="0.25">
      <c r="A815" s="5" t="s">
        <v>132</v>
      </c>
      <c r="B815" s="5" t="s">
        <v>1159</v>
      </c>
      <c r="C815" t="str">
        <f t="shared" si="12"/>
        <v>A</v>
      </c>
      <c r="D815">
        <v>1</v>
      </c>
    </row>
    <row r="816" spans="1:4" x14ac:dyDescent="0.25">
      <c r="A816" s="5" t="s">
        <v>132</v>
      </c>
      <c r="B816" s="5" t="s">
        <v>1159</v>
      </c>
      <c r="C816" t="str">
        <f t="shared" si="12"/>
        <v>A</v>
      </c>
      <c r="D816">
        <v>1</v>
      </c>
    </row>
    <row r="817" spans="1:4" x14ac:dyDescent="0.25">
      <c r="A817" s="5" t="s">
        <v>1013</v>
      </c>
      <c r="B817" s="5" t="s">
        <v>1159</v>
      </c>
      <c r="C817" t="str">
        <f t="shared" si="12"/>
        <v>B</v>
      </c>
      <c r="D817">
        <v>1</v>
      </c>
    </row>
    <row r="818" spans="1:4" x14ac:dyDescent="0.25">
      <c r="A818" s="5" t="s">
        <v>1402</v>
      </c>
      <c r="B818" s="5" t="s">
        <v>1159</v>
      </c>
      <c r="C818" t="str">
        <f t="shared" si="12"/>
        <v>D</v>
      </c>
      <c r="D818">
        <v>1</v>
      </c>
    </row>
    <row r="819" spans="1:4" x14ac:dyDescent="0.25">
      <c r="A819" s="5" t="s">
        <v>1529</v>
      </c>
      <c r="B819" s="5" t="s">
        <v>1159</v>
      </c>
      <c r="C819" t="str">
        <f t="shared" si="12"/>
        <v>T</v>
      </c>
      <c r="D819">
        <v>1</v>
      </c>
    </row>
    <row r="820" spans="1:4" x14ac:dyDescent="0.25">
      <c r="A820" s="5" t="s">
        <v>2013</v>
      </c>
      <c r="B820" s="5" t="s">
        <v>1166</v>
      </c>
      <c r="C820" t="str">
        <f t="shared" si="12"/>
        <v>D</v>
      </c>
      <c r="D820">
        <v>1</v>
      </c>
    </row>
    <row r="821" spans="1:4" x14ac:dyDescent="0.25">
      <c r="A821" s="5" t="s">
        <v>2013</v>
      </c>
      <c r="B821" s="5" t="s">
        <v>1166</v>
      </c>
      <c r="C821" t="str">
        <f t="shared" si="12"/>
        <v>D</v>
      </c>
      <c r="D821">
        <v>1</v>
      </c>
    </row>
    <row r="822" spans="1:4" x14ac:dyDescent="0.25">
      <c r="A822" s="5" t="s">
        <v>10</v>
      </c>
      <c r="B822" s="5" t="s">
        <v>1166</v>
      </c>
      <c r="C822" t="str">
        <f t="shared" si="12"/>
        <v>A</v>
      </c>
      <c r="D822">
        <v>1</v>
      </c>
    </row>
    <row r="823" spans="1:4" x14ac:dyDescent="0.25">
      <c r="A823" s="5" t="s">
        <v>1013</v>
      </c>
      <c r="B823" s="5" t="s">
        <v>1166</v>
      </c>
      <c r="C823" t="str">
        <f t="shared" si="12"/>
        <v>B</v>
      </c>
      <c r="D823">
        <v>1</v>
      </c>
    </row>
    <row r="824" spans="1:4" x14ac:dyDescent="0.25">
      <c r="A824" s="5" t="s">
        <v>2013</v>
      </c>
      <c r="B824" s="5" t="s">
        <v>1166</v>
      </c>
      <c r="C824" t="str">
        <f t="shared" si="12"/>
        <v>D</v>
      </c>
      <c r="D824">
        <v>1</v>
      </c>
    </row>
    <row r="825" spans="1:4" x14ac:dyDescent="0.25">
      <c r="A825" s="5" t="s">
        <v>10</v>
      </c>
      <c r="B825" s="5" t="s">
        <v>1166</v>
      </c>
      <c r="C825" t="str">
        <f t="shared" si="12"/>
        <v>A</v>
      </c>
      <c r="D825">
        <v>1</v>
      </c>
    </row>
    <row r="826" spans="1:4" x14ac:dyDescent="0.25">
      <c r="A826" s="5" t="s">
        <v>1013</v>
      </c>
      <c r="B826" s="5" t="s">
        <v>1166</v>
      </c>
      <c r="C826" t="str">
        <f t="shared" si="12"/>
        <v>B</v>
      </c>
      <c r="D826">
        <v>1</v>
      </c>
    </row>
    <row r="827" spans="1:4" x14ac:dyDescent="0.25">
      <c r="A827" s="5" t="s">
        <v>132</v>
      </c>
      <c r="B827" s="5" t="s">
        <v>1166</v>
      </c>
      <c r="C827" t="str">
        <f t="shared" si="12"/>
        <v>A</v>
      </c>
      <c r="D827">
        <v>1</v>
      </c>
    </row>
    <row r="828" spans="1:4" x14ac:dyDescent="0.25">
      <c r="A828" s="5" t="s">
        <v>1423</v>
      </c>
      <c r="B828" s="5" t="s">
        <v>1166</v>
      </c>
      <c r="C828" t="str">
        <f t="shared" si="12"/>
        <v>C</v>
      </c>
      <c r="D828">
        <v>1</v>
      </c>
    </row>
    <row r="829" spans="1:4" x14ac:dyDescent="0.25">
      <c r="A829" s="5" t="s">
        <v>132</v>
      </c>
      <c r="B829" s="5" t="s">
        <v>1166</v>
      </c>
      <c r="C829" t="str">
        <f t="shared" si="12"/>
        <v>A</v>
      </c>
      <c r="D829">
        <v>1</v>
      </c>
    </row>
    <row r="830" spans="1:4" x14ac:dyDescent="0.25">
      <c r="A830" s="5" t="s">
        <v>1013</v>
      </c>
      <c r="B830" s="5" t="s">
        <v>1166</v>
      </c>
      <c r="C830" t="str">
        <f t="shared" si="12"/>
        <v>B</v>
      </c>
      <c r="D830">
        <v>1</v>
      </c>
    </row>
    <row r="831" spans="1:4" x14ac:dyDescent="0.25">
      <c r="A831" s="5" t="s">
        <v>10</v>
      </c>
      <c r="B831" s="5" t="s">
        <v>1166</v>
      </c>
      <c r="C831" t="str">
        <f t="shared" si="12"/>
        <v>A</v>
      </c>
      <c r="D831">
        <v>1</v>
      </c>
    </row>
    <row r="832" spans="1:4" x14ac:dyDescent="0.25">
      <c r="A832" s="5" t="s">
        <v>1428</v>
      </c>
      <c r="B832" s="5" t="s">
        <v>1166</v>
      </c>
      <c r="C832" t="str">
        <f t="shared" si="12"/>
        <v>B</v>
      </c>
      <c r="D832">
        <v>1</v>
      </c>
    </row>
    <row r="833" spans="1:4" x14ac:dyDescent="0.25">
      <c r="A833" s="5" t="s">
        <v>10</v>
      </c>
      <c r="B833" s="5" t="s">
        <v>1166</v>
      </c>
      <c r="C833" t="str">
        <f t="shared" si="12"/>
        <v>A</v>
      </c>
      <c r="D833">
        <v>1</v>
      </c>
    </row>
    <row r="834" spans="1:4" x14ac:dyDescent="0.25">
      <c r="A834" s="5" t="s">
        <v>1402</v>
      </c>
      <c r="B834" s="5" t="s">
        <v>1166</v>
      </c>
      <c r="C834" t="str">
        <f t="shared" si="12"/>
        <v>D</v>
      </c>
      <c r="D834">
        <v>1</v>
      </c>
    </row>
    <row r="835" spans="1:4" x14ac:dyDescent="0.25">
      <c r="A835" s="5" t="s">
        <v>1013</v>
      </c>
      <c r="B835" s="5" t="s">
        <v>1166</v>
      </c>
      <c r="C835" t="str">
        <f t="shared" ref="C835:C898" si="13">LEFT(A835,1)</f>
        <v>B</v>
      </c>
      <c r="D835">
        <v>1</v>
      </c>
    </row>
    <row r="836" spans="1:4" x14ac:dyDescent="0.25">
      <c r="A836" s="5" t="s">
        <v>10</v>
      </c>
      <c r="B836" s="5" t="s">
        <v>1166</v>
      </c>
      <c r="C836" t="str">
        <f t="shared" si="13"/>
        <v>A</v>
      </c>
      <c r="D836">
        <v>1</v>
      </c>
    </row>
    <row r="837" spans="1:4" x14ac:dyDescent="0.25">
      <c r="A837" s="5" t="s">
        <v>1423</v>
      </c>
      <c r="B837" s="5" t="s">
        <v>1166</v>
      </c>
      <c r="C837" t="str">
        <f t="shared" si="13"/>
        <v>C</v>
      </c>
      <c r="D837">
        <v>1</v>
      </c>
    </row>
    <row r="838" spans="1:4" x14ac:dyDescent="0.25">
      <c r="A838" s="5" t="s">
        <v>10</v>
      </c>
      <c r="B838" s="5" t="s">
        <v>1166</v>
      </c>
      <c r="C838" t="str">
        <f t="shared" si="13"/>
        <v>A</v>
      </c>
      <c r="D838">
        <v>1</v>
      </c>
    </row>
    <row r="839" spans="1:4" x14ac:dyDescent="0.25">
      <c r="A839" s="5" t="s">
        <v>1428</v>
      </c>
      <c r="B839" s="5" t="s">
        <v>1166</v>
      </c>
      <c r="C839" t="str">
        <f t="shared" si="13"/>
        <v>B</v>
      </c>
      <c r="D839">
        <v>1</v>
      </c>
    </row>
    <row r="840" spans="1:4" x14ac:dyDescent="0.25">
      <c r="A840" s="5" t="s">
        <v>10</v>
      </c>
      <c r="B840" s="5" t="s">
        <v>1166</v>
      </c>
      <c r="C840" t="str">
        <f t="shared" si="13"/>
        <v>A</v>
      </c>
      <c r="D840">
        <v>1</v>
      </c>
    </row>
    <row r="841" spans="1:4" x14ac:dyDescent="0.25">
      <c r="A841" s="5" t="s">
        <v>10</v>
      </c>
      <c r="B841" s="5" t="s">
        <v>1166</v>
      </c>
      <c r="C841" t="str">
        <f t="shared" si="13"/>
        <v>A</v>
      </c>
      <c r="D841">
        <v>1</v>
      </c>
    </row>
    <row r="842" spans="1:4" x14ac:dyDescent="0.25">
      <c r="A842" s="5" t="s">
        <v>123</v>
      </c>
      <c r="B842" s="5" t="s">
        <v>1166</v>
      </c>
      <c r="C842" t="str">
        <f t="shared" si="13"/>
        <v>B</v>
      </c>
      <c r="D842">
        <v>1</v>
      </c>
    </row>
    <row r="843" spans="1:4" x14ac:dyDescent="0.25">
      <c r="A843" s="5" t="s">
        <v>123</v>
      </c>
      <c r="B843" s="5" t="s">
        <v>1166</v>
      </c>
      <c r="C843" t="str">
        <f t="shared" si="13"/>
        <v>B</v>
      </c>
      <c r="D843">
        <v>1</v>
      </c>
    </row>
    <row r="844" spans="1:4" x14ac:dyDescent="0.25">
      <c r="A844" s="5" t="s">
        <v>1527</v>
      </c>
      <c r="B844" s="5" t="s">
        <v>1166</v>
      </c>
      <c r="C844" t="str">
        <f t="shared" si="13"/>
        <v>T</v>
      </c>
      <c r="D844">
        <v>1</v>
      </c>
    </row>
    <row r="845" spans="1:4" x14ac:dyDescent="0.25">
      <c r="A845" s="5" t="s">
        <v>1402</v>
      </c>
      <c r="B845" s="5" t="s">
        <v>1166</v>
      </c>
      <c r="C845" t="str">
        <f t="shared" si="13"/>
        <v>D</v>
      </c>
      <c r="D845">
        <v>1</v>
      </c>
    </row>
    <row r="846" spans="1:4" x14ac:dyDescent="0.25">
      <c r="A846" s="5" t="s">
        <v>1529</v>
      </c>
      <c r="B846" s="5" t="s">
        <v>1166</v>
      </c>
      <c r="C846" t="str">
        <f t="shared" si="13"/>
        <v>T</v>
      </c>
      <c r="D846">
        <v>1</v>
      </c>
    </row>
    <row r="847" spans="1:4" x14ac:dyDescent="0.25">
      <c r="A847" s="5" t="s">
        <v>1531</v>
      </c>
      <c r="B847" s="5" t="s">
        <v>1166</v>
      </c>
      <c r="C847" t="str">
        <f t="shared" si="13"/>
        <v>T</v>
      </c>
      <c r="D847">
        <v>1</v>
      </c>
    </row>
    <row r="848" spans="1:4" x14ac:dyDescent="0.25">
      <c r="A848" s="5" t="s">
        <v>1531</v>
      </c>
      <c r="B848" s="5" t="s">
        <v>1166</v>
      </c>
      <c r="C848" t="str">
        <f t="shared" si="13"/>
        <v>T</v>
      </c>
      <c r="D848">
        <v>1</v>
      </c>
    </row>
    <row r="849" spans="1:4" x14ac:dyDescent="0.25">
      <c r="A849" s="5" t="s">
        <v>51</v>
      </c>
      <c r="B849" s="5" t="s">
        <v>1166</v>
      </c>
      <c r="C849" t="str">
        <f t="shared" si="13"/>
        <v>C</v>
      </c>
      <c r="D849">
        <v>1</v>
      </c>
    </row>
    <row r="850" spans="1:4" x14ac:dyDescent="0.25">
      <c r="A850" s="5" t="s">
        <v>51</v>
      </c>
      <c r="B850" s="5" t="s">
        <v>1166</v>
      </c>
      <c r="C850" t="str">
        <f t="shared" si="13"/>
        <v>C</v>
      </c>
      <c r="D850">
        <v>1</v>
      </c>
    </row>
    <row r="851" spans="1:4" x14ac:dyDescent="0.25">
      <c r="A851" s="5" t="s">
        <v>132</v>
      </c>
      <c r="B851" s="5" t="s">
        <v>1174</v>
      </c>
      <c r="C851" t="str">
        <f t="shared" si="13"/>
        <v>A</v>
      </c>
      <c r="D851">
        <v>1</v>
      </c>
    </row>
    <row r="852" spans="1:4" x14ac:dyDescent="0.25">
      <c r="A852" s="5" t="s">
        <v>132</v>
      </c>
      <c r="B852" s="5" t="s">
        <v>1174</v>
      </c>
      <c r="C852" t="str">
        <f t="shared" si="13"/>
        <v>A</v>
      </c>
      <c r="D852">
        <v>1</v>
      </c>
    </row>
    <row r="853" spans="1:4" x14ac:dyDescent="0.25">
      <c r="A853" s="5" t="s">
        <v>1013</v>
      </c>
      <c r="B853" s="5" t="s">
        <v>1174</v>
      </c>
      <c r="C853" t="str">
        <f t="shared" si="13"/>
        <v>B</v>
      </c>
      <c r="D853">
        <v>1</v>
      </c>
    </row>
    <row r="854" spans="1:4" x14ac:dyDescent="0.25">
      <c r="A854" s="5" t="s">
        <v>10</v>
      </c>
      <c r="B854" s="5" t="s">
        <v>1174</v>
      </c>
      <c r="C854" t="str">
        <f t="shared" si="13"/>
        <v>A</v>
      </c>
      <c r="D854">
        <v>1</v>
      </c>
    </row>
    <row r="855" spans="1:4" x14ac:dyDescent="0.25">
      <c r="A855" s="5" t="s">
        <v>1428</v>
      </c>
      <c r="B855" s="5" t="s">
        <v>1174</v>
      </c>
      <c r="C855" t="str">
        <f t="shared" si="13"/>
        <v>B</v>
      </c>
      <c r="D855">
        <v>1</v>
      </c>
    </row>
    <row r="856" spans="1:4" x14ac:dyDescent="0.25">
      <c r="A856" s="5" t="s">
        <v>10</v>
      </c>
      <c r="B856" s="5" t="s">
        <v>1174</v>
      </c>
      <c r="C856" t="str">
        <f t="shared" si="13"/>
        <v>A</v>
      </c>
      <c r="D856">
        <v>1</v>
      </c>
    </row>
    <row r="857" spans="1:4" x14ac:dyDescent="0.25">
      <c r="A857" s="5" t="s">
        <v>10</v>
      </c>
      <c r="B857" s="5" t="s">
        <v>1174</v>
      </c>
      <c r="C857" t="str">
        <f t="shared" si="13"/>
        <v>A</v>
      </c>
      <c r="D857">
        <v>1</v>
      </c>
    </row>
    <row r="858" spans="1:4" x14ac:dyDescent="0.25">
      <c r="A858" s="5" t="s">
        <v>1402</v>
      </c>
      <c r="B858" s="5" t="s">
        <v>1174</v>
      </c>
      <c r="C858" t="str">
        <f t="shared" si="13"/>
        <v>D</v>
      </c>
      <c r="D858">
        <v>1</v>
      </c>
    </row>
    <row r="859" spans="1:4" x14ac:dyDescent="0.25">
      <c r="A859" s="5" t="s">
        <v>1529</v>
      </c>
      <c r="B859" s="5" t="s">
        <v>1174</v>
      </c>
      <c r="C859" t="str">
        <f t="shared" si="13"/>
        <v>T</v>
      </c>
      <c r="D859">
        <v>1</v>
      </c>
    </row>
    <row r="860" spans="1:4" x14ac:dyDescent="0.25">
      <c r="A860" s="5" t="s">
        <v>10</v>
      </c>
      <c r="B860" s="5" t="s">
        <v>1181</v>
      </c>
      <c r="C860" t="str">
        <f t="shared" si="13"/>
        <v>A</v>
      </c>
      <c r="D860">
        <v>1</v>
      </c>
    </row>
    <row r="861" spans="1:4" x14ac:dyDescent="0.25">
      <c r="A861" s="5" t="s">
        <v>10</v>
      </c>
      <c r="B861" s="5" t="s">
        <v>1181</v>
      </c>
      <c r="C861" t="str">
        <f t="shared" si="13"/>
        <v>A</v>
      </c>
      <c r="D861">
        <v>1</v>
      </c>
    </row>
    <row r="862" spans="1:4" x14ac:dyDescent="0.25">
      <c r="A862" s="5" t="s">
        <v>1428</v>
      </c>
      <c r="B862" s="5" t="s">
        <v>1181</v>
      </c>
      <c r="C862" t="str">
        <f t="shared" si="13"/>
        <v>B</v>
      </c>
      <c r="D862">
        <v>1</v>
      </c>
    </row>
    <row r="863" spans="1:4" x14ac:dyDescent="0.25">
      <c r="A863" s="5" t="s">
        <v>10</v>
      </c>
      <c r="B863" s="5" t="s">
        <v>1181</v>
      </c>
      <c r="C863" t="str">
        <f t="shared" si="13"/>
        <v>A</v>
      </c>
      <c r="D863">
        <v>1</v>
      </c>
    </row>
    <row r="864" spans="1:4" x14ac:dyDescent="0.25">
      <c r="A864" s="5" t="s">
        <v>2223</v>
      </c>
      <c r="B864" s="5" t="s">
        <v>1181</v>
      </c>
      <c r="C864" t="str">
        <f t="shared" si="13"/>
        <v>A</v>
      </c>
      <c r="D864">
        <v>1</v>
      </c>
    </row>
    <row r="865" spans="1:4" x14ac:dyDescent="0.25">
      <c r="A865" s="5" t="s">
        <v>10</v>
      </c>
      <c r="B865" s="5" t="s">
        <v>1187</v>
      </c>
      <c r="C865" t="str">
        <f t="shared" si="13"/>
        <v>A</v>
      </c>
      <c r="D865">
        <v>1</v>
      </c>
    </row>
    <row r="866" spans="1:4" x14ac:dyDescent="0.25">
      <c r="A866" s="5" t="s">
        <v>10</v>
      </c>
      <c r="B866" s="5" t="s">
        <v>1187</v>
      </c>
      <c r="C866" t="str">
        <f t="shared" si="13"/>
        <v>A</v>
      </c>
      <c r="D866">
        <v>1</v>
      </c>
    </row>
    <row r="867" spans="1:4" x14ac:dyDescent="0.25">
      <c r="A867" s="5" t="s">
        <v>1428</v>
      </c>
      <c r="B867" s="5" t="s">
        <v>1187</v>
      </c>
      <c r="C867" t="str">
        <f t="shared" si="13"/>
        <v>B</v>
      </c>
      <c r="D867">
        <v>1</v>
      </c>
    </row>
    <row r="868" spans="1:4" x14ac:dyDescent="0.25">
      <c r="A868" s="5" t="s">
        <v>10</v>
      </c>
      <c r="B868" s="5" t="s">
        <v>1187</v>
      </c>
      <c r="C868" t="str">
        <f t="shared" si="13"/>
        <v>A</v>
      </c>
      <c r="D868">
        <v>1</v>
      </c>
    </row>
    <row r="869" spans="1:4" x14ac:dyDescent="0.25">
      <c r="A869" s="5" t="s">
        <v>132</v>
      </c>
      <c r="B869" s="5" t="s">
        <v>1187</v>
      </c>
      <c r="C869" t="str">
        <f t="shared" si="13"/>
        <v>A</v>
      </c>
      <c r="D869">
        <v>1</v>
      </c>
    </row>
    <row r="870" spans="1:4" x14ac:dyDescent="0.25">
      <c r="A870" s="5" t="s">
        <v>2223</v>
      </c>
      <c r="B870" s="5" t="s">
        <v>1187</v>
      </c>
      <c r="C870" t="str">
        <f t="shared" si="13"/>
        <v>A</v>
      </c>
      <c r="D870">
        <v>1</v>
      </c>
    </row>
    <row r="871" spans="1:4" x14ac:dyDescent="0.25">
      <c r="A871" s="5" t="s">
        <v>10</v>
      </c>
      <c r="B871" s="5" t="s">
        <v>1191</v>
      </c>
      <c r="C871" t="str">
        <f t="shared" si="13"/>
        <v>A</v>
      </c>
      <c r="D871">
        <v>1</v>
      </c>
    </row>
    <row r="872" spans="1:4" x14ac:dyDescent="0.25">
      <c r="A872" s="5" t="s">
        <v>10</v>
      </c>
      <c r="B872" s="5" t="s">
        <v>1196</v>
      </c>
      <c r="C872" t="str">
        <f t="shared" si="13"/>
        <v>A</v>
      </c>
      <c r="D872">
        <v>1</v>
      </c>
    </row>
    <row r="873" spans="1:4" x14ac:dyDescent="0.25">
      <c r="A873" s="5" t="s">
        <v>1423</v>
      </c>
      <c r="B873" s="5" t="s">
        <v>1196</v>
      </c>
      <c r="C873" t="str">
        <f t="shared" si="13"/>
        <v>C</v>
      </c>
      <c r="D873">
        <v>1</v>
      </c>
    </row>
    <row r="874" spans="1:4" x14ac:dyDescent="0.25">
      <c r="A874" s="5" t="s">
        <v>10</v>
      </c>
      <c r="B874" s="5" t="s">
        <v>1203</v>
      </c>
      <c r="C874" t="str">
        <f t="shared" si="13"/>
        <v>A</v>
      </c>
      <c r="D874">
        <v>1</v>
      </c>
    </row>
    <row r="875" spans="1:4" x14ac:dyDescent="0.25">
      <c r="A875" s="5" t="s">
        <v>10</v>
      </c>
      <c r="B875" s="5" t="s">
        <v>1203</v>
      </c>
      <c r="C875" t="str">
        <f t="shared" si="13"/>
        <v>A</v>
      </c>
      <c r="D875">
        <v>1</v>
      </c>
    </row>
    <row r="876" spans="1:4" x14ac:dyDescent="0.25">
      <c r="A876" s="5" t="s">
        <v>10</v>
      </c>
      <c r="B876" s="5" t="s">
        <v>1203</v>
      </c>
      <c r="C876" t="str">
        <f t="shared" si="13"/>
        <v>A</v>
      </c>
      <c r="D876">
        <v>1</v>
      </c>
    </row>
    <row r="877" spans="1:4" x14ac:dyDescent="0.25">
      <c r="A877" s="5" t="s">
        <v>1428</v>
      </c>
      <c r="B877" s="5" t="s">
        <v>1203</v>
      </c>
      <c r="C877" t="str">
        <f t="shared" si="13"/>
        <v>B</v>
      </c>
      <c r="D877">
        <v>1</v>
      </c>
    </row>
    <row r="878" spans="1:4" x14ac:dyDescent="0.25">
      <c r="A878" s="5" t="s">
        <v>10</v>
      </c>
      <c r="B878" s="5" t="s">
        <v>1203</v>
      </c>
      <c r="C878" t="str">
        <f t="shared" si="13"/>
        <v>A</v>
      </c>
      <c r="D878">
        <v>1</v>
      </c>
    </row>
    <row r="879" spans="1:4" x14ac:dyDescent="0.25">
      <c r="A879" s="5" t="s">
        <v>10</v>
      </c>
      <c r="B879" s="5" t="s">
        <v>1203</v>
      </c>
      <c r="C879" t="str">
        <f t="shared" si="13"/>
        <v>A</v>
      </c>
      <c r="D879">
        <v>1</v>
      </c>
    </row>
    <row r="880" spans="1:4" x14ac:dyDescent="0.25">
      <c r="A880" s="5" t="s">
        <v>1423</v>
      </c>
      <c r="B880" s="5" t="s">
        <v>1203</v>
      </c>
      <c r="C880" t="str">
        <f t="shared" si="13"/>
        <v>C</v>
      </c>
      <c r="D880">
        <v>1</v>
      </c>
    </row>
    <row r="881" spans="1:4" x14ac:dyDescent="0.25">
      <c r="A881" s="5" t="s">
        <v>1415</v>
      </c>
      <c r="B881" s="5" t="s">
        <v>1203</v>
      </c>
      <c r="C881" t="str">
        <f t="shared" si="13"/>
        <v>A</v>
      </c>
      <c r="D881">
        <v>1</v>
      </c>
    </row>
    <row r="882" spans="1:4" x14ac:dyDescent="0.25">
      <c r="A882" s="5" t="s">
        <v>1418</v>
      </c>
      <c r="B882" s="5" t="s">
        <v>1203</v>
      </c>
      <c r="C882" t="str">
        <f t="shared" si="13"/>
        <v>A</v>
      </c>
      <c r="D882">
        <v>1</v>
      </c>
    </row>
    <row r="883" spans="1:4" x14ac:dyDescent="0.25">
      <c r="A883" s="5" t="s">
        <v>1013</v>
      </c>
      <c r="B883" s="5" t="s">
        <v>1203</v>
      </c>
      <c r="C883" t="str">
        <f t="shared" si="13"/>
        <v>B</v>
      </c>
      <c r="D883">
        <v>1</v>
      </c>
    </row>
    <row r="884" spans="1:4" x14ac:dyDescent="0.25">
      <c r="A884" s="5" t="s">
        <v>123</v>
      </c>
      <c r="B884" s="5" t="s">
        <v>1203</v>
      </c>
      <c r="C884" t="str">
        <f t="shared" si="13"/>
        <v>B</v>
      </c>
      <c r="D884">
        <v>1</v>
      </c>
    </row>
    <row r="885" spans="1:4" x14ac:dyDescent="0.25">
      <c r="A885" s="5" t="s">
        <v>1402</v>
      </c>
      <c r="B885" s="5" t="s">
        <v>1203</v>
      </c>
      <c r="C885" t="str">
        <f t="shared" si="13"/>
        <v>D</v>
      </c>
      <c r="D885">
        <v>1</v>
      </c>
    </row>
    <row r="886" spans="1:4" x14ac:dyDescent="0.25">
      <c r="A886" s="5" t="s">
        <v>1415</v>
      </c>
      <c r="B886" s="5" t="s">
        <v>1211</v>
      </c>
      <c r="C886" t="str">
        <f t="shared" si="13"/>
        <v>A</v>
      </c>
      <c r="D886">
        <v>1</v>
      </c>
    </row>
    <row r="887" spans="1:4" x14ac:dyDescent="0.25">
      <c r="A887" s="5" t="s">
        <v>1418</v>
      </c>
      <c r="B887" s="5" t="s">
        <v>1211</v>
      </c>
      <c r="C887" t="str">
        <f t="shared" si="13"/>
        <v>A</v>
      </c>
      <c r="D887">
        <v>1</v>
      </c>
    </row>
    <row r="888" spans="1:4" x14ac:dyDescent="0.25">
      <c r="A888" s="5" t="s">
        <v>1013</v>
      </c>
      <c r="B888" s="5" t="s">
        <v>1211</v>
      </c>
      <c r="C888" t="str">
        <f t="shared" si="13"/>
        <v>B</v>
      </c>
      <c r="D888">
        <v>1</v>
      </c>
    </row>
    <row r="889" spans="1:4" x14ac:dyDescent="0.25">
      <c r="A889" s="5" t="s">
        <v>10</v>
      </c>
      <c r="B889" s="5" t="s">
        <v>1211</v>
      </c>
      <c r="C889" t="str">
        <f t="shared" si="13"/>
        <v>A</v>
      </c>
      <c r="D889">
        <v>1</v>
      </c>
    </row>
    <row r="890" spans="1:4" x14ac:dyDescent="0.25">
      <c r="A890" s="5" t="s">
        <v>1402</v>
      </c>
      <c r="B890" s="5" t="s">
        <v>1211</v>
      </c>
      <c r="C890" t="str">
        <f t="shared" si="13"/>
        <v>D</v>
      </c>
      <c r="D890">
        <v>1</v>
      </c>
    </row>
    <row r="891" spans="1:4" x14ac:dyDescent="0.25">
      <c r="A891" s="5" t="s">
        <v>10</v>
      </c>
      <c r="B891" s="5" t="s">
        <v>1219</v>
      </c>
      <c r="C891" t="str">
        <f t="shared" si="13"/>
        <v>A</v>
      </c>
      <c r="D891">
        <v>1</v>
      </c>
    </row>
    <row r="892" spans="1:4" x14ac:dyDescent="0.25">
      <c r="A892" s="5" t="s">
        <v>1428</v>
      </c>
      <c r="B892" s="5" t="s">
        <v>1219</v>
      </c>
      <c r="C892" t="str">
        <f t="shared" si="13"/>
        <v>B</v>
      </c>
      <c r="D892">
        <v>1</v>
      </c>
    </row>
    <row r="893" spans="1:4" x14ac:dyDescent="0.25">
      <c r="A893" s="5" t="s">
        <v>10</v>
      </c>
      <c r="B893" s="5" t="s">
        <v>1219</v>
      </c>
      <c r="C893" t="str">
        <f t="shared" si="13"/>
        <v>A</v>
      </c>
      <c r="D893">
        <v>1</v>
      </c>
    </row>
    <row r="894" spans="1:4" x14ac:dyDescent="0.25">
      <c r="A894" s="5" t="s">
        <v>1428</v>
      </c>
      <c r="B894" s="5" t="s">
        <v>1219</v>
      </c>
      <c r="C894" t="str">
        <f t="shared" si="13"/>
        <v>B</v>
      </c>
      <c r="D894">
        <v>1</v>
      </c>
    </row>
    <row r="895" spans="1:4" x14ac:dyDescent="0.25">
      <c r="A895" s="5" t="s">
        <v>1423</v>
      </c>
      <c r="B895" s="5" t="s">
        <v>1219</v>
      </c>
      <c r="C895" t="str">
        <f t="shared" si="13"/>
        <v>C</v>
      </c>
      <c r="D895">
        <v>1</v>
      </c>
    </row>
    <row r="896" spans="1:4" x14ac:dyDescent="0.25">
      <c r="A896" s="5" t="s">
        <v>10</v>
      </c>
      <c r="B896" s="5" t="s">
        <v>1219</v>
      </c>
      <c r="C896" t="str">
        <f t="shared" si="13"/>
        <v>A</v>
      </c>
      <c r="D896">
        <v>1</v>
      </c>
    </row>
    <row r="897" spans="1:4" x14ac:dyDescent="0.25">
      <c r="A897" s="5" t="s">
        <v>10</v>
      </c>
      <c r="B897" s="5" t="s">
        <v>1219</v>
      </c>
      <c r="C897" t="str">
        <f t="shared" si="13"/>
        <v>A</v>
      </c>
      <c r="D897">
        <v>1</v>
      </c>
    </row>
    <row r="898" spans="1:4" x14ac:dyDescent="0.25">
      <c r="A898" s="5" t="s">
        <v>1415</v>
      </c>
      <c r="B898" s="5" t="s">
        <v>1219</v>
      </c>
      <c r="C898" t="str">
        <f t="shared" si="13"/>
        <v>A</v>
      </c>
      <c r="D898">
        <v>1</v>
      </c>
    </row>
    <row r="899" spans="1:4" x14ac:dyDescent="0.25">
      <c r="A899" s="5" t="s">
        <v>1418</v>
      </c>
      <c r="B899" s="5" t="s">
        <v>1219</v>
      </c>
      <c r="C899" t="str">
        <f t="shared" ref="C899:C962" si="14">LEFT(A899,1)</f>
        <v>A</v>
      </c>
      <c r="D899">
        <v>1</v>
      </c>
    </row>
    <row r="900" spans="1:4" x14ac:dyDescent="0.25">
      <c r="A900" s="5" t="s">
        <v>1013</v>
      </c>
      <c r="B900" s="5" t="s">
        <v>1219</v>
      </c>
      <c r="C900" t="str">
        <f t="shared" si="14"/>
        <v>B</v>
      </c>
      <c r="D900">
        <v>1</v>
      </c>
    </row>
    <row r="901" spans="1:4" x14ac:dyDescent="0.25">
      <c r="A901" s="5" t="s">
        <v>123</v>
      </c>
      <c r="B901" s="5" t="s">
        <v>1219</v>
      </c>
      <c r="C901" t="str">
        <f t="shared" si="14"/>
        <v>B</v>
      </c>
      <c r="D901">
        <v>1</v>
      </c>
    </row>
    <row r="902" spans="1:4" x14ac:dyDescent="0.25">
      <c r="A902" s="5" t="s">
        <v>1402</v>
      </c>
      <c r="B902" s="5" t="s">
        <v>1219</v>
      </c>
      <c r="C902" t="str">
        <f t="shared" si="14"/>
        <v>D</v>
      </c>
      <c r="D902">
        <v>1</v>
      </c>
    </row>
    <row r="903" spans="1:4" x14ac:dyDescent="0.25">
      <c r="A903" s="5" t="s">
        <v>10</v>
      </c>
      <c r="B903" s="5" t="s">
        <v>1227</v>
      </c>
      <c r="C903" t="str">
        <f t="shared" si="14"/>
        <v>A</v>
      </c>
      <c r="D903">
        <v>1</v>
      </c>
    </row>
    <row r="904" spans="1:4" x14ac:dyDescent="0.25">
      <c r="A904" s="5" t="s">
        <v>123</v>
      </c>
      <c r="B904" s="5" t="s">
        <v>1227</v>
      </c>
      <c r="C904" t="str">
        <f t="shared" si="14"/>
        <v>B</v>
      </c>
      <c r="D904">
        <v>1</v>
      </c>
    </row>
    <row r="905" spans="1:4" x14ac:dyDescent="0.25">
      <c r="A905" s="5" t="s">
        <v>1423</v>
      </c>
      <c r="B905" s="5" t="s">
        <v>1227</v>
      </c>
      <c r="C905" t="str">
        <f t="shared" si="14"/>
        <v>C</v>
      </c>
      <c r="D905">
        <v>1</v>
      </c>
    </row>
    <row r="906" spans="1:4" x14ac:dyDescent="0.25">
      <c r="A906" s="5" t="s">
        <v>10</v>
      </c>
      <c r="B906" s="5" t="s">
        <v>1227</v>
      </c>
      <c r="C906" t="str">
        <f t="shared" si="14"/>
        <v>A</v>
      </c>
      <c r="D906">
        <v>1</v>
      </c>
    </row>
    <row r="907" spans="1:4" x14ac:dyDescent="0.25">
      <c r="A907" s="5" t="s">
        <v>1415</v>
      </c>
      <c r="B907" s="5" t="s">
        <v>1227</v>
      </c>
      <c r="C907" t="str">
        <f t="shared" si="14"/>
        <v>A</v>
      </c>
      <c r="D907">
        <v>1</v>
      </c>
    </row>
    <row r="908" spans="1:4" x14ac:dyDescent="0.25">
      <c r="A908" s="5" t="s">
        <v>1418</v>
      </c>
      <c r="B908" s="5" t="s">
        <v>1227</v>
      </c>
      <c r="C908" t="str">
        <f t="shared" si="14"/>
        <v>A</v>
      </c>
      <c r="D908">
        <v>1</v>
      </c>
    </row>
    <row r="909" spans="1:4" x14ac:dyDescent="0.25">
      <c r="A909" s="5" t="s">
        <v>1013</v>
      </c>
      <c r="B909" s="5" t="s">
        <v>1227</v>
      </c>
      <c r="C909" t="str">
        <f t="shared" si="14"/>
        <v>B</v>
      </c>
      <c r="D909">
        <v>1</v>
      </c>
    </row>
    <row r="910" spans="1:4" x14ac:dyDescent="0.25">
      <c r="A910" s="5" t="s">
        <v>2269</v>
      </c>
      <c r="B910" s="5" t="s">
        <v>1227</v>
      </c>
      <c r="C910" t="str">
        <f t="shared" si="14"/>
        <v>A</v>
      </c>
      <c r="D910">
        <v>1</v>
      </c>
    </row>
    <row r="911" spans="1:4" x14ac:dyDescent="0.25">
      <c r="A911" s="5" t="s">
        <v>132</v>
      </c>
      <c r="B911" s="5" t="s">
        <v>1227</v>
      </c>
      <c r="C911" t="str">
        <f t="shared" si="14"/>
        <v>A</v>
      </c>
      <c r="D911">
        <v>1</v>
      </c>
    </row>
    <row r="912" spans="1:4" x14ac:dyDescent="0.25">
      <c r="A912" s="5" t="s">
        <v>1527</v>
      </c>
      <c r="B912" s="5" t="s">
        <v>1227</v>
      </c>
      <c r="C912" t="str">
        <f t="shared" si="14"/>
        <v>T</v>
      </c>
      <c r="D912">
        <v>1</v>
      </c>
    </row>
    <row r="913" spans="1:4" x14ac:dyDescent="0.25">
      <c r="A913" s="5" t="s">
        <v>1402</v>
      </c>
      <c r="B913" s="5" t="s">
        <v>1227</v>
      </c>
      <c r="C913" t="str">
        <f t="shared" si="14"/>
        <v>D</v>
      </c>
      <c r="D913">
        <v>1</v>
      </c>
    </row>
    <row r="914" spans="1:4" x14ac:dyDescent="0.25">
      <c r="A914" s="5" t="s">
        <v>132</v>
      </c>
      <c r="B914" s="5" t="s">
        <v>1233</v>
      </c>
      <c r="C914" t="str">
        <f t="shared" si="14"/>
        <v>A</v>
      </c>
      <c r="D914">
        <v>1</v>
      </c>
    </row>
    <row r="915" spans="1:4" x14ac:dyDescent="0.25">
      <c r="A915" s="5" t="s">
        <v>132</v>
      </c>
      <c r="B915" s="5" t="s">
        <v>1240</v>
      </c>
      <c r="C915" t="str">
        <f t="shared" si="14"/>
        <v>A</v>
      </c>
      <c r="D915">
        <v>1</v>
      </c>
    </row>
    <row r="916" spans="1:4" x14ac:dyDescent="0.25">
      <c r="A916" s="5" t="s">
        <v>1013</v>
      </c>
      <c r="B916" s="5" t="s">
        <v>1240</v>
      </c>
      <c r="C916" t="str">
        <f t="shared" si="14"/>
        <v>B</v>
      </c>
      <c r="D916">
        <v>1</v>
      </c>
    </row>
    <row r="917" spans="1:4" x14ac:dyDescent="0.25">
      <c r="A917" s="5" t="s">
        <v>10</v>
      </c>
      <c r="B917" s="5" t="s">
        <v>1240</v>
      </c>
      <c r="C917" t="str">
        <f t="shared" si="14"/>
        <v>A</v>
      </c>
      <c r="D917">
        <v>1</v>
      </c>
    </row>
    <row r="918" spans="1:4" x14ac:dyDescent="0.25">
      <c r="A918" s="5" t="s">
        <v>1428</v>
      </c>
      <c r="B918" s="5" t="s">
        <v>1240</v>
      </c>
      <c r="C918" t="str">
        <f t="shared" si="14"/>
        <v>B</v>
      </c>
      <c r="D918">
        <v>1</v>
      </c>
    </row>
    <row r="919" spans="1:4" x14ac:dyDescent="0.25">
      <c r="A919" s="5" t="s">
        <v>1423</v>
      </c>
      <c r="B919" s="5" t="s">
        <v>1240</v>
      </c>
      <c r="C919" t="str">
        <f t="shared" si="14"/>
        <v>C</v>
      </c>
      <c r="D919">
        <v>1</v>
      </c>
    </row>
    <row r="920" spans="1:4" x14ac:dyDescent="0.25">
      <c r="A920" s="5" t="s">
        <v>10</v>
      </c>
      <c r="B920" s="5" t="s">
        <v>1240</v>
      </c>
      <c r="C920" t="str">
        <f t="shared" si="14"/>
        <v>A</v>
      </c>
      <c r="D920">
        <v>1</v>
      </c>
    </row>
    <row r="921" spans="1:4" x14ac:dyDescent="0.25">
      <c r="A921" s="5" t="s">
        <v>1402</v>
      </c>
      <c r="B921" s="5" t="s">
        <v>1240</v>
      </c>
      <c r="C921" t="str">
        <f t="shared" si="14"/>
        <v>D</v>
      </c>
      <c r="D921">
        <v>1</v>
      </c>
    </row>
    <row r="922" spans="1:4" x14ac:dyDescent="0.25">
      <c r="A922" s="5" t="s">
        <v>2013</v>
      </c>
      <c r="B922" s="5" t="s">
        <v>1247</v>
      </c>
      <c r="C922" t="str">
        <f t="shared" si="14"/>
        <v>D</v>
      </c>
      <c r="D922">
        <v>1</v>
      </c>
    </row>
    <row r="923" spans="1:4" x14ac:dyDescent="0.25">
      <c r="A923" s="5" t="s">
        <v>10</v>
      </c>
      <c r="B923" s="5" t="s">
        <v>1247</v>
      </c>
      <c r="C923" t="str">
        <f t="shared" si="14"/>
        <v>A</v>
      </c>
      <c r="D923">
        <v>1</v>
      </c>
    </row>
    <row r="924" spans="1:4" x14ac:dyDescent="0.25">
      <c r="A924" s="5" t="s">
        <v>123</v>
      </c>
      <c r="B924" s="5" t="s">
        <v>1247</v>
      </c>
      <c r="C924" t="str">
        <f t="shared" si="14"/>
        <v>B</v>
      </c>
      <c r="D924">
        <v>1</v>
      </c>
    </row>
    <row r="925" spans="1:4" x14ac:dyDescent="0.25">
      <c r="A925" s="5" t="s">
        <v>10</v>
      </c>
      <c r="B925" s="5" t="s">
        <v>1247</v>
      </c>
      <c r="C925" t="str">
        <f t="shared" si="14"/>
        <v>A</v>
      </c>
      <c r="D925">
        <v>1</v>
      </c>
    </row>
    <row r="926" spans="1:4" x14ac:dyDescent="0.25">
      <c r="A926" s="5" t="s">
        <v>1428</v>
      </c>
      <c r="B926" s="5" t="s">
        <v>1247</v>
      </c>
      <c r="C926" t="str">
        <f t="shared" si="14"/>
        <v>B</v>
      </c>
      <c r="D926">
        <v>1</v>
      </c>
    </row>
    <row r="927" spans="1:4" x14ac:dyDescent="0.25">
      <c r="A927" s="5" t="s">
        <v>1423</v>
      </c>
      <c r="B927" s="5" t="s">
        <v>1247</v>
      </c>
      <c r="C927" t="str">
        <f t="shared" si="14"/>
        <v>C</v>
      </c>
      <c r="D927">
        <v>1</v>
      </c>
    </row>
    <row r="928" spans="1:4" x14ac:dyDescent="0.25">
      <c r="A928" s="5" t="s">
        <v>10</v>
      </c>
      <c r="B928" s="5" t="s">
        <v>1247</v>
      </c>
      <c r="C928" t="str">
        <f t="shared" si="14"/>
        <v>A</v>
      </c>
      <c r="D928">
        <v>1</v>
      </c>
    </row>
    <row r="929" spans="1:4" x14ac:dyDescent="0.25">
      <c r="A929" s="5" t="s">
        <v>1428</v>
      </c>
      <c r="B929" s="5" t="s">
        <v>1247</v>
      </c>
      <c r="C929" t="str">
        <f t="shared" si="14"/>
        <v>B</v>
      </c>
      <c r="D929">
        <v>1</v>
      </c>
    </row>
    <row r="930" spans="1:4" x14ac:dyDescent="0.25">
      <c r="A930" s="5" t="s">
        <v>10</v>
      </c>
      <c r="B930" s="5" t="s">
        <v>1247</v>
      </c>
      <c r="C930" t="str">
        <f t="shared" si="14"/>
        <v>A</v>
      </c>
      <c r="D930">
        <v>1</v>
      </c>
    </row>
    <row r="931" spans="1:4" x14ac:dyDescent="0.25">
      <c r="A931" s="5" t="s">
        <v>10</v>
      </c>
      <c r="B931" s="5" t="s">
        <v>1247</v>
      </c>
      <c r="C931" t="str">
        <f t="shared" si="14"/>
        <v>A</v>
      </c>
      <c r="D931">
        <v>1</v>
      </c>
    </row>
    <row r="932" spans="1:4" x14ac:dyDescent="0.25">
      <c r="A932" s="5" t="s">
        <v>1428</v>
      </c>
      <c r="B932" s="5" t="s">
        <v>1247</v>
      </c>
      <c r="C932" t="str">
        <f t="shared" si="14"/>
        <v>B</v>
      </c>
      <c r="D932">
        <v>1</v>
      </c>
    </row>
    <row r="933" spans="1:4" x14ac:dyDescent="0.25">
      <c r="A933" s="5" t="s">
        <v>10</v>
      </c>
      <c r="B933" s="5" t="s">
        <v>1247</v>
      </c>
      <c r="C933" t="str">
        <f t="shared" si="14"/>
        <v>A</v>
      </c>
      <c r="D933">
        <v>1</v>
      </c>
    </row>
    <row r="934" spans="1:4" x14ac:dyDescent="0.25">
      <c r="A934" s="5" t="s">
        <v>10</v>
      </c>
      <c r="B934" s="5" t="s">
        <v>1247</v>
      </c>
      <c r="C934" t="str">
        <f t="shared" si="14"/>
        <v>A</v>
      </c>
      <c r="D934">
        <v>1</v>
      </c>
    </row>
    <row r="935" spans="1:4" x14ac:dyDescent="0.25">
      <c r="A935" s="5" t="s">
        <v>132</v>
      </c>
      <c r="B935" s="5" t="s">
        <v>1247</v>
      </c>
      <c r="C935" t="str">
        <f t="shared" si="14"/>
        <v>A</v>
      </c>
      <c r="D935">
        <v>1</v>
      </c>
    </row>
    <row r="936" spans="1:4" x14ac:dyDescent="0.25">
      <c r="A936" s="5" t="s">
        <v>991</v>
      </c>
      <c r="B936" s="5" t="s">
        <v>1247</v>
      </c>
      <c r="C936" t="str">
        <f t="shared" si="14"/>
        <v>C</v>
      </c>
      <c r="D936">
        <v>1</v>
      </c>
    </row>
    <row r="937" spans="1:4" x14ac:dyDescent="0.25">
      <c r="A937" s="5" t="s">
        <v>1418</v>
      </c>
      <c r="B937" s="5" t="s">
        <v>1256</v>
      </c>
      <c r="C937" t="str">
        <f t="shared" si="14"/>
        <v>A</v>
      </c>
      <c r="D937">
        <v>1</v>
      </c>
    </row>
    <row r="938" spans="1:4" x14ac:dyDescent="0.25">
      <c r="A938" s="5" t="s">
        <v>132</v>
      </c>
      <c r="B938" s="5" t="s">
        <v>1256</v>
      </c>
      <c r="C938" t="str">
        <f t="shared" si="14"/>
        <v>A</v>
      </c>
      <c r="D938">
        <v>1</v>
      </c>
    </row>
    <row r="939" spans="1:4" x14ac:dyDescent="0.25">
      <c r="A939" s="5" t="s">
        <v>10</v>
      </c>
      <c r="B939" s="5" t="s">
        <v>1263</v>
      </c>
      <c r="C939" t="str">
        <f t="shared" si="14"/>
        <v>A</v>
      </c>
      <c r="D939">
        <v>1</v>
      </c>
    </row>
    <row r="940" spans="1:4" x14ac:dyDescent="0.25">
      <c r="A940" s="5" t="s">
        <v>10</v>
      </c>
      <c r="B940" s="5" t="s">
        <v>1263</v>
      </c>
      <c r="C940" t="str">
        <f t="shared" si="14"/>
        <v>A</v>
      </c>
      <c r="D940">
        <v>1</v>
      </c>
    </row>
    <row r="941" spans="1:4" x14ac:dyDescent="0.25">
      <c r="A941" s="5" t="s">
        <v>10</v>
      </c>
      <c r="B941" s="5" t="s">
        <v>1263</v>
      </c>
      <c r="C941" t="str">
        <f t="shared" si="14"/>
        <v>A</v>
      </c>
      <c r="D941">
        <v>1</v>
      </c>
    </row>
    <row r="942" spans="1:4" x14ac:dyDescent="0.25">
      <c r="A942" s="5" t="s">
        <v>1428</v>
      </c>
      <c r="B942" s="5" t="s">
        <v>1263</v>
      </c>
      <c r="C942" t="str">
        <f t="shared" si="14"/>
        <v>B</v>
      </c>
      <c r="D942">
        <v>1</v>
      </c>
    </row>
    <row r="943" spans="1:4" x14ac:dyDescent="0.25">
      <c r="A943" s="5" t="s">
        <v>10</v>
      </c>
      <c r="B943" s="5" t="s">
        <v>1263</v>
      </c>
      <c r="C943" t="str">
        <f t="shared" si="14"/>
        <v>A</v>
      </c>
      <c r="D943">
        <v>1</v>
      </c>
    </row>
    <row r="944" spans="1:4" x14ac:dyDescent="0.25">
      <c r="A944" s="5" t="s">
        <v>1428</v>
      </c>
      <c r="B944" s="5" t="s">
        <v>1263</v>
      </c>
      <c r="C944" t="str">
        <f t="shared" si="14"/>
        <v>B</v>
      </c>
      <c r="D944">
        <v>1</v>
      </c>
    </row>
    <row r="945" spans="1:4" x14ac:dyDescent="0.25">
      <c r="A945" s="5" t="s">
        <v>1423</v>
      </c>
      <c r="B945" s="5" t="s">
        <v>1263</v>
      </c>
      <c r="C945" t="str">
        <f t="shared" si="14"/>
        <v>C</v>
      </c>
      <c r="D945">
        <v>1</v>
      </c>
    </row>
    <row r="946" spans="1:4" x14ac:dyDescent="0.25">
      <c r="A946" s="5" t="s">
        <v>10</v>
      </c>
      <c r="B946" s="5" t="s">
        <v>1263</v>
      </c>
      <c r="C946" t="str">
        <f t="shared" si="14"/>
        <v>A</v>
      </c>
      <c r="D946">
        <v>1</v>
      </c>
    </row>
    <row r="947" spans="1:4" x14ac:dyDescent="0.25">
      <c r="A947" s="5" t="s">
        <v>10</v>
      </c>
      <c r="B947" s="5" t="s">
        <v>1263</v>
      </c>
      <c r="C947" t="str">
        <f t="shared" si="14"/>
        <v>A</v>
      </c>
      <c r="D947">
        <v>1</v>
      </c>
    </row>
    <row r="948" spans="1:4" x14ac:dyDescent="0.25">
      <c r="A948" s="5" t="s">
        <v>132</v>
      </c>
      <c r="B948" s="5" t="s">
        <v>1263</v>
      </c>
      <c r="C948" t="str">
        <f t="shared" si="14"/>
        <v>A</v>
      </c>
      <c r="D948">
        <v>1</v>
      </c>
    </row>
    <row r="949" spans="1:4" x14ac:dyDescent="0.25">
      <c r="A949" s="5" t="s">
        <v>1013</v>
      </c>
      <c r="B949" s="5" t="s">
        <v>1263</v>
      </c>
      <c r="C949" t="str">
        <f t="shared" si="14"/>
        <v>B</v>
      </c>
      <c r="D949">
        <v>1</v>
      </c>
    </row>
    <row r="950" spans="1:4" x14ac:dyDescent="0.25">
      <c r="A950" s="5" t="s">
        <v>1402</v>
      </c>
      <c r="B950" s="5" t="s">
        <v>1263</v>
      </c>
      <c r="C950" t="str">
        <f t="shared" si="14"/>
        <v>D</v>
      </c>
      <c r="D950">
        <v>1</v>
      </c>
    </row>
    <row r="951" spans="1:4" x14ac:dyDescent="0.25">
      <c r="A951" s="5" t="s">
        <v>132</v>
      </c>
      <c r="B951" s="5" t="s">
        <v>1271</v>
      </c>
      <c r="C951" t="str">
        <f t="shared" si="14"/>
        <v>A</v>
      </c>
      <c r="D951">
        <v>1</v>
      </c>
    </row>
    <row r="952" spans="1:4" x14ac:dyDescent="0.25">
      <c r="A952" s="5" t="s">
        <v>1415</v>
      </c>
      <c r="B952" s="5" t="s">
        <v>1271</v>
      </c>
      <c r="C952" t="str">
        <f t="shared" si="14"/>
        <v>A</v>
      </c>
      <c r="D952">
        <v>1</v>
      </c>
    </row>
    <row r="953" spans="1:4" x14ac:dyDescent="0.25">
      <c r="A953" s="5" t="s">
        <v>1418</v>
      </c>
      <c r="B953" s="5" t="s">
        <v>1271</v>
      </c>
      <c r="C953" t="str">
        <f t="shared" si="14"/>
        <v>A</v>
      </c>
      <c r="D953">
        <v>1</v>
      </c>
    </row>
    <row r="954" spans="1:4" x14ac:dyDescent="0.25">
      <c r="A954" s="5" t="s">
        <v>1013</v>
      </c>
      <c r="B954" s="5" t="s">
        <v>1271</v>
      </c>
      <c r="C954" t="str">
        <f t="shared" si="14"/>
        <v>B</v>
      </c>
      <c r="D954">
        <v>1</v>
      </c>
    </row>
    <row r="955" spans="1:4" x14ac:dyDescent="0.25">
      <c r="A955" s="5" t="s">
        <v>1402</v>
      </c>
      <c r="B955" s="5" t="s">
        <v>1271</v>
      </c>
      <c r="C955" t="str">
        <f t="shared" si="14"/>
        <v>D</v>
      </c>
      <c r="D955">
        <v>1</v>
      </c>
    </row>
    <row r="956" spans="1:4" x14ac:dyDescent="0.25">
      <c r="A956" s="5" t="s">
        <v>10</v>
      </c>
      <c r="B956" s="5" t="s">
        <v>1279</v>
      </c>
      <c r="C956" t="str">
        <f t="shared" si="14"/>
        <v>A</v>
      </c>
      <c r="D956">
        <v>1</v>
      </c>
    </row>
    <row r="957" spans="1:4" x14ac:dyDescent="0.25">
      <c r="A957" s="5" t="s">
        <v>10</v>
      </c>
      <c r="B957" s="5" t="s">
        <v>1279</v>
      </c>
      <c r="C957" t="str">
        <f t="shared" si="14"/>
        <v>A</v>
      </c>
      <c r="D957">
        <v>1</v>
      </c>
    </row>
    <row r="958" spans="1:4" x14ac:dyDescent="0.25">
      <c r="A958" s="5" t="s">
        <v>123</v>
      </c>
      <c r="B958" s="5" t="s">
        <v>1279</v>
      </c>
      <c r="C958" t="str">
        <f t="shared" si="14"/>
        <v>B</v>
      </c>
      <c r="D958">
        <v>1</v>
      </c>
    </row>
    <row r="959" spans="1:4" x14ac:dyDescent="0.25">
      <c r="A959" s="5" t="s">
        <v>1423</v>
      </c>
      <c r="B959" s="5" t="s">
        <v>1279</v>
      </c>
      <c r="C959" t="str">
        <f t="shared" si="14"/>
        <v>C</v>
      </c>
      <c r="D959">
        <v>1</v>
      </c>
    </row>
    <row r="960" spans="1:4" x14ac:dyDescent="0.25">
      <c r="A960" s="5" t="s">
        <v>10</v>
      </c>
      <c r="B960" s="5" t="s">
        <v>1279</v>
      </c>
      <c r="C960" t="str">
        <f t="shared" si="14"/>
        <v>A</v>
      </c>
      <c r="D960">
        <v>1</v>
      </c>
    </row>
    <row r="961" spans="1:4" x14ac:dyDescent="0.25">
      <c r="A961" s="5" t="s">
        <v>1428</v>
      </c>
      <c r="B961" s="5" t="s">
        <v>1279</v>
      </c>
      <c r="C961" t="str">
        <f t="shared" si="14"/>
        <v>B</v>
      </c>
      <c r="D961">
        <v>1</v>
      </c>
    </row>
    <row r="962" spans="1:4" x14ac:dyDescent="0.25">
      <c r="A962" s="5" t="s">
        <v>10</v>
      </c>
      <c r="B962" s="5" t="s">
        <v>1279</v>
      </c>
      <c r="C962" t="str">
        <f t="shared" si="14"/>
        <v>A</v>
      </c>
      <c r="D962">
        <v>1</v>
      </c>
    </row>
    <row r="963" spans="1:4" x14ac:dyDescent="0.25">
      <c r="A963" s="5" t="s">
        <v>1428</v>
      </c>
      <c r="B963" s="5" t="s">
        <v>1279</v>
      </c>
      <c r="C963" t="str">
        <f t="shared" ref="C963:C1026" si="15">LEFT(A963,1)</f>
        <v>B</v>
      </c>
      <c r="D963">
        <v>1</v>
      </c>
    </row>
    <row r="964" spans="1:4" x14ac:dyDescent="0.25">
      <c r="A964" s="5" t="s">
        <v>1423</v>
      </c>
      <c r="B964" s="5" t="s">
        <v>1279</v>
      </c>
      <c r="C964" t="str">
        <f t="shared" si="15"/>
        <v>C</v>
      </c>
      <c r="D964">
        <v>1</v>
      </c>
    </row>
    <row r="965" spans="1:4" x14ac:dyDescent="0.25">
      <c r="A965" s="5" t="s">
        <v>10</v>
      </c>
      <c r="B965" s="5" t="s">
        <v>1279</v>
      </c>
      <c r="C965" t="str">
        <f t="shared" si="15"/>
        <v>A</v>
      </c>
      <c r="D965">
        <v>1</v>
      </c>
    </row>
    <row r="966" spans="1:4" x14ac:dyDescent="0.25">
      <c r="A966" s="5" t="s">
        <v>10</v>
      </c>
      <c r="B966" s="5" t="s">
        <v>1279</v>
      </c>
      <c r="C966" t="str">
        <f t="shared" si="15"/>
        <v>A</v>
      </c>
      <c r="D966">
        <v>1</v>
      </c>
    </row>
    <row r="967" spans="1:4" x14ac:dyDescent="0.25">
      <c r="A967" s="5" t="s">
        <v>1415</v>
      </c>
      <c r="B967" s="5" t="s">
        <v>1279</v>
      </c>
      <c r="C967" t="str">
        <f t="shared" si="15"/>
        <v>A</v>
      </c>
      <c r="D967">
        <v>1</v>
      </c>
    </row>
    <row r="968" spans="1:4" x14ac:dyDescent="0.25">
      <c r="A968" s="5" t="s">
        <v>1418</v>
      </c>
      <c r="B968" s="5" t="s">
        <v>1279</v>
      </c>
      <c r="C968" t="str">
        <f t="shared" si="15"/>
        <v>A</v>
      </c>
      <c r="D968">
        <v>1</v>
      </c>
    </row>
    <row r="969" spans="1:4" x14ac:dyDescent="0.25">
      <c r="A969" s="5" t="s">
        <v>1013</v>
      </c>
      <c r="B969" s="5" t="s">
        <v>1279</v>
      </c>
      <c r="C969" t="str">
        <f t="shared" si="15"/>
        <v>B</v>
      </c>
      <c r="D969">
        <v>1</v>
      </c>
    </row>
    <row r="970" spans="1:4" x14ac:dyDescent="0.25">
      <c r="A970" s="5" t="s">
        <v>123</v>
      </c>
      <c r="B970" s="5" t="s">
        <v>1279</v>
      </c>
      <c r="C970" t="str">
        <f t="shared" si="15"/>
        <v>B</v>
      </c>
      <c r="D970">
        <v>1</v>
      </c>
    </row>
    <row r="971" spans="1:4" x14ac:dyDescent="0.25">
      <c r="A971" s="5" t="s">
        <v>123</v>
      </c>
      <c r="B971" s="5" t="s">
        <v>1279</v>
      </c>
      <c r="C971" t="str">
        <f t="shared" si="15"/>
        <v>B</v>
      </c>
      <c r="D971">
        <v>1</v>
      </c>
    </row>
    <row r="972" spans="1:4" x14ac:dyDescent="0.25">
      <c r="A972" s="5" t="s">
        <v>1402</v>
      </c>
      <c r="B972" s="5" t="s">
        <v>1279</v>
      </c>
      <c r="C972" t="str">
        <f t="shared" si="15"/>
        <v>D</v>
      </c>
      <c r="D972">
        <v>1</v>
      </c>
    </row>
    <row r="973" spans="1:4" x14ac:dyDescent="0.25">
      <c r="A973" s="5" t="s">
        <v>10</v>
      </c>
      <c r="B973" s="5" t="s">
        <v>1286</v>
      </c>
      <c r="C973" t="str">
        <f t="shared" si="15"/>
        <v>A</v>
      </c>
      <c r="D973">
        <v>1</v>
      </c>
    </row>
    <row r="974" spans="1:4" x14ac:dyDescent="0.25">
      <c r="A974" s="5" t="s">
        <v>10</v>
      </c>
      <c r="B974" s="5" t="s">
        <v>1286</v>
      </c>
      <c r="C974" t="str">
        <f t="shared" si="15"/>
        <v>A</v>
      </c>
      <c r="D974">
        <v>1</v>
      </c>
    </row>
    <row r="975" spans="1:4" x14ac:dyDescent="0.25">
      <c r="A975" s="5" t="s">
        <v>10</v>
      </c>
      <c r="B975" s="5" t="s">
        <v>1286</v>
      </c>
      <c r="C975" t="str">
        <f t="shared" si="15"/>
        <v>A</v>
      </c>
      <c r="D975">
        <v>1</v>
      </c>
    </row>
    <row r="976" spans="1:4" x14ac:dyDescent="0.25">
      <c r="A976" s="5" t="s">
        <v>132</v>
      </c>
      <c r="B976" s="5" t="s">
        <v>1286</v>
      </c>
      <c r="C976" t="str">
        <f t="shared" si="15"/>
        <v>A</v>
      </c>
      <c r="D976">
        <v>1</v>
      </c>
    </row>
    <row r="977" spans="1:4" x14ac:dyDescent="0.25">
      <c r="A977" s="5" t="s">
        <v>10</v>
      </c>
      <c r="B977" s="5" t="s">
        <v>1294</v>
      </c>
      <c r="C977" t="str">
        <f t="shared" si="15"/>
        <v>A</v>
      </c>
      <c r="D977">
        <v>1</v>
      </c>
    </row>
    <row r="978" spans="1:4" x14ac:dyDescent="0.25">
      <c r="A978" s="5" t="s">
        <v>1428</v>
      </c>
      <c r="B978" s="5" t="s">
        <v>1294</v>
      </c>
      <c r="C978" t="str">
        <f t="shared" si="15"/>
        <v>B</v>
      </c>
      <c r="D978">
        <v>1</v>
      </c>
    </row>
    <row r="979" spans="1:4" x14ac:dyDescent="0.25">
      <c r="A979" s="5" t="s">
        <v>10</v>
      </c>
      <c r="B979" s="5" t="s">
        <v>1294</v>
      </c>
      <c r="C979" t="str">
        <f t="shared" si="15"/>
        <v>A</v>
      </c>
      <c r="D979">
        <v>1</v>
      </c>
    </row>
    <row r="980" spans="1:4" x14ac:dyDescent="0.25">
      <c r="A980" s="5" t="s">
        <v>123</v>
      </c>
      <c r="B980" s="5" t="s">
        <v>1294</v>
      </c>
      <c r="C980" t="str">
        <f t="shared" si="15"/>
        <v>B</v>
      </c>
      <c r="D980">
        <v>1</v>
      </c>
    </row>
    <row r="981" spans="1:4" x14ac:dyDescent="0.25">
      <c r="A981" s="5" t="s">
        <v>10</v>
      </c>
      <c r="B981" s="5" t="s">
        <v>1294</v>
      </c>
      <c r="C981" t="str">
        <f t="shared" si="15"/>
        <v>A</v>
      </c>
      <c r="D981">
        <v>1</v>
      </c>
    </row>
    <row r="982" spans="1:4" x14ac:dyDescent="0.25">
      <c r="A982" s="5" t="s">
        <v>10</v>
      </c>
      <c r="B982" s="5" t="s">
        <v>1294</v>
      </c>
      <c r="C982" t="str">
        <f t="shared" si="15"/>
        <v>A</v>
      </c>
      <c r="D982">
        <v>1</v>
      </c>
    </row>
    <row r="983" spans="1:4" x14ac:dyDescent="0.25">
      <c r="A983" s="5" t="s">
        <v>10</v>
      </c>
      <c r="B983" s="5" t="s">
        <v>1294</v>
      </c>
      <c r="C983" t="str">
        <f t="shared" si="15"/>
        <v>A</v>
      </c>
      <c r="D983">
        <v>1</v>
      </c>
    </row>
    <row r="984" spans="1:4" x14ac:dyDescent="0.25">
      <c r="A984" s="5" t="s">
        <v>10</v>
      </c>
      <c r="B984" s="5" t="s">
        <v>1294</v>
      </c>
      <c r="C984" t="str">
        <f t="shared" si="15"/>
        <v>A</v>
      </c>
      <c r="D984">
        <v>1</v>
      </c>
    </row>
    <row r="985" spans="1:4" x14ac:dyDescent="0.25">
      <c r="A985" s="5" t="s">
        <v>10</v>
      </c>
      <c r="B985" s="5" t="s">
        <v>1294</v>
      </c>
      <c r="C985" t="str">
        <f t="shared" si="15"/>
        <v>A</v>
      </c>
      <c r="D985">
        <v>1</v>
      </c>
    </row>
    <row r="986" spans="1:4" x14ac:dyDescent="0.25">
      <c r="A986" s="5" t="s">
        <v>10</v>
      </c>
      <c r="B986" s="5" t="s">
        <v>1302</v>
      </c>
      <c r="C986" t="str">
        <f t="shared" si="15"/>
        <v>A</v>
      </c>
      <c r="D986">
        <v>1</v>
      </c>
    </row>
    <row r="987" spans="1:4" x14ac:dyDescent="0.25">
      <c r="A987" s="5" t="s">
        <v>1428</v>
      </c>
      <c r="B987" s="5" t="s">
        <v>1302</v>
      </c>
      <c r="C987" t="str">
        <f t="shared" si="15"/>
        <v>B</v>
      </c>
      <c r="D987">
        <v>1</v>
      </c>
    </row>
    <row r="988" spans="1:4" x14ac:dyDescent="0.25">
      <c r="A988" s="5" t="s">
        <v>10</v>
      </c>
      <c r="B988" s="5" t="s">
        <v>1307</v>
      </c>
      <c r="C988" t="str">
        <f t="shared" si="15"/>
        <v>A</v>
      </c>
      <c r="D988">
        <v>1</v>
      </c>
    </row>
    <row r="989" spans="1:4" x14ac:dyDescent="0.25">
      <c r="A989" s="5" t="s">
        <v>1428</v>
      </c>
      <c r="B989" s="5" t="s">
        <v>1307</v>
      </c>
      <c r="C989" t="str">
        <f t="shared" si="15"/>
        <v>B</v>
      </c>
      <c r="D989">
        <v>1</v>
      </c>
    </row>
    <row r="990" spans="1:4" x14ac:dyDescent="0.25">
      <c r="A990" s="5" t="s">
        <v>10</v>
      </c>
      <c r="B990" s="5" t="s">
        <v>1310</v>
      </c>
      <c r="C990" t="str">
        <f t="shared" si="15"/>
        <v>A</v>
      </c>
      <c r="D990">
        <v>1</v>
      </c>
    </row>
    <row r="991" spans="1:4" x14ac:dyDescent="0.25">
      <c r="A991" s="5" t="s">
        <v>10</v>
      </c>
      <c r="B991" s="5" t="s">
        <v>1316</v>
      </c>
      <c r="C991" t="str">
        <f t="shared" si="15"/>
        <v>A</v>
      </c>
      <c r="D991">
        <v>1</v>
      </c>
    </row>
    <row r="992" spans="1:4" x14ac:dyDescent="0.25">
      <c r="A992" s="5" t="s">
        <v>10</v>
      </c>
      <c r="B992" s="5" t="s">
        <v>1322</v>
      </c>
      <c r="C992" t="str">
        <f t="shared" si="15"/>
        <v>A</v>
      </c>
      <c r="D992">
        <v>1</v>
      </c>
    </row>
    <row r="993" spans="1:4" x14ac:dyDescent="0.25">
      <c r="A993" s="5" t="s">
        <v>1428</v>
      </c>
      <c r="B993" s="5" t="s">
        <v>1322</v>
      </c>
      <c r="C993" t="str">
        <f t="shared" si="15"/>
        <v>B</v>
      </c>
      <c r="D993">
        <v>1</v>
      </c>
    </row>
    <row r="994" spans="1:4" x14ac:dyDescent="0.25">
      <c r="A994" s="5" t="s">
        <v>10</v>
      </c>
      <c r="B994" s="5" t="s">
        <v>1322</v>
      </c>
      <c r="C994" t="str">
        <f t="shared" si="15"/>
        <v>A</v>
      </c>
      <c r="D994">
        <v>1</v>
      </c>
    </row>
    <row r="995" spans="1:4" x14ac:dyDescent="0.25">
      <c r="A995" s="5" t="s">
        <v>10</v>
      </c>
      <c r="B995" s="5" t="s">
        <v>1322</v>
      </c>
      <c r="C995" t="str">
        <f t="shared" si="15"/>
        <v>A</v>
      </c>
      <c r="D995">
        <v>1</v>
      </c>
    </row>
    <row r="996" spans="1:4" x14ac:dyDescent="0.25">
      <c r="A996" s="5" t="s">
        <v>10</v>
      </c>
      <c r="B996" s="5" t="s">
        <v>1322</v>
      </c>
      <c r="C996" t="str">
        <f t="shared" si="15"/>
        <v>A</v>
      </c>
      <c r="D996">
        <v>1</v>
      </c>
    </row>
    <row r="997" spans="1:4" x14ac:dyDescent="0.25">
      <c r="A997" s="5" t="s">
        <v>132</v>
      </c>
      <c r="B997" s="5" t="s">
        <v>1322</v>
      </c>
      <c r="C997" t="str">
        <f t="shared" si="15"/>
        <v>A</v>
      </c>
      <c r="D997">
        <v>1</v>
      </c>
    </row>
    <row r="998" spans="1:4" x14ac:dyDescent="0.25">
      <c r="A998" s="5" t="s">
        <v>1013</v>
      </c>
      <c r="B998" s="5" t="s">
        <v>1322</v>
      </c>
      <c r="C998" t="str">
        <f t="shared" si="15"/>
        <v>B</v>
      </c>
      <c r="D998">
        <v>1</v>
      </c>
    </row>
    <row r="999" spans="1:4" x14ac:dyDescent="0.25">
      <c r="A999" s="5" t="s">
        <v>1402</v>
      </c>
      <c r="B999" s="5" t="s">
        <v>1322</v>
      </c>
      <c r="C999" t="str">
        <f t="shared" si="15"/>
        <v>D</v>
      </c>
      <c r="D999">
        <v>1</v>
      </c>
    </row>
    <row r="1000" spans="1:4" x14ac:dyDescent="0.25">
      <c r="A1000" s="5" t="s">
        <v>10</v>
      </c>
      <c r="B1000" s="5" t="s">
        <v>1330</v>
      </c>
      <c r="C1000" t="str">
        <f t="shared" si="15"/>
        <v>A</v>
      </c>
      <c r="D1000">
        <v>1</v>
      </c>
    </row>
    <row r="1001" spans="1:4" x14ac:dyDescent="0.25">
      <c r="A1001" s="5" t="s">
        <v>1428</v>
      </c>
      <c r="B1001" s="5" t="s">
        <v>1330</v>
      </c>
      <c r="C1001" t="str">
        <f t="shared" si="15"/>
        <v>B</v>
      </c>
      <c r="D1001">
        <v>1</v>
      </c>
    </row>
    <row r="1002" spans="1:4" x14ac:dyDescent="0.25">
      <c r="A1002" s="5" t="s">
        <v>10</v>
      </c>
      <c r="B1002" s="5" t="s">
        <v>1330</v>
      </c>
      <c r="C1002" t="str">
        <f t="shared" si="15"/>
        <v>A</v>
      </c>
      <c r="D1002">
        <v>1</v>
      </c>
    </row>
    <row r="1003" spans="1:4" x14ac:dyDescent="0.25">
      <c r="A1003" s="5" t="s">
        <v>10</v>
      </c>
      <c r="B1003" s="5" t="s">
        <v>1330</v>
      </c>
      <c r="C1003" t="str">
        <f t="shared" si="15"/>
        <v>A</v>
      </c>
      <c r="D1003">
        <v>1</v>
      </c>
    </row>
    <row r="1004" spans="1:4" x14ac:dyDescent="0.25">
      <c r="A1004" s="5" t="s">
        <v>1428</v>
      </c>
      <c r="B1004" s="5" t="s">
        <v>1330</v>
      </c>
      <c r="C1004" t="str">
        <f t="shared" si="15"/>
        <v>B</v>
      </c>
      <c r="D1004">
        <v>1</v>
      </c>
    </row>
    <row r="1005" spans="1:4" x14ac:dyDescent="0.25">
      <c r="A1005" s="5" t="s">
        <v>10</v>
      </c>
      <c r="B1005" s="5" t="s">
        <v>1330</v>
      </c>
      <c r="C1005" t="str">
        <f t="shared" si="15"/>
        <v>A</v>
      </c>
      <c r="D1005">
        <v>1</v>
      </c>
    </row>
    <row r="1006" spans="1:4" x14ac:dyDescent="0.25">
      <c r="A1006" s="5" t="s">
        <v>10</v>
      </c>
      <c r="B1006" s="5" t="s">
        <v>1330</v>
      </c>
      <c r="C1006" t="str">
        <f t="shared" si="15"/>
        <v>A</v>
      </c>
      <c r="D1006">
        <v>1</v>
      </c>
    </row>
    <row r="1007" spans="1:4" x14ac:dyDescent="0.25">
      <c r="A1007" s="5" t="s">
        <v>10</v>
      </c>
      <c r="B1007" s="5" t="s">
        <v>1330</v>
      </c>
      <c r="C1007" t="str">
        <f t="shared" si="15"/>
        <v>A</v>
      </c>
      <c r="D1007">
        <v>1</v>
      </c>
    </row>
    <row r="1008" spans="1:4" x14ac:dyDescent="0.25">
      <c r="A1008" s="5" t="s">
        <v>132</v>
      </c>
      <c r="B1008" s="5" t="s">
        <v>1330</v>
      </c>
      <c r="C1008" t="str">
        <f t="shared" si="15"/>
        <v>A</v>
      </c>
      <c r="D1008">
        <v>1</v>
      </c>
    </row>
    <row r="1009" spans="1:4" x14ac:dyDescent="0.25">
      <c r="A1009" s="5" t="s">
        <v>1013</v>
      </c>
      <c r="B1009" s="5" t="s">
        <v>1330</v>
      </c>
      <c r="C1009" t="str">
        <f t="shared" si="15"/>
        <v>B</v>
      </c>
      <c r="D1009">
        <v>1</v>
      </c>
    </row>
    <row r="1010" spans="1:4" x14ac:dyDescent="0.25">
      <c r="A1010" s="5" t="s">
        <v>123</v>
      </c>
      <c r="B1010" s="5" t="s">
        <v>1330</v>
      </c>
      <c r="C1010" t="str">
        <f t="shared" si="15"/>
        <v>B</v>
      </c>
      <c r="D1010">
        <v>1</v>
      </c>
    </row>
    <row r="1011" spans="1:4" x14ac:dyDescent="0.25">
      <c r="A1011" s="5" t="s">
        <v>1402</v>
      </c>
      <c r="B1011" s="5" t="s">
        <v>1330</v>
      </c>
      <c r="C1011" t="str">
        <f t="shared" si="15"/>
        <v>D</v>
      </c>
      <c r="D1011">
        <v>1</v>
      </c>
    </row>
    <row r="1012" spans="1:4" x14ac:dyDescent="0.25">
      <c r="A1012" s="5" t="s">
        <v>132</v>
      </c>
      <c r="B1012" s="5" t="s">
        <v>1337</v>
      </c>
      <c r="C1012" t="str">
        <f t="shared" si="15"/>
        <v>A</v>
      </c>
      <c r="D1012">
        <v>1</v>
      </c>
    </row>
    <row r="1013" spans="1:4" x14ac:dyDescent="0.25">
      <c r="A1013" s="5" t="s">
        <v>132</v>
      </c>
      <c r="B1013" s="5" t="s">
        <v>1337</v>
      </c>
      <c r="C1013" t="str">
        <f t="shared" si="15"/>
        <v>A</v>
      </c>
      <c r="D1013">
        <v>1</v>
      </c>
    </row>
    <row r="1014" spans="1:4" x14ac:dyDescent="0.25">
      <c r="A1014" s="5" t="s">
        <v>10</v>
      </c>
      <c r="B1014" s="5" t="s">
        <v>1337</v>
      </c>
      <c r="C1014" t="str">
        <f t="shared" si="15"/>
        <v>A</v>
      </c>
      <c r="D1014">
        <v>1</v>
      </c>
    </row>
    <row r="1015" spans="1:4" x14ac:dyDescent="0.25">
      <c r="A1015" s="5" t="s">
        <v>132</v>
      </c>
      <c r="B1015" s="5" t="s">
        <v>1344</v>
      </c>
      <c r="C1015" t="str">
        <f t="shared" si="15"/>
        <v>A</v>
      </c>
      <c r="D1015">
        <v>1</v>
      </c>
    </row>
    <row r="1016" spans="1:4" x14ac:dyDescent="0.25">
      <c r="A1016" s="5" t="s">
        <v>132</v>
      </c>
      <c r="B1016" s="5" t="s">
        <v>1344</v>
      </c>
      <c r="C1016" t="str">
        <f t="shared" si="15"/>
        <v>A</v>
      </c>
      <c r="D1016">
        <v>1</v>
      </c>
    </row>
    <row r="1017" spans="1:4" x14ac:dyDescent="0.25">
      <c r="A1017" s="5" t="s">
        <v>10</v>
      </c>
      <c r="B1017" s="5" t="s">
        <v>1344</v>
      </c>
      <c r="C1017" t="str">
        <f t="shared" si="15"/>
        <v>A</v>
      </c>
      <c r="D1017">
        <v>1</v>
      </c>
    </row>
    <row r="1018" spans="1:4" x14ac:dyDescent="0.25">
      <c r="A1018" s="5" t="s">
        <v>10</v>
      </c>
      <c r="B1018" s="5" t="s">
        <v>1349</v>
      </c>
      <c r="C1018" t="str">
        <f t="shared" si="15"/>
        <v>A</v>
      </c>
      <c r="D1018">
        <v>1</v>
      </c>
    </row>
    <row r="1019" spans="1:4" x14ac:dyDescent="0.25">
      <c r="A1019" s="5" t="s">
        <v>10</v>
      </c>
      <c r="B1019" s="5" t="s">
        <v>1349</v>
      </c>
      <c r="C1019" t="str">
        <f t="shared" si="15"/>
        <v>A</v>
      </c>
      <c r="D1019">
        <v>1</v>
      </c>
    </row>
    <row r="1020" spans="1:4" x14ac:dyDescent="0.25">
      <c r="A1020" s="5" t="s">
        <v>10</v>
      </c>
      <c r="B1020" s="5" t="s">
        <v>1349</v>
      </c>
      <c r="C1020" t="str">
        <f t="shared" si="15"/>
        <v>A</v>
      </c>
      <c r="D1020">
        <v>1</v>
      </c>
    </row>
    <row r="1021" spans="1:4" x14ac:dyDescent="0.25">
      <c r="A1021" s="5" t="s">
        <v>10</v>
      </c>
      <c r="B1021" s="5" t="s">
        <v>1358</v>
      </c>
      <c r="C1021" t="str">
        <f t="shared" si="15"/>
        <v>A</v>
      </c>
      <c r="D1021">
        <v>1</v>
      </c>
    </row>
    <row r="1022" spans="1:4" x14ac:dyDescent="0.25">
      <c r="A1022" s="5" t="s">
        <v>10</v>
      </c>
      <c r="B1022" s="5" t="s">
        <v>1358</v>
      </c>
      <c r="C1022" t="str">
        <f t="shared" si="15"/>
        <v>A</v>
      </c>
      <c r="D1022">
        <v>1</v>
      </c>
    </row>
    <row r="1023" spans="1:4" x14ac:dyDescent="0.25">
      <c r="A1023" s="5" t="s">
        <v>123</v>
      </c>
      <c r="B1023" s="5" t="s">
        <v>1358</v>
      </c>
      <c r="C1023" t="str">
        <f t="shared" si="15"/>
        <v>B</v>
      </c>
      <c r="D1023">
        <v>1</v>
      </c>
    </row>
    <row r="1024" spans="1:4" x14ac:dyDescent="0.25">
      <c r="A1024" s="5" t="s">
        <v>10</v>
      </c>
      <c r="B1024" s="5" t="s">
        <v>1358</v>
      </c>
      <c r="C1024" t="str">
        <f t="shared" si="15"/>
        <v>A</v>
      </c>
      <c r="D1024">
        <v>1</v>
      </c>
    </row>
    <row r="1025" spans="1:4" x14ac:dyDescent="0.25">
      <c r="A1025" s="5" t="s">
        <v>123</v>
      </c>
      <c r="B1025" s="5" t="s">
        <v>1358</v>
      </c>
      <c r="C1025" t="str">
        <f t="shared" si="15"/>
        <v>B</v>
      </c>
      <c r="D1025">
        <v>1</v>
      </c>
    </row>
    <row r="1026" spans="1:4" x14ac:dyDescent="0.25">
      <c r="A1026" s="5" t="s">
        <v>1423</v>
      </c>
      <c r="B1026" s="5" t="s">
        <v>1358</v>
      </c>
      <c r="C1026" t="str">
        <f t="shared" si="15"/>
        <v>C</v>
      </c>
      <c r="D1026">
        <v>1</v>
      </c>
    </row>
    <row r="1027" spans="1:4" x14ac:dyDescent="0.25">
      <c r="A1027" s="5" t="s">
        <v>10</v>
      </c>
      <c r="B1027" s="5" t="s">
        <v>1358</v>
      </c>
      <c r="C1027" t="str">
        <f t="shared" ref="C1027:C1090" si="16">LEFT(A1027,1)</f>
        <v>A</v>
      </c>
      <c r="D1027">
        <v>1</v>
      </c>
    </row>
    <row r="1028" spans="1:4" x14ac:dyDescent="0.25">
      <c r="A1028" s="5" t="s">
        <v>10</v>
      </c>
      <c r="B1028" s="5" t="s">
        <v>1358</v>
      </c>
      <c r="C1028" t="str">
        <f t="shared" si="16"/>
        <v>A</v>
      </c>
      <c r="D1028">
        <v>1</v>
      </c>
    </row>
    <row r="1029" spans="1:4" x14ac:dyDescent="0.25">
      <c r="A1029" s="5" t="s">
        <v>123</v>
      </c>
      <c r="B1029" s="5" t="s">
        <v>1358</v>
      </c>
      <c r="C1029" t="str">
        <f t="shared" si="16"/>
        <v>B</v>
      </c>
      <c r="D1029">
        <v>1</v>
      </c>
    </row>
    <row r="1030" spans="1:4" x14ac:dyDescent="0.25">
      <c r="A1030" s="5" t="s">
        <v>1423</v>
      </c>
      <c r="B1030" s="5" t="s">
        <v>1358</v>
      </c>
      <c r="C1030" t="str">
        <f t="shared" si="16"/>
        <v>C</v>
      </c>
      <c r="D1030">
        <v>1</v>
      </c>
    </row>
    <row r="1031" spans="1:4" x14ac:dyDescent="0.25">
      <c r="A1031" s="5" t="s">
        <v>10</v>
      </c>
      <c r="B1031" s="5" t="s">
        <v>1358</v>
      </c>
      <c r="C1031" t="str">
        <f t="shared" si="16"/>
        <v>A</v>
      </c>
      <c r="D1031">
        <v>1</v>
      </c>
    </row>
    <row r="1032" spans="1:4" x14ac:dyDescent="0.25">
      <c r="A1032" s="5" t="s">
        <v>10</v>
      </c>
      <c r="B1032" s="5" t="s">
        <v>1358</v>
      </c>
      <c r="C1032" t="str">
        <f t="shared" si="16"/>
        <v>A</v>
      </c>
      <c r="D1032">
        <v>1</v>
      </c>
    </row>
    <row r="1033" spans="1:4" x14ac:dyDescent="0.25">
      <c r="A1033" s="5" t="s">
        <v>123</v>
      </c>
      <c r="B1033" s="5" t="s">
        <v>1358</v>
      </c>
      <c r="C1033" t="str">
        <f t="shared" si="16"/>
        <v>B</v>
      </c>
      <c r="D1033">
        <v>1</v>
      </c>
    </row>
    <row r="1034" spans="1:4" x14ac:dyDescent="0.25">
      <c r="A1034" s="5" t="s">
        <v>10</v>
      </c>
      <c r="B1034" s="5" t="s">
        <v>1358</v>
      </c>
      <c r="C1034" t="str">
        <f t="shared" si="16"/>
        <v>A</v>
      </c>
      <c r="D1034">
        <v>1</v>
      </c>
    </row>
    <row r="1035" spans="1:4" x14ac:dyDescent="0.25">
      <c r="A1035" s="5" t="s">
        <v>1428</v>
      </c>
      <c r="B1035" s="5" t="s">
        <v>1358</v>
      </c>
      <c r="C1035" t="str">
        <f t="shared" si="16"/>
        <v>B</v>
      </c>
      <c r="D1035">
        <v>1</v>
      </c>
    </row>
    <row r="1036" spans="1:4" x14ac:dyDescent="0.25">
      <c r="A1036" s="5" t="s">
        <v>10</v>
      </c>
      <c r="B1036" s="5" t="s">
        <v>1358</v>
      </c>
      <c r="C1036" t="str">
        <f t="shared" si="16"/>
        <v>A</v>
      </c>
      <c r="D1036">
        <v>1</v>
      </c>
    </row>
    <row r="1037" spans="1:4" x14ac:dyDescent="0.25">
      <c r="A1037" s="5" t="s">
        <v>10</v>
      </c>
      <c r="B1037" s="5" t="s">
        <v>1358</v>
      </c>
      <c r="C1037" t="str">
        <f t="shared" si="16"/>
        <v>A</v>
      </c>
      <c r="D1037">
        <v>1</v>
      </c>
    </row>
    <row r="1038" spans="1:4" x14ac:dyDescent="0.25">
      <c r="A1038" s="5" t="s">
        <v>10</v>
      </c>
      <c r="B1038" s="5" t="s">
        <v>1358</v>
      </c>
      <c r="C1038" t="str">
        <f t="shared" si="16"/>
        <v>A</v>
      </c>
      <c r="D1038">
        <v>1</v>
      </c>
    </row>
    <row r="1039" spans="1:4" x14ac:dyDescent="0.25">
      <c r="A1039" s="5" t="s">
        <v>10</v>
      </c>
      <c r="B1039" s="5" t="s">
        <v>1358</v>
      </c>
      <c r="C1039" t="str">
        <f t="shared" si="16"/>
        <v>A</v>
      </c>
      <c r="D1039">
        <v>1</v>
      </c>
    </row>
    <row r="1040" spans="1:4" x14ac:dyDescent="0.25">
      <c r="A1040" s="5" t="s">
        <v>10</v>
      </c>
      <c r="B1040" s="5" t="s">
        <v>1358</v>
      </c>
      <c r="C1040" t="str">
        <f t="shared" si="16"/>
        <v>A</v>
      </c>
      <c r="D1040">
        <v>1</v>
      </c>
    </row>
    <row r="1041" spans="1:4" x14ac:dyDescent="0.25">
      <c r="A1041" s="5" t="s">
        <v>123</v>
      </c>
      <c r="B1041" s="5" t="s">
        <v>1358</v>
      </c>
      <c r="C1041" t="str">
        <f t="shared" si="16"/>
        <v>B</v>
      </c>
      <c r="D1041">
        <v>1</v>
      </c>
    </row>
    <row r="1042" spans="1:4" x14ac:dyDescent="0.25">
      <c r="A1042" s="5" t="s">
        <v>10</v>
      </c>
      <c r="B1042" s="5" t="s">
        <v>1358</v>
      </c>
      <c r="C1042" t="str">
        <f t="shared" si="16"/>
        <v>A</v>
      </c>
      <c r="D1042">
        <v>1</v>
      </c>
    </row>
    <row r="1043" spans="1:4" x14ac:dyDescent="0.25">
      <c r="A1043" s="5" t="s">
        <v>123</v>
      </c>
      <c r="B1043" s="5" t="s">
        <v>1358</v>
      </c>
      <c r="C1043" t="str">
        <f t="shared" si="16"/>
        <v>B</v>
      </c>
      <c r="D1043">
        <v>1</v>
      </c>
    </row>
    <row r="1044" spans="1:4" x14ac:dyDescent="0.25">
      <c r="A1044" s="5" t="s">
        <v>10</v>
      </c>
      <c r="B1044" s="5" t="s">
        <v>1358</v>
      </c>
      <c r="C1044" t="str">
        <f t="shared" si="16"/>
        <v>A</v>
      </c>
      <c r="D1044">
        <v>1</v>
      </c>
    </row>
    <row r="1045" spans="1:4" x14ac:dyDescent="0.25">
      <c r="A1045" s="5" t="s">
        <v>132</v>
      </c>
      <c r="B1045" s="5" t="s">
        <v>1358</v>
      </c>
      <c r="C1045" t="str">
        <f t="shared" si="16"/>
        <v>A</v>
      </c>
      <c r="D1045">
        <v>1</v>
      </c>
    </row>
    <row r="1046" spans="1:4" x14ac:dyDescent="0.25">
      <c r="A1046" s="5" t="s">
        <v>132</v>
      </c>
      <c r="B1046" s="5" t="s">
        <v>1358</v>
      </c>
      <c r="C1046" t="str">
        <f t="shared" si="16"/>
        <v>A</v>
      </c>
      <c r="D1046">
        <v>1</v>
      </c>
    </row>
    <row r="1047" spans="1:4" x14ac:dyDescent="0.25">
      <c r="A1047" s="5" t="s">
        <v>991</v>
      </c>
      <c r="B1047" s="5" t="s">
        <v>1358</v>
      </c>
      <c r="C1047" t="str">
        <f t="shared" si="16"/>
        <v>C</v>
      </c>
      <c r="D1047">
        <v>1</v>
      </c>
    </row>
    <row r="1048" spans="1:4" x14ac:dyDescent="0.25">
      <c r="A1048" s="5" t="s">
        <v>132</v>
      </c>
      <c r="B1048" s="5" t="s">
        <v>1358</v>
      </c>
      <c r="C1048" t="str">
        <f t="shared" si="16"/>
        <v>A</v>
      </c>
      <c r="D1048">
        <v>1</v>
      </c>
    </row>
    <row r="1049" spans="1:4" x14ac:dyDescent="0.25">
      <c r="A1049" s="5" t="s">
        <v>1013</v>
      </c>
      <c r="B1049" s="5" t="s">
        <v>1358</v>
      </c>
      <c r="C1049" t="str">
        <f t="shared" si="16"/>
        <v>B</v>
      </c>
      <c r="D1049">
        <v>1</v>
      </c>
    </row>
    <row r="1050" spans="1:4" x14ac:dyDescent="0.25">
      <c r="A1050" s="5" t="s">
        <v>132</v>
      </c>
      <c r="B1050" s="5" t="s">
        <v>1358</v>
      </c>
      <c r="C1050" t="str">
        <f t="shared" si="16"/>
        <v>A</v>
      </c>
      <c r="D1050">
        <v>1</v>
      </c>
    </row>
    <row r="1051" spans="1:4" x14ac:dyDescent="0.25">
      <c r="A1051" s="5" t="s">
        <v>1013</v>
      </c>
      <c r="B1051" s="5" t="s">
        <v>1358</v>
      </c>
      <c r="C1051" t="str">
        <f t="shared" si="16"/>
        <v>B</v>
      </c>
      <c r="D1051">
        <v>1</v>
      </c>
    </row>
    <row r="1052" spans="1:4" x14ac:dyDescent="0.25">
      <c r="A1052" s="5" t="s">
        <v>132</v>
      </c>
      <c r="B1052" s="5" t="s">
        <v>1358</v>
      </c>
      <c r="C1052" t="str">
        <f t="shared" si="16"/>
        <v>A</v>
      </c>
      <c r="D1052">
        <v>1</v>
      </c>
    </row>
    <row r="1053" spans="1:4" x14ac:dyDescent="0.25">
      <c r="A1053" s="5" t="s">
        <v>2415</v>
      </c>
      <c r="B1053" s="5" t="s">
        <v>1358</v>
      </c>
      <c r="C1053" t="str">
        <f t="shared" si="16"/>
        <v>L</v>
      </c>
      <c r="D1053">
        <v>1</v>
      </c>
    </row>
    <row r="1054" spans="1:4" x14ac:dyDescent="0.25">
      <c r="A1054" s="5" t="s">
        <v>1013</v>
      </c>
      <c r="B1054" s="5" t="s">
        <v>1358</v>
      </c>
      <c r="C1054" t="str">
        <f t="shared" si="16"/>
        <v>B</v>
      </c>
      <c r="D1054">
        <v>1</v>
      </c>
    </row>
    <row r="1055" spans="1:4" x14ac:dyDescent="0.25">
      <c r="A1055" s="5" t="s">
        <v>2415</v>
      </c>
      <c r="B1055" s="5" t="s">
        <v>1358</v>
      </c>
      <c r="C1055" t="str">
        <f t="shared" si="16"/>
        <v>L</v>
      </c>
      <c r="D1055">
        <v>1</v>
      </c>
    </row>
    <row r="1056" spans="1:4" x14ac:dyDescent="0.25">
      <c r="A1056" s="5" t="s">
        <v>123</v>
      </c>
      <c r="B1056" s="5" t="s">
        <v>1358</v>
      </c>
      <c r="C1056" t="str">
        <f t="shared" si="16"/>
        <v>B</v>
      </c>
      <c r="D1056">
        <v>1</v>
      </c>
    </row>
    <row r="1057" spans="1:4" x14ac:dyDescent="0.25">
      <c r="A1057" s="5" t="s">
        <v>2013</v>
      </c>
      <c r="B1057" s="5" t="s">
        <v>1358</v>
      </c>
      <c r="C1057" t="str">
        <f t="shared" si="16"/>
        <v>D</v>
      </c>
      <c r="D1057">
        <v>1</v>
      </c>
    </row>
    <row r="1058" spans="1:4" x14ac:dyDescent="0.25">
      <c r="A1058" s="5" t="s">
        <v>2415</v>
      </c>
      <c r="B1058" s="5" t="s">
        <v>1358</v>
      </c>
      <c r="C1058" t="str">
        <f t="shared" si="16"/>
        <v>L</v>
      </c>
      <c r="D1058">
        <v>1</v>
      </c>
    </row>
    <row r="1059" spans="1:4" x14ac:dyDescent="0.25">
      <c r="A1059" s="5" t="s">
        <v>2223</v>
      </c>
      <c r="B1059" s="5" t="s">
        <v>1358</v>
      </c>
      <c r="C1059" t="str">
        <f t="shared" si="16"/>
        <v>A</v>
      </c>
      <c r="D1059">
        <v>1</v>
      </c>
    </row>
    <row r="1060" spans="1:4" x14ac:dyDescent="0.25">
      <c r="A1060" s="5" t="s">
        <v>2223</v>
      </c>
      <c r="B1060" s="5" t="s">
        <v>1358</v>
      </c>
      <c r="C1060" t="str">
        <f t="shared" si="16"/>
        <v>A</v>
      </c>
      <c r="D1060">
        <v>1</v>
      </c>
    </row>
    <row r="1061" spans="1:4" x14ac:dyDescent="0.25">
      <c r="A1061" s="5" t="s">
        <v>2223</v>
      </c>
      <c r="B1061" s="5" t="s">
        <v>1358</v>
      </c>
      <c r="C1061" t="str">
        <f t="shared" si="16"/>
        <v>A</v>
      </c>
      <c r="D1061">
        <v>1</v>
      </c>
    </row>
    <row r="1062" spans="1:4" x14ac:dyDescent="0.25">
      <c r="A1062" s="5" t="s">
        <v>123</v>
      </c>
      <c r="B1062" s="5" t="s">
        <v>1358</v>
      </c>
      <c r="C1062" t="str">
        <f t="shared" si="16"/>
        <v>B</v>
      </c>
      <c r="D1062">
        <v>1</v>
      </c>
    </row>
    <row r="1063" spans="1:4" x14ac:dyDescent="0.25">
      <c r="A1063" s="5" t="s">
        <v>123</v>
      </c>
      <c r="B1063" s="5" t="s">
        <v>1358</v>
      </c>
      <c r="C1063" t="str">
        <f t="shared" si="16"/>
        <v>B</v>
      </c>
      <c r="D1063">
        <v>1</v>
      </c>
    </row>
    <row r="1064" spans="1:4" x14ac:dyDescent="0.25">
      <c r="A1064" s="5" t="s">
        <v>10</v>
      </c>
      <c r="B1064" s="5" t="s">
        <v>1367</v>
      </c>
      <c r="C1064" t="str">
        <f t="shared" si="16"/>
        <v>A</v>
      </c>
      <c r="D1064">
        <v>1</v>
      </c>
    </row>
    <row r="1065" spans="1:4" x14ac:dyDescent="0.25">
      <c r="A1065" s="5" t="s">
        <v>10</v>
      </c>
      <c r="B1065" s="5" t="s">
        <v>1367</v>
      </c>
      <c r="C1065" t="str">
        <f t="shared" si="16"/>
        <v>A</v>
      </c>
      <c r="D1065">
        <v>1</v>
      </c>
    </row>
    <row r="1066" spans="1:4" x14ac:dyDescent="0.25">
      <c r="A1066" s="5" t="s">
        <v>123</v>
      </c>
      <c r="B1066" s="5" t="s">
        <v>1367</v>
      </c>
      <c r="C1066" t="str">
        <f t="shared" si="16"/>
        <v>B</v>
      </c>
      <c r="D1066">
        <v>1</v>
      </c>
    </row>
    <row r="1067" spans="1:4" x14ac:dyDescent="0.25">
      <c r="A1067" s="5" t="s">
        <v>10</v>
      </c>
      <c r="B1067" s="5" t="s">
        <v>1367</v>
      </c>
      <c r="C1067" t="str">
        <f t="shared" si="16"/>
        <v>A</v>
      </c>
      <c r="D1067">
        <v>1</v>
      </c>
    </row>
    <row r="1068" spans="1:4" x14ac:dyDescent="0.25">
      <c r="A1068" s="5" t="s">
        <v>123</v>
      </c>
      <c r="B1068" s="5" t="s">
        <v>1367</v>
      </c>
      <c r="C1068" t="str">
        <f t="shared" si="16"/>
        <v>B</v>
      </c>
      <c r="D1068">
        <v>1</v>
      </c>
    </row>
    <row r="1069" spans="1:4" x14ac:dyDescent="0.25">
      <c r="A1069" s="5" t="s">
        <v>1423</v>
      </c>
      <c r="B1069" s="5" t="s">
        <v>1367</v>
      </c>
      <c r="C1069" t="str">
        <f t="shared" si="16"/>
        <v>C</v>
      </c>
      <c r="D1069">
        <v>1</v>
      </c>
    </row>
    <row r="1070" spans="1:4" x14ac:dyDescent="0.25">
      <c r="A1070" s="5" t="s">
        <v>10</v>
      </c>
      <c r="B1070" s="5" t="s">
        <v>1367</v>
      </c>
      <c r="C1070" t="str">
        <f t="shared" si="16"/>
        <v>A</v>
      </c>
      <c r="D1070">
        <v>1</v>
      </c>
    </row>
    <row r="1071" spans="1:4" x14ac:dyDescent="0.25">
      <c r="A1071" s="5" t="s">
        <v>123</v>
      </c>
      <c r="B1071" s="5" t="s">
        <v>1367</v>
      </c>
      <c r="C1071" t="str">
        <f t="shared" si="16"/>
        <v>B</v>
      </c>
      <c r="D1071">
        <v>1</v>
      </c>
    </row>
    <row r="1072" spans="1:4" x14ac:dyDescent="0.25">
      <c r="A1072" s="5" t="s">
        <v>1423</v>
      </c>
      <c r="B1072" s="5" t="s">
        <v>1367</v>
      </c>
      <c r="C1072" t="str">
        <f t="shared" si="16"/>
        <v>C</v>
      </c>
      <c r="D1072">
        <v>1</v>
      </c>
    </row>
    <row r="1073" spans="1:4" x14ac:dyDescent="0.25">
      <c r="A1073" s="5" t="s">
        <v>10</v>
      </c>
      <c r="B1073" s="5" t="s">
        <v>1367</v>
      </c>
      <c r="C1073" t="str">
        <f t="shared" si="16"/>
        <v>A</v>
      </c>
      <c r="D1073">
        <v>1</v>
      </c>
    </row>
    <row r="1074" spans="1:4" x14ac:dyDescent="0.25">
      <c r="A1074" s="5" t="s">
        <v>123</v>
      </c>
      <c r="B1074" s="5" t="s">
        <v>1367</v>
      </c>
      <c r="C1074" t="str">
        <f t="shared" si="16"/>
        <v>B</v>
      </c>
      <c r="D1074">
        <v>1</v>
      </c>
    </row>
    <row r="1075" spans="1:4" x14ac:dyDescent="0.25">
      <c r="A1075" s="5" t="s">
        <v>1423</v>
      </c>
      <c r="B1075" s="5" t="s">
        <v>1367</v>
      </c>
      <c r="C1075" t="str">
        <f t="shared" si="16"/>
        <v>C</v>
      </c>
      <c r="D1075">
        <v>1</v>
      </c>
    </row>
    <row r="1076" spans="1:4" x14ac:dyDescent="0.25">
      <c r="A1076" s="5" t="s">
        <v>10</v>
      </c>
      <c r="B1076" s="5" t="s">
        <v>1367</v>
      </c>
      <c r="C1076" t="str">
        <f t="shared" si="16"/>
        <v>A</v>
      </c>
      <c r="D1076">
        <v>1</v>
      </c>
    </row>
    <row r="1077" spans="1:4" x14ac:dyDescent="0.25">
      <c r="A1077" s="5" t="s">
        <v>1428</v>
      </c>
      <c r="B1077" s="5" t="s">
        <v>1367</v>
      </c>
      <c r="C1077" t="str">
        <f t="shared" si="16"/>
        <v>B</v>
      </c>
      <c r="D1077">
        <v>1</v>
      </c>
    </row>
    <row r="1078" spans="1:4" x14ac:dyDescent="0.25">
      <c r="A1078" s="5" t="s">
        <v>10</v>
      </c>
      <c r="B1078" s="5" t="s">
        <v>1367</v>
      </c>
      <c r="C1078" t="str">
        <f t="shared" si="16"/>
        <v>A</v>
      </c>
      <c r="D1078">
        <v>1</v>
      </c>
    </row>
    <row r="1079" spans="1:4" x14ac:dyDescent="0.25">
      <c r="A1079" s="5" t="s">
        <v>123</v>
      </c>
      <c r="B1079" s="5" t="s">
        <v>1367</v>
      </c>
      <c r="C1079" t="str">
        <f t="shared" si="16"/>
        <v>B</v>
      </c>
      <c r="D1079">
        <v>1</v>
      </c>
    </row>
    <row r="1080" spans="1:4" x14ac:dyDescent="0.25">
      <c r="A1080" s="5" t="s">
        <v>10</v>
      </c>
      <c r="B1080" s="5" t="s">
        <v>1367</v>
      </c>
      <c r="C1080" t="str">
        <f t="shared" si="16"/>
        <v>A</v>
      </c>
      <c r="D1080">
        <v>1</v>
      </c>
    </row>
    <row r="1081" spans="1:4" x14ac:dyDescent="0.25">
      <c r="A1081" s="5" t="s">
        <v>123</v>
      </c>
      <c r="B1081" s="5" t="s">
        <v>1367</v>
      </c>
      <c r="C1081" t="str">
        <f t="shared" si="16"/>
        <v>B</v>
      </c>
      <c r="D1081">
        <v>1</v>
      </c>
    </row>
    <row r="1082" spans="1:4" x14ac:dyDescent="0.25">
      <c r="A1082" s="5" t="s">
        <v>10</v>
      </c>
      <c r="B1082" s="5" t="s">
        <v>1367</v>
      </c>
      <c r="C1082" t="str">
        <f t="shared" si="16"/>
        <v>A</v>
      </c>
      <c r="D1082">
        <v>1</v>
      </c>
    </row>
    <row r="1083" spans="1:4" x14ac:dyDescent="0.25">
      <c r="A1083" s="5" t="s">
        <v>10</v>
      </c>
      <c r="B1083" s="5" t="s">
        <v>1367</v>
      </c>
      <c r="C1083" t="str">
        <f t="shared" si="16"/>
        <v>A</v>
      </c>
      <c r="D1083">
        <v>1</v>
      </c>
    </row>
    <row r="1084" spans="1:4" x14ac:dyDescent="0.25">
      <c r="A1084" s="5" t="s">
        <v>10</v>
      </c>
      <c r="B1084" s="5" t="s">
        <v>1367</v>
      </c>
      <c r="C1084" t="str">
        <f t="shared" si="16"/>
        <v>A</v>
      </c>
      <c r="D1084">
        <v>1</v>
      </c>
    </row>
    <row r="1085" spans="1:4" x14ac:dyDescent="0.25">
      <c r="A1085" s="5" t="s">
        <v>123</v>
      </c>
      <c r="B1085" s="5" t="s">
        <v>1367</v>
      </c>
      <c r="C1085" t="str">
        <f t="shared" si="16"/>
        <v>B</v>
      </c>
      <c r="D1085">
        <v>1</v>
      </c>
    </row>
    <row r="1086" spans="1:4" x14ac:dyDescent="0.25">
      <c r="A1086" s="5" t="s">
        <v>10</v>
      </c>
      <c r="B1086" s="5" t="s">
        <v>1367</v>
      </c>
      <c r="C1086" t="str">
        <f t="shared" si="16"/>
        <v>A</v>
      </c>
      <c r="D1086">
        <v>1</v>
      </c>
    </row>
    <row r="1087" spans="1:4" x14ac:dyDescent="0.25">
      <c r="A1087" s="5" t="s">
        <v>10</v>
      </c>
      <c r="B1087" s="5" t="s">
        <v>1367</v>
      </c>
      <c r="C1087" t="str">
        <f t="shared" si="16"/>
        <v>A</v>
      </c>
      <c r="D1087">
        <v>1</v>
      </c>
    </row>
    <row r="1088" spans="1:4" x14ac:dyDescent="0.25">
      <c r="A1088" s="5" t="s">
        <v>10</v>
      </c>
      <c r="B1088" s="5" t="s">
        <v>1367</v>
      </c>
      <c r="C1088" t="str">
        <f t="shared" si="16"/>
        <v>A</v>
      </c>
      <c r="D1088">
        <v>1</v>
      </c>
    </row>
    <row r="1089" spans="1:4" x14ac:dyDescent="0.25">
      <c r="A1089" s="5" t="s">
        <v>10</v>
      </c>
      <c r="B1089" s="5" t="s">
        <v>1367</v>
      </c>
      <c r="C1089" t="str">
        <f t="shared" si="16"/>
        <v>A</v>
      </c>
      <c r="D1089">
        <v>1</v>
      </c>
    </row>
    <row r="1090" spans="1:4" x14ac:dyDescent="0.25">
      <c r="A1090" s="5" t="s">
        <v>2013</v>
      </c>
      <c r="B1090" s="5" t="s">
        <v>1367</v>
      </c>
      <c r="C1090" t="str">
        <f t="shared" si="16"/>
        <v>D</v>
      </c>
      <c r="D1090">
        <v>1</v>
      </c>
    </row>
    <row r="1091" spans="1:4" x14ac:dyDescent="0.25">
      <c r="A1091" s="5" t="s">
        <v>1423</v>
      </c>
      <c r="B1091" s="5" t="s">
        <v>1367</v>
      </c>
      <c r="C1091" t="str">
        <f t="shared" ref="C1091:C1154" si="17">LEFT(A1091,1)</f>
        <v>C</v>
      </c>
      <c r="D1091">
        <v>1</v>
      </c>
    </row>
    <row r="1092" spans="1:4" x14ac:dyDescent="0.25">
      <c r="A1092" s="5" t="s">
        <v>123</v>
      </c>
      <c r="B1092" s="5" t="s">
        <v>1367</v>
      </c>
      <c r="C1092" t="str">
        <f t="shared" si="17"/>
        <v>B</v>
      </c>
      <c r="D1092">
        <v>1</v>
      </c>
    </row>
    <row r="1093" spans="1:4" x14ac:dyDescent="0.25">
      <c r="A1093" s="5" t="s">
        <v>10</v>
      </c>
      <c r="B1093" s="5" t="s">
        <v>1367</v>
      </c>
      <c r="C1093" t="str">
        <f t="shared" si="17"/>
        <v>A</v>
      </c>
      <c r="D1093">
        <v>1</v>
      </c>
    </row>
    <row r="1094" spans="1:4" x14ac:dyDescent="0.25">
      <c r="A1094" s="5" t="s">
        <v>123</v>
      </c>
      <c r="B1094" s="5" t="s">
        <v>1367</v>
      </c>
      <c r="C1094" t="str">
        <f t="shared" si="17"/>
        <v>B</v>
      </c>
      <c r="D1094">
        <v>1</v>
      </c>
    </row>
    <row r="1095" spans="1:4" x14ac:dyDescent="0.25">
      <c r="A1095" s="5" t="s">
        <v>10</v>
      </c>
      <c r="B1095" s="5" t="s">
        <v>1367</v>
      </c>
      <c r="C1095" t="str">
        <f t="shared" si="17"/>
        <v>A</v>
      </c>
      <c r="D1095">
        <v>1</v>
      </c>
    </row>
    <row r="1096" spans="1:4" x14ac:dyDescent="0.25">
      <c r="A1096" s="5" t="s">
        <v>10</v>
      </c>
      <c r="B1096" s="5" t="s">
        <v>1367</v>
      </c>
      <c r="C1096" t="str">
        <f t="shared" si="17"/>
        <v>A</v>
      </c>
      <c r="D1096">
        <v>1</v>
      </c>
    </row>
    <row r="1097" spans="1:4" x14ac:dyDescent="0.25">
      <c r="A1097" s="5" t="s">
        <v>10</v>
      </c>
      <c r="B1097" s="5" t="s">
        <v>1367</v>
      </c>
      <c r="C1097" t="str">
        <f t="shared" si="17"/>
        <v>A</v>
      </c>
      <c r="D1097">
        <v>1</v>
      </c>
    </row>
    <row r="1098" spans="1:4" x14ac:dyDescent="0.25">
      <c r="A1098" s="5" t="s">
        <v>1428</v>
      </c>
      <c r="B1098" s="5" t="s">
        <v>1367</v>
      </c>
      <c r="C1098" t="str">
        <f t="shared" si="17"/>
        <v>B</v>
      </c>
      <c r="D1098">
        <v>1</v>
      </c>
    </row>
    <row r="1099" spans="1:4" x14ac:dyDescent="0.25">
      <c r="A1099" s="5" t="s">
        <v>1423</v>
      </c>
      <c r="B1099" s="5" t="s">
        <v>1367</v>
      </c>
      <c r="C1099" t="str">
        <f t="shared" si="17"/>
        <v>C</v>
      </c>
      <c r="D1099">
        <v>1</v>
      </c>
    </row>
    <row r="1100" spans="1:4" x14ac:dyDescent="0.25">
      <c r="A1100" s="5" t="s">
        <v>10</v>
      </c>
      <c r="B1100" s="5" t="s">
        <v>1367</v>
      </c>
      <c r="C1100" t="str">
        <f t="shared" si="17"/>
        <v>A</v>
      </c>
      <c r="D1100">
        <v>1</v>
      </c>
    </row>
    <row r="1101" spans="1:4" x14ac:dyDescent="0.25">
      <c r="A1101" s="5" t="s">
        <v>1428</v>
      </c>
      <c r="B1101" s="5" t="s">
        <v>1367</v>
      </c>
      <c r="C1101" t="str">
        <f t="shared" si="17"/>
        <v>B</v>
      </c>
      <c r="D1101">
        <v>1</v>
      </c>
    </row>
    <row r="1102" spans="1:4" x14ac:dyDescent="0.25">
      <c r="A1102" s="5" t="s">
        <v>1423</v>
      </c>
      <c r="B1102" s="5" t="s">
        <v>1367</v>
      </c>
      <c r="C1102" t="str">
        <f t="shared" si="17"/>
        <v>C</v>
      </c>
      <c r="D1102">
        <v>1</v>
      </c>
    </row>
    <row r="1103" spans="1:4" x14ac:dyDescent="0.25">
      <c r="A1103" s="5" t="s">
        <v>10</v>
      </c>
      <c r="B1103" s="5" t="s">
        <v>1367</v>
      </c>
      <c r="C1103" t="str">
        <f t="shared" si="17"/>
        <v>A</v>
      </c>
      <c r="D1103">
        <v>1</v>
      </c>
    </row>
    <row r="1104" spans="1:4" x14ac:dyDescent="0.25">
      <c r="A1104" s="5" t="s">
        <v>2013</v>
      </c>
      <c r="B1104" s="5" t="s">
        <v>1367</v>
      </c>
      <c r="C1104" t="str">
        <f t="shared" si="17"/>
        <v>D</v>
      </c>
      <c r="D1104">
        <v>1</v>
      </c>
    </row>
    <row r="1105" spans="1:4" x14ac:dyDescent="0.25">
      <c r="A1105" s="5" t="s">
        <v>123</v>
      </c>
      <c r="B1105" s="5" t="s">
        <v>1367</v>
      </c>
      <c r="C1105" t="str">
        <f t="shared" si="17"/>
        <v>B</v>
      </c>
      <c r="D1105">
        <v>1</v>
      </c>
    </row>
    <row r="1106" spans="1:4" x14ac:dyDescent="0.25">
      <c r="A1106" s="5" t="s">
        <v>10</v>
      </c>
      <c r="B1106" s="5" t="s">
        <v>1367</v>
      </c>
      <c r="C1106" t="str">
        <f t="shared" si="17"/>
        <v>A</v>
      </c>
      <c r="D1106">
        <v>1</v>
      </c>
    </row>
    <row r="1107" spans="1:4" x14ac:dyDescent="0.25">
      <c r="A1107" s="5" t="s">
        <v>2013</v>
      </c>
      <c r="B1107" s="5" t="s">
        <v>1367</v>
      </c>
      <c r="C1107" t="str">
        <f t="shared" si="17"/>
        <v>D</v>
      </c>
      <c r="D1107">
        <v>1</v>
      </c>
    </row>
    <row r="1108" spans="1:4" x14ac:dyDescent="0.25">
      <c r="A1108" s="5" t="s">
        <v>123</v>
      </c>
      <c r="B1108" s="5" t="s">
        <v>1367</v>
      </c>
      <c r="C1108" t="str">
        <f t="shared" si="17"/>
        <v>B</v>
      </c>
      <c r="D1108">
        <v>1</v>
      </c>
    </row>
    <row r="1109" spans="1:4" x14ac:dyDescent="0.25">
      <c r="A1109" s="5" t="s">
        <v>132</v>
      </c>
      <c r="B1109" s="5" t="s">
        <v>1367</v>
      </c>
      <c r="C1109" t="str">
        <f t="shared" si="17"/>
        <v>A</v>
      </c>
      <c r="D1109">
        <v>1</v>
      </c>
    </row>
    <row r="1110" spans="1:4" x14ac:dyDescent="0.25">
      <c r="A1110" s="5" t="s">
        <v>132</v>
      </c>
      <c r="B1110" s="5" t="s">
        <v>1367</v>
      </c>
      <c r="C1110" t="str">
        <f t="shared" si="17"/>
        <v>A</v>
      </c>
      <c r="D1110">
        <v>1</v>
      </c>
    </row>
    <row r="1111" spans="1:4" x14ac:dyDescent="0.25">
      <c r="A1111" s="5" t="s">
        <v>991</v>
      </c>
      <c r="B1111" s="5" t="s">
        <v>1367</v>
      </c>
      <c r="C1111" t="str">
        <f t="shared" si="17"/>
        <v>C</v>
      </c>
      <c r="D1111">
        <v>1</v>
      </c>
    </row>
    <row r="1112" spans="1:4" x14ac:dyDescent="0.25">
      <c r="A1112" s="5" t="s">
        <v>132</v>
      </c>
      <c r="B1112" s="5" t="s">
        <v>1367</v>
      </c>
      <c r="C1112" t="str">
        <f t="shared" si="17"/>
        <v>A</v>
      </c>
      <c r="D1112">
        <v>1</v>
      </c>
    </row>
    <row r="1113" spans="1:4" x14ac:dyDescent="0.25">
      <c r="A1113" s="5" t="s">
        <v>1013</v>
      </c>
      <c r="B1113" s="5" t="s">
        <v>1367</v>
      </c>
      <c r="C1113" t="str">
        <f t="shared" si="17"/>
        <v>B</v>
      </c>
      <c r="D1113">
        <v>1</v>
      </c>
    </row>
    <row r="1114" spans="1:4" x14ac:dyDescent="0.25">
      <c r="A1114" s="5" t="s">
        <v>132</v>
      </c>
      <c r="B1114" s="5" t="s">
        <v>1367</v>
      </c>
      <c r="C1114" t="str">
        <f t="shared" si="17"/>
        <v>A</v>
      </c>
      <c r="D1114">
        <v>1</v>
      </c>
    </row>
    <row r="1115" spans="1:4" x14ac:dyDescent="0.25">
      <c r="A1115" s="5" t="s">
        <v>1013</v>
      </c>
      <c r="B1115" s="5" t="s">
        <v>1367</v>
      </c>
      <c r="C1115" t="str">
        <f t="shared" si="17"/>
        <v>B</v>
      </c>
      <c r="D1115">
        <v>1</v>
      </c>
    </row>
    <row r="1116" spans="1:4" x14ac:dyDescent="0.25">
      <c r="A1116" s="5" t="s">
        <v>2269</v>
      </c>
      <c r="B1116" s="5" t="s">
        <v>1367</v>
      </c>
      <c r="C1116" t="str">
        <f t="shared" si="17"/>
        <v>A</v>
      </c>
      <c r="D1116">
        <v>1</v>
      </c>
    </row>
    <row r="1117" spans="1:4" x14ac:dyDescent="0.25">
      <c r="A1117" s="5" t="s">
        <v>132</v>
      </c>
      <c r="B1117" s="5" t="s">
        <v>1367</v>
      </c>
      <c r="C1117" t="str">
        <f t="shared" si="17"/>
        <v>A</v>
      </c>
      <c r="D1117">
        <v>1</v>
      </c>
    </row>
    <row r="1118" spans="1:4" x14ac:dyDescent="0.25">
      <c r="A1118" s="5" t="s">
        <v>132</v>
      </c>
      <c r="B1118" s="5" t="s">
        <v>1367</v>
      </c>
      <c r="C1118" t="str">
        <f t="shared" si="17"/>
        <v>A</v>
      </c>
      <c r="D1118">
        <v>1</v>
      </c>
    </row>
    <row r="1119" spans="1:4" x14ac:dyDescent="0.25">
      <c r="A1119" s="5" t="s">
        <v>2415</v>
      </c>
      <c r="B1119" s="5" t="s">
        <v>1367</v>
      </c>
      <c r="C1119" t="str">
        <f t="shared" si="17"/>
        <v>L</v>
      </c>
      <c r="D1119">
        <v>1</v>
      </c>
    </row>
    <row r="1120" spans="1:4" x14ac:dyDescent="0.25">
      <c r="A1120" s="5" t="s">
        <v>1013</v>
      </c>
      <c r="B1120" s="5" t="s">
        <v>1367</v>
      </c>
      <c r="C1120" t="str">
        <f t="shared" si="17"/>
        <v>B</v>
      </c>
      <c r="D1120">
        <v>1</v>
      </c>
    </row>
    <row r="1121" spans="1:4" x14ac:dyDescent="0.25">
      <c r="A1121" s="5" t="s">
        <v>2415</v>
      </c>
      <c r="B1121" s="5" t="s">
        <v>1367</v>
      </c>
      <c r="C1121" t="str">
        <f t="shared" si="17"/>
        <v>L</v>
      </c>
      <c r="D1121">
        <v>1</v>
      </c>
    </row>
    <row r="1122" spans="1:4" x14ac:dyDescent="0.25">
      <c r="A1122" s="5" t="s">
        <v>123</v>
      </c>
      <c r="B1122" s="5" t="s">
        <v>1367</v>
      </c>
      <c r="C1122" t="str">
        <f t="shared" si="17"/>
        <v>B</v>
      </c>
      <c r="D1122">
        <v>1</v>
      </c>
    </row>
    <row r="1123" spans="1:4" x14ac:dyDescent="0.25">
      <c r="A1123" s="5" t="s">
        <v>2013</v>
      </c>
      <c r="B1123" s="5" t="s">
        <v>1367</v>
      </c>
      <c r="C1123" t="str">
        <f t="shared" si="17"/>
        <v>D</v>
      </c>
      <c r="D1123">
        <v>1</v>
      </c>
    </row>
    <row r="1124" spans="1:4" x14ac:dyDescent="0.25">
      <c r="A1124" s="5" t="s">
        <v>2415</v>
      </c>
      <c r="B1124" s="5" t="s">
        <v>1367</v>
      </c>
      <c r="C1124" t="str">
        <f t="shared" si="17"/>
        <v>L</v>
      </c>
      <c r="D1124">
        <v>1</v>
      </c>
    </row>
    <row r="1125" spans="1:4" x14ac:dyDescent="0.25">
      <c r="A1125" s="5" t="s">
        <v>123</v>
      </c>
      <c r="B1125" s="5" t="s">
        <v>1367</v>
      </c>
      <c r="C1125" t="str">
        <f t="shared" si="17"/>
        <v>B</v>
      </c>
      <c r="D1125">
        <v>1</v>
      </c>
    </row>
    <row r="1126" spans="1:4" x14ac:dyDescent="0.25">
      <c r="A1126" s="5" t="s">
        <v>2013</v>
      </c>
      <c r="B1126" s="5" t="s">
        <v>1367</v>
      </c>
      <c r="C1126" t="str">
        <f t="shared" si="17"/>
        <v>D</v>
      </c>
      <c r="D1126">
        <v>1</v>
      </c>
    </row>
    <row r="1127" spans="1:4" x14ac:dyDescent="0.25">
      <c r="A1127" s="5" t="s">
        <v>2415</v>
      </c>
      <c r="B1127" s="5" t="s">
        <v>1367</v>
      </c>
      <c r="C1127" t="str">
        <f t="shared" si="17"/>
        <v>L</v>
      </c>
      <c r="D1127">
        <v>1</v>
      </c>
    </row>
    <row r="1128" spans="1:4" x14ac:dyDescent="0.25">
      <c r="A1128" s="5" t="s">
        <v>123</v>
      </c>
      <c r="B1128" s="5" t="s">
        <v>1367</v>
      </c>
      <c r="C1128" t="str">
        <f t="shared" si="17"/>
        <v>B</v>
      </c>
      <c r="D1128">
        <v>1</v>
      </c>
    </row>
    <row r="1129" spans="1:4" x14ac:dyDescent="0.25">
      <c r="A1129" s="5" t="s">
        <v>2013</v>
      </c>
      <c r="B1129" s="5" t="s">
        <v>1367</v>
      </c>
      <c r="C1129" t="str">
        <f t="shared" si="17"/>
        <v>D</v>
      </c>
      <c r="D1129">
        <v>1</v>
      </c>
    </row>
    <row r="1130" spans="1:4" x14ac:dyDescent="0.25">
      <c r="A1130" s="5" t="s">
        <v>2415</v>
      </c>
      <c r="B1130" s="5" t="s">
        <v>1367</v>
      </c>
      <c r="C1130" t="str">
        <f t="shared" si="17"/>
        <v>L</v>
      </c>
      <c r="D1130">
        <v>1</v>
      </c>
    </row>
    <row r="1131" spans="1:4" x14ac:dyDescent="0.25">
      <c r="A1131" s="5" t="s">
        <v>123</v>
      </c>
      <c r="B1131" s="5" t="s">
        <v>1367</v>
      </c>
      <c r="C1131" t="str">
        <f t="shared" si="17"/>
        <v>B</v>
      </c>
      <c r="D1131">
        <v>1</v>
      </c>
    </row>
    <row r="1132" spans="1:4" x14ac:dyDescent="0.25">
      <c r="A1132" s="5" t="s">
        <v>2223</v>
      </c>
      <c r="B1132" s="5" t="s">
        <v>1367</v>
      </c>
      <c r="C1132" t="str">
        <f t="shared" si="17"/>
        <v>A</v>
      </c>
      <c r="D1132">
        <v>1</v>
      </c>
    </row>
    <row r="1133" spans="1:4" x14ac:dyDescent="0.25">
      <c r="A1133" s="5" t="s">
        <v>2223</v>
      </c>
      <c r="B1133" s="5" t="s">
        <v>1367</v>
      </c>
      <c r="C1133" t="str">
        <f t="shared" si="17"/>
        <v>A</v>
      </c>
      <c r="D1133">
        <v>1</v>
      </c>
    </row>
    <row r="1134" spans="1:4" x14ac:dyDescent="0.25">
      <c r="A1134" s="5" t="s">
        <v>123</v>
      </c>
      <c r="B1134" s="5" t="s">
        <v>1367</v>
      </c>
      <c r="C1134" t="str">
        <f t="shared" si="17"/>
        <v>B</v>
      </c>
      <c r="D1134">
        <v>1</v>
      </c>
    </row>
    <row r="1135" spans="1:4" x14ac:dyDescent="0.25">
      <c r="A1135" s="5" t="s">
        <v>123</v>
      </c>
      <c r="B1135" s="5" t="s">
        <v>1367</v>
      </c>
      <c r="C1135" t="str">
        <f t="shared" si="17"/>
        <v>B</v>
      </c>
      <c r="D1135">
        <v>1</v>
      </c>
    </row>
    <row r="1136" spans="1:4" x14ac:dyDescent="0.25">
      <c r="A1136" s="5" t="s">
        <v>123</v>
      </c>
      <c r="B1136" s="5" t="s">
        <v>1367</v>
      </c>
      <c r="C1136" t="str">
        <f t="shared" si="17"/>
        <v>B</v>
      </c>
      <c r="D1136">
        <v>1</v>
      </c>
    </row>
    <row r="1137" spans="1:4" x14ac:dyDescent="0.25">
      <c r="A1137" s="5" t="s">
        <v>1418</v>
      </c>
      <c r="B1137" s="5" t="s">
        <v>1367</v>
      </c>
      <c r="C1137" t="str">
        <f t="shared" si="17"/>
        <v>A</v>
      </c>
      <c r="D1137">
        <v>1</v>
      </c>
    </row>
    <row r="1138" spans="1:4" x14ac:dyDescent="0.25">
      <c r="A1138" s="5" t="s">
        <v>1423</v>
      </c>
      <c r="B1138" s="5" t="s">
        <v>1367</v>
      </c>
      <c r="C1138" t="str">
        <f t="shared" si="17"/>
        <v>C</v>
      </c>
      <c r="D1138">
        <v>1</v>
      </c>
    </row>
    <row r="1139" spans="1:4" x14ac:dyDescent="0.25">
      <c r="A1139" s="5" t="s">
        <v>1423</v>
      </c>
      <c r="B1139" s="5" t="s">
        <v>1367</v>
      </c>
      <c r="C1139" t="str">
        <f t="shared" si="17"/>
        <v>C</v>
      </c>
      <c r="D1139">
        <v>1</v>
      </c>
    </row>
    <row r="1140" spans="1:4" x14ac:dyDescent="0.25">
      <c r="A1140" s="5" t="s">
        <v>10</v>
      </c>
      <c r="B1140" s="5" t="s">
        <v>1374</v>
      </c>
      <c r="C1140" t="str">
        <f t="shared" si="17"/>
        <v>A</v>
      </c>
      <c r="D1140">
        <v>1</v>
      </c>
    </row>
    <row r="1141" spans="1:4" x14ac:dyDescent="0.25">
      <c r="A1141" s="5" t="s">
        <v>10</v>
      </c>
      <c r="B1141" s="5" t="s">
        <v>1374</v>
      </c>
      <c r="C1141" t="str">
        <f t="shared" si="17"/>
        <v>A</v>
      </c>
      <c r="D1141">
        <v>1</v>
      </c>
    </row>
    <row r="1142" spans="1:4" x14ac:dyDescent="0.25">
      <c r="A1142" s="5" t="s">
        <v>1428</v>
      </c>
      <c r="B1142" s="5" t="s">
        <v>1374</v>
      </c>
      <c r="C1142" t="str">
        <f t="shared" si="17"/>
        <v>B</v>
      </c>
      <c r="D1142">
        <v>1</v>
      </c>
    </row>
    <row r="1143" spans="1:4" x14ac:dyDescent="0.25">
      <c r="A1143" s="5" t="s">
        <v>10</v>
      </c>
      <c r="B1143" s="5" t="s">
        <v>1374</v>
      </c>
      <c r="C1143" t="str">
        <f t="shared" si="17"/>
        <v>A</v>
      </c>
      <c r="D1143">
        <v>1</v>
      </c>
    </row>
    <row r="1144" spans="1:4" x14ac:dyDescent="0.25">
      <c r="A1144" s="5" t="s">
        <v>1428</v>
      </c>
      <c r="B1144" s="5" t="s">
        <v>1374</v>
      </c>
      <c r="C1144" t="str">
        <f t="shared" si="17"/>
        <v>B</v>
      </c>
      <c r="D1144">
        <v>1</v>
      </c>
    </row>
    <row r="1145" spans="1:4" x14ac:dyDescent="0.25">
      <c r="A1145" s="5" t="s">
        <v>10</v>
      </c>
      <c r="B1145" s="5" t="s">
        <v>1374</v>
      </c>
      <c r="C1145" t="str">
        <f t="shared" si="17"/>
        <v>A</v>
      </c>
      <c r="D1145">
        <v>1</v>
      </c>
    </row>
    <row r="1146" spans="1:4" x14ac:dyDescent="0.25">
      <c r="A1146" s="5" t="s">
        <v>10</v>
      </c>
      <c r="B1146" s="5" t="s">
        <v>1374</v>
      </c>
      <c r="C1146" t="str">
        <f t="shared" si="17"/>
        <v>A</v>
      </c>
      <c r="D1146">
        <v>1</v>
      </c>
    </row>
    <row r="1147" spans="1:4" x14ac:dyDescent="0.25">
      <c r="A1147" s="5" t="s">
        <v>132</v>
      </c>
      <c r="B1147" s="5" t="s">
        <v>1374</v>
      </c>
      <c r="C1147" t="str">
        <f t="shared" si="17"/>
        <v>A</v>
      </c>
      <c r="D1147">
        <v>1</v>
      </c>
    </row>
    <row r="1148" spans="1:4" x14ac:dyDescent="0.25">
      <c r="A1148" s="5" t="s">
        <v>1013</v>
      </c>
      <c r="B1148" s="5" t="s">
        <v>1374</v>
      </c>
      <c r="C1148" t="str">
        <f t="shared" si="17"/>
        <v>B</v>
      </c>
      <c r="D1148">
        <v>1</v>
      </c>
    </row>
    <row r="1149" spans="1:4" x14ac:dyDescent="0.25">
      <c r="A1149" s="5" t="s">
        <v>123</v>
      </c>
      <c r="B1149" s="5" t="s">
        <v>1374</v>
      </c>
      <c r="C1149" t="str">
        <f t="shared" si="17"/>
        <v>B</v>
      </c>
      <c r="D1149">
        <v>1</v>
      </c>
    </row>
    <row r="1150" spans="1:4" x14ac:dyDescent="0.25">
      <c r="A1150" s="5" t="s">
        <v>1402</v>
      </c>
      <c r="B1150" s="5" t="s">
        <v>1374</v>
      </c>
      <c r="C1150" t="str">
        <f t="shared" si="17"/>
        <v>D</v>
      </c>
      <c r="D1150">
        <v>1</v>
      </c>
    </row>
    <row r="1151" spans="1:4" x14ac:dyDescent="0.25">
      <c r="A1151" s="5" t="s">
        <v>2013</v>
      </c>
      <c r="B1151" s="5" t="s">
        <v>1382</v>
      </c>
      <c r="C1151" t="str">
        <f t="shared" si="17"/>
        <v>D</v>
      </c>
      <c r="D1151">
        <v>1</v>
      </c>
    </row>
    <row r="1152" spans="1:4" x14ac:dyDescent="0.25">
      <c r="A1152" s="5" t="s">
        <v>123</v>
      </c>
      <c r="B1152" s="5" t="s">
        <v>1382</v>
      </c>
      <c r="C1152" t="str">
        <f t="shared" si="17"/>
        <v>B</v>
      </c>
      <c r="D1152">
        <v>1</v>
      </c>
    </row>
    <row r="1153" spans="1:4" x14ac:dyDescent="0.25">
      <c r="A1153" s="5" t="s">
        <v>10</v>
      </c>
      <c r="B1153" s="5" t="s">
        <v>1382</v>
      </c>
      <c r="C1153" t="str">
        <f t="shared" si="17"/>
        <v>A</v>
      </c>
      <c r="D1153">
        <v>1</v>
      </c>
    </row>
    <row r="1154" spans="1:4" x14ac:dyDescent="0.25">
      <c r="A1154" s="5" t="s">
        <v>10</v>
      </c>
      <c r="B1154" s="5" t="s">
        <v>1382</v>
      </c>
      <c r="C1154" t="str">
        <f t="shared" si="17"/>
        <v>A</v>
      </c>
      <c r="D1154">
        <v>1</v>
      </c>
    </row>
    <row r="1155" spans="1:4" x14ac:dyDescent="0.25">
      <c r="A1155" s="5" t="s">
        <v>1428</v>
      </c>
      <c r="B1155" s="5" t="s">
        <v>1382</v>
      </c>
      <c r="C1155" t="str">
        <f t="shared" ref="C1155:C1177" si="18">LEFT(A1155,1)</f>
        <v>B</v>
      </c>
      <c r="D1155">
        <v>1</v>
      </c>
    </row>
    <row r="1156" spans="1:4" x14ac:dyDescent="0.25">
      <c r="A1156" s="5" t="s">
        <v>1423</v>
      </c>
      <c r="B1156" s="5" t="s">
        <v>1382</v>
      </c>
      <c r="C1156" t="str">
        <f t="shared" si="18"/>
        <v>C</v>
      </c>
      <c r="D1156">
        <v>1</v>
      </c>
    </row>
    <row r="1157" spans="1:4" x14ac:dyDescent="0.25">
      <c r="A1157" s="5" t="s">
        <v>10</v>
      </c>
      <c r="B1157" s="5" t="s">
        <v>1382</v>
      </c>
      <c r="C1157" t="str">
        <f t="shared" si="18"/>
        <v>A</v>
      </c>
      <c r="D1157">
        <v>1</v>
      </c>
    </row>
    <row r="1158" spans="1:4" x14ac:dyDescent="0.25">
      <c r="A1158" s="5" t="s">
        <v>123</v>
      </c>
      <c r="B1158" s="5" t="s">
        <v>1382</v>
      </c>
      <c r="C1158" t="str">
        <f t="shared" si="18"/>
        <v>B</v>
      </c>
      <c r="D1158">
        <v>1</v>
      </c>
    </row>
    <row r="1159" spans="1:4" x14ac:dyDescent="0.25">
      <c r="A1159" s="5" t="s">
        <v>10</v>
      </c>
      <c r="B1159" s="5" t="s">
        <v>1382</v>
      </c>
      <c r="C1159" t="str">
        <f t="shared" si="18"/>
        <v>A</v>
      </c>
      <c r="D1159">
        <v>1</v>
      </c>
    </row>
    <row r="1160" spans="1:4" x14ac:dyDescent="0.25">
      <c r="A1160" s="5" t="s">
        <v>132</v>
      </c>
      <c r="B1160" s="5" t="s">
        <v>1382</v>
      </c>
      <c r="C1160" t="str">
        <f t="shared" si="18"/>
        <v>A</v>
      </c>
      <c r="D1160">
        <v>1</v>
      </c>
    </row>
    <row r="1161" spans="1:4" x14ac:dyDescent="0.25">
      <c r="A1161" s="5" t="s">
        <v>991</v>
      </c>
      <c r="B1161" s="5" t="s">
        <v>1382</v>
      </c>
      <c r="C1161" t="str">
        <f t="shared" si="18"/>
        <v>C</v>
      </c>
      <c r="D1161">
        <v>1</v>
      </c>
    </row>
    <row r="1162" spans="1:4" x14ac:dyDescent="0.25">
      <c r="A1162" s="5" t="s">
        <v>132</v>
      </c>
      <c r="B1162" s="5" t="s">
        <v>1382</v>
      </c>
      <c r="C1162" t="str">
        <f t="shared" si="18"/>
        <v>A</v>
      </c>
      <c r="D1162">
        <v>1</v>
      </c>
    </row>
    <row r="1163" spans="1:4" x14ac:dyDescent="0.25">
      <c r="A1163" s="5" t="s">
        <v>1013</v>
      </c>
      <c r="B1163" s="5" t="s">
        <v>1382</v>
      </c>
      <c r="C1163" t="str">
        <f t="shared" si="18"/>
        <v>B</v>
      </c>
      <c r="D1163">
        <v>1</v>
      </c>
    </row>
    <row r="1164" spans="1:4" x14ac:dyDescent="0.25">
      <c r="A1164" s="5" t="s">
        <v>2013</v>
      </c>
      <c r="B1164" s="5" t="s">
        <v>1390</v>
      </c>
      <c r="C1164" t="str">
        <f t="shared" si="18"/>
        <v>D</v>
      </c>
      <c r="D1164">
        <v>1</v>
      </c>
    </row>
    <row r="1165" spans="1:4" x14ac:dyDescent="0.25">
      <c r="A1165" s="5" t="s">
        <v>123</v>
      </c>
      <c r="B1165" s="5" t="s">
        <v>1390</v>
      </c>
      <c r="C1165" t="str">
        <f t="shared" si="18"/>
        <v>B</v>
      </c>
      <c r="D1165">
        <v>1</v>
      </c>
    </row>
    <row r="1166" spans="1:4" x14ac:dyDescent="0.25">
      <c r="A1166" s="5" t="s">
        <v>10</v>
      </c>
      <c r="B1166" s="5" t="s">
        <v>1390</v>
      </c>
      <c r="C1166" t="str">
        <f t="shared" si="18"/>
        <v>A</v>
      </c>
      <c r="D1166">
        <v>1</v>
      </c>
    </row>
    <row r="1167" spans="1:4" x14ac:dyDescent="0.25">
      <c r="A1167" s="5" t="s">
        <v>10</v>
      </c>
      <c r="B1167" s="5" t="s">
        <v>1390</v>
      </c>
      <c r="C1167" t="str">
        <f t="shared" si="18"/>
        <v>A</v>
      </c>
      <c r="D1167">
        <v>1</v>
      </c>
    </row>
    <row r="1168" spans="1:4" x14ac:dyDescent="0.25">
      <c r="A1168" s="5" t="s">
        <v>1428</v>
      </c>
      <c r="B1168" s="5" t="s">
        <v>1390</v>
      </c>
      <c r="C1168" t="str">
        <f t="shared" si="18"/>
        <v>B</v>
      </c>
      <c r="D1168">
        <v>1</v>
      </c>
    </row>
    <row r="1169" spans="1:4" x14ac:dyDescent="0.25">
      <c r="A1169" s="5" t="s">
        <v>1423</v>
      </c>
      <c r="B1169" s="5" t="s">
        <v>1390</v>
      </c>
      <c r="C1169" t="str">
        <f t="shared" si="18"/>
        <v>C</v>
      </c>
      <c r="D1169">
        <v>1</v>
      </c>
    </row>
    <row r="1170" spans="1:4" x14ac:dyDescent="0.25">
      <c r="A1170" s="5" t="s">
        <v>10</v>
      </c>
      <c r="B1170" s="5" t="s">
        <v>1390</v>
      </c>
      <c r="C1170" t="str">
        <f t="shared" si="18"/>
        <v>A</v>
      </c>
      <c r="D1170">
        <v>1</v>
      </c>
    </row>
    <row r="1171" spans="1:4" x14ac:dyDescent="0.25">
      <c r="A1171" s="5" t="s">
        <v>123</v>
      </c>
      <c r="B1171" s="5" t="s">
        <v>1390</v>
      </c>
      <c r="C1171" t="str">
        <f t="shared" si="18"/>
        <v>B</v>
      </c>
      <c r="D1171">
        <v>1</v>
      </c>
    </row>
    <row r="1172" spans="1:4" x14ac:dyDescent="0.25">
      <c r="A1172" s="5" t="s">
        <v>10</v>
      </c>
      <c r="B1172" s="5" t="s">
        <v>1390</v>
      </c>
      <c r="C1172" t="str">
        <f t="shared" si="18"/>
        <v>A</v>
      </c>
      <c r="D1172">
        <v>1</v>
      </c>
    </row>
    <row r="1173" spans="1:4" x14ac:dyDescent="0.25">
      <c r="A1173" s="5" t="s">
        <v>10</v>
      </c>
      <c r="B1173" s="5" t="s">
        <v>1390</v>
      </c>
      <c r="C1173" t="str">
        <f t="shared" si="18"/>
        <v>A</v>
      </c>
      <c r="D1173">
        <v>1</v>
      </c>
    </row>
    <row r="1174" spans="1:4" x14ac:dyDescent="0.25">
      <c r="A1174" s="5" t="s">
        <v>132</v>
      </c>
      <c r="B1174" s="5" t="s">
        <v>1390</v>
      </c>
      <c r="C1174" t="str">
        <f t="shared" si="18"/>
        <v>A</v>
      </c>
      <c r="D1174">
        <v>1</v>
      </c>
    </row>
    <row r="1175" spans="1:4" x14ac:dyDescent="0.25">
      <c r="A1175" s="5" t="s">
        <v>991</v>
      </c>
      <c r="B1175" s="5" t="s">
        <v>1390</v>
      </c>
      <c r="C1175" t="str">
        <f t="shared" si="18"/>
        <v>C</v>
      </c>
      <c r="D1175">
        <v>1</v>
      </c>
    </row>
    <row r="1176" spans="1:4" x14ac:dyDescent="0.25">
      <c r="A1176" s="5" t="s">
        <v>132</v>
      </c>
      <c r="B1176" s="5" t="s">
        <v>1390</v>
      </c>
      <c r="C1176" t="str">
        <f t="shared" si="18"/>
        <v>A</v>
      </c>
      <c r="D1176">
        <v>1</v>
      </c>
    </row>
    <row r="1177" spans="1:4" x14ac:dyDescent="0.25">
      <c r="A1177" s="5" t="s">
        <v>1013</v>
      </c>
      <c r="B1177" s="5" t="s">
        <v>1390</v>
      </c>
      <c r="C1177" t="str">
        <f t="shared" si="18"/>
        <v>B</v>
      </c>
      <c r="D1177">
        <v>1</v>
      </c>
    </row>
  </sheetData>
  <autoFilter ref="A1:D1177"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56"/>
  <sheetViews>
    <sheetView workbookViewId="0"/>
  </sheetViews>
  <sheetFormatPr defaultRowHeight="15" x14ac:dyDescent="0.25"/>
  <cols>
    <col min="1" max="2" width="39" customWidth="1"/>
    <col min="3" max="3" width="14.28515625" customWidth="1"/>
  </cols>
  <sheetData>
    <row r="1" spans="1:8" x14ac:dyDescent="0.25">
      <c r="A1" s="1" t="s">
        <v>2</v>
      </c>
      <c r="B1" s="1" t="s">
        <v>3</v>
      </c>
      <c r="C1" t="s">
        <v>2528</v>
      </c>
      <c r="D1" t="s">
        <v>2532</v>
      </c>
      <c r="F1" t="s">
        <v>2529</v>
      </c>
      <c r="G1" t="s">
        <v>2530</v>
      </c>
      <c r="H1" t="s">
        <v>2531</v>
      </c>
    </row>
    <row r="2" spans="1:8" x14ac:dyDescent="0.25">
      <c r="A2" s="2" t="s">
        <v>11</v>
      </c>
      <c r="B2" s="2" t="s">
        <v>12</v>
      </c>
      <c r="C2">
        <f>YEAR(B2)</f>
        <v>1974</v>
      </c>
      <c r="D2">
        <f>VLOOKUP(C2,$F$2:$H$39,3,0)</f>
        <v>0.05</v>
      </c>
      <c r="F2">
        <v>1974</v>
      </c>
      <c r="G2">
        <f>COUNTIF($C$2:$C$256,F2)</f>
        <v>1</v>
      </c>
      <c r="H2">
        <v>0.05</v>
      </c>
    </row>
    <row r="3" spans="1:8" x14ac:dyDescent="0.25">
      <c r="A3" s="2" t="s">
        <v>19</v>
      </c>
      <c r="B3" s="2" t="s">
        <v>20</v>
      </c>
      <c r="C3">
        <f t="shared" ref="C3:C66" si="0">YEAR(B3)</f>
        <v>1982</v>
      </c>
      <c r="D3">
        <f t="shared" ref="D3:D66" si="1">VLOOKUP(C3,$F$1:$H$39,3,0)</f>
        <v>0.05</v>
      </c>
      <c r="F3">
        <v>1978</v>
      </c>
      <c r="G3">
        <f t="shared" ref="G3:G39" si="2">COUNTIF($C$2:$C$256,F3)</f>
        <v>6</v>
      </c>
      <c r="H3">
        <v>0.05</v>
      </c>
    </row>
    <row r="4" spans="1:8" x14ac:dyDescent="0.25">
      <c r="A4" s="2" t="s">
        <v>26</v>
      </c>
      <c r="B4" s="2" t="s">
        <v>27</v>
      </c>
      <c r="C4">
        <f t="shared" si="0"/>
        <v>1987</v>
      </c>
      <c r="D4">
        <f t="shared" si="1"/>
        <v>0.05</v>
      </c>
      <c r="F4">
        <v>1979</v>
      </c>
      <c r="G4">
        <f t="shared" si="2"/>
        <v>1</v>
      </c>
      <c r="H4">
        <v>0.05</v>
      </c>
    </row>
    <row r="5" spans="1:8" x14ac:dyDescent="0.25">
      <c r="A5" s="2" t="s">
        <v>34</v>
      </c>
      <c r="B5" s="2" t="s">
        <v>35</v>
      </c>
      <c r="C5">
        <f t="shared" si="0"/>
        <v>2009</v>
      </c>
      <c r="D5">
        <f t="shared" si="1"/>
        <v>0.2</v>
      </c>
      <c r="F5">
        <v>1980</v>
      </c>
      <c r="G5">
        <f t="shared" si="2"/>
        <v>6</v>
      </c>
      <c r="H5">
        <v>0.05</v>
      </c>
    </row>
    <row r="6" spans="1:8" x14ac:dyDescent="0.25">
      <c r="A6" s="2" t="s">
        <v>43</v>
      </c>
      <c r="B6" s="2" t="s">
        <v>44</v>
      </c>
      <c r="C6">
        <f t="shared" si="0"/>
        <v>2009</v>
      </c>
      <c r="D6">
        <f t="shared" si="1"/>
        <v>0.2</v>
      </c>
      <c r="F6">
        <v>1981</v>
      </c>
      <c r="G6">
        <f t="shared" si="2"/>
        <v>5</v>
      </c>
      <c r="H6">
        <v>0.05</v>
      </c>
    </row>
    <row r="7" spans="1:8" x14ac:dyDescent="0.25">
      <c r="A7" s="2" t="s">
        <v>50</v>
      </c>
      <c r="B7" s="2" t="s">
        <v>52</v>
      </c>
      <c r="C7">
        <f t="shared" si="0"/>
        <v>2009</v>
      </c>
      <c r="D7">
        <f t="shared" si="1"/>
        <v>0.2</v>
      </c>
      <c r="F7">
        <v>1982</v>
      </c>
      <c r="G7">
        <f t="shared" si="2"/>
        <v>6</v>
      </c>
      <c r="H7">
        <v>0.05</v>
      </c>
    </row>
    <row r="8" spans="1:8" x14ac:dyDescent="0.25">
      <c r="A8" s="2" t="s">
        <v>60</v>
      </c>
      <c r="B8" s="2" t="s">
        <v>52</v>
      </c>
      <c r="C8">
        <f t="shared" si="0"/>
        <v>2009</v>
      </c>
      <c r="D8">
        <f t="shared" si="1"/>
        <v>0.2</v>
      </c>
      <c r="F8">
        <v>1983</v>
      </c>
      <c r="G8">
        <f t="shared" si="2"/>
        <v>3</v>
      </c>
      <c r="H8">
        <v>0.05</v>
      </c>
    </row>
    <row r="9" spans="1:8" x14ac:dyDescent="0.25">
      <c r="A9" s="2" t="s">
        <v>63</v>
      </c>
      <c r="B9" s="2" t="s">
        <v>64</v>
      </c>
      <c r="C9">
        <f t="shared" si="0"/>
        <v>1988</v>
      </c>
      <c r="D9">
        <f t="shared" si="1"/>
        <v>0.05</v>
      </c>
      <c r="F9">
        <v>1985</v>
      </c>
      <c r="G9">
        <f t="shared" si="2"/>
        <v>2</v>
      </c>
      <c r="H9">
        <v>0.05</v>
      </c>
    </row>
    <row r="10" spans="1:8" x14ac:dyDescent="0.25">
      <c r="A10" s="2" t="s">
        <v>71</v>
      </c>
      <c r="B10" s="2" t="s">
        <v>72</v>
      </c>
      <c r="C10">
        <f t="shared" si="0"/>
        <v>2008</v>
      </c>
      <c r="D10">
        <f t="shared" si="1"/>
        <v>0.2</v>
      </c>
      <c r="F10">
        <v>1986</v>
      </c>
      <c r="G10">
        <f t="shared" si="2"/>
        <v>1</v>
      </c>
      <c r="H10">
        <v>0.05</v>
      </c>
    </row>
    <row r="11" spans="1:8" x14ac:dyDescent="0.25">
      <c r="A11" s="2" t="s">
        <v>80</v>
      </c>
      <c r="B11" s="2" t="s">
        <v>81</v>
      </c>
      <c r="C11">
        <f t="shared" si="0"/>
        <v>2009</v>
      </c>
      <c r="D11">
        <f t="shared" si="1"/>
        <v>0.2</v>
      </c>
      <c r="F11">
        <v>1987</v>
      </c>
      <c r="G11">
        <f t="shared" si="2"/>
        <v>5</v>
      </c>
      <c r="H11">
        <v>0.05</v>
      </c>
    </row>
    <row r="12" spans="1:8" x14ac:dyDescent="0.25">
      <c r="A12" s="2" t="s">
        <v>87</v>
      </c>
      <c r="B12" s="2" t="s">
        <v>88</v>
      </c>
      <c r="C12">
        <f t="shared" si="0"/>
        <v>1998</v>
      </c>
      <c r="D12">
        <f t="shared" si="1"/>
        <v>0.05</v>
      </c>
      <c r="F12">
        <v>1988</v>
      </c>
      <c r="G12">
        <f t="shared" si="2"/>
        <v>3</v>
      </c>
      <c r="H12">
        <v>0.05</v>
      </c>
    </row>
    <row r="13" spans="1:8" x14ac:dyDescent="0.25">
      <c r="A13" s="2" t="s">
        <v>93</v>
      </c>
      <c r="B13" s="2" t="s">
        <v>94</v>
      </c>
      <c r="C13">
        <f t="shared" si="0"/>
        <v>2015</v>
      </c>
      <c r="D13">
        <f t="shared" si="1"/>
        <v>0.6</v>
      </c>
      <c r="F13">
        <v>1989</v>
      </c>
      <c r="G13">
        <f t="shared" si="2"/>
        <v>7</v>
      </c>
      <c r="H13">
        <v>0.05</v>
      </c>
    </row>
    <row r="14" spans="1:8" x14ac:dyDescent="0.25">
      <c r="A14" s="2" t="s">
        <v>100</v>
      </c>
      <c r="B14" s="2" t="s">
        <v>101</v>
      </c>
      <c r="C14">
        <f t="shared" si="0"/>
        <v>2014</v>
      </c>
      <c r="D14">
        <f t="shared" si="1"/>
        <v>0.6</v>
      </c>
      <c r="F14">
        <v>1990</v>
      </c>
      <c r="G14">
        <f t="shared" si="2"/>
        <v>5</v>
      </c>
      <c r="H14">
        <v>0.05</v>
      </c>
    </row>
    <row r="15" spans="1:8" x14ac:dyDescent="0.25">
      <c r="A15" s="2" t="s">
        <v>106</v>
      </c>
      <c r="B15" s="2" t="s">
        <v>107</v>
      </c>
      <c r="C15">
        <f t="shared" si="0"/>
        <v>2014</v>
      </c>
      <c r="D15">
        <f t="shared" si="1"/>
        <v>0.6</v>
      </c>
      <c r="F15">
        <v>1992</v>
      </c>
      <c r="G15">
        <f t="shared" si="2"/>
        <v>3</v>
      </c>
      <c r="H15">
        <v>0.05</v>
      </c>
    </row>
    <row r="16" spans="1:8" x14ac:dyDescent="0.25">
      <c r="A16" s="2" t="s">
        <v>110</v>
      </c>
      <c r="B16" s="2" t="s">
        <v>111</v>
      </c>
      <c r="C16">
        <f t="shared" si="0"/>
        <v>2012</v>
      </c>
      <c r="D16">
        <f t="shared" si="1"/>
        <v>0.2</v>
      </c>
      <c r="F16">
        <v>1994</v>
      </c>
      <c r="G16">
        <f t="shared" si="2"/>
        <v>3</v>
      </c>
      <c r="H16">
        <v>0.05</v>
      </c>
    </row>
    <row r="17" spans="1:8" x14ac:dyDescent="0.25">
      <c r="A17" s="2" t="s">
        <v>115</v>
      </c>
      <c r="B17" s="2" t="s">
        <v>116</v>
      </c>
      <c r="C17">
        <f t="shared" si="0"/>
        <v>2002</v>
      </c>
      <c r="D17">
        <f t="shared" si="1"/>
        <v>0.2</v>
      </c>
      <c r="F17">
        <v>1995</v>
      </c>
      <c r="G17">
        <f t="shared" si="2"/>
        <v>1</v>
      </c>
      <c r="H17">
        <v>0.05</v>
      </c>
    </row>
    <row r="18" spans="1:8" x14ac:dyDescent="0.25">
      <c r="A18" s="2" t="s">
        <v>122</v>
      </c>
      <c r="B18" s="2" t="s">
        <v>124</v>
      </c>
      <c r="C18">
        <f t="shared" si="0"/>
        <v>2006</v>
      </c>
      <c r="D18">
        <f t="shared" si="1"/>
        <v>0.2</v>
      </c>
      <c r="F18">
        <v>1996</v>
      </c>
      <c r="G18">
        <f t="shared" si="2"/>
        <v>3</v>
      </c>
      <c r="H18">
        <v>0.05</v>
      </c>
    </row>
    <row r="19" spans="1:8" x14ac:dyDescent="0.25">
      <c r="A19" s="2" t="s">
        <v>127</v>
      </c>
      <c r="B19" s="2" t="s">
        <v>128</v>
      </c>
      <c r="C19">
        <f t="shared" si="0"/>
        <v>2016</v>
      </c>
      <c r="D19">
        <f t="shared" si="1"/>
        <v>0.85</v>
      </c>
      <c r="F19">
        <v>1997</v>
      </c>
      <c r="G19">
        <f t="shared" si="2"/>
        <v>2</v>
      </c>
      <c r="H19">
        <v>0.05</v>
      </c>
    </row>
    <row r="20" spans="1:8" x14ac:dyDescent="0.25">
      <c r="A20" s="2" t="s">
        <v>131</v>
      </c>
      <c r="B20" s="2" t="s">
        <v>133</v>
      </c>
      <c r="C20">
        <f t="shared" si="0"/>
        <v>2017</v>
      </c>
      <c r="D20">
        <f t="shared" si="1"/>
        <v>1</v>
      </c>
      <c r="F20">
        <v>1998</v>
      </c>
      <c r="G20">
        <f t="shared" si="2"/>
        <v>1</v>
      </c>
      <c r="H20">
        <v>0.05</v>
      </c>
    </row>
    <row r="21" spans="1:8" x14ac:dyDescent="0.25">
      <c r="A21" s="2" t="s">
        <v>136</v>
      </c>
      <c r="B21" s="2" t="s">
        <v>137</v>
      </c>
      <c r="C21">
        <f t="shared" si="0"/>
        <v>2018</v>
      </c>
      <c r="D21">
        <f t="shared" si="1"/>
        <v>1</v>
      </c>
      <c r="F21">
        <v>2000</v>
      </c>
      <c r="G21">
        <f t="shared" si="2"/>
        <v>3</v>
      </c>
      <c r="H21">
        <v>0.2</v>
      </c>
    </row>
    <row r="22" spans="1:8" x14ac:dyDescent="0.25">
      <c r="A22" s="2" t="s">
        <v>143</v>
      </c>
      <c r="B22" s="2" t="s">
        <v>144</v>
      </c>
      <c r="C22">
        <f t="shared" si="0"/>
        <v>1987</v>
      </c>
      <c r="D22">
        <f t="shared" si="1"/>
        <v>0.05</v>
      </c>
      <c r="F22">
        <v>2001</v>
      </c>
      <c r="G22">
        <f t="shared" si="2"/>
        <v>1</v>
      </c>
      <c r="H22">
        <v>0.2</v>
      </c>
    </row>
    <row r="23" spans="1:8" x14ac:dyDescent="0.25">
      <c r="A23" s="2" t="s">
        <v>150</v>
      </c>
      <c r="B23" s="2" t="s">
        <v>151</v>
      </c>
      <c r="C23">
        <f t="shared" si="0"/>
        <v>2017</v>
      </c>
      <c r="D23">
        <f t="shared" si="1"/>
        <v>1</v>
      </c>
      <c r="F23">
        <v>2002</v>
      </c>
      <c r="G23">
        <f t="shared" si="2"/>
        <v>2</v>
      </c>
      <c r="H23">
        <v>0.2</v>
      </c>
    </row>
    <row r="24" spans="1:8" x14ac:dyDescent="0.25">
      <c r="A24" s="2" t="s">
        <v>153</v>
      </c>
      <c r="B24" s="2" t="s">
        <v>154</v>
      </c>
      <c r="C24">
        <f t="shared" si="0"/>
        <v>2016</v>
      </c>
      <c r="D24">
        <f t="shared" si="1"/>
        <v>0.85</v>
      </c>
      <c r="F24">
        <v>2003</v>
      </c>
      <c r="G24">
        <f t="shared" si="2"/>
        <v>1</v>
      </c>
      <c r="H24">
        <v>0.2</v>
      </c>
    </row>
    <row r="25" spans="1:8" x14ac:dyDescent="0.25">
      <c r="A25" s="2" t="s">
        <v>160</v>
      </c>
      <c r="B25" s="2" t="s">
        <v>161</v>
      </c>
      <c r="C25">
        <f t="shared" si="0"/>
        <v>2016</v>
      </c>
      <c r="D25">
        <f t="shared" si="1"/>
        <v>0.85</v>
      </c>
      <c r="F25">
        <v>2004</v>
      </c>
      <c r="G25">
        <f t="shared" si="2"/>
        <v>1</v>
      </c>
      <c r="H25">
        <v>0.2</v>
      </c>
    </row>
    <row r="26" spans="1:8" x14ac:dyDescent="0.25">
      <c r="A26" s="2" t="s">
        <v>168</v>
      </c>
      <c r="B26" s="2" t="s">
        <v>161</v>
      </c>
      <c r="C26">
        <f t="shared" si="0"/>
        <v>2016</v>
      </c>
      <c r="D26">
        <f t="shared" si="1"/>
        <v>0.85</v>
      </c>
      <c r="F26">
        <v>2005</v>
      </c>
      <c r="G26">
        <f t="shared" si="2"/>
        <v>1</v>
      </c>
      <c r="H26">
        <v>0.2</v>
      </c>
    </row>
    <row r="27" spans="1:8" x14ac:dyDescent="0.25">
      <c r="A27" s="2" t="s">
        <v>172</v>
      </c>
      <c r="B27" s="2" t="s">
        <v>173</v>
      </c>
      <c r="C27">
        <f t="shared" si="0"/>
        <v>2016</v>
      </c>
      <c r="D27">
        <f t="shared" si="1"/>
        <v>0.85</v>
      </c>
      <c r="F27">
        <v>2006</v>
      </c>
      <c r="G27">
        <f t="shared" si="2"/>
        <v>7</v>
      </c>
      <c r="H27">
        <v>0.2</v>
      </c>
    </row>
    <row r="28" spans="1:8" x14ac:dyDescent="0.25">
      <c r="A28" s="2" t="s">
        <v>177</v>
      </c>
      <c r="B28" s="2" t="s">
        <v>173</v>
      </c>
      <c r="C28">
        <f t="shared" si="0"/>
        <v>2016</v>
      </c>
      <c r="D28">
        <f t="shared" si="1"/>
        <v>0.85</v>
      </c>
      <c r="F28">
        <v>2007</v>
      </c>
      <c r="G28">
        <f t="shared" si="2"/>
        <v>1</v>
      </c>
      <c r="H28">
        <v>0.2</v>
      </c>
    </row>
    <row r="29" spans="1:8" x14ac:dyDescent="0.25">
      <c r="A29" s="2" t="s">
        <v>180</v>
      </c>
      <c r="B29" s="2" t="s">
        <v>173</v>
      </c>
      <c r="C29">
        <f t="shared" si="0"/>
        <v>2016</v>
      </c>
      <c r="D29">
        <f t="shared" si="1"/>
        <v>0.85</v>
      </c>
      <c r="F29">
        <v>2008</v>
      </c>
      <c r="G29">
        <f t="shared" si="2"/>
        <v>3</v>
      </c>
      <c r="H29">
        <v>0.2</v>
      </c>
    </row>
    <row r="30" spans="1:8" x14ac:dyDescent="0.25">
      <c r="A30" s="2" t="s">
        <v>183</v>
      </c>
      <c r="B30" s="2" t="s">
        <v>173</v>
      </c>
      <c r="C30">
        <f t="shared" si="0"/>
        <v>2016</v>
      </c>
      <c r="D30">
        <f t="shared" si="1"/>
        <v>0.85</v>
      </c>
      <c r="F30">
        <v>2009</v>
      </c>
      <c r="G30">
        <f t="shared" si="2"/>
        <v>9</v>
      </c>
      <c r="H30">
        <v>0.2</v>
      </c>
    </row>
    <row r="31" spans="1:8" x14ac:dyDescent="0.25">
      <c r="A31" s="2" t="s">
        <v>186</v>
      </c>
      <c r="B31" s="2" t="s">
        <v>187</v>
      </c>
      <c r="C31">
        <f t="shared" si="0"/>
        <v>2016</v>
      </c>
      <c r="D31">
        <f t="shared" si="1"/>
        <v>0.85</v>
      </c>
      <c r="F31">
        <v>2010</v>
      </c>
      <c r="G31">
        <f t="shared" si="2"/>
        <v>13</v>
      </c>
      <c r="H31">
        <v>0.2</v>
      </c>
    </row>
    <row r="32" spans="1:8" x14ac:dyDescent="0.25">
      <c r="A32" s="2" t="s">
        <v>191</v>
      </c>
      <c r="B32" s="2" t="s">
        <v>192</v>
      </c>
      <c r="C32">
        <f t="shared" si="0"/>
        <v>2017</v>
      </c>
      <c r="D32">
        <f t="shared" si="1"/>
        <v>1</v>
      </c>
      <c r="F32">
        <v>2011</v>
      </c>
      <c r="G32">
        <f t="shared" si="2"/>
        <v>11</v>
      </c>
      <c r="H32">
        <v>0.2</v>
      </c>
    </row>
    <row r="33" spans="1:8" x14ac:dyDescent="0.25">
      <c r="A33" s="2" t="s">
        <v>196</v>
      </c>
      <c r="B33" s="2" t="s">
        <v>197</v>
      </c>
      <c r="C33">
        <f t="shared" si="0"/>
        <v>2016</v>
      </c>
      <c r="D33">
        <f t="shared" si="1"/>
        <v>0.85</v>
      </c>
      <c r="F33">
        <v>2012</v>
      </c>
      <c r="G33">
        <f t="shared" si="2"/>
        <v>7</v>
      </c>
      <c r="H33">
        <v>0.2</v>
      </c>
    </row>
    <row r="34" spans="1:8" x14ac:dyDescent="0.25">
      <c r="A34" s="2" t="s">
        <v>200</v>
      </c>
      <c r="B34" s="2" t="s">
        <v>201</v>
      </c>
      <c r="C34">
        <f t="shared" si="0"/>
        <v>2016</v>
      </c>
      <c r="D34">
        <f t="shared" si="1"/>
        <v>0.85</v>
      </c>
      <c r="F34">
        <v>2013</v>
      </c>
      <c r="G34">
        <f t="shared" si="2"/>
        <v>30</v>
      </c>
      <c r="H34">
        <v>0.6</v>
      </c>
    </row>
    <row r="35" spans="1:8" x14ac:dyDescent="0.25">
      <c r="A35" s="2" t="s">
        <v>204</v>
      </c>
      <c r="B35" s="2" t="s">
        <v>205</v>
      </c>
      <c r="C35">
        <f t="shared" si="0"/>
        <v>2016</v>
      </c>
      <c r="D35">
        <f t="shared" si="1"/>
        <v>0.85</v>
      </c>
      <c r="F35">
        <v>2014</v>
      </c>
      <c r="G35">
        <f t="shared" si="2"/>
        <v>24</v>
      </c>
      <c r="H35">
        <v>0.6</v>
      </c>
    </row>
    <row r="36" spans="1:8" x14ac:dyDescent="0.25">
      <c r="A36" s="2" t="s">
        <v>208</v>
      </c>
      <c r="B36" s="2" t="s">
        <v>205</v>
      </c>
      <c r="C36">
        <f t="shared" si="0"/>
        <v>2016</v>
      </c>
      <c r="D36">
        <f t="shared" si="1"/>
        <v>0.85</v>
      </c>
      <c r="F36">
        <v>2015</v>
      </c>
      <c r="G36">
        <f t="shared" si="2"/>
        <v>28</v>
      </c>
      <c r="H36">
        <v>0.6</v>
      </c>
    </row>
    <row r="37" spans="1:8" x14ac:dyDescent="0.25">
      <c r="A37" s="2" t="s">
        <v>211</v>
      </c>
      <c r="B37" s="2" t="s">
        <v>205</v>
      </c>
      <c r="C37">
        <f t="shared" si="0"/>
        <v>2016</v>
      </c>
      <c r="D37">
        <f t="shared" si="1"/>
        <v>0.85</v>
      </c>
      <c r="F37">
        <v>2016</v>
      </c>
      <c r="G37">
        <f t="shared" si="2"/>
        <v>40</v>
      </c>
      <c r="H37">
        <v>0.85</v>
      </c>
    </row>
    <row r="38" spans="1:8" x14ac:dyDescent="0.25">
      <c r="A38" s="2" t="s">
        <v>213</v>
      </c>
      <c r="B38" s="2" t="s">
        <v>205</v>
      </c>
      <c r="C38">
        <f t="shared" si="0"/>
        <v>2016</v>
      </c>
      <c r="D38">
        <f t="shared" si="1"/>
        <v>0.85</v>
      </c>
      <c r="F38">
        <v>2017</v>
      </c>
      <c r="G38">
        <f t="shared" si="2"/>
        <v>8</v>
      </c>
      <c r="H38">
        <v>1</v>
      </c>
    </row>
    <row r="39" spans="1:8" x14ac:dyDescent="0.25">
      <c r="A39" s="2" t="s">
        <v>215</v>
      </c>
      <c r="B39" s="2" t="s">
        <v>205</v>
      </c>
      <c r="C39">
        <f t="shared" si="0"/>
        <v>2016</v>
      </c>
      <c r="D39">
        <f t="shared" si="1"/>
        <v>0.85</v>
      </c>
      <c r="F39">
        <v>2018</v>
      </c>
      <c r="G39">
        <f t="shared" si="2"/>
        <v>1</v>
      </c>
      <c r="H39">
        <v>1</v>
      </c>
    </row>
    <row r="40" spans="1:8" x14ac:dyDescent="0.25">
      <c r="A40" s="2" t="s">
        <v>217</v>
      </c>
      <c r="B40" s="2" t="s">
        <v>205</v>
      </c>
      <c r="C40">
        <f t="shared" si="0"/>
        <v>2016</v>
      </c>
      <c r="D40">
        <f t="shared" si="1"/>
        <v>0.85</v>
      </c>
    </row>
    <row r="41" spans="1:8" x14ac:dyDescent="0.25">
      <c r="A41" s="2" t="s">
        <v>219</v>
      </c>
      <c r="B41" s="2" t="s">
        <v>205</v>
      </c>
      <c r="C41">
        <f t="shared" si="0"/>
        <v>2016</v>
      </c>
      <c r="D41">
        <f t="shared" si="1"/>
        <v>0.85</v>
      </c>
    </row>
    <row r="42" spans="1:8" x14ac:dyDescent="0.25">
      <c r="A42" s="2" t="s">
        <v>221</v>
      </c>
      <c r="B42" s="2" t="s">
        <v>223</v>
      </c>
      <c r="C42">
        <f t="shared" si="0"/>
        <v>2017</v>
      </c>
      <c r="D42">
        <f t="shared" si="1"/>
        <v>1</v>
      </c>
    </row>
    <row r="43" spans="1:8" x14ac:dyDescent="0.25">
      <c r="A43" s="2" t="s">
        <v>227</v>
      </c>
      <c r="B43" s="2" t="s">
        <v>228</v>
      </c>
      <c r="C43">
        <f t="shared" si="0"/>
        <v>2016</v>
      </c>
      <c r="D43">
        <f t="shared" si="1"/>
        <v>0.85</v>
      </c>
    </row>
    <row r="44" spans="1:8" x14ac:dyDescent="0.25">
      <c r="A44" s="2" t="s">
        <v>233</v>
      </c>
      <c r="B44" s="2" t="s">
        <v>234</v>
      </c>
      <c r="C44">
        <f t="shared" si="0"/>
        <v>2016</v>
      </c>
      <c r="D44">
        <f t="shared" si="1"/>
        <v>0.85</v>
      </c>
    </row>
    <row r="45" spans="1:8" x14ac:dyDescent="0.25">
      <c r="A45" s="2" t="s">
        <v>240</v>
      </c>
      <c r="B45" s="2" t="s">
        <v>234</v>
      </c>
      <c r="C45">
        <f t="shared" si="0"/>
        <v>2016</v>
      </c>
      <c r="D45">
        <f t="shared" si="1"/>
        <v>0.85</v>
      </c>
    </row>
    <row r="46" spans="1:8" x14ac:dyDescent="0.25">
      <c r="A46" s="2" t="s">
        <v>245</v>
      </c>
      <c r="B46" s="2" t="s">
        <v>234</v>
      </c>
      <c r="C46">
        <f t="shared" si="0"/>
        <v>2016</v>
      </c>
      <c r="D46">
        <f t="shared" si="1"/>
        <v>0.85</v>
      </c>
    </row>
    <row r="47" spans="1:8" x14ac:dyDescent="0.25">
      <c r="A47" s="2" t="s">
        <v>248</v>
      </c>
      <c r="B47" s="2" t="s">
        <v>249</v>
      </c>
      <c r="C47">
        <f t="shared" si="0"/>
        <v>2016</v>
      </c>
      <c r="D47">
        <f t="shared" si="1"/>
        <v>0.85</v>
      </c>
    </row>
    <row r="48" spans="1:8" x14ac:dyDescent="0.25">
      <c r="A48" s="2" t="s">
        <v>254</v>
      </c>
      <c r="B48" s="2" t="s">
        <v>234</v>
      </c>
      <c r="C48">
        <f t="shared" si="0"/>
        <v>2016</v>
      </c>
      <c r="D48">
        <f t="shared" si="1"/>
        <v>0.85</v>
      </c>
    </row>
    <row r="49" spans="1:4" x14ac:dyDescent="0.25">
      <c r="A49" s="2" t="s">
        <v>260</v>
      </c>
      <c r="B49" s="2" t="s">
        <v>261</v>
      </c>
      <c r="C49">
        <f t="shared" si="0"/>
        <v>2016</v>
      </c>
      <c r="D49">
        <f t="shared" si="1"/>
        <v>0.85</v>
      </c>
    </row>
    <row r="50" spans="1:4" x14ac:dyDescent="0.25">
      <c r="A50" s="2" t="s">
        <v>266</v>
      </c>
      <c r="B50" s="2" t="s">
        <v>267</v>
      </c>
      <c r="C50">
        <f t="shared" si="0"/>
        <v>2017</v>
      </c>
      <c r="D50">
        <f t="shared" si="1"/>
        <v>1</v>
      </c>
    </row>
    <row r="51" spans="1:4" x14ac:dyDescent="0.25">
      <c r="A51" s="2" t="s">
        <v>271</v>
      </c>
      <c r="B51" s="2" t="s">
        <v>272</v>
      </c>
      <c r="C51">
        <f t="shared" si="0"/>
        <v>2017</v>
      </c>
      <c r="D51">
        <f t="shared" si="1"/>
        <v>1</v>
      </c>
    </row>
    <row r="52" spans="1:4" x14ac:dyDescent="0.25">
      <c r="A52" s="2" t="s">
        <v>276</v>
      </c>
      <c r="B52" s="2" t="s">
        <v>277</v>
      </c>
      <c r="C52">
        <f t="shared" si="0"/>
        <v>2017</v>
      </c>
      <c r="D52">
        <f t="shared" si="1"/>
        <v>1</v>
      </c>
    </row>
    <row r="53" spans="1:4" x14ac:dyDescent="0.25">
      <c r="A53" s="2" t="s">
        <v>283</v>
      </c>
      <c r="B53" s="2" t="s">
        <v>284</v>
      </c>
      <c r="C53">
        <f t="shared" si="0"/>
        <v>2016</v>
      </c>
      <c r="D53">
        <f t="shared" si="1"/>
        <v>0.85</v>
      </c>
    </row>
    <row r="54" spans="1:4" x14ac:dyDescent="0.25">
      <c r="A54" s="2" t="s">
        <v>291</v>
      </c>
      <c r="B54" s="2" t="s">
        <v>284</v>
      </c>
      <c r="C54">
        <f t="shared" si="0"/>
        <v>2016</v>
      </c>
      <c r="D54">
        <f t="shared" si="1"/>
        <v>0.85</v>
      </c>
    </row>
    <row r="55" spans="1:4" x14ac:dyDescent="0.25">
      <c r="A55" s="2" t="s">
        <v>296</v>
      </c>
      <c r="B55" s="2" t="s">
        <v>297</v>
      </c>
      <c r="C55">
        <f t="shared" si="0"/>
        <v>2016</v>
      </c>
      <c r="D55">
        <f t="shared" si="1"/>
        <v>0.85</v>
      </c>
    </row>
    <row r="56" spans="1:4" x14ac:dyDescent="0.25">
      <c r="A56" s="2" t="s">
        <v>302</v>
      </c>
      <c r="B56" s="2" t="s">
        <v>297</v>
      </c>
      <c r="C56">
        <f t="shared" si="0"/>
        <v>2016</v>
      </c>
      <c r="D56">
        <f t="shared" si="1"/>
        <v>0.85</v>
      </c>
    </row>
    <row r="57" spans="1:4" x14ac:dyDescent="0.25">
      <c r="A57" s="2" t="s">
        <v>307</v>
      </c>
      <c r="B57" s="2" t="s">
        <v>297</v>
      </c>
      <c r="C57">
        <f t="shared" si="0"/>
        <v>2016</v>
      </c>
      <c r="D57">
        <f t="shared" si="1"/>
        <v>0.85</v>
      </c>
    </row>
    <row r="58" spans="1:4" x14ac:dyDescent="0.25">
      <c r="A58" s="2" t="s">
        <v>311</v>
      </c>
      <c r="B58" s="2" t="s">
        <v>312</v>
      </c>
      <c r="C58">
        <f t="shared" si="0"/>
        <v>2017</v>
      </c>
      <c r="D58">
        <f t="shared" si="1"/>
        <v>1</v>
      </c>
    </row>
    <row r="59" spans="1:4" x14ac:dyDescent="0.25">
      <c r="A59" s="2" t="s">
        <v>317</v>
      </c>
      <c r="B59" s="2" t="s">
        <v>318</v>
      </c>
      <c r="C59">
        <f t="shared" si="0"/>
        <v>2016</v>
      </c>
      <c r="D59">
        <f t="shared" si="1"/>
        <v>0.85</v>
      </c>
    </row>
    <row r="60" spans="1:4" x14ac:dyDescent="0.25">
      <c r="A60" s="2" t="s">
        <v>325</v>
      </c>
      <c r="B60" s="2" t="s">
        <v>326</v>
      </c>
      <c r="C60">
        <f t="shared" si="0"/>
        <v>2015</v>
      </c>
      <c r="D60">
        <f t="shared" si="1"/>
        <v>0.6</v>
      </c>
    </row>
    <row r="61" spans="1:4" x14ac:dyDescent="0.25">
      <c r="A61" s="2" t="s">
        <v>331</v>
      </c>
      <c r="B61" s="2" t="s">
        <v>332</v>
      </c>
      <c r="C61">
        <f t="shared" si="0"/>
        <v>2016</v>
      </c>
      <c r="D61">
        <f t="shared" si="1"/>
        <v>0.85</v>
      </c>
    </row>
    <row r="62" spans="1:4" x14ac:dyDescent="0.25">
      <c r="A62" s="2" t="s">
        <v>335</v>
      </c>
      <c r="B62" s="2" t="s">
        <v>332</v>
      </c>
      <c r="C62">
        <f t="shared" si="0"/>
        <v>2016</v>
      </c>
      <c r="D62">
        <f t="shared" si="1"/>
        <v>0.85</v>
      </c>
    </row>
    <row r="63" spans="1:4" x14ac:dyDescent="0.25">
      <c r="A63" s="2" t="s">
        <v>338</v>
      </c>
      <c r="B63" s="2" t="s">
        <v>339</v>
      </c>
      <c r="C63">
        <f t="shared" si="0"/>
        <v>2015</v>
      </c>
      <c r="D63">
        <f t="shared" si="1"/>
        <v>0.6</v>
      </c>
    </row>
    <row r="64" spans="1:4" x14ac:dyDescent="0.25">
      <c r="A64" s="2" t="s">
        <v>342</v>
      </c>
      <c r="B64" s="2" t="s">
        <v>339</v>
      </c>
      <c r="C64">
        <f t="shared" si="0"/>
        <v>2015</v>
      </c>
      <c r="D64">
        <f t="shared" si="1"/>
        <v>0.6</v>
      </c>
    </row>
    <row r="65" spans="1:4" x14ac:dyDescent="0.25">
      <c r="A65" s="2" t="s">
        <v>345</v>
      </c>
      <c r="B65" s="2" t="s">
        <v>346</v>
      </c>
      <c r="C65">
        <f t="shared" si="0"/>
        <v>2015</v>
      </c>
      <c r="D65">
        <f t="shared" si="1"/>
        <v>0.6</v>
      </c>
    </row>
    <row r="66" spans="1:4" x14ac:dyDescent="0.25">
      <c r="A66" s="2" t="s">
        <v>349</v>
      </c>
      <c r="B66" s="2" t="s">
        <v>346</v>
      </c>
      <c r="C66">
        <f t="shared" si="0"/>
        <v>2015</v>
      </c>
      <c r="D66">
        <f t="shared" si="1"/>
        <v>0.6</v>
      </c>
    </row>
    <row r="67" spans="1:4" x14ac:dyDescent="0.25">
      <c r="A67" s="2" t="s">
        <v>352</v>
      </c>
      <c r="B67" s="2" t="s">
        <v>346</v>
      </c>
      <c r="C67">
        <f t="shared" ref="C67:C130" si="3">YEAR(B67)</f>
        <v>2015</v>
      </c>
      <c r="D67">
        <f t="shared" ref="D67:D130" si="4">VLOOKUP(C67,$F$1:$H$39,3,0)</f>
        <v>0.6</v>
      </c>
    </row>
    <row r="68" spans="1:4" x14ac:dyDescent="0.25">
      <c r="A68" s="2" t="s">
        <v>355</v>
      </c>
      <c r="B68" s="2" t="s">
        <v>346</v>
      </c>
      <c r="C68">
        <f t="shared" si="3"/>
        <v>2015</v>
      </c>
      <c r="D68">
        <f t="shared" si="4"/>
        <v>0.6</v>
      </c>
    </row>
    <row r="69" spans="1:4" x14ac:dyDescent="0.25">
      <c r="A69" s="2" t="s">
        <v>358</v>
      </c>
      <c r="B69" s="2" t="s">
        <v>346</v>
      </c>
      <c r="C69">
        <f t="shared" si="3"/>
        <v>2015</v>
      </c>
      <c r="D69">
        <f t="shared" si="4"/>
        <v>0.6</v>
      </c>
    </row>
    <row r="70" spans="1:4" x14ac:dyDescent="0.25">
      <c r="A70" s="2" t="s">
        <v>361</v>
      </c>
      <c r="B70" s="2" t="s">
        <v>346</v>
      </c>
      <c r="C70">
        <f t="shared" si="3"/>
        <v>2015</v>
      </c>
      <c r="D70">
        <f t="shared" si="4"/>
        <v>0.6</v>
      </c>
    </row>
    <row r="71" spans="1:4" x14ac:dyDescent="0.25">
      <c r="A71" s="2" t="s">
        <v>364</v>
      </c>
      <c r="B71" s="2" t="s">
        <v>365</v>
      </c>
      <c r="C71">
        <f t="shared" si="3"/>
        <v>2016</v>
      </c>
      <c r="D71">
        <f t="shared" si="4"/>
        <v>0.85</v>
      </c>
    </row>
    <row r="72" spans="1:4" x14ac:dyDescent="0.25">
      <c r="A72" s="2" t="s">
        <v>369</v>
      </c>
      <c r="B72" s="2" t="s">
        <v>370</v>
      </c>
      <c r="C72">
        <f t="shared" si="3"/>
        <v>2016</v>
      </c>
      <c r="D72">
        <f t="shared" si="4"/>
        <v>0.85</v>
      </c>
    </row>
    <row r="73" spans="1:4" x14ac:dyDescent="0.25">
      <c r="A73" s="2" t="s">
        <v>374</v>
      </c>
      <c r="B73" s="2" t="s">
        <v>375</v>
      </c>
      <c r="C73">
        <f t="shared" si="3"/>
        <v>2016</v>
      </c>
      <c r="D73">
        <f t="shared" si="4"/>
        <v>0.85</v>
      </c>
    </row>
    <row r="74" spans="1:4" x14ac:dyDescent="0.25">
      <c r="A74" s="2" t="s">
        <v>378</v>
      </c>
      <c r="B74" s="2" t="s">
        <v>379</v>
      </c>
      <c r="C74">
        <f t="shared" si="3"/>
        <v>2015</v>
      </c>
      <c r="D74">
        <f t="shared" si="4"/>
        <v>0.6</v>
      </c>
    </row>
    <row r="75" spans="1:4" x14ac:dyDescent="0.25">
      <c r="A75" s="2" t="s">
        <v>382</v>
      </c>
      <c r="B75" s="2" t="s">
        <v>379</v>
      </c>
      <c r="C75">
        <f t="shared" si="3"/>
        <v>2015</v>
      </c>
      <c r="D75">
        <f t="shared" si="4"/>
        <v>0.6</v>
      </c>
    </row>
    <row r="76" spans="1:4" x14ac:dyDescent="0.25">
      <c r="A76" s="2" t="s">
        <v>384</v>
      </c>
      <c r="B76" s="2" t="s">
        <v>379</v>
      </c>
      <c r="C76">
        <f t="shared" si="3"/>
        <v>2015</v>
      </c>
      <c r="D76">
        <f t="shared" si="4"/>
        <v>0.6</v>
      </c>
    </row>
    <row r="77" spans="1:4" x14ac:dyDescent="0.25">
      <c r="A77" s="2" t="s">
        <v>387</v>
      </c>
      <c r="B77" s="2" t="s">
        <v>379</v>
      </c>
      <c r="C77">
        <f t="shared" si="3"/>
        <v>2015</v>
      </c>
      <c r="D77">
        <f t="shared" si="4"/>
        <v>0.6</v>
      </c>
    </row>
    <row r="78" spans="1:4" x14ac:dyDescent="0.25">
      <c r="A78" s="2" t="s">
        <v>389</v>
      </c>
      <c r="B78" s="2" t="s">
        <v>379</v>
      </c>
      <c r="C78">
        <f t="shared" si="3"/>
        <v>2015</v>
      </c>
      <c r="D78">
        <f t="shared" si="4"/>
        <v>0.6</v>
      </c>
    </row>
    <row r="79" spans="1:4" x14ac:dyDescent="0.25">
      <c r="A79" s="2" t="s">
        <v>391</v>
      </c>
      <c r="B79" s="2" t="s">
        <v>379</v>
      </c>
      <c r="C79">
        <f t="shared" si="3"/>
        <v>2015</v>
      </c>
      <c r="D79">
        <f t="shared" si="4"/>
        <v>0.6</v>
      </c>
    </row>
    <row r="80" spans="1:4" x14ac:dyDescent="0.25">
      <c r="A80" s="2" t="s">
        <v>393</v>
      </c>
      <c r="B80" s="2" t="s">
        <v>379</v>
      </c>
      <c r="C80">
        <f t="shared" si="3"/>
        <v>2015</v>
      </c>
      <c r="D80">
        <f t="shared" si="4"/>
        <v>0.6</v>
      </c>
    </row>
    <row r="81" spans="1:4" x14ac:dyDescent="0.25">
      <c r="A81" s="2" t="s">
        <v>395</v>
      </c>
      <c r="B81" s="2" t="s">
        <v>396</v>
      </c>
      <c r="C81">
        <f t="shared" si="3"/>
        <v>2015</v>
      </c>
      <c r="D81">
        <f t="shared" si="4"/>
        <v>0.6</v>
      </c>
    </row>
    <row r="82" spans="1:4" x14ac:dyDescent="0.25">
      <c r="A82" s="2" t="s">
        <v>400</v>
      </c>
      <c r="B82" s="2" t="s">
        <v>401</v>
      </c>
      <c r="C82">
        <f t="shared" si="3"/>
        <v>2015</v>
      </c>
      <c r="D82">
        <f t="shared" si="4"/>
        <v>0.6</v>
      </c>
    </row>
    <row r="83" spans="1:4" x14ac:dyDescent="0.25">
      <c r="A83" s="2" t="s">
        <v>404</v>
      </c>
      <c r="B83" s="2" t="s">
        <v>405</v>
      </c>
      <c r="C83">
        <f t="shared" si="3"/>
        <v>2016</v>
      </c>
      <c r="D83">
        <f t="shared" si="4"/>
        <v>0.85</v>
      </c>
    </row>
    <row r="84" spans="1:4" x14ac:dyDescent="0.25">
      <c r="A84" s="2" t="s">
        <v>408</v>
      </c>
      <c r="B84" s="2" t="s">
        <v>409</v>
      </c>
      <c r="C84">
        <f t="shared" si="3"/>
        <v>2016</v>
      </c>
      <c r="D84">
        <f t="shared" si="4"/>
        <v>0.85</v>
      </c>
    </row>
    <row r="85" spans="1:4" x14ac:dyDescent="0.25">
      <c r="A85" s="2" t="s">
        <v>415</v>
      </c>
      <c r="B85" s="2" t="s">
        <v>416</v>
      </c>
      <c r="C85">
        <f t="shared" si="3"/>
        <v>2015</v>
      </c>
      <c r="D85">
        <f t="shared" si="4"/>
        <v>0.6</v>
      </c>
    </row>
    <row r="86" spans="1:4" x14ac:dyDescent="0.25">
      <c r="A86" s="2" t="s">
        <v>421</v>
      </c>
      <c r="B86" s="2" t="s">
        <v>422</v>
      </c>
      <c r="C86">
        <f t="shared" si="3"/>
        <v>2016</v>
      </c>
      <c r="D86">
        <f t="shared" si="4"/>
        <v>0.85</v>
      </c>
    </row>
    <row r="87" spans="1:4" x14ac:dyDescent="0.25">
      <c r="A87" s="2" t="s">
        <v>426</v>
      </c>
      <c r="B87" s="2" t="s">
        <v>427</v>
      </c>
      <c r="C87">
        <f t="shared" si="3"/>
        <v>2015</v>
      </c>
      <c r="D87">
        <f t="shared" si="4"/>
        <v>0.6</v>
      </c>
    </row>
    <row r="88" spans="1:4" x14ac:dyDescent="0.25">
      <c r="A88" s="2" t="s">
        <v>432</v>
      </c>
      <c r="B88" s="2" t="s">
        <v>433</v>
      </c>
      <c r="C88">
        <f t="shared" si="3"/>
        <v>2015</v>
      </c>
      <c r="D88">
        <f t="shared" si="4"/>
        <v>0.6</v>
      </c>
    </row>
    <row r="89" spans="1:4" x14ac:dyDescent="0.25">
      <c r="A89" s="2" t="s">
        <v>437</v>
      </c>
      <c r="B89" s="2" t="s">
        <v>438</v>
      </c>
      <c r="C89">
        <f t="shared" si="3"/>
        <v>2016</v>
      </c>
      <c r="D89">
        <f t="shared" si="4"/>
        <v>0.85</v>
      </c>
    </row>
    <row r="90" spans="1:4" x14ac:dyDescent="0.25">
      <c r="A90" s="2" t="s">
        <v>442</v>
      </c>
      <c r="B90" s="2" t="s">
        <v>443</v>
      </c>
      <c r="C90">
        <f t="shared" si="3"/>
        <v>2014</v>
      </c>
      <c r="D90">
        <f t="shared" si="4"/>
        <v>0.6</v>
      </c>
    </row>
    <row r="91" spans="1:4" x14ac:dyDescent="0.25">
      <c r="A91" s="2" t="s">
        <v>447</v>
      </c>
      <c r="B91" s="2" t="s">
        <v>443</v>
      </c>
      <c r="C91">
        <f t="shared" si="3"/>
        <v>2014</v>
      </c>
      <c r="D91">
        <f t="shared" si="4"/>
        <v>0.6</v>
      </c>
    </row>
    <row r="92" spans="1:4" x14ac:dyDescent="0.25">
      <c r="A92" s="2" t="s">
        <v>452</v>
      </c>
      <c r="B92" s="2" t="s">
        <v>453</v>
      </c>
      <c r="C92">
        <f t="shared" si="3"/>
        <v>2014</v>
      </c>
      <c r="D92">
        <f t="shared" si="4"/>
        <v>0.6</v>
      </c>
    </row>
    <row r="93" spans="1:4" x14ac:dyDescent="0.25">
      <c r="A93" s="2" t="s">
        <v>458</v>
      </c>
      <c r="B93" s="2" t="s">
        <v>459</v>
      </c>
      <c r="C93">
        <f t="shared" si="3"/>
        <v>2014</v>
      </c>
      <c r="D93">
        <f t="shared" si="4"/>
        <v>0.6</v>
      </c>
    </row>
    <row r="94" spans="1:4" x14ac:dyDescent="0.25">
      <c r="A94" s="2" t="s">
        <v>463</v>
      </c>
      <c r="B94" s="2" t="s">
        <v>459</v>
      </c>
      <c r="C94">
        <f t="shared" si="3"/>
        <v>2014</v>
      </c>
      <c r="D94">
        <f t="shared" si="4"/>
        <v>0.6</v>
      </c>
    </row>
    <row r="95" spans="1:4" x14ac:dyDescent="0.25">
      <c r="A95" s="2" t="s">
        <v>466</v>
      </c>
      <c r="B95" s="2" t="s">
        <v>459</v>
      </c>
      <c r="C95">
        <f t="shared" si="3"/>
        <v>2014</v>
      </c>
      <c r="D95">
        <f t="shared" si="4"/>
        <v>0.6</v>
      </c>
    </row>
    <row r="96" spans="1:4" x14ac:dyDescent="0.25">
      <c r="A96" s="2" t="s">
        <v>469</v>
      </c>
      <c r="B96" s="2" t="s">
        <v>459</v>
      </c>
      <c r="C96">
        <f t="shared" si="3"/>
        <v>2014</v>
      </c>
      <c r="D96">
        <f t="shared" si="4"/>
        <v>0.6</v>
      </c>
    </row>
    <row r="97" spans="1:4" x14ac:dyDescent="0.25">
      <c r="A97" s="2" t="s">
        <v>472</v>
      </c>
      <c r="B97" s="2" t="s">
        <v>473</v>
      </c>
      <c r="C97">
        <f t="shared" si="3"/>
        <v>2014</v>
      </c>
      <c r="D97">
        <f t="shared" si="4"/>
        <v>0.6</v>
      </c>
    </row>
    <row r="98" spans="1:4" x14ac:dyDescent="0.25">
      <c r="A98" s="2" t="s">
        <v>478</v>
      </c>
      <c r="B98" s="2" t="s">
        <v>479</v>
      </c>
      <c r="C98">
        <f t="shared" si="3"/>
        <v>2015</v>
      </c>
      <c r="D98">
        <f t="shared" si="4"/>
        <v>0.6</v>
      </c>
    </row>
    <row r="99" spans="1:4" x14ac:dyDescent="0.25">
      <c r="A99" s="2" t="s">
        <v>483</v>
      </c>
      <c r="B99" s="2" t="s">
        <v>326</v>
      </c>
      <c r="C99">
        <f t="shared" si="3"/>
        <v>2015</v>
      </c>
      <c r="D99">
        <f t="shared" si="4"/>
        <v>0.6</v>
      </c>
    </row>
    <row r="100" spans="1:4" x14ac:dyDescent="0.25">
      <c r="A100" s="2" t="s">
        <v>488</v>
      </c>
      <c r="B100" s="2" t="s">
        <v>124</v>
      </c>
      <c r="C100">
        <f t="shared" si="3"/>
        <v>2006</v>
      </c>
      <c r="D100">
        <f t="shared" si="4"/>
        <v>0.2</v>
      </c>
    </row>
    <row r="101" spans="1:4" x14ac:dyDescent="0.25">
      <c r="A101" s="2" t="s">
        <v>493</v>
      </c>
      <c r="B101" s="2" t="s">
        <v>494</v>
      </c>
      <c r="C101">
        <f t="shared" si="3"/>
        <v>2015</v>
      </c>
      <c r="D101">
        <f t="shared" si="4"/>
        <v>0.6</v>
      </c>
    </row>
    <row r="102" spans="1:4" x14ac:dyDescent="0.25">
      <c r="A102" s="2" t="s">
        <v>498</v>
      </c>
      <c r="B102" s="2" t="s">
        <v>499</v>
      </c>
      <c r="C102">
        <f t="shared" si="3"/>
        <v>2014</v>
      </c>
      <c r="D102">
        <f t="shared" si="4"/>
        <v>0.6</v>
      </c>
    </row>
    <row r="103" spans="1:4" x14ac:dyDescent="0.25">
      <c r="A103" s="2" t="s">
        <v>504</v>
      </c>
      <c r="B103" s="2" t="s">
        <v>505</v>
      </c>
      <c r="C103">
        <f t="shared" si="3"/>
        <v>2015</v>
      </c>
      <c r="D103">
        <f t="shared" si="4"/>
        <v>0.6</v>
      </c>
    </row>
    <row r="104" spans="1:4" x14ac:dyDescent="0.25">
      <c r="A104" s="2" t="s">
        <v>509</v>
      </c>
      <c r="B104" s="2" t="s">
        <v>510</v>
      </c>
      <c r="C104">
        <f t="shared" si="3"/>
        <v>2015</v>
      </c>
      <c r="D104">
        <f t="shared" si="4"/>
        <v>0.6</v>
      </c>
    </row>
    <row r="105" spans="1:4" x14ac:dyDescent="0.25">
      <c r="A105" s="2" t="s">
        <v>515</v>
      </c>
      <c r="B105" s="2" t="s">
        <v>516</v>
      </c>
      <c r="C105">
        <f t="shared" si="3"/>
        <v>2014</v>
      </c>
      <c r="D105">
        <f t="shared" si="4"/>
        <v>0.6</v>
      </c>
    </row>
    <row r="106" spans="1:4" x14ac:dyDescent="0.25">
      <c r="A106" s="2" t="s">
        <v>519</v>
      </c>
      <c r="B106" s="2" t="s">
        <v>520</v>
      </c>
      <c r="C106">
        <f t="shared" si="3"/>
        <v>2014</v>
      </c>
      <c r="D106">
        <f t="shared" si="4"/>
        <v>0.6</v>
      </c>
    </row>
    <row r="107" spans="1:4" x14ac:dyDescent="0.25">
      <c r="A107" s="2" t="s">
        <v>524</v>
      </c>
      <c r="B107" s="2" t="s">
        <v>525</v>
      </c>
      <c r="C107">
        <f t="shared" si="3"/>
        <v>2014</v>
      </c>
      <c r="D107">
        <f t="shared" si="4"/>
        <v>0.6</v>
      </c>
    </row>
    <row r="108" spans="1:4" x14ac:dyDescent="0.25">
      <c r="A108" s="2" t="s">
        <v>530</v>
      </c>
      <c r="B108" s="2" t="s">
        <v>531</v>
      </c>
      <c r="C108">
        <f t="shared" si="3"/>
        <v>2014</v>
      </c>
      <c r="D108">
        <f t="shared" si="4"/>
        <v>0.6</v>
      </c>
    </row>
    <row r="109" spans="1:4" x14ac:dyDescent="0.25">
      <c r="A109" s="2" t="s">
        <v>537</v>
      </c>
      <c r="B109" s="2" t="s">
        <v>538</v>
      </c>
      <c r="C109">
        <f t="shared" si="3"/>
        <v>2015</v>
      </c>
      <c r="D109">
        <f t="shared" si="4"/>
        <v>0.6</v>
      </c>
    </row>
    <row r="110" spans="1:4" x14ac:dyDescent="0.25">
      <c r="A110" s="2" t="s">
        <v>543</v>
      </c>
      <c r="B110" s="2" t="s">
        <v>544</v>
      </c>
      <c r="C110">
        <f t="shared" si="3"/>
        <v>2014</v>
      </c>
      <c r="D110">
        <f t="shared" si="4"/>
        <v>0.6</v>
      </c>
    </row>
    <row r="111" spans="1:4" x14ac:dyDescent="0.25">
      <c r="A111" s="2" t="s">
        <v>548</v>
      </c>
      <c r="B111" s="2" t="s">
        <v>549</v>
      </c>
      <c r="C111">
        <f t="shared" si="3"/>
        <v>2014</v>
      </c>
      <c r="D111">
        <f t="shared" si="4"/>
        <v>0.6</v>
      </c>
    </row>
    <row r="112" spans="1:4" x14ac:dyDescent="0.25">
      <c r="A112" s="2" t="s">
        <v>554</v>
      </c>
      <c r="B112" s="2" t="s">
        <v>555</v>
      </c>
      <c r="C112">
        <f t="shared" si="3"/>
        <v>2014</v>
      </c>
      <c r="D112">
        <f t="shared" si="4"/>
        <v>0.6</v>
      </c>
    </row>
    <row r="113" spans="1:4" x14ac:dyDescent="0.25">
      <c r="A113" s="2" t="s">
        <v>561</v>
      </c>
      <c r="B113" s="2" t="s">
        <v>562</v>
      </c>
      <c r="C113">
        <f t="shared" si="3"/>
        <v>2013</v>
      </c>
      <c r="D113">
        <f t="shared" si="4"/>
        <v>0.6</v>
      </c>
    </row>
    <row r="114" spans="1:4" x14ac:dyDescent="0.25">
      <c r="A114" s="2" t="s">
        <v>566</v>
      </c>
      <c r="B114" s="2" t="s">
        <v>567</v>
      </c>
      <c r="C114">
        <f t="shared" si="3"/>
        <v>2013</v>
      </c>
      <c r="D114">
        <f t="shared" si="4"/>
        <v>0.6</v>
      </c>
    </row>
    <row r="115" spans="1:4" x14ac:dyDescent="0.25">
      <c r="A115" s="2" t="s">
        <v>571</v>
      </c>
      <c r="B115" s="2" t="s">
        <v>567</v>
      </c>
      <c r="C115">
        <f t="shared" si="3"/>
        <v>2013</v>
      </c>
      <c r="D115">
        <f t="shared" si="4"/>
        <v>0.6</v>
      </c>
    </row>
    <row r="116" spans="1:4" x14ac:dyDescent="0.25">
      <c r="A116" s="2" t="s">
        <v>573</v>
      </c>
      <c r="B116" s="2" t="s">
        <v>567</v>
      </c>
      <c r="C116">
        <f t="shared" si="3"/>
        <v>2013</v>
      </c>
      <c r="D116">
        <f t="shared" si="4"/>
        <v>0.6</v>
      </c>
    </row>
    <row r="117" spans="1:4" x14ac:dyDescent="0.25">
      <c r="A117" s="2" t="s">
        <v>575</v>
      </c>
      <c r="B117" s="2" t="s">
        <v>567</v>
      </c>
      <c r="C117">
        <f t="shared" si="3"/>
        <v>2013</v>
      </c>
      <c r="D117">
        <f t="shared" si="4"/>
        <v>0.6</v>
      </c>
    </row>
    <row r="118" spans="1:4" x14ac:dyDescent="0.25">
      <c r="A118" s="2" t="s">
        <v>579</v>
      </c>
      <c r="B118" s="2" t="s">
        <v>567</v>
      </c>
      <c r="C118">
        <f t="shared" si="3"/>
        <v>2013</v>
      </c>
      <c r="D118">
        <f t="shared" si="4"/>
        <v>0.6</v>
      </c>
    </row>
    <row r="119" spans="1:4" x14ac:dyDescent="0.25">
      <c r="A119" s="2" t="s">
        <v>583</v>
      </c>
      <c r="B119" s="2" t="s">
        <v>567</v>
      </c>
      <c r="C119">
        <f t="shared" si="3"/>
        <v>2013</v>
      </c>
      <c r="D119">
        <f t="shared" si="4"/>
        <v>0.6</v>
      </c>
    </row>
    <row r="120" spans="1:4" x14ac:dyDescent="0.25">
      <c r="A120" s="2" t="s">
        <v>587</v>
      </c>
      <c r="B120" s="2" t="s">
        <v>567</v>
      </c>
      <c r="C120">
        <f t="shared" si="3"/>
        <v>2013</v>
      </c>
      <c r="D120">
        <f t="shared" si="4"/>
        <v>0.6</v>
      </c>
    </row>
    <row r="121" spans="1:4" x14ac:dyDescent="0.25">
      <c r="A121" s="2" t="s">
        <v>591</v>
      </c>
      <c r="B121" s="2" t="s">
        <v>567</v>
      </c>
      <c r="C121">
        <f t="shared" si="3"/>
        <v>2013</v>
      </c>
      <c r="D121">
        <f t="shared" si="4"/>
        <v>0.6</v>
      </c>
    </row>
    <row r="122" spans="1:4" x14ac:dyDescent="0.25">
      <c r="A122" s="2" t="s">
        <v>594</v>
      </c>
      <c r="B122" s="2" t="s">
        <v>567</v>
      </c>
      <c r="C122">
        <f t="shared" si="3"/>
        <v>2013</v>
      </c>
      <c r="D122">
        <f t="shared" si="4"/>
        <v>0.6</v>
      </c>
    </row>
    <row r="123" spans="1:4" x14ac:dyDescent="0.25">
      <c r="A123" s="2" t="s">
        <v>598</v>
      </c>
      <c r="B123" s="2" t="s">
        <v>567</v>
      </c>
      <c r="C123">
        <f t="shared" si="3"/>
        <v>2013</v>
      </c>
      <c r="D123">
        <f t="shared" si="4"/>
        <v>0.6</v>
      </c>
    </row>
    <row r="124" spans="1:4" x14ac:dyDescent="0.25">
      <c r="A124" s="2" t="s">
        <v>602</v>
      </c>
      <c r="B124" s="2" t="s">
        <v>567</v>
      </c>
      <c r="C124">
        <f t="shared" si="3"/>
        <v>2013</v>
      </c>
      <c r="D124">
        <f t="shared" si="4"/>
        <v>0.6</v>
      </c>
    </row>
    <row r="125" spans="1:4" x14ac:dyDescent="0.25">
      <c r="A125" s="2" t="s">
        <v>606</v>
      </c>
      <c r="B125" s="2" t="s">
        <v>567</v>
      </c>
      <c r="C125">
        <f t="shared" si="3"/>
        <v>2013</v>
      </c>
      <c r="D125">
        <f t="shared" si="4"/>
        <v>0.6</v>
      </c>
    </row>
    <row r="126" spans="1:4" x14ac:dyDescent="0.25">
      <c r="A126" s="2" t="s">
        <v>609</v>
      </c>
      <c r="B126" s="2" t="s">
        <v>567</v>
      </c>
      <c r="C126">
        <f t="shared" si="3"/>
        <v>2013</v>
      </c>
      <c r="D126">
        <f t="shared" si="4"/>
        <v>0.6</v>
      </c>
    </row>
    <row r="127" spans="1:4" x14ac:dyDescent="0.25">
      <c r="A127" s="2" t="s">
        <v>612</v>
      </c>
      <c r="B127" s="2" t="s">
        <v>567</v>
      </c>
      <c r="C127">
        <f t="shared" si="3"/>
        <v>2013</v>
      </c>
      <c r="D127">
        <f t="shared" si="4"/>
        <v>0.6</v>
      </c>
    </row>
    <row r="128" spans="1:4" x14ac:dyDescent="0.25">
      <c r="A128" s="2" t="s">
        <v>615</v>
      </c>
      <c r="B128" s="2" t="s">
        <v>567</v>
      </c>
      <c r="C128">
        <f t="shared" si="3"/>
        <v>2013</v>
      </c>
      <c r="D128">
        <f t="shared" si="4"/>
        <v>0.6</v>
      </c>
    </row>
    <row r="129" spans="1:4" x14ac:dyDescent="0.25">
      <c r="A129" s="2" t="s">
        <v>618</v>
      </c>
      <c r="B129" s="2" t="s">
        <v>567</v>
      </c>
      <c r="C129">
        <f t="shared" si="3"/>
        <v>2013</v>
      </c>
      <c r="D129">
        <f t="shared" si="4"/>
        <v>0.6</v>
      </c>
    </row>
    <row r="130" spans="1:4" x14ac:dyDescent="0.25">
      <c r="A130" s="2" t="s">
        <v>622</v>
      </c>
      <c r="B130" s="2" t="s">
        <v>623</v>
      </c>
      <c r="C130">
        <f t="shared" si="3"/>
        <v>2014</v>
      </c>
      <c r="D130">
        <f t="shared" si="4"/>
        <v>0.6</v>
      </c>
    </row>
    <row r="131" spans="1:4" x14ac:dyDescent="0.25">
      <c r="A131" s="2" t="s">
        <v>629</v>
      </c>
      <c r="B131" s="2" t="s">
        <v>630</v>
      </c>
      <c r="C131">
        <f t="shared" ref="C131:C194" si="5">YEAR(B131)</f>
        <v>2014</v>
      </c>
      <c r="D131">
        <f t="shared" ref="D131:D194" si="6">VLOOKUP(C131,$F$1:$H$39,3,0)</f>
        <v>0.6</v>
      </c>
    </row>
    <row r="132" spans="1:4" x14ac:dyDescent="0.25">
      <c r="A132" s="2" t="s">
        <v>635</v>
      </c>
      <c r="B132" s="2" t="s">
        <v>623</v>
      </c>
      <c r="C132">
        <f t="shared" si="5"/>
        <v>2014</v>
      </c>
      <c r="D132">
        <f t="shared" si="6"/>
        <v>0.6</v>
      </c>
    </row>
    <row r="133" spans="1:4" x14ac:dyDescent="0.25">
      <c r="A133" s="2" t="s">
        <v>639</v>
      </c>
      <c r="B133" s="2" t="s">
        <v>640</v>
      </c>
      <c r="C133">
        <f t="shared" si="5"/>
        <v>2013</v>
      </c>
      <c r="D133">
        <f t="shared" si="6"/>
        <v>0.6</v>
      </c>
    </row>
    <row r="134" spans="1:4" x14ac:dyDescent="0.25">
      <c r="A134" s="2" t="s">
        <v>644</v>
      </c>
      <c r="B134" s="2" t="s">
        <v>640</v>
      </c>
      <c r="C134">
        <f t="shared" si="5"/>
        <v>2013</v>
      </c>
      <c r="D134">
        <f t="shared" si="6"/>
        <v>0.6</v>
      </c>
    </row>
    <row r="135" spans="1:4" x14ac:dyDescent="0.25">
      <c r="A135" s="2" t="s">
        <v>648</v>
      </c>
      <c r="B135" s="2" t="s">
        <v>649</v>
      </c>
      <c r="C135">
        <f t="shared" si="5"/>
        <v>2014</v>
      </c>
      <c r="D135">
        <f t="shared" si="6"/>
        <v>0.6</v>
      </c>
    </row>
    <row r="136" spans="1:4" x14ac:dyDescent="0.25">
      <c r="A136" s="2" t="s">
        <v>654</v>
      </c>
      <c r="B136" s="2" t="s">
        <v>655</v>
      </c>
      <c r="C136">
        <f t="shared" si="5"/>
        <v>2013</v>
      </c>
      <c r="D136">
        <f t="shared" si="6"/>
        <v>0.6</v>
      </c>
    </row>
    <row r="137" spans="1:4" x14ac:dyDescent="0.25">
      <c r="A137" s="2" t="s">
        <v>659</v>
      </c>
      <c r="B137" s="2" t="s">
        <v>660</v>
      </c>
      <c r="C137">
        <f t="shared" si="5"/>
        <v>2013</v>
      </c>
      <c r="D137">
        <f t="shared" si="6"/>
        <v>0.6</v>
      </c>
    </row>
    <row r="138" spans="1:4" x14ac:dyDescent="0.25">
      <c r="A138" s="2" t="s">
        <v>665</v>
      </c>
      <c r="B138" s="2" t="s">
        <v>666</v>
      </c>
      <c r="C138">
        <f t="shared" si="5"/>
        <v>2013</v>
      </c>
      <c r="D138">
        <f t="shared" si="6"/>
        <v>0.6</v>
      </c>
    </row>
    <row r="139" spans="1:4" x14ac:dyDescent="0.25">
      <c r="A139" s="2" t="s">
        <v>672</v>
      </c>
      <c r="B139" s="2" t="s">
        <v>673</v>
      </c>
      <c r="C139">
        <f t="shared" si="5"/>
        <v>2013</v>
      </c>
      <c r="D139">
        <f t="shared" si="6"/>
        <v>0.6</v>
      </c>
    </row>
    <row r="140" spans="1:4" x14ac:dyDescent="0.25">
      <c r="A140" s="2" t="s">
        <v>676</v>
      </c>
      <c r="B140" s="2" t="s">
        <v>677</v>
      </c>
      <c r="C140">
        <f t="shared" si="5"/>
        <v>2014</v>
      </c>
      <c r="D140">
        <f t="shared" si="6"/>
        <v>0.6</v>
      </c>
    </row>
    <row r="141" spans="1:4" x14ac:dyDescent="0.25">
      <c r="A141" s="2" t="s">
        <v>681</v>
      </c>
      <c r="B141" s="2" t="s">
        <v>682</v>
      </c>
      <c r="C141">
        <f t="shared" si="5"/>
        <v>2013</v>
      </c>
      <c r="D141">
        <f t="shared" si="6"/>
        <v>0.6</v>
      </c>
    </row>
    <row r="142" spans="1:4" x14ac:dyDescent="0.25">
      <c r="A142" s="2" t="s">
        <v>687</v>
      </c>
      <c r="B142" s="2" t="s">
        <v>688</v>
      </c>
      <c r="C142">
        <f t="shared" si="5"/>
        <v>2013</v>
      </c>
      <c r="D142">
        <f t="shared" si="6"/>
        <v>0.6</v>
      </c>
    </row>
    <row r="143" spans="1:4" x14ac:dyDescent="0.25">
      <c r="A143" s="2" t="s">
        <v>694</v>
      </c>
      <c r="B143" s="2" t="s">
        <v>695</v>
      </c>
      <c r="C143">
        <f t="shared" si="5"/>
        <v>2014</v>
      </c>
      <c r="D143">
        <f t="shared" si="6"/>
        <v>0.6</v>
      </c>
    </row>
    <row r="144" spans="1:4" x14ac:dyDescent="0.25">
      <c r="A144" s="2" t="s">
        <v>700</v>
      </c>
      <c r="B144" s="2" t="s">
        <v>701</v>
      </c>
      <c r="C144">
        <f t="shared" si="5"/>
        <v>2013</v>
      </c>
      <c r="D144">
        <f t="shared" si="6"/>
        <v>0.6</v>
      </c>
    </row>
    <row r="145" spans="1:4" x14ac:dyDescent="0.25">
      <c r="A145" s="2" t="s">
        <v>705</v>
      </c>
      <c r="B145" s="2" t="s">
        <v>707</v>
      </c>
      <c r="C145">
        <f t="shared" si="5"/>
        <v>2013</v>
      </c>
      <c r="D145">
        <f t="shared" si="6"/>
        <v>0.6</v>
      </c>
    </row>
    <row r="146" spans="1:4" x14ac:dyDescent="0.25">
      <c r="A146" s="2" t="s">
        <v>709</v>
      </c>
      <c r="B146" s="2" t="s">
        <v>710</v>
      </c>
      <c r="C146">
        <f t="shared" si="5"/>
        <v>2013</v>
      </c>
      <c r="D146">
        <f t="shared" si="6"/>
        <v>0.6</v>
      </c>
    </row>
    <row r="147" spans="1:4" x14ac:dyDescent="0.25">
      <c r="A147" s="2" t="s">
        <v>714</v>
      </c>
      <c r="B147" s="2" t="s">
        <v>715</v>
      </c>
      <c r="C147">
        <f t="shared" si="5"/>
        <v>2013</v>
      </c>
      <c r="D147">
        <f t="shared" si="6"/>
        <v>0.6</v>
      </c>
    </row>
    <row r="148" spans="1:4" x14ac:dyDescent="0.25">
      <c r="A148" s="2" t="s">
        <v>719</v>
      </c>
      <c r="B148" s="2" t="s">
        <v>715</v>
      </c>
      <c r="C148">
        <f t="shared" si="5"/>
        <v>2013</v>
      </c>
      <c r="D148">
        <f t="shared" si="6"/>
        <v>0.6</v>
      </c>
    </row>
    <row r="149" spans="1:4" x14ac:dyDescent="0.25">
      <c r="A149" s="2" t="s">
        <v>723</v>
      </c>
      <c r="B149" s="2" t="s">
        <v>724</v>
      </c>
      <c r="C149">
        <f t="shared" si="5"/>
        <v>2012</v>
      </c>
      <c r="D149">
        <f t="shared" si="6"/>
        <v>0.2</v>
      </c>
    </row>
    <row r="150" spans="1:4" x14ac:dyDescent="0.25">
      <c r="A150" s="2" t="s">
        <v>729</v>
      </c>
      <c r="B150" s="2" t="s">
        <v>730</v>
      </c>
      <c r="C150">
        <f t="shared" si="5"/>
        <v>2011</v>
      </c>
      <c r="D150">
        <f t="shared" si="6"/>
        <v>0.2</v>
      </c>
    </row>
    <row r="151" spans="1:4" x14ac:dyDescent="0.25">
      <c r="A151" s="2" t="s">
        <v>737</v>
      </c>
      <c r="B151" s="2" t="s">
        <v>738</v>
      </c>
      <c r="C151">
        <f t="shared" si="5"/>
        <v>2011</v>
      </c>
      <c r="D151">
        <f t="shared" si="6"/>
        <v>0.2</v>
      </c>
    </row>
    <row r="152" spans="1:4" x14ac:dyDescent="0.25">
      <c r="A152" s="2" t="s">
        <v>745</v>
      </c>
      <c r="B152" s="2" t="s">
        <v>746</v>
      </c>
      <c r="C152">
        <f t="shared" si="5"/>
        <v>2012</v>
      </c>
      <c r="D152">
        <f t="shared" si="6"/>
        <v>0.2</v>
      </c>
    </row>
    <row r="153" spans="1:4" x14ac:dyDescent="0.25">
      <c r="A153" s="2" t="s">
        <v>751</v>
      </c>
      <c r="B153" s="2" t="s">
        <v>746</v>
      </c>
      <c r="C153">
        <f t="shared" si="5"/>
        <v>2012</v>
      </c>
      <c r="D153">
        <f t="shared" si="6"/>
        <v>0.2</v>
      </c>
    </row>
    <row r="154" spans="1:4" x14ac:dyDescent="0.25">
      <c r="A154" s="2" t="s">
        <v>756</v>
      </c>
      <c r="B154" s="2" t="s">
        <v>757</v>
      </c>
      <c r="C154">
        <f t="shared" si="5"/>
        <v>2012</v>
      </c>
      <c r="D154">
        <f t="shared" si="6"/>
        <v>0.2</v>
      </c>
    </row>
    <row r="155" spans="1:4" x14ac:dyDescent="0.25">
      <c r="A155" s="2" t="s">
        <v>760</v>
      </c>
      <c r="B155" s="2" t="s">
        <v>761</v>
      </c>
      <c r="C155">
        <f t="shared" si="5"/>
        <v>2012</v>
      </c>
      <c r="D155">
        <f t="shared" si="6"/>
        <v>0.2</v>
      </c>
    </row>
    <row r="156" spans="1:4" x14ac:dyDescent="0.25">
      <c r="A156" s="2" t="s">
        <v>767</v>
      </c>
      <c r="B156" s="2" t="s">
        <v>768</v>
      </c>
      <c r="C156">
        <f t="shared" si="5"/>
        <v>2012</v>
      </c>
      <c r="D156">
        <f t="shared" si="6"/>
        <v>0.2</v>
      </c>
    </row>
    <row r="157" spans="1:4" x14ac:dyDescent="0.25">
      <c r="A157" s="2" t="s">
        <v>775</v>
      </c>
      <c r="B157" s="2" t="s">
        <v>776</v>
      </c>
      <c r="C157">
        <f t="shared" si="5"/>
        <v>2011</v>
      </c>
      <c r="D157">
        <f t="shared" si="6"/>
        <v>0.2</v>
      </c>
    </row>
    <row r="158" spans="1:4" x14ac:dyDescent="0.25">
      <c r="A158" s="2" t="s">
        <v>782</v>
      </c>
      <c r="B158" s="2" t="s">
        <v>783</v>
      </c>
      <c r="C158">
        <f t="shared" si="5"/>
        <v>2011</v>
      </c>
      <c r="D158">
        <f t="shared" si="6"/>
        <v>0.2</v>
      </c>
    </row>
    <row r="159" spans="1:4" x14ac:dyDescent="0.25">
      <c r="A159" s="2" t="s">
        <v>786</v>
      </c>
      <c r="B159" s="2" t="s">
        <v>783</v>
      </c>
      <c r="C159">
        <f t="shared" si="5"/>
        <v>2011</v>
      </c>
      <c r="D159">
        <f t="shared" si="6"/>
        <v>0.2</v>
      </c>
    </row>
    <row r="160" spans="1:4" x14ac:dyDescent="0.25">
      <c r="A160" s="2" t="s">
        <v>789</v>
      </c>
      <c r="B160" s="2" t="s">
        <v>790</v>
      </c>
      <c r="C160">
        <f t="shared" si="5"/>
        <v>2011</v>
      </c>
      <c r="D160">
        <f t="shared" si="6"/>
        <v>0.2</v>
      </c>
    </row>
    <row r="161" spans="1:4" x14ac:dyDescent="0.25">
      <c r="A161" s="2" t="s">
        <v>794</v>
      </c>
      <c r="B161" s="2" t="s">
        <v>795</v>
      </c>
      <c r="C161">
        <f t="shared" si="5"/>
        <v>2011</v>
      </c>
      <c r="D161">
        <f t="shared" si="6"/>
        <v>0.2</v>
      </c>
    </row>
    <row r="162" spans="1:4" x14ac:dyDescent="0.25">
      <c r="A162" s="2" t="s">
        <v>799</v>
      </c>
      <c r="B162" s="2" t="s">
        <v>800</v>
      </c>
      <c r="C162">
        <f t="shared" si="5"/>
        <v>2011</v>
      </c>
      <c r="D162">
        <f t="shared" si="6"/>
        <v>0.2</v>
      </c>
    </row>
    <row r="163" spans="1:4" x14ac:dyDescent="0.25">
      <c r="A163" s="2" t="s">
        <v>804</v>
      </c>
      <c r="B163" s="2" t="s">
        <v>800</v>
      </c>
      <c r="C163">
        <f t="shared" si="5"/>
        <v>2011</v>
      </c>
      <c r="D163">
        <f t="shared" si="6"/>
        <v>0.2</v>
      </c>
    </row>
    <row r="164" spans="1:4" x14ac:dyDescent="0.25">
      <c r="A164" s="2" t="s">
        <v>809</v>
      </c>
      <c r="B164" s="2" t="s">
        <v>776</v>
      </c>
      <c r="C164">
        <f t="shared" si="5"/>
        <v>2011</v>
      </c>
      <c r="D164">
        <f t="shared" si="6"/>
        <v>0.2</v>
      </c>
    </row>
    <row r="165" spans="1:4" x14ac:dyDescent="0.25">
      <c r="A165" s="2" t="s">
        <v>815</v>
      </c>
      <c r="B165" s="2" t="s">
        <v>816</v>
      </c>
      <c r="C165">
        <f t="shared" si="5"/>
        <v>2011</v>
      </c>
      <c r="D165">
        <f t="shared" si="6"/>
        <v>0.2</v>
      </c>
    </row>
    <row r="166" spans="1:4" x14ac:dyDescent="0.25">
      <c r="A166" s="2" t="s">
        <v>821</v>
      </c>
      <c r="B166" s="2" t="s">
        <v>822</v>
      </c>
      <c r="C166">
        <f t="shared" si="5"/>
        <v>2010</v>
      </c>
      <c r="D166">
        <f t="shared" si="6"/>
        <v>0.2</v>
      </c>
    </row>
    <row r="167" spans="1:4" x14ac:dyDescent="0.25">
      <c r="A167" s="2" t="s">
        <v>829</v>
      </c>
      <c r="B167" s="2" t="s">
        <v>830</v>
      </c>
      <c r="C167">
        <f t="shared" si="5"/>
        <v>2010</v>
      </c>
      <c r="D167">
        <f t="shared" si="6"/>
        <v>0.2</v>
      </c>
    </row>
    <row r="168" spans="1:4" x14ac:dyDescent="0.25">
      <c r="A168" s="2" t="s">
        <v>835</v>
      </c>
      <c r="B168" s="2" t="s">
        <v>836</v>
      </c>
      <c r="C168">
        <f t="shared" si="5"/>
        <v>2010</v>
      </c>
      <c r="D168">
        <f t="shared" si="6"/>
        <v>0.2</v>
      </c>
    </row>
    <row r="169" spans="1:4" x14ac:dyDescent="0.25">
      <c r="A169" s="2" t="s">
        <v>840</v>
      </c>
      <c r="B169" s="2" t="s">
        <v>836</v>
      </c>
      <c r="C169">
        <f t="shared" si="5"/>
        <v>2010</v>
      </c>
      <c r="D169">
        <f t="shared" si="6"/>
        <v>0.2</v>
      </c>
    </row>
    <row r="170" spans="1:4" x14ac:dyDescent="0.25">
      <c r="A170" s="2" t="s">
        <v>844</v>
      </c>
      <c r="B170" s="2" t="s">
        <v>836</v>
      </c>
      <c r="C170">
        <f t="shared" si="5"/>
        <v>2010</v>
      </c>
      <c r="D170">
        <f t="shared" si="6"/>
        <v>0.2</v>
      </c>
    </row>
    <row r="171" spans="1:4" x14ac:dyDescent="0.25">
      <c r="A171" s="2" t="s">
        <v>847</v>
      </c>
      <c r="B171" s="2" t="s">
        <v>836</v>
      </c>
      <c r="C171">
        <f t="shared" si="5"/>
        <v>2010</v>
      </c>
      <c r="D171">
        <f t="shared" si="6"/>
        <v>0.2</v>
      </c>
    </row>
    <row r="172" spans="1:4" x14ac:dyDescent="0.25">
      <c r="A172" s="2" t="s">
        <v>850</v>
      </c>
      <c r="B172" s="2" t="s">
        <v>836</v>
      </c>
      <c r="C172">
        <f t="shared" si="5"/>
        <v>2010</v>
      </c>
      <c r="D172">
        <f t="shared" si="6"/>
        <v>0.2</v>
      </c>
    </row>
    <row r="173" spans="1:4" x14ac:dyDescent="0.25">
      <c r="A173" s="2" t="s">
        <v>854</v>
      </c>
      <c r="B173" s="2" t="s">
        <v>836</v>
      </c>
      <c r="C173">
        <f t="shared" si="5"/>
        <v>2010</v>
      </c>
      <c r="D173">
        <f t="shared" si="6"/>
        <v>0.2</v>
      </c>
    </row>
    <row r="174" spans="1:4" x14ac:dyDescent="0.25">
      <c r="A174" s="2" t="s">
        <v>856</v>
      </c>
      <c r="B174" s="2" t="s">
        <v>836</v>
      </c>
      <c r="C174">
        <f t="shared" si="5"/>
        <v>2010</v>
      </c>
      <c r="D174">
        <f t="shared" si="6"/>
        <v>0.2</v>
      </c>
    </row>
    <row r="175" spans="1:4" x14ac:dyDescent="0.25">
      <c r="A175" s="2" t="s">
        <v>861</v>
      </c>
      <c r="B175" s="2" t="s">
        <v>862</v>
      </c>
      <c r="C175">
        <f t="shared" si="5"/>
        <v>2009</v>
      </c>
      <c r="D175">
        <f t="shared" si="6"/>
        <v>0.2</v>
      </c>
    </row>
    <row r="176" spans="1:4" x14ac:dyDescent="0.25">
      <c r="A176" s="2" t="s">
        <v>867</v>
      </c>
      <c r="B176" s="2" t="s">
        <v>868</v>
      </c>
      <c r="C176">
        <f t="shared" si="5"/>
        <v>2010</v>
      </c>
      <c r="D176">
        <f t="shared" si="6"/>
        <v>0.2</v>
      </c>
    </row>
    <row r="177" spans="1:4" x14ac:dyDescent="0.25">
      <c r="A177" s="2" t="s">
        <v>871</v>
      </c>
      <c r="B177" s="2" t="s">
        <v>872</v>
      </c>
      <c r="C177">
        <f t="shared" si="5"/>
        <v>2010</v>
      </c>
      <c r="D177">
        <f t="shared" si="6"/>
        <v>0.2</v>
      </c>
    </row>
    <row r="178" spans="1:4" x14ac:dyDescent="0.25">
      <c r="A178" s="2" t="s">
        <v>876</v>
      </c>
      <c r="B178" s="2" t="s">
        <v>877</v>
      </c>
      <c r="C178">
        <f t="shared" si="5"/>
        <v>2010</v>
      </c>
      <c r="D178">
        <f t="shared" si="6"/>
        <v>0.2</v>
      </c>
    </row>
    <row r="179" spans="1:4" x14ac:dyDescent="0.25">
      <c r="A179" s="2" t="s">
        <v>881</v>
      </c>
      <c r="B179" s="2" t="s">
        <v>882</v>
      </c>
      <c r="C179">
        <f t="shared" si="5"/>
        <v>2010</v>
      </c>
      <c r="D179">
        <f t="shared" si="6"/>
        <v>0.2</v>
      </c>
    </row>
    <row r="180" spans="1:4" x14ac:dyDescent="0.25">
      <c r="A180" s="2" t="s">
        <v>887</v>
      </c>
      <c r="B180" s="2" t="s">
        <v>888</v>
      </c>
      <c r="C180">
        <f t="shared" si="5"/>
        <v>2009</v>
      </c>
      <c r="D180">
        <f t="shared" si="6"/>
        <v>0.2</v>
      </c>
    </row>
    <row r="181" spans="1:4" x14ac:dyDescent="0.25">
      <c r="A181" s="2" t="s">
        <v>895</v>
      </c>
      <c r="B181" s="2" t="s">
        <v>896</v>
      </c>
      <c r="C181">
        <f t="shared" si="5"/>
        <v>2009</v>
      </c>
      <c r="D181">
        <f t="shared" si="6"/>
        <v>0.2</v>
      </c>
    </row>
    <row r="182" spans="1:4" x14ac:dyDescent="0.25">
      <c r="A182" s="2" t="s">
        <v>902</v>
      </c>
      <c r="B182" s="2" t="s">
        <v>903</v>
      </c>
      <c r="C182">
        <f t="shared" si="5"/>
        <v>2008</v>
      </c>
      <c r="D182">
        <f t="shared" si="6"/>
        <v>0.2</v>
      </c>
    </row>
    <row r="183" spans="1:4" x14ac:dyDescent="0.25">
      <c r="A183" s="2" t="s">
        <v>911</v>
      </c>
      <c r="B183" s="2" t="s">
        <v>912</v>
      </c>
      <c r="C183">
        <f t="shared" si="5"/>
        <v>2009</v>
      </c>
      <c r="D183">
        <f t="shared" si="6"/>
        <v>0.2</v>
      </c>
    </row>
    <row r="184" spans="1:4" x14ac:dyDescent="0.25">
      <c r="A184" s="2" t="s">
        <v>917</v>
      </c>
      <c r="B184" s="2" t="s">
        <v>918</v>
      </c>
      <c r="C184">
        <f t="shared" si="5"/>
        <v>2007</v>
      </c>
      <c r="D184">
        <f t="shared" si="6"/>
        <v>0.2</v>
      </c>
    </row>
    <row r="185" spans="1:4" x14ac:dyDescent="0.25">
      <c r="A185" s="2" t="s">
        <v>924</v>
      </c>
      <c r="B185" s="2" t="s">
        <v>925</v>
      </c>
      <c r="C185">
        <f t="shared" si="5"/>
        <v>2008</v>
      </c>
      <c r="D185">
        <f t="shared" si="6"/>
        <v>0.2</v>
      </c>
    </row>
    <row r="186" spans="1:4" x14ac:dyDescent="0.25">
      <c r="A186" s="2" t="s">
        <v>930</v>
      </c>
      <c r="B186" s="2" t="s">
        <v>124</v>
      </c>
      <c r="C186">
        <f t="shared" si="5"/>
        <v>2006</v>
      </c>
      <c r="D186">
        <f t="shared" si="6"/>
        <v>0.2</v>
      </c>
    </row>
    <row r="187" spans="1:4" x14ac:dyDescent="0.25">
      <c r="A187" s="2" t="s">
        <v>938</v>
      </c>
      <c r="B187" s="2" t="s">
        <v>124</v>
      </c>
      <c r="C187">
        <f t="shared" si="5"/>
        <v>2006</v>
      </c>
      <c r="D187">
        <f t="shared" si="6"/>
        <v>0.2</v>
      </c>
    </row>
    <row r="188" spans="1:4" x14ac:dyDescent="0.25">
      <c r="A188" s="2" t="s">
        <v>944</v>
      </c>
      <c r="B188" s="2" t="s">
        <v>945</v>
      </c>
      <c r="C188">
        <f t="shared" si="5"/>
        <v>2006</v>
      </c>
      <c r="D188">
        <f t="shared" si="6"/>
        <v>0.2</v>
      </c>
    </row>
    <row r="189" spans="1:4" x14ac:dyDescent="0.25">
      <c r="A189" s="2" t="s">
        <v>952</v>
      </c>
      <c r="B189" s="2" t="s">
        <v>953</v>
      </c>
      <c r="C189">
        <f t="shared" si="5"/>
        <v>2006</v>
      </c>
      <c r="D189">
        <f t="shared" si="6"/>
        <v>0.2</v>
      </c>
    </row>
    <row r="190" spans="1:4" x14ac:dyDescent="0.25">
      <c r="A190" s="2" t="s">
        <v>959</v>
      </c>
      <c r="B190" s="2" t="s">
        <v>960</v>
      </c>
      <c r="C190">
        <f t="shared" si="5"/>
        <v>2006</v>
      </c>
      <c r="D190">
        <f t="shared" si="6"/>
        <v>0.2</v>
      </c>
    </row>
    <row r="191" spans="1:4" x14ac:dyDescent="0.25">
      <c r="A191" s="2" t="s">
        <v>965</v>
      </c>
      <c r="B191" s="2" t="s">
        <v>966</v>
      </c>
      <c r="C191">
        <f t="shared" si="5"/>
        <v>2005</v>
      </c>
      <c r="D191">
        <f t="shared" si="6"/>
        <v>0.2</v>
      </c>
    </row>
    <row r="192" spans="1:4" x14ac:dyDescent="0.25">
      <c r="A192" s="2" t="s">
        <v>971</v>
      </c>
      <c r="B192" s="2" t="s">
        <v>972</v>
      </c>
      <c r="C192">
        <f t="shared" si="5"/>
        <v>2004</v>
      </c>
      <c r="D192">
        <f t="shared" si="6"/>
        <v>0.2</v>
      </c>
    </row>
    <row r="193" spans="1:4" x14ac:dyDescent="0.25">
      <c r="A193" s="2" t="s">
        <v>976</v>
      </c>
      <c r="B193" s="2" t="s">
        <v>977</v>
      </c>
      <c r="C193">
        <f t="shared" si="5"/>
        <v>2003</v>
      </c>
      <c r="D193">
        <f t="shared" si="6"/>
        <v>0.2</v>
      </c>
    </row>
    <row r="194" spans="1:4" x14ac:dyDescent="0.25">
      <c r="A194" s="2" t="s">
        <v>980</v>
      </c>
      <c r="B194" s="2" t="s">
        <v>981</v>
      </c>
      <c r="C194">
        <f t="shared" si="5"/>
        <v>2002</v>
      </c>
      <c r="D194">
        <f t="shared" si="6"/>
        <v>0.2</v>
      </c>
    </row>
    <row r="195" spans="1:4" x14ac:dyDescent="0.25">
      <c r="A195" s="2" t="s">
        <v>985</v>
      </c>
      <c r="B195" s="2" t="s">
        <v>986</v>
      </c>
      <c r="C195">
        <f t="shared" ref="C195:C256" si="7">YEAR(B195)</f>
        <v>2000</v>
      </c>
      <c r="D195">
        <f t="shared" ref="D195:D256" si="8">VLOOKUP(C195,$F$1:$H$39,3,0)</f>
        <v>0.2</v>
      </c>
    </row>
    <row r="196" spans="1:4" x14ac:dyDescent="0.25">
      <c r="A196" s="2" t="s">
        <v>990</v>
      </c>
      <c r="B196" s="2" t="s">
        <v>992</v>
      </c>
      <c r="C196">
        <f t="shared" si="7"/>
        <v>2001</v>
      </c>
      <c r="D196">
        <f t="shared" si="8"/>
        <v>0.2</v>
      </c>
    </row>
    <row r="197" spans="1:4" x14ac:dyDescent="0.25">
      <c r="A197" s="2" t="s">
        <v>996</v>
      </c>
      <c r="B197" s="2" t="s">
        <v>997</v>
      </c>
      <c r="C197">
        <f t="shared" si="7"/>
        <v>2000</v>
      </c>
      <c r="D197">
        <f t="shared" si="8"/>
        <v>0.2</v>
      </c>
    </row>
    <row r="198" spans="1:4" x14ac:dyDescent="0.25">
      <c r="A198" s="2" t="s">
        <v>1001</v>
      </c>
      <c r="B198" s="2" t="s">
        <v>1002</v>
      </c>
      <c r="C198">
        <f t="shared" si="7"/>
        <v>2000</v>
      </c>
      <c r="D198">
        <f t="shared" si="8"/>
        <v>0.2</v>
      </c>
    </row>
    <row r="199" spans="1:4" x14ac:dyDescent="0.25">
      <c r="A199" s="2" t="s">
        <v>1006</v>
      </c>
      <c r="B199" s="2" t="s">
        <v>1007</v>
      </c>
      <c r="C199">
        <f t="shared" si="7"/>
        <v>1997</v>
      </c>
      <c r="D199">
        <f t="shared" si="8"/>
        <v>0.05</v>
      </c>
    </row>
    <row r="200" spans="1:4" x14ac:dyDescent="0.25">
      <c r="A200" s="2" t="s">
        <v>1014</v>
      </c>
      <c r="B200" s="2" t="s">
        <v>1015</v>
      </c>
      <c r="C200">
        <f t="shared" si="7"/>
        <v>1997</v>
      </c>
      <c r="D200">
        <f t="shared" si="8"/>
        <v>0.05</v>
      </c>
    </row>
    <row r="201" spans="1:4" x14ac:dyDescent="0.25">
      <c r="A201" s="2" t="s">
        <v>1018</v>
      </c>
      <c r="B201" s="2" t="s">
        <v>1019</v>
      </c>
      <c r="C201">
        <f t="shared" si="7"/>
        <v>1996</v>
      </c>
      <c r="D201">
        <f t="shared" si="8"/>
        <v>0.05</v>
      </c>
    </row>
    <row r="202" spans="1:4" x14ac:dyDescent="0.25">
      <c r="A202" s="2" t="s">
        <v>1024</v>
      </c>
      <c r="B202" s="2" t="s">
        <v>1025</v>
      </c>
      <c r="C202">
        <f t="shared" si="7"/>
        <v>1996</v>
      </c>
      <c r="D202">
        <f t="shared" si="8"/>
        <v>0.05</v>
      </c>
    </row>
    <row r="203" spans="1:4" x14ac:dyDescent="0.25">
      <c r="A203" s="2" t="s">
        <v>1030</v>
      </c>
      <c r="B203" s="2" t="s">
        <v>1031</v>
      </c>
      <c r="C203">
        <f t="shared" si="7"/>
        <v>1994</v>
      </c>
      <c r="D203">
        <f t="shared" si="8"/>
        <v>0.05</v>
      </c>
    </row>
    <row r="204" spans="1:4" x14ac:dyDescent="0.25">
      <c r="A204" s="2" t="s">
        <v>1034</v>
      </c>
      <c r="B204" s="2" t="s">
        <v>1035</v>
      </c>
      <c r="C204">
        <f t="shared" si="7"/>
        <v>1996</v>
      </c>
      <c r="D204">
        <f t="shared" si="8"/>
        <v>0.05</v>
      </c>
    </row>
    <row r="205" spans="1:4" x14ac:dyDescent="0.25">
      <c r="A205" s="2" t="s">
        <v>1038</v>
      </c>
      <c r="B205" s="2" t="s">
        <v>1039</v>
      </c>
      <c r="C205">
        <f t="shared" si="7"/>
        <v>1995</v>
      </c>
      <c r="D205">
        <f t="shared" si="8"/>
        <v>0.05</v>
      </c>
    </row>
    <row r="206" spans="1:4" x14ac:dyDescent="0.25">
      <c r="A206" s="2" t="s">
        <v>1041</v>
      </c>
      <c r="B206" s="2" t="s">
        <v>1042</v>
      </c>
      <c r="C206">
        <f t="shared" si="7"/>
        <v>1992</v>
      </c>
      <c r="D206">
        <f t="shared" si="8"/>
        <v>0.05</v>
      </c>
    </row>
    <row r="207" spans="1:4" x14ac:dyDescent="0.25">
      <c r="A207" s="2" t="s">
        <v>1047</v>
      </c>
      <c r="B207" s="2" t="s">
        <v>1048</v>
      </c>
      <c r="C207">
        <f t="shared" si="7"/>
        <v>1990</v>
      </c>
      <c r="D207">
        <f t="shared" si="8"/>
        <v>0.05</v>
      </c>
    </row>
    <row r="208" spans="1:4" x14ac:dyDescent="0.25">
      <c r="A208" s="2" t="s">
        <v>1055</v>
      </c>
      <c r="B208" s="2" t="s">
        <v>1056</v>
      </c>
      <c r="C208">
        <f t="shared" si="7"/>
        <v>1994</v>
      </c>
      <c r="D208">
        <f t="shared" si="8"/>
        <v>0.05</v>
      </c>
    </row>
    <row r="209" spans="1:4" x14ac:dyDescent="0.25">
      <c r="A209" s="2" t="s">
        <v>1060</v>
      </c>
      <c r="B209" s="2" t="s">
        <v>1061</v>
      </c>
      <c r="C209">
        <f t="shared" si="7"/>
        <v>1994</v>
      </c>
      <c r="D209">
        <f t="shared" si="8"/>
        <v>0.05</v>
      </c>
    </row>
    <row r="210" spans="1:4" x14ac:dyDescent="0.25">
      <c r="A210" s="2" t="s">
        <v>1068</v>
      </c>
      <c r="B210" s="2" t="s">
        <v>1069</v>
      </c>
      <c r="C210">
        <f t="shared" si="7"/>
        <v>1992</v>
      </c>
      <c r="D210">
        <f t="shared" si="8"/>
        <v>0.05</v>
      </c>
    </row>
    <row r="211" spans="1:4" x14ac:dyDescent="0.25">
      <c r="A211" s="2" t="s">
        <v>1076</v>
      </c>
      <c r="B211" s="2" t="s">
        <v>1077</v>
      </c>
      <c r="C211">
        <f t="shared" si="7"/>
        <v>1992</v>
      </c>
      <c r="D211">
        <f t="shared" si="8"/>
        <v>0.05</v>
      </c>
    </row>
    <row r="212" spans="1:4" x14ac:dyDescent="0.25">
      <c r="A212" s="2" t="s">
        <v>1081</v>
      </c>
      <c r="B212" s="2" t="s">
        <v>1082</v>
      </c>
      <c r="C212">
        <f t="shared" si="7"/>
        <v>1986</v>
      </c>
      <c r="D212">
        <f t="shared" si="8"/>
        <v>0.05</v>
      </c>
    </row>
    <row r="213" spans="1:4" x14ac:dyDescent="0.25">
      <c r="A213" s="2" t="s">
        <v>1086</v>
      </c>
      <c r="B213" s="2" t="s">
        <v>1087</v>
      </c>
      <c r="C213">
        <f t="shared" si="7"/>
        <v>1990</v>
      </c>
      <c r="D213">
        <f t="shared" si="8"/>
        <v>0.05</v>
      </c>
    </row>
    <row r="214" spans="1:4" x14ac:dyDescent="0.25">
      <c r="A214" s="2" t="s">
        <v>1092</v>
      </c>
      <c r="B214" s="2" t="s">
        <v>1093</v>
      </c>
      <c r="C214">
        <f t="shared" si="7"/>
        <v>1989</v>
      </c>
      <c r="D214">
        <f t="shared" si="8"/>
        <v>0.05</v>
      </c>
    </row>
    <row r="215" spans="1:4" x14ac:dyDescent="0.25">
      <c r="A215" s="2" t="s">
        <v>1099</v>
      </c>
      <c r="B215" s="2" t="s">
        <v>1100</v>
      </c>
      <c r="C215">
        <f t="shared" si="7"/>
        <v>1990</v>
      </c>
      <c r="D215">
        <f t="shared" si="8"/>
        <v>0.05</v>
      </c>
    </row>
    <row r="216" spans="1:4" x14ac:dyDescent="0.25">
      <c r="A216" s="2" t="s">
        <v>1108</v>
      </c>
      <c r="B216" s="2" t="s">
        <v>1109</v>
      </c>
      <c r="C216">
        <f t="shared" si="7"/>
        <v>1990</v>
      </c>
      <c r="D216">
        <f t="shared" si="8"/>
        <v>0.05</v>
      </c>
    </row>
    <row r="217" spans="1:4" x14ac:dyDescent="0.25">
      <c r="A217" s="2" t="s">
        <v>1116</v>
      </c>
      <c r="B217" s="2" t="s">
        <v>1117</v>
      </c>
      <c r="C217">
        <f t="shared" si="7"/>
        <v>1989</v>
      </c>
      <c r="D217">
        <f t="shared" si="8"/>
        <v>0.05</v>
      </c>
    </row>
    <row r="218" spans="1:4" x14ac:dyDescent="0.25">
      <c r="A218" s="2" t="s">
        <v>1123</v>
      </c>
      <c r="B218" s="2" t="s">
        <v>1117</v>
      </c>
      <c r="C218">
        <f t="shared" si="7"/>
        <v>1989</v>
      </c>
      <c r="D218">
        <f t="shared" si="8"/>
        <v>0.05</v>
      </c>
    </row>
    <row r="219" spans="1:4" x14ac:dyDescent="0.25">
      <c r="A219" s="2" t="s">
        <v>1129</v>
      </c>
      <c r="B219" s="2" t="s">
        <v>1130</v>
      </c>
      <c r="C219">
        <f t="shared" si="7"/>
        <v>1989</v>
      </c>
      <c r="D219">
        <f t="shared" si="8"/>
        <v>0.05</v>
      </c>
    </row>
    <row r="220" spans="1:4" x14ac:dyDescent="0.25">
      <c r="A220" s="2" t="s">
        <v>1137</v>
      </c>
      <c r="B220" s="2" t="s">
        <v>1138</v>
      </c>
      <c r="C220">
        <f t="shared" si="7"/>
        <v>1990</v>
      </c>
      <c r="D220">
        <f t="shared" si="8"/>
        <v>0.05</v>
      </c>
    </row>
    <row r="221" spans="1:4" x14ac:dyDescent="0.25">
      <c r="A221" s="2" t="s">
        <v>1145</v>
      </c>
      <c r="B221" s="2" t="s">
        <v>1146</v>
      </c>
      <c r="C221">
        <f t="shared" si="7"/>
        <v>1989</v>
      </c>
      <c r="D221">
        <f t="shared" si="8"/>
        <v>0.05</v>
      </c>
    </row>
    <row r="222" spans="1:4" x14ac:dyDescent="0.25">
      <c r="A222" s="2" t="s">
        <v>1152</v>
      </c>
      <c r="B222" s="2" t="s">
        <v>1153</v>
      </c>
      <c r="C222">
        <f t="shared" si="7"/>
        <v>1989</v>
      </c>
      <c r="D222">
        <f t="shared" si="8"/>
        <v>0.05</v>
      </c>
    </row>
    <row r="223" spans="1:4" x14ac:dyDescent="0.25">
      <c r="A223" s="2" t="s">
        <v>1159</v>
      </c>
      <c r="B223" s="2" t="s">
        <v>1160</v>
      </c>
      <c r="C223">
        <f t="shared" si="7"/>
        <v>1989</v>
      </c>
      <c r="D223">
        <f t="shared" si="8"/>
        <v>0.05</v>
      </c>
    </row>
    <row r="224" spans="1:4" x14ac:dyDescent="0.25">
      <c r="A224" s="2" t="s">
        <v>1166</v>
      </c>
      <c r="B224" s="2" t="s">
        <v>1167</v>
      </c>
      <c r="C224">
        <f t="shared" si="7"/>
        <v>1988</v>
      </c>
      <c r="D224">
        <f t="shared" si="8"/>
        <v>0.05</v>
      </c>
    </row>
    <row r="225" spans="1:4" x14ac:dyDescent="0.25">
      <c r="A225" s="2" t="s">
        <v>1174</v>
      </c>
      <c r="B225" s="2" t="s">
        <v>1175</v>
      </c>
      <c r="C225">
        <f t="shared" si="7"/>
        <v>1988</v>
      </c>
      <c r="D225">
        <f t="shared" si="8"/>
        <v>0.05</v>
      </c>
    </row>
    <row r="226" spans="1:4" x14ac:dyDescent="0.25">
      <c r="A226" s="2" t="s">
        <v>1181</v>
      </c>
      <c r="B226" s="2" t="s">
        <v>1182</v>
      </c>
      <c r="C226">
        <f t="shared" si="7"/>
        <v>1987</v>
      </c>
      <c r="D226">
        <f t="shared" si="8"/>
        <v>0.05</v>
      </c>
    </row>
    <row r="227" spans="1:4" x14ac:dyDescent="0.25">
      <c r="A227" s="2" t="s">
        <v>1187</v>
      </c>
      <c r="B227" s="2" t="s">
        <v>1182</v>
      </c>
      <c r="C227">
        <f t="shared" si="7"/>
        <v>1987</v>
      </c>
      <c r="D227">
        <f t="shared" si="8"/>
        <v>0.05</v>
      </c>
    </row>
    <row r="228" spans="1:4" x14ac:dyDescent="0.25">
      <c r="A228" s="2" t="s">
        <v>1191</v>
      </c>
      <c r="B228" s="2" t="s">
        <v>27</v>
      </c>
      <c r="C228">
        <f t="shared" si="7"/>
        <v>1987</v>
      </c>
      <c r="D228">
        <f t="shared" si="8"/>
        <v>0.05</v>
      </c>
    </row>
    <row r="229" spans="1:4" x14ac:dyDescent="0.25">
      <c r="A229" s="2" t="s">
        <v>1196</v>
      </c>
      <c r="B229" s="2" t="s">
        <v>1197</v>
      </c>
      <c r="C229">
        <f t="shared" si="7"/>
        <v>1985</v>
      </c>
      <c r="D229">
        <f t="shared" si="8"/>
        <v>0.05</v>
      </c>
    </row>
    <row r="230" spans="1:4" x14ac:dyDescent="0.25">
      <c r="A230" s="2" t="s">
        <v>1203</v>
      </c>
      <c r="B230" s="2" t="s">
        <v>1204</v>
      </c>
      <c r="C230">
        <f t="shared" si="7"/>
        <v>1985</v>
      </c>
      <c r="D230">
        <f t="shared" si="8"/>
        <v>0.05</v>
      </c>
    </row>
    <row r="231" spans="1:4" x14ac:dyDescent="0.25">
      <c r="A231" s="2" t="s">
        <v>1211</v>
      </c>
      <c r="B231" s="2" t="s">
        <v>1212</v>
      </c>
      <c r="C231">
        <f t="shared" si="7"/>
        <v>1983</v>
      </c>
      <c r="D231">
        <f t="shared" si="8"/>
        <v>0.05</v>
      </c>
    </row>
    <row r="232" spans="1:4" x14ac:dyDescent="0.25">
      <c r="A232" s="2" t="s">
        <v>1219</v>
      </c>
      <c r="B232" s="2" t="s">
        <v>1220</v>
      </c>
      <c r="C232">
        <f t="shared" si="7"/>
        <v>1983</v>
      </c>
      <c r="D232">
        <f t="shared" si="8"/>
        <v>0.05</v>
      </c>
    </row>
    <row r="233" spans="1:4" x14ac:dyDescent="0.25">
      <c r="A233" s="2" t="s">
        <v>1227</v>
      </c>
      <c r="B233" s="2" t="s">
        <v>1228</v>
      </c>
      <c r="C233">
        <f t="shared" si="7"/>
        <v>1983</v>
      </c>
      <c r="D233">
        <f t="shared" si="8"/>
        <v>0.05</v>
      </c>
    </row>
    <row r="234" spans="1:4" x14ac:dyDescent="0.25">
      <c r="A234" s="2" t="s">
        <v>1233</v>
      </c>
      <c r="B234" s="2" t="s">
        <v>1234</v>
      </c>
      <c r="C234">
        <f t="shared" si="7"/>
        <v>1982</v>
      </c>
      <c r="D234">
        <f t="shared" si="8"/>
        <v>0.05</v>
      </c>
    </row>
    <row r="235" spans="1:4" x14ac:dyDescent="0.25">
      <c r="A235" s="2" t="s">
        <v>1240</v>
      </c>
      <c r="B235" s="2" t="s">
        <v>1241</v>
      </c>
      <c r="C235">
        <f t="shared" si="7"/>
        <v>1982</v>
      </c>
      <c r="D235">
        <f t="shared" si="8"/>
        <v>0.05</v>
      </c>
    </row>
    <row r="236" spans="1:4" x14ac:dyDescent="0.25">
      <c r="A236" s="2" t="s">
        <v>1247</v>
      </c>
      <c r="B236" s="2" t="s">
        <v>1248</v>
      </c>
      <c r="C236">
        <f t="shared" si="7"/>
        <v>1982</v>
      </c>
      <c r="D236">
        <f t="shared" si="8"/>
        <v>0.05</v>
      </c>
    </row>
    <row r="237" spans="1:4" x14ac:dyDescent="0.25">
      <c r="A237" s="2" t="s">
        <v>1256</v>
      </c>
      <c r="B237" s="2" t="s">
        <v>1257</v>
      </c>
      <c r="C237">
        <f t="shared" si="7"/>
        <v>1982</v>
      </c>
      <c r="D237">
        <f t="shared" si="8"/>
        <v>0.05</v>
      </c>
    </row>
    <row r="238" spans="1:4" x14ac:dyDescent="0.25">
      <c r="A238" s="2" t="s">
        <v>1263</v>
      </c>
      <c r="B238" s="2" t="s">
        <v>1264</v>
      </c>
      <c r="C238">
        <f t="shared" si="7"/>
        <v>1982</v>
      </c>
      <c r="D238">
        <f t="shared" si="8"/>
        <v>0.05</v>
      </c>
    </row>
    <row r="239" spans="1:4" x14ac:dyDescent="0.25">
      <c r="A239" s="2" t="s">
        <v>1271</v>
      </c>
      <c r="B239" s="2" t="s">
        <v>1272</v>
      </c>
      <c r="C239">
        <f t="shared" si="7"/>
        <v>1981</v>
      </c>
      <c r="D239">
        <f t="shared" si="8"/>
        <v>0.05</v>
      </c>
    </row>
    <row r="240" spans="1:4" x14ac:dyDescent="0.25">
      <c r="A240" s="2" t="s">
        <v>1279</v>
      </c>
      <c r="B240" s="2" t="s">
        <v>1280</v>
      </c>
      <c r="C240">
        <f t="shared" si="7"/>
        <v>1980</v>
      </c>
      <c r="D240">
        <f t="shared" si="8"/>
        <v>0.05</v>
      </c>
    </row>
    <row r="241" spans="1:4" x14ac:dyDescent="0.25">
      <c r="A241" s="2" t="s">
        <v>1286</v>
      </c>
      <c r="B241" s="2" t="s">
        <v>1287</v>
      </c>
      <c r="C241">
        <f t="shared" si="7"/>
        <v>1981</v>
      </c>
      <c r="D241">
        <f t="shared" si="8"/>
        <v>0.05</v>
      </c>
    </row>
    <row r="242" spans="1:4" x14ac:dyDescent="0.25">
      <c r="A242" s="2" t="s">
        <v>1294</v>
      </c>
      <c r="B242" s="2" t="s">
        <v>1295</v>
      </c>
      <c r="C242">
        <f t="shared" si="7"/>
        <v>1980</v>
      </c>
      <c r="D242">
        <f t="shared" si="8"/>
        <v>0.05</v>
      </c>
    </row>
    <row r="243" spans="1:4" x14ac:dyDescent="0.25">
      <c r="A243" s="2" t="s">
        <v>1302</v>
      </c>
      <c r="B243" s="2" t="s">
        <v>1303</v>
      </c>
      <c r="C243">
        <f t="shared" si="7"/>
        <v>1981</v>
      </c>
      <c r="D243">
        <f t="shared" si="8"/>
        <v>0.05</v>
      </c>
    </row>
    <row r="244" spans="1:4" x14ac:dyDescent="0.25">
      <c r="A244" s="2" t="s">
        <v>1307</v>
      </c>
      <c r="B244" s="2" t="s">
        <v>1303</v>
      </c>
      <c r="C244">
        <f t="shared" si="7"/>
        <v>1981</v>
      </c>
      <c r="D244">
        <f t="shared" si="8"/>
        <v>0.05</v>
      </c>
    </row>
    <row r="245" spans="1:4" x14ac:dyDescent="0.25">
      <c r="A245" s="2" t="s">
        <v>1310</v>
      </c>
      <c r="B245" s="2" t="s">
        <v>1311</v>
      </c>
      <c r="C245">
        <f t="shared" si="7"/>
        <v>1981</v>
      </c>
      <c r="D245">
        <f t="shared" si="8"/>
        <v>0.05</v>
      </c>
    </row>
    <row r="246" spans="1:4" x14ac:dyDescent="0.25">
      <c r="A246" s="2" t="s">
        <v>1316</v>
      </c>
      <c r="B246" s="2" t="s">
        <v>1317</v>
      </c>
      <c r="C246">
        <f t="shared" si="7"/>
        <v>1979</v>
      </c>
      <c r="D246">
        <f t="shared" si="8"/>
        <v>0.05</v>
      </c>
    </row>
    <row r="247" spans="1:4" x14ac:dyDescent="0.25">
      <c r="A247" s="2" t="s">
        <v>1322</v>
      </c>
      <c r="B247" s="2" t="s">
        <v>1323</v>
      </c>
      <c r="C247">
        <f t="shared" si="7"/>
        <v>1980</v>
      </c>
      <c r="D247">
        <f t="shared" si="8"/>
        <v>0.05</v>
      </c>
    </row>
    <row r="248" spans="1:4" x14ac:dyDescent="0.25">
      <c r="A248" s="2" t="s">
        <v>1330</v>
      </c>
      <c r="B248" s="2" t="s">
        <v>1331</v>
      </c>
      <c r="C248">
        <f t="shared" si="7"/>
        <v>1980</v>
      </c>
      <c r="D248">
        <f t="shared" si="8"/>
        <v>0.05</v>
      </c>
    </row>
    <row r="249" spans="1:4" x14ac:dyDescent="0.25">
      <c r="A249" s="2" t="s">
        <v>1337</v>
      </c>
      <c r="B249" s="2" t="s">
        <v>1338</v>
      </c>
      <c r="C249">
        <f t="shared" si="7"/>
        <v>1980</v>
      </c>
      <c r="D249">
        <f t="shared" si="8"/>
        <v>0.05</v>
      </c>
    </row>
    <row r="250" spans="1:4" x14ac:dyDescent="0.25">
      <c r="A250" s="2" t="s">
        <v>1344</v>
      </c>
      <c r="B250" s="2" t="s">
        <v>1338</v>
      </c>
      <c r="C250">
        <f t="shared" si="7"/>
        <v>1980</v>
      </c>
      <c r="D250">
        <f t="shared" si="8"/>
        <v>0.05</v>
      </c>
    </row>
    <row r="251" spans="1:4" x14ac:dyDescent="0.25">
      <c r="A251" s="2" t="s">
        <v>1349</v>
      </c>
      <c r="B251" s="2" t="s">
        <v>1350</v>
      </c>
      <c r="C251">
        <f t="shared" si="7"/>
        <v>1978</v>
      </c>
      <c r="D251">
        <f t="shared" si="8"/>
        <v>0.05</v>
      </c>
    </row>
    <row r="252" spans="1:4" x14ac:dyDescent="0.25">
      <c r="A252" s="2" t="s">
        <v>1358</v>
      </c>
      <c r="B252" s="2" t="s">
        <v>1359</v>
      </c>
      <c r="C252">
        <f t="shared" si="7"/>
        <v>1978</v>
      </c>
      <c r="D252">
        <f t="shared" si="8"/>
        <v>0.05</v>
      </c>
    </row>
    <row r="253" spans="1:4" x14ac:dyDescent="0.25">
      <c r="A253" s="2" t="s">
        <v>1367</v>
      </c>
      <c r="B253" s="2" t="s">
        <v>1359</v>
      </c>
      <c r="C253">
        <f t="shared" si="7"/>
        <v>1978</v>
      </c>
      <c r="D253">
        <f t="shared" si="8"/>
        <v>0.05</v>
      </c>
    </row>
    <row r="254" spans="1:4" x14ac:dyDescent="0.25">
      <c r="A254" s="2" t="s">
        <v>1374</v>
      </c>
      <c r="B254" s="2" t="s">
        <v>1375</v>
      </c>
      <c r="C254">
        <f t="shared" si="7"/>
        <v>1978</v>
      </c>
      <c r="D254">
        <f t="shared" si="8"/>
        <v>0.05</v>
      </c>
    </row>
    <row r="255" spans="1:4" x14ac:dyDescent="0.25">
      <c r="A255" s="2" t="s">
        <v>1382</v>
      </c>
      <c r="B255" s="2" t="s">
        <v>1383</v>
      </c>
      <c r="C255">
        <f t="shared" si="7"/>
        <v>1978</v>
      </c>
      <c r="D255">
        <f t="shared" si="8"/>
        <v>0.05</v>
      </c>
    </row>
    <row r="256" spans="1:4" x14ac:dyDescent="0.25">
      <c r="A256" s="2" t="s">
        <v>1390</v>
      </c>
      <c r="B256" s="2" t="s">
        <v>1391</v>
      </c>
      <c r="C256">
        <f t="shared" si="7"/>
        <v>1978</v>
      </c>
      <c r="D256">
        <f t="shared" si="8"/>
        <v>0.05</v>
      </c>
    </row>
  </sheetData>
  <autoFilter ref="F1:F256" xr:uid="{00000000-0009-0000-0000-000006000000}">
    <sortState ref="F2:F256">
      <sortCondition ref="F1:F2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Q1936"/>
  <sheetViews>
    <sheetView workbookViewId="0"/>
  </sheetViews>
  <sheetFormatPr defaultRowHeight="15" x14ac:dyDescent="0.25"/>
  <cols>
    <col min="3" max="3" width="13.85546875" customWidth="1"/>
    <col min="4" max="4" width="27.140625" customWidth="1"/>
    <col min="5" max="5" width="17.28515625" customWidth="1"/>
    <col min="7" max="7" width="6.42578125" customWidth="1"/>
    <col min="8" max="8" width="11.42578125" customWidth="1"/>
    <col min="9" max="9" width="15.28515625" customWidth="1"/>
    <col min="11" max="11" width="16.5703125" customWidth="1"/>
    <col min="12" max="12" width="16.42578125" customWidth="1"/>
    <col min="15" max="15" width="15.5703125" customWidth="1"/>
    <col min="16" max="16" width="14.5703125" customWidth="1"/>
  </cols>
  <sheetData>
    <row r="3" spans="3:17" x14ac:dyDescent="0.25">
      <c r="C3" s="11" t="s">
        <v>2</v>
      </c>
      <c r="D3" s="11" t="s">
        <v>5</v>
      </c>
      <c r="E3" t="s">
        <v>2842</v>
      </c>
      <c r="H3" t="s">
        <v>2</v>
      </c>
      <c r="I3" t="s">
        <v>2842</v>
      </c>
      <c r="K3" t="s">
        <v>2</v>
      </c>
      <c r="L3" t="s">
        <v>2854</v>
      </c>
      <c r="M3" t="s">
        <v>2856</v>
      </c>
      <c r="O3" t="s">
        <v>2854</v>
      </c>
      <c r="P3" t="s">
        <v>2855</v>
      </c>
      <c r="Q3" t="s">
        <v>2518</v>
      </c>
    </row>
    <row r="4" spans="3:17" ht="26.25" customHeight="1" x14ac:dyDescent="0.25">
      <c r="C4" s="12" t="s">
        <v>11</v>
      </c>
      <c r="D4" s="12" t="s">
        <v>225</v>
      </c>
      <c r="E4" t="str">
        <f>LEFT(D4,4)</f>
        <v>C10G</v>
      </c>
      <c r="H4" t="s">
        <v>11</v>
      </c>
      <c r="I4" t="s">
        <v>2552</v>
      </c>
      <c r="K4" t="s">
        <v>11</v>
      </c>
      <c r="L4">
        <f>COUNTIF($H:$H,K4)</f>
        <v>1</v>
      </c>
      <c r="M4">
        <f>VLOOKUP(L4,$O$3:$Q$10,3,0)</f>
        <v>0.05</v>
      </c>
      <c r="O4">
        <v>1</v>
      </c>
      <c r="P4">
        <f>COUNTIF($L$3:$L$258,O4)</f>
        <v>47</v>
      </c>
      <c r="Q4">
        <v>0.05</v>
      </c>
    </row>
    <row r="5" spans="3:17" x14ac:dyDescent="0.25">
      <c r="C5" s="12" t="str">
        <f>C4</f>
        <v>US03965205</v>
      </c>
      <c r="D5" s="12" t="s">
        <v>54</v>
      </c>
      <c r="E5" t="str">
        <f t="shared" ref="E5:E68" si="0">LEFT(D5,4)</f>
        <v>C10G</v>
      </c>
      <c r="H5" t="s">
        <v>19</v>
      </c>
      <c r="I5" t="s">
        <v>2551</v>
      </c>
      <c r="K5" t="s">
        <v>19</v>
      </c>
      <c r="L5">
        <f>COUNTIF($H:$H,K5)</f>
        <v>2</v>
      </c>
      <c r="M5">
        <f t="shared" ref="M5:M68" si="1">VLOOKUP(L5,$O$3:$Q$10,3,0)</f>
        <v>0.2</v>
      </c>
      <c r="O5">
        <v>2</v>
      </c>
      <c r="P5">
        <f t="shared" ref="P5:P10" si="2">COUNTIF($L$3:$L$258,O5)</f>
        <v>111</v>
      </c>
      <c r="Q5">
        <v>0.2</v>
      </c>
    </row>
    <row r="6" spans="3:17" x14ac:dyDescent="0.25">
      <c r="C6" s="12" t="s">
        <v>19</v>
      </c>
      <c r="D6" s="12" t="s">
        <v>1466</v>
      </c>
      <c r="E6" t="str">
        <f t="shared" si="0"/>
        <v>C07C</v>
      </c>
      <c r="H6" t="s">
        <v>19</v>
      </c>
      <c r="I6" t="s">
        <v>2552</v>
      </c>
      <c r="K6" t="s">
        <v>26</v>
      </c>
      <c r="L6">
        <f t="shared" ref="L6:L68" si="3">COUNTIF($H:$H,K6)</f>
        <v>2</v>
      </c>
      <c r="M6">
        <f t="shared" si="1"/>
        <v>0.2</v>
      </c>
      <c r="O6">
        <v>3</v>
      </c>
      <c r="P6">
        <f t="shared" si="2"/>
        <v>58</v>
      </c>
      <c r="Q6">
        <v>0.6</v>
      </c>
    </row>
    <row r="7" spans="3:17" ht="22.5" customHeight="1" x14ac:dyDescent="0.25">
      <c r="C7" s="12" t="str">
        <f>C6</f>
        <v>US04404414</v>
      </c>
      <c r="D7" s="12" t="s">
        <v>225</v>
      </c>
      <c r="E7" t="str">
        <f t="shared" si="0"/>
        <v>C10G</v>
      </c>
      <c r="H7" t="s">
        <v>26</v>
      </c>
      <c r="I7" t="s">
        <v>2551</v>
      </c>
      <c r="K7" t="s">
        <v>34</v>
      </c>
      <c r="L7">
        <f t="shared" si="3"/>
        <v>4</v>
      </c>
      <c r="M7">
        <f t="shared" si="1"/>
        <v>0.85</v>
      </c>
      <c r="O7">
        <v>4</v>
      </c>
      <c r="P7">
        <f t="shared" si="2"/>
        <v>28</v>
      </c>
      <c r="Q7">
        <v>0.85</v>
      </c>
    </row>
    <row r="8" spans="3:17" ht="25.5" customHeight="1" x14ac:dyDescent="0.25">
      <c r="C8" s="12" t="s">
        <v>26</v>
      </c>
      <c r="D8" s="12" t="s">
        <v>2533</v>
      </c>
      <c r="E8" t="str">
        <f t="shared" si="0"/>
        <v>C07C</v>
      </c>
      <c r="H8" t="s">
        <v>26</v>
      </c>
      <c r="I8" t="s">
        <v>2554</v>
      </c>
      <c r="K8" t="s">
        <v>43</v>
      </c>
      <c r="L8">
        <f t="shared" si="3"/>
        <v>5</v>
      </c>
      <c r="M8">
        <f t="shared" si="1"/>
        <v>1</v>
      </c>
      <c r="O8">
        <v>5</v>
      </c>
      <c r="P8">
        <f t="shared" si="2"/>
        <v>9</v>
      </c>
      <c r="Q8">
        <v>1</v>
      </c>
    </row>
    <row r="9" spans="3:17" ht="24.75" customHeight="1" x14ac:dyDescent="0.25">
      <c r="C9" s="12" t="str">
        <f t="shared" ref="C9:C10" si="4">C8</f>
        <v>US04788365</v>
      </c>
      <c r="D9" s="12" t="s">
        <v>2534</v>
      </c>
      <c r="E9" t="str">
        <f t="shared" si="0"/>
        <v>C07C</v>
      </c>
      <c r="H9" t="s">
        <v>34</v>
      </c>
      <c r="I9" t="s">
        <v>2549</v>
      </c>
      <c r="K9" t="s">
        <v>50</v>
      </c>
      <c r="L9">
        <f t="shared" si="3"/>
        <v>1</v>
      </c>
      <c r="M9">
        <f t="shared" si="1"/>
        <v>0.05</v>
      </c>
      <c r="O9">
        <v>6</v>
      </c>
      <c r="P9">
        <f t="shared" si="2"/>
        <v>1</v>
      </c>
      <c r="Q9">
        <v>1</v>
      </c>
    </row>
    <row r="10" spans="3:17" ht="23.25" customHeight="1" x14ac:dyDescent="0.25">
      <c r="C10" s="12" t="str">
        <f t="shared" si="4"/>
        <v>US04788365</v>
      </c>
      <c r="D10" s="12" t="s">
        <v>2535</v>
      </c>
      <c r="E10" t="str">
        <f t="shared" si="0"/>
        <v>C10L</v>
      </c>
      <c r="H10" t="s">
        <v>34</v>
      </c>
      <c r="I10" t="s">
        <v>2572</v>
      </c>
      <c r="K10" t="s">
        <v>60</v>
      </c>
      <c r="L10">
        <f t="shared" si="3"/>
        <v>1</v>
      </c>
      <c r="M10">
        <f t="shared" si="1"/>
        <v>0.05</v>
      </c>
      <c r="O10">
        <v>8</v>
      </c>
      <c r="P10">
        <f t="shared" si="2"/>
        <v>1</v>
      </c>
      <c r="Q10">
        <v>1</v>
      </c>
    </row>
    <row r="11" spans="3:17" ht="22.5" customHeight="1" x14ac:dyDescent="0.25">
      <c r="C11" s="12" t="s">
        <v>34</v>
      </c>
      <c r="D11" s="12" t="s">
        <v>2536</v>
      </c>
      <c r="E11" t="str">
        <f t="shared" si="0"/>
        <v>B01J</v>
      </c>
      <c r="H11" t="s">
        <v>34</v>
      </c>
      <c r="I11" t="s">
        <v>2552</v>
      </c>
      <c r="K11" t="s">
        <v>63</v>
      </c>
      <c r="L11">
        <f t="shared" si="3"/>
        <v>3</v>
      </c>
      <c r="M11">
        <f t="shared" si="1"/>
        <v>0.6</v>
      </c>
    </row>
    <row r="12" spans="3:17" x14ac:dyDescent="0.25">
      <c r="C12" s="12" t="str">
        <f t="shared" ref="C12:C25" si="5">C11</f>
        <v>CA2771808</v>
      </c>
      <c r="D12" s="12" t="s">
        <v>2537</v>
      </c>
      <c r="E12" t="str">
        <f t="shared" si="0"/>
        <v>B01J</v>
      </c>
      <c r="H12" t="s">
        <v>34</v>
      </c>
      <c r="I12" t="s">
        <v>2843</v>
      </c>
      <c r="K12" t="s">
        <v>71</v>
      </c>
      <c r="L12">
        <f t="shared" si="3"/>
        <v>3</v>
      </c>
      <c r="M12">
        <f t="shared" si="1"/>
        <v>0.6</v>
      </c>
    </row>
    <row r="13" spans="3:17" x14ac:dyDescent="0.25">
      <c r="C13" s="12" t="str">
        <f t="shared" si="5"/>
        <v>CA2771808</v>
      </c>
      <c r="D13" s="12" t="s">
        <v>2538</v>
      </c>
      <c r="E13" t="str">
        <f t="shared" si="0"/>
        <v>B01J</v>
      </c>
      <c r="H13" t="s">
        <v>43</v>
      </c>
      <c r="I13" t="s">
        <v>2549</v>
      </c>
      <c r="K13" t="s">
        <v>80</v>
      </c>
      <c r="L13">
        <f t="shared" si="3"/>
        <v>3</v>
      </c>
      <c r="M13">
        <f t="shared" si="1"/>
        <v>0.6</v>
      </c>
    </row>
    <row r="14" spans="3:17" x14ac:dyDescent="0.25">
      <c r="C14" s="12" t="str">
        <f t="shared" si="5"/>
        <v>CA2771808</v>
      </c>
      <c r="D14" s="12" t="s">
        <v>2539</v>
      </c>
      <c r="E14" t="str">
        <f t="shared" si="0"/>
        <v>B01J</v>
      </c>
      <c r="H14" t="s">
        <v>43</v>
      </c>
      <c r="I14" t="s">
        <v>2844</v>
      </c>
      <c r="K14" t="s">
        <v>87</v>
      </c>
      <c r="L14">
        <f t="shared" si="3"/>
        <v>3</v>
      </c>
      <c r="M14">
        <f t="shared" si="1"/>
        <v>0.6</v>
      </c>
    </row>
    <row r="15" spans="3:17" x14ac:dyDescent="0.25">
      <c r="C15" s="12" t="str">
        <f t="shared" si="5"/>
        <v>CA2771808</v>
      </c>
      <c r="D15" s="12" t="s">
        <v>2540</v>
      </c>
      <c r="E15" t="str">
        <f t="shared" si="0"/>
        <v>B01J</v>
      </c>
      <c r="H15" t="s">
        <v>43</v>
      </c>
      <c r="I15" t="s">
        <v>2551</v>
      </c>
      <c r="K15" t="s">
        <v>93</v>
      </c>
      <c r="L15">
        <f t="shared" si="3"/>
        <v>2</v>
      </c>
      <c r="M15">
        <f t="shared" si="1"/>
        <v>0.2</v>
      </c>
    </row>
    <row r="16" spans="3:17" x14ac:dyDescent="0.25">
      <c r="C16" s="12" t="str">
        <f t="shared" si="5"/>
        <v>CA2771808</v>
      </c>
      <c r="D16" s="12" t="s">
        <v>2541</v>
      </c>
      <c r="E16" t="str">
        <f t="shared" si="0"/>
        <v>B01J</v>
      </c>
      <c r="H16" t="s">
        <v>43</v>
      </c>
      <c r="I16" t="s">
        <v>2552</v>
      </c>
      <c r="K16" t="s">
        <v>100</v>
      </c>
      <c r="L16">
        <f t="shared" si="3"/>
        <v>2</v>
      </c>
      <c r="M16">
        <f t="shared" si="1"/>
        <v>0.2</v>
      </c>
    </row>
    <row r="17" spans="3:13" x14ac:dyDescent="0.25">
      <c r="C17" s="12" t="str">
        <f t="shared" si="5"/>
        <v>CA2771808</v>
      </c>
      <c r="D17" s="12" t="s">
        <v>2542</v>
      </c>
      <c r="E17" t="str">
        <f t="shared" si="0"/>
        <v>B01J</v>
      </c>
      <c r="H17" t="s">
        <v>43</v>
      </c>
      <c r="I17" t="s">
        <v>2554</v>
      </c>
      <c r="K17" t="s">
        <v>106</v>
      </c>
      <c r="L17">
        <f t="shared" si="3"/>
        <v>3</v>
      </c>
      <c r="M17">
        <f t="shared" si="1"/>
        <v>0.6</v>
      </c>
    </row>
    <row r="18" spans="3:13" x14ac:dyDescent="0.25">
      <c r="C18" s="12" t="str">
        <f t="shared" si="5"/>
        <v>CA2771808</v>
      </c>
      <c r="D18" s="12" t="s">
        <v>2543</v>
      </c>
      <c r="E18" t="str">
        <f t="shared" si="0"/>
        <v>B01J</v>
      </c>
      <c r="H18" t="s">
        <v>50</v>
      </c>
      <c r="I18" t="s">
        <v>2552</v>
      </c>
      <c r="K18" t="s">
        <v>110</v>
      </c>
      <c r="L18">
        <f t="shared" si="3"/>
        <v>3</v>
      </c>
      <c r="M18">
        <f t="shared" si="1"/>
        <v>0.6</v>
      </c>
    </row>
    <row r="19" spans="3:13" x14ac:dyDescent="0.25">
      <c r="C19" s="12" t="str">
        <f t="shared" si="5"/>
        <v>CA2771808</v>
      </c>
      <c r="D19" s="12" t="s">
        <v>2544</v>
      </c>
      <c r="E19" t="str">
        <f t="shared" si="0"/>
        <v>B01J</v>
      </c>
      <c r="H19" t="s">
        <v>60</v>
      </c>
      <c r="I19" t="s">
        <v>2552</v>
      </c>
      <c r="K19" t="s">
        <v>115</v>
      </c>
      <c r="L19">
        <f t="shared" si="3"/>
        <v>1</v>
      </c>
      <c r="M19">
        <f t="shared" si="1"/>
        <v>0.05</v>
      </c>
    </row>
    <row r="20" spans="3:13" x14ac:dyDescent="0.25">
      <c r="C20" s="12" t="str">
        <f t="shared" si="5"/>
        <v>CA2771808</v>
      </c>
      <c r="D20" s="12" t="s">
        <v>2545</v>
      </c>
      <c r="E20" t="str">
        <f t="shared" si="0"/>
        <v>B01J</v>
      </c>
      <c r="H20" t="s">
        <v>63</v>
      </c>
      <c r="I20" t="s">
        <v>2551</v>
      </c>
      <c r="K20" t="s">
        <v>122</v>
      </c>
      <c r="L20">
        <f t="shared" si="3"/>
        <v>2</v>
      </c>
      <c r="M20">
        <f t="shared" si="1"/>
        <v>0.2</v>
      </c>
    </row>
    <row r="21" spans="3:13" x14ac:dyDescent="0.25">
      <c r="C21" s="12" t="str">
        <f t="shared" si="5"/>
        <v>CA2771808</v>
      </c>
      <c r="D21" s="12" t="s">
        <v>2546</v>
      </c>
      <c r="E21" t="str">
        <f t="shared" si="0"/>
        <v>B01J</v>
      </c>
      <c r="H21" t="s">
        <v>63</v>
      </c>
      <c r="I21" t="s">
        <v>2552</v>
      </c>
      <c r="K21" t="s">
        <v>127</v>
      </c>
      <c r="L21">
        <f t="shared" si="3"/>
        <v>3</v>
      </c>
      <c r="M21">
        <f t="shared" si="1"/>
        <v>0.6</v>
      </c>
    </row>
    <row r="22" spans="3:13" x14ac:dyDescent="0.25">
      <c r="C22" s="12" t="str">
        <f t="shared" si="5"/>
        <v>CA2771808</v>
      </c>
      <c r="D22" s="12" t="s">
        <v>2547</v>
      </c>
      <c r="E22" t="str">
        <f t="shared" si="0"/>
        <v>C01B</v>
      </c>
      <c r="H22" t="s">
        <v>63</v>
      </c>
      <c r="I22" t="s">
        <v>2554</v>
      </c>
      <c r="K22" t="s">
        <v>131</v>
      </c>
      <c r="L22">
        <f t="shared" si="3"/>
        <v>2</v>
      </c>
      <c r="M22">
        <f t="shared" si="1"/>
        <v>0.2</v>
      </c>
    </row>
    <row r="23" spans="3:13" x14ac:dyDescent="0.25">
      <c r="C23" s="12" t="str">
        <f t="shared" si="5"/>
        <v>CA2771808</v>
      </c>
      <c r="D23" s="12" t="s">
        <v>2548</v>
      </c>
      <c r="E23" t="str">
        <f t="shared" si="0"/>
        <v>C01B</v>
      </c>
      <c r="H23" t="s">
        <v>71</v>
      </c>
      <c r="I23" t="s">
        <v>2549</v>
      </c>
      <c r="K23" t="s">
        <v>136</v>
      </c>
      <c r="L23">
        <f t="shared" si="3"/>
        <v>2</v>
      </c>
      <c r="M23">
        <f t="shared" si="1"/>
        <v>0.2</v>
      </c>
    </row>
    <row r="24" spans="3:13" x14ac:dyDescent="0.25">
      <c r="C24" s="12" t="str">
        <f t="shared" si="5"/>
        <v>CA2771808</v>
      </c>
      <c r="D24" s="12" t="s">
        <v>1420</v>
      </c>
      <c r="E24" t="str">
        <f t="shared" si="0"/>
        <v>C10G</v>
      </c>
      <c r="H24" t="s">
        <v>71</v>
      </c>
      <c r="I24" t="s">
        <v>2551</v>
      </c>
      <c r="K24" t="s">
        <v>143</v>
      </c>
      <c r="L24">
        <f t="shared" si="3"/>
        <v>3</v>
      </c>
      <c r="M24">
        <f t="shared" si="1"/>
        <v>0.6</v>
      </c>
    </row>
    <row r="25" spans="3:13" x14ac:dyDescent="0.25">
      <c r="C25" s="12" t="str">
        <f t="shared" si="5"/>
        <v>CA2771808</v>
      </c>
      <c r="D25" s="12" t="s">
        <v>1413</v>
      </c>
      <c r="E25" t="str">
        <f t="shared" si="0"/>
        <v>C10J</v>
      </c>
      <c r="H25" t="s">
        <v>71</v>
      </c>
      <c r="I25" t="s">
        <v>2552</v>
      </c>
      <c r="K25" t="s">
        <v>150</v>
      </c>
      <c r="L25">
        <f t="shared" si="3"/>
        <v>2</v>
      </c>
      <c r="M25">
        <f t="shared" si="1"/>
        <v>0.2</v>
      </c>
    </row>
    <row r="26" spans="3:13" x14ac:dyDescent="0.25">
      <c r="C26" s="12" t="s">
        <v>43</v>
      </c>
      <c r="D26" s="12" t="s">
        <v>2549</v>
      </c>
      <c r="E26" t="str">
        <f t="shared" si="0"/>
        <v>B01J</v>
      </c>
      <c r="H26" t="s">
        <v>80</v>
      </c>
      <c r="I26" t="s">
        <v>2549</v>
      </c>
      <c r="K26" t="s">
        <v>153</v>
      </c>
      <c r="L26">
        <f t="shared" si="3"/>
        <v>3</v>
      </c>
      <c r="M26">
        <f t="shared" si="1"/>
        <v>0.6</v>
      </c>
    </row>
    <row r="27" spans="3:13" x14ac:dyDescent="0.25">
      <c r="C27" s="12" t="str">
        <f t="shared" ref="C27:C39" si="6">C26</f>
        <v>CA2754816</v>
      </c>
      <c r="D27" s="12" t="s">
        <v>1940</v>
      </c>
      <c r="E27" t="str">
        <f t="shared" si="0"/>
        <v>B01J</v>
      </c>
      <c r="H27" t="s">
        <v>80</v>
      </c>
      <c r="I27" t="s">
        <v>2551</v>
      </c>
      <c r="K27" t="s">
        <v>160</v>
      </c>
      <c r="L27">
        <f t="shared" si="3"/>
        <v>2</v>
      </c>
      <c r="M27">
        <f t="shared" si="1"/>
        <v>0.2</v>
      </c>
    </row>
    <row r="28" spans="3:13" x14ac:dyDescent="0.25">
      <c r="C28" s="12" t="str">
        <f t="shared" si="6"/>
        <v>CA2754816</v>
      </c>
      <c r="D28" s="12" t="s">
        <v>2550</v>
      </c>
      <c r="E28" t="str">
        <f t="shared" si="0"/>
        <v>C01G</v>
      </c>
      <c r="H28" t="s">
        <v>80</v>
      </c>
      <c r="I28" t="s">
        <v>2552</v>
      </c>
      <c r="K28" t="s">
        <v>168</v>
      </c>
      <c r="L28">
        <f t="shared" si="3"/>
        <v>2</v>
      </c>
      <c r="M28">
        <f t="shared" si="1"/>
        <v>0.2</v>
      </c>
    </row>
    <row r="29" spans="3:13" x14ac:dyDescent="0.25">
      <c r="C29" s="12" t="str">
        <f t="shared" si="6"/>
        <v>CA2754816</v>
      </c>
      <c r="D29" s="12" t="s">
        <v>2551</v>
      </c>
      <c r="E29" t="str">
        <f t="shared" si="0"/>
        <v>C07C</v>
      </c>
      <c r="H29" t="s">
        <v>87</v>
      </c>
      <c r="I29" t="s">
        <v>2549</v>
      </c>
      <c r="K29" t="s">
        <v>172</v>
      </c>
      <c r="L29">
        <f t="shared" si="3"/>
        <v>2</v>
      </c>
      <c r="M29">
        <f t="shared" si="1"/>
        <v>0.2</v>
      </c>
    </row>
    <row r="30" spans="3:13" x14ac:dyDescent="0.25">
      <c r="C30" s="12" t="str">
        <f t="shared" si="6"/>
        <v>CA2754816</v>
      </c>
      <c r="D30" s="12" t="s">
        <v>1426</v>
      </c>
      <c r="E30" t="str">
        <f t="shared" si="0"/>
        <v>C07C</v>
      </c>
      <c r="H30" t="s">
        <v>87</v>
      </c>
      <c r="I30" t="s">
        <v>2551</v>
      </c>
      <c r="K30" t="s">
        <v>177</v>
      </c>
      <c r="L30">
        <f t="shared" si="3"/>
        <v>2</v>
      </c>
      <c r="M30">
        <f t="shared" si="1"/>
        <v>0.2</v>
      </c>
    </row>
    <row r="31" spans="3:13" x14ac:dyDescent="0.25">
      <c r="C31" s="12" t="str">
        <f t="shared" si="6"/>
        <v>CA2754816</v>
      </c>
      <c r="D31" s="12" t="s">
        <v>1759</v>
      </c>
      <c r="E31" t="str">
        <f t="shared" si="0"/>
        <v>C07C</v>
      </c>
      <c r="H31" t="s">
        <v>87</v>
      </c>
      <c r="I31" t="s">
        <v>2552</v>
      </c>
      <c r="K31" t="s">
        <v>180</v>
      </c>
      <c r="L31">
        <f t="shared" si="3"/>
        <v>2</v>
      </c>
      <c r="M31">
        <f t="shared" si="1"/>
        <v>0.2</v>
      </c>
    </row>
    <row r="32" spans="3:13" x14ac:dyDescent="0.25">
      <c r="C32" s="12" t="str">
        <f t="shared" si="6"/>
        <v>CA2754816</v>
      </c>
      <c r="D32" s="12" t="s">
        <v>2552</v>
      </c>
      <c r="E32" t="str">
        <f t="shared" si="0"/>
        <v>C10G</v>
      </c>
      <c r="H32" t="s">
        <v>93</v>
      </c>
      <c r="I32" t="s">
        <v>2551</v>
      </c>
      <c r="K32" t="s">
        <v>183</v>
      </c>
      <c r="L32">
        <f t="shared" si="3"/>
        <v>1</v>
      </c>
      <c r="M32">
        <f t="shared" si="1"/>
        <v>0.05</v>
      </c>
    </row>
    <row r="33" spans="3:13" x14ac:dyDescent="0.25">
      <c r="C33" s="12" t="str">
        <f t="shared" si="6"/>
        <v>CA2754816</v>
      </c>
      <c r="D33" s="12" t="s">
        <v>2553</v>
      </c>
      <c r="E33" t="str">
        <f t="shared" si="0"/>
        <v>C10G</v>
      </c>
      <c r="H33" t="s">
        <v>93</v>
      </c>
      <c r="I33" t="s">
        <v>2552</v>
      </c>
      <c r="K33" t="s">
        <v>186</v>
      </c>
      <c r="L33">
        <f t="shared" si="3"/>
        <v>3</v>
      </c>
      <c r="M33">
        <f t="shared" si="1"/>
        <v>0.6</v>
      </c>
    </row>
    <row r="34" spans="3:13" x14ac:dyDescent="0.25">
      <c r="C34" s="12" t="str">
        <f t="shared" si="6"/>
        <v>CA2754816</v>
      </c>
      <c r="D34" s="12" t="s">
        <v>1420</v>
      </c>
      <c r="E34" t="str">
        <f t="shared" si="0"/>
        <v>C10G</v>
      </c>
      <c r="H34" t="s">
        <v>100</v>
      </c>
      <c r="I34" t="s">
        <v>2551</v>
      </c>
      <c r="K34" t="s">
        <v>191</v>
      </c>
      <c r="L34">
        <f t="shared" si="3"/>
        <v>3</v>
      </c>
      <c r="M34">
        <f t="shared" si="1"/>
        <v>0.6</v>
      </c>
    </row>
    <row r="35" spans="3:13" x14ac:dyDescent="0.25">
      <c r="C35" s="12" t="str">
        <f t="shared" si="6"/>
        <v>CA2754816</v>
      </c>
      <c r="D35" s="12" t="s">
        <v>1437</v>
      </c>
      <c r="E35" t="str">
        <f t="shared" si="0"/>
        <v>C10G</v>
      </c>
      <c r="H35" t="s">
        <v>100</v>
      </c>
      <c r="I35" t="s">
        <v>2552</v>
      </c>
      <c r="K35" t="s">
        <v>196</v>
      </c>
      <c r="L35">
        <f t="shared" si="3"/>
        <v>1</v>
      </c>
      <c r="M35">
        <f t="shared" si="1"/>
        <v>0.05</v>
      </c>
    </row>
    <row r="36" spans="3:13" x14ac:dyDescent="0.25">
      <c r="C36" s="12" t="str">
        <f t="shared" si="6"/>
        <v>CA2754816</v>
      </c>
      <c r="D36" s="12" t="s">
        <v>2554</v>
      </c>
      <c r="E36" t="str">
        <f t="shared" si="0"/>
        <v>C10L</v>
      </c>
      <c r="H36" t="s">
        <v>106</v>
      </c>
      <c r="I36" t="s">
        <v>2845</v>
      </c>
      <c r="K36" t="s">
        <v>200</v>
      </c>
      <c r="L36">
        <f t="shared" si="3"/>
        <v>1</v>
      </c>
      <c r="M36">
        <f t="shared" si="1"/>
        <v>0.05</v>
      </c>
    </row>
    <row r="37" spans="3:13" x14ac:dyDescent="0.25">
      <c r="C37" s="12" t="str">
        <f t="shared" si="6"/>
        <v>CA2754816</v>
      </c>
      <c r="D37" s="12" t="s">
        <v>2555</v>
      </c>
      <c r="E37" t="str">
        <f t="shared" si="0"/>
        <v>C10L</v>
      </c>
      <c r="H37" t="s">
        <v>106</v>
      </c>
      <c r="I37" t="s">
        <v>2551</v>
      </c>
      <c r="K37" t="s">
        <v>204</v>
      </c>
      <c r="L37">
        <f t="shared" si="3"/>
        <v>1</v>
      </c>
      <c r="M37">
        <f t="shared" si="1"/>
        <v>0.05</v>
      </c>
    </row>
    <row r="38" spans="3:13" x14ac:dyDescent="0.25">
      <c r="C38" s="12" t="str">
        <f t="shared" si="6"/>
        <v>CA2754816</v>
      </c>
      <c r="D38" s="12" t="s">
        <v>2556</v>
      </c>
      <c r="E38" t="str">
        <f t="shared" si="0"/>
        <v>C10L</v>
      </c>
      <c r="H38" t="s">
        <v>106</v>
      </c>
      <c r="I38" t="s">
        <v>2552</v>
      </c>
      <c r="K38" t="s">
        <v>208</v>
      </c>
      <c r="L38">
        <f t="shared" si="3"/>
        <v>1</v>
      </c>
      <c r="M38">
        <f t="shared" si="1"/>
        <v>0.05</v>
      </c>
    </row>
    <row r="39" spans="3:13" x14ac:dyDescent="0.25">
      <c r="C39" s="12" t="str">
        <f t="shared" si="6"/>
        <v>CA2754816</v>
      </c>
      <c r="D39" s="12" t="s">
        <v>2557</v>
      </c>
      <c r="E39" t="str">
        <f t="shared" si="0"/>
        <v>C10L</v>
      </c>
      <c r="H39" t="s">
        <v>110</v>
      </c>
      <c r="I39" t="s">
        <v>2549</v>
      </c>
      <c r="K39" t="s">
        <v>211</v>
      </c>
      <c r="L39">
        <f t="shared" si="3"/>
        <v>1</v>
      </c>
      <c r="M39">
        <f t="shared" si="1"/>
        <v>0.05</v>
      </c>
    </row>
    <row r="40" spans="3:13" x14ac:dyDescent="0.25">
      <c r="C40" s="12" t="s">
        <v>50</v>
      </c>
      <c r="D40" s="12" t="s">
        <v>54</v>
      </c>
      <c r="E40" t="str">
        <f t="shared" si="0"/>
        <v>C10G</v>
      </c>
      <c r="H40" t="s">
        <v>110</v>
      </c>
      <c r="I40" t="s">
        <v>2551</v>
      </c>
      <c r="K40" t="s">
        <v>213</v>
      </c>
      <c r="L40">
        <f t="shared" si="3"/>
        <v>1</v>
      </c>
      <c r="M40">
        <f t="shared" si="1"/>
        <v>0.05</v>
      </c>
    </row>
    <row r="41" spans="3:13" x14ac:dyDescent="0.25">
      <c r="C41" s="12" t="s">
        <v>60</v>
      </c>
      <c r="D41" s="12" t="s">
        <v>54</v>
      </c>
      <c r="E41" t="str">
        <f t="shared" si="0"/>
        <v>C10G</v>
      </c>
      <c r="H41" t="s">
        <v>110</v>
      </c>
      <c r="I41" t="s">
        <v>2552</v>
      </c>
      <c r="K41" t="s">
        <v>215</v>
      </c>
      <c r="L41">
        <f t="shared" si="3"/>
        <v>1</v>
      </c>
      <c r="M41">
        <f t="shared" si="1"/>
        <v>0.05</v>
      </c>
    </row>
    <row r="42" spans="3:13" x14ac:dyDescent="0.25">
      <c r="C42" s="12" t="s">
        <v>63</v>
      </c>
      <c r="D42" s="12" t="s">
        <v>2534</v>
      </c>
      <c r="E42" t="str">
        <f t="shared" si="0"/>
        <v>C07C</v>
      </c>
      <c r="H42" t="s">
        <v>115</v>
      </c>
      <c r="I42" t="s">
        <v>2549</v>
      </c>
      <c r="K42" t="s">
        <v>217</v>
      </c>
      <c r="L42">
        <f t="shared" si="3"/>
        <v>1</v>
      </c>
      <c r="M42">
        <f t="shared" si="1"/>
        <v>0.05</v>
      </c>
    </row>
    <row r="43" spans="3:13" x14ac:dyDescent="0.25">
      <c r="C43" s="12" t="str">
        <f t="shared" ref="C43:C47" si="7">C42</f>
        <v>WO8911463</v>
      </c>
      <c r="D43" s="12" t="s">
        <v>225</v>
      </c>
      <c r="E43" t="str">
        <f t="shared" si="0"/>
        <v>C10G</v>
      </c>
      <c r="H43" t="s">
        <v>122</v>
      </c>
      <c r="I43" t="s">
        <v>2549</v>
      </c>
      <c r="K43" t="s">
        <v>219</v>
      </c>
      <c r="L43">
        <f t="shared" si="3"/>
        <v>1</v>
      </c>
      <c r="M43">
        <f t="shared" si="1"/>
        <v>0.05</v>
      </c>
    </row>
    <row r="44" spans="3:13" x14ac:dyDescent="0.25">
      <c r="C44" s="12" t="str">
        <f t="shared" si="7"/>
        <v>WO8911463</v>
      </c>
      <c r="D44" s="12" t="s">
        <v>2553</v>
      </c>
      <c r="E44" t="str">
        <f t="shared" si="0"/>
        <v>C10G</v>
      </c>
      <c r="H44" t="s">
        <v>122</v>
      </c>
      <c r="I44" t="s">
        <v>2572</v>
      </c>
      <c r="K44" t="s">
        <v>221</v>
      </c>
      <c r="L44">
        <f t="shared" si="3"/>
        <v>1</v>
      </c>
      <c r="M44">
        <f t="shared" si="1"/>
        <v>0.05</v>
      </c>
    </row>
    <row r="45" spans="3:13" x14ac:dyDescent="0.25">
      <c r="C45" s="12" t="str">
        <f t="shared" si="7"/>
        <v>WO8911463</v>
      </c>
      <c r="D45" s="12" t="s">
        <v>1437</v>
      </c>
      <c r="E45" t="str">
        <f t="shared" si="0"/>
        <v>C10G</v>
      </c>
      <c r="H45" t="s">
        <v>127</v>
      </c>
      <c r="I45" t="s">
        <v>2551</v>
      </c>
      <c r="K45" t="s">
        <v>227</v>
      </c>
      <c r="L45">
        <f t="shared" si="3"/>
        <v>3</v>
      </c>
      <c r="M45">
        <f t="shared" si="1"/>
        <v>0.6</v>
      </c>
    </row>
    <row r="46" spans="3:13" x14ac:dyDescent="0.25">
      <c r="C46" s="12" t="str">
        <f t="shared" si="7"/>
        <v>WO8911463</v>
      </c>
      <c r="D46" s="12" t="s">
        <v>2535</v>
      </c>
      <c r="E46" t="str">
        <f t="shared" si="0"/>
        <v>C10L</v>
      </c>
      <c r="H46" t="s">
        <v>127</v>
      </c>
      <c r="I46" t="s">
        <v>2552</v>
      </c>
      <c r="K46" t="s">
        <v>233</v>
      </c>
      <c r="L46">
        <f t="shared" si="3"/>
        <v>3</v>
      </c>
      <c r="M46">
        <f t="shared" si="1"/>
        <v>0.6</v>
      </c>
    </row>
    <row r="47" spans="3:13" x14ac:dyDescent="0.25">
      <c r="C47" s="12" t="str">
        <f t="shared" si="7"/>
        <v>WO8911463</v>
      </c>
      <c r="D47" s="12" t="s">
        <v>2556</v>
      </c>
      <c r="E47" t="str">
        <f t="shared" si="0"/>
        <v>C10L</v>
      </c>
      <c r="H47" t="s">
        <v>127</v>
      </c>
      <c r="I47" t="s">
        <v>2554</v>
      </c>
      <c r="K47" t="s">
        <v>240</v>
      </c>
      <c r="L47">
        <f t="shared" si="3"/>
        <v>3</v>
      </c>
      <c r="M47">
        <f t="shared" si="1"/>
        <v>0.6</v>
      </c>
    </row>
    <row r="48" spans="3:13" x14ac:dyDescent="0.25">
      <c r="C48" s="12" t="s">
        <v>71</v>
      </c>
      <c r="D48" s="12" t="s">
        <v>1471</v>
      </c>
      <c r="E48" t="str">
        <f t="shared" si="0"/>
        <v>B01J</v>
      </c>
      <c r="H48" t="s">
        <v>131</v>
      </c>
      <c r="I48" t="s">
        <v>2549</v>
      </c>
      <c r="K48" t="s">
        <v>245</v>
      </c>
      <c r="L48">
        <f t="shared" si="3"/>
        <v>3</v>
      </c>
      <c r="M48">
        <f t="shared" si="1"/>
        <v>0.6</v>
      </c>
    </row>
    <row r="49" spans="3:13" x14ac:dyDescent="0.25">
      <c r="C49" s="12" t="str">
        <f t="shared" ref="C49:C52" si="8">C48</f>
        <v>AU2009273843</v>
      </c>
      <c r="D49" s="12" t="s">
        <v>2558</v>
      </c>
      <c r="E49" t="str">
        <f t="shared" si="0"/>
        <v>B01J</v>
      </c>
      <c r="H49" t="s">
        <v>131</v>
      </c>
      <c r="I49" t="s">
        <v>2551</v>
      </c>
      <c r="K49" t="s">
        <v>248</v>
      </c>
      <c r="L49">
        <f t="shared" si="3"/>
        <v>2</v>
      </c>
      <c r="M49">
        <f t="shared" si="1"/>
        <v>0.2</v>
      </c>
    </row>
    <row r="50" spans="3:13" x14ac:dyDescent="0.25">
      <c r="C50" s="12" t="str">
        <f t="shared" si="8"/>
        <v>AU2009273843</v>
      </c>
      <c r="D50" s="12" t="s">
        <v>2559</v>
      </c>
      <c r="E50" t="str">
        <f t="shared" si="0"/>
        <v>B01J</v>
      </c>
      <c r="H50" t="s">
        <v>136</v>
      </c>
      <c r="I50" t="s">
        <v>2549</v>
      </c>
      <c r="K50" t="s">
        <v>254</v>
      </c>
      <c r="L50">
        <f t="shared" si="3"/>
        <v>3</v>
      </c>
      <c r="M50">
        <f t="shared" si="1"/>
        <v>0.6</v>
      </c>
    </row>
    <row r="51" spans="3:13" x14ac:dyDescent="0.25">
      <c r="C51" s="12" t="str">
        <f t="shared" si="8"/>
        <v>AU2009273843</v>
      </c>
      <c r="D51" s="12" t="s">
        <v>1466</v>
      </c>
      <c r="E51" t="str">
        <f t="shared" si="0"/>
        <v>C07C</v>
      </c>
      <c r="H51" t="s">
        <v>136</v>
      </c>
      <c r="I51" t="s">
        <v>2551</v>
      </c>
      <c r="K51" t="s">
        <v>260</v>
      </c>
      <c r="L51">
        <f t="shared" si="3"/>
        <v>3</v>
      </c>
      <c r="M51">
        <f t="shared" si="1"/>
        <v>0.6</v>
      </c>
    </row>
    <row r="52" spans="3:13" x14ac:dyDescent="0.25">
      <c r="C52" s="12" t="str">
        <f t="shared" si="8"/>
        <v>AU2009273843</v>
      </c>
      <c r="D52" s="12" t="s">
        <v>225</v>
      </c>
      <c r="E52" t="str">
        <f t="shared" si="0"/>
        <v>C10G</v>
      </c>
      <c r="H52" t="s">
        <v>143</v>
      </c>
      <c r="I52" t="s">
        <v>2549</v>
      </c>
      <c r="K52" t="s">
        <v>266</v>
      </c>
      <c r="L52">
        <f t="shared" si="3"/>
        <v>1</v>
      </c>
      <c r="M52">
        <f t="shared" si="1"/>
        <v>0.05</v>
      </c>
    </row>
    <row r="53" spans="3:13" x14ac:dyDescent="0.25">
      <c r="C53" s="12" t="s">
        <v>80</v>
      </c>
      <c r="D53" s="12" t="s">
        <v>2560</v>
      </c>
      <c r="E53" t="str">
        <f t="shared" si="0"/>
        <v>B01J</v>
      </c>
      <c r="H53" t="s">
        <v>143</v>
      </c>
      <c r="I53" t="s">
        <v>2572</v>
      </c>
      <c r="K53" t="s">
        <v>271</v>
      </c>
      <c r="L53">
        <f t="shared" si="3"/>
        <v>2</v>
      </c>
      <c r="M53">
        <f t="shared" si="1"/>
        <v>0.2</v>
      </c>
    </row>
    <row r="54" spans="3:13" x14ac:dyDescent="0.25">
      <c r="C54" s="12" t="str">
        <f t="shared" ref="C54:C59" si="9">C53</f>
        <v>CA2781892</v>
      </c>
      <c r="D54" s="12" t="s">
        <v>1466</v>
      </c>
      <c r="E54" t="str">
        <f t="shared" si="0"/>
        <v>C07C</v>
      </c>
      <c r="H54" t="s">
        <v>143</v>
      </c>
      <c r="I54" t="s">
        <v>2552</v>
      </c>
      <c r="K54" t="s">
        <v>276</v>
      </c>
      <c r="L54">
        <f t="shared" si="3"/>
        <v>2</v>
      </c>
      <c r="M54">
        <f t="shared" si="1"/>
        <v>0.2</v>
      </c>
    </row>
    <row r="55" spans="3:13" x14ac:dyDescent="0.25">
      <c r="C55" s="12" t="str">
        <f t="shared" si="9"/>
        <v>CA2781892</v>
      </c>
      <c r="D55" s="12" t="s">
        <v>2533</v>
      </c>
      <c r="E55" t="str">
        <f t="shared" si="0"/>
        <v>C07C</v>
      </c>
      <c r="H55" t="s">
        <v>150</v>
      </c>
      <c r="I55" t="s">
        <v>2549</v>
      </c>
      <c r="K55" t="s">
        <v>283</v>
      </c>
      <c r="L55">
        <f t="shared" si="3"/>
        <v>2</v>
      </c>
      <c r="M55">
        <f t="shared" si="1"/>
        <v>0.2</v>
      </c>
    </row>
    <row r="56" spans="3:13" x14ac:dyDescent="0.25">
      <c r="C56" s="12" t="str">
        <f t="shared" si="9"/>
        <v>CA2781892</v>
      </c>
      <c r="D56" s="12" t="s">
        <v>2561</v>
      </c>
      <c r="E56" t="str">
        <f t="shared" si="0"/>
        <v>C07C</v>
      </c>
      <c r="H56" t="s">
        <v>150</v>
      </c>
      <c r="I56" t="s">
        <v>2552</v>
      </c>
      <c r="K56" t="s">
        <v>291</v>
      </c>
      <c r="L56">
        <f t="shared" si="3"/>
        <v>1</v>
      </c>
      <c r="M56">
        <f t="shared" si="1"/>
        <v>0.05</v>
      </c>
    </row>
    <row r="57" spans="3:13" x14ac:dyDescent="0.25">
      <c r="C57" s="12" t="str">
        <f t="shared" si="9"/>
        <v>CA2781892</v>
      </c>
      <c r="D57" s="12" t="s">
        <v>2562</v>
      </c>
      <c r="E57" t="str">
        <f t="shared" si="0"/>
        <v>C07C</v>
      </c>
      <c r="H57" t="s">
        <v>153</v>
      </c>
      <c r="I57" t="s">
        <v>2549</v>
      </c>
      <c r="K57" t="s">
        <v>296</v>
      </c>
      <c r="L57">
        <f t="shared" si="3"/>
        <v>3</v>
      </c>
      <c r="M57">
        <f t="shared" si="1"/>
        <v>0.6</v>
      </c>
    </row>
    <row r="58" spans="3:13" x14ac:dyDescent="0.25">
      <c r="C58" s="12" t="str">
        <f t="shared" si="9"/>
        <v>CA2781892</v>
      </c>
      <c r="D58" s="12" t="s">
        <v>225</v>
      </c>
      <c r="E58" t="str">
        <f t="shared" si="0"/>
        <v>C10G</v>
      </c>
      <c r="H58" t="s">
        <v>153</v>
      </c>
      <c r="I58" t="s">
        <v>2551</v>
      </c>
      <c r="K58" t="s">
        <v>302</v>
      </c>
      <c r="L58">
        <f t="shared" si="3"/>
        <v>3</v>
      </c>
      <c r="M58">
        <f t="shared" si="1"/>
        <v>0.6</v>
      </c>
    </row>
    <row r="59" spans="3:13" x14ac:dyDescent="0.25">
      <c r="C59" s="12" t="str">
        <f t="shared" si="9"/>
        <v>CA2781892</v>
      </c>
      <c r="D59" s="12" t="s">
        <v>1437</v>
      </c>
      <c r="E59" t="str">
        <f t="shared" si="0"/>
        <v>C10G</v>
      </c>
      <c r="H59" t="s">
        <v>153</v>
      </c>
      <c r="I59" t="s">
        <v>2552</v>
      </c>
      <c r="K59" t="s">
        <v>307</v>
      </c>
      <c r="L59">
        <f t="shared" si="3"/>
        <v>3</v>
      </c>
      <c r="M59">
        <f t="shared" si="1"/>
        <v>0.6</v>
      </c>
    </row>
    <row r="60" spans="3:13" x14ac:dyDescent="0.25">
      <c r="C60" s="12" t="s">
        <v>87</v>
      </c>
      <c r="D60" s="12" t="s">
        <v>2563</v>
      </c>
      <c r="E60" t="str">
        <f t="shared" si="0"/>
        <v>B01J</v>
      </c>
      <c r="H60" t="s">
        <v>160</v>
      </c>
      <c r="I60" t="s">
        <v>2846</v>
      </c>
      <c r="K60" t="s">
        <v>311</v>
      </c>
      <c r="L60">
        <f t="shared" si="3"/>
        <v>3</v>
      </c>
      <c r="M60">
        <f t="shared" si="1"/>
        <v>0.6</v>
      </c>
    </row>
    <row r="61" spans="3:13" x14ac:dyDescent="0.25">
      <c r="C61" s="12" t="str">
        <f t="shared" ref="C61:C64" si="10">C60</f>
        <v>EA199900341</v>
      </c>
      <c r="D61" s="12" t="s">
        <v>1466</v>
      </c>
      <c r="E61" t="str">
        <f t="shared" si="0"/>
        <v>C07C</v>
      </c>
      <c r="H61" t="s">
        <v>160</v>
      </c>
      <c r="I61" t="s">
        <v>2552</v>
      </c>
      <c r="K61" t="s">
        <v>317</v>
      </c>
      <c r="L61">
        <f t="shared" si="3"/>
        <v>4</v>
      </c>
      <c r="M61">
        <f t="shared" si="1"/>
        <v>0.85</v>
      </c>
    </row>
    <row r="62" spans="3:13" x14ac:dyDescent="0.25">
      <c r="C62" s="12" t="str">
        <f t="shared" si="10"/>
        <v>EA199900341</v>
      </c>
      <c r="D62" s="12" t="s">
        <v>225</v>
      </c>
      <c r="E62" t="str">
        <f t="shared" si="0"/>
        <v>C10G</v>
      </c>
      <c r="H62" t="s">
        <v>168</v>
      </c>
      <c r="I62" t="s">
        <v>2551</v>
      </c>
      <c r="K62" t="s">
        <v>325</v>
      </c>
      <c r="L62">
        <f t="shared" si="3"/>
        <v>3</v>
      </c>
      <c r="M62">
        <f t="shared" si="1"/>
        <v>0.6</v>
      </c>
    </row>
    <row r="63" spans="3:13" x14ac:dyDescent="0.25">
      <c r="C63" s="12" t="str">
        <f t="shared" si="10"/>
        <v>EA199900341</v>
      </c>
      <c r="D63" s="12" t="s">
        <v>54</v>
      </c>
      <c r="E63" t="str">
        <f t="shared" si="0"/>
        <v>C10G</v>
      </c>
      <c r="H63" t="s">
        <v>168</v>
      </c>
      <c r="I63" t="s">
        <v>2552</v>
      </c>
      <c r="K63" t="s">
        <v>331</v>
      </c>
      <c r="L63">
        <f t="shared" si="3"/>
        <v>3</v>
      </c>
      <c r="M63">
        <f t="shared" si="1"/>
        <v>0.6</v>
      </c>
    </row>
    <row r="64" spans="3:13" x14ac:dyDescent="0.25">
      <c r="C64" s="12" t="str">
        <f t="shared" si="10"/>
        <v>EA199900341</v>
      </c>
      <c r="D64" s="12" t="s">
        <v>1437</v>
      </c>
      <c r="E64" t="str">
        <f t="shared" si="0"/>
        <v>C10G</v>
      </c>
      <c r="H64" t="s">
        <v>172</v>
      </c>
      <c r="I64" t="s">
        <v>2549</v>
      </c>
      <c r="K64" t="s">
        <v>335</v>
      </c>
      <c r="L64">
        <f t="shared" si="3"/>
        <v>2</v>
      </c>
      <c r="M64">
        <f t="shared" si="1"/>
        <v>0.2</v>
      </c>
    </row>
    <row r="65" spans="3:13" x14ac:dyDescent="0.25">
      <c r="C65" s="12" t="s">
        <v>93</v>
      </c>
      <c r="D65" s="12" t="s">
        <v>1466</v>
      </c>
      <c r="E65" t="str">
        <f t="shared" si="0"/>
        <v>C07C</v>
      </c>
      <c r="H65" t="s">
        <v>172</v>
      </c>
      <c r="I65" t="s">
        <v>2551</v>
      </c>
      <c r="K65" t="s">
        <v>338</v>
      </c>
      <c r="L65">
        <f t="shared" si="3"/>
        <v>1</v>
      </c>
      <c r="M65">
        <f t="shared" si="1"/>
        <v>0.05</v>
      </c>
    </row>
    <row r="66" spans="3:13" x14ac:dyDescent="0.25">
      <c r="C66" s="12" t="str">
        <f t="shared" ref="C66:C68" si="11">C65</f>
        <v>RU2610277</v>
      </c>
      <c r="D66" s="12" t="s">
        <v>2564</v>
      </c>
      <c r="E66" t="str">
        <f t="shared" si="0"/>
        <v>C07C</v>
      </c>
      <c r="H66" t="s">
        <v>177</v>
      </c>
      <c r="I66" t="s">
        <v>2549</v>
      </c>
      <c r="K66" t="s">
        <v>342</v>
      </c>
      <c r="L66">
        <f t="shared" si="3"/>
        <v>1</v>
      </c>
      <c r="M66">
        <f t="shared" si="1"/>
        <v>0.05</v>
      </c>
    </row>
    <row r="67" spans="3:13" x14ac:dyDescent="0.25">
      <c r="C67" s="12" t="str">
        <f t="shared" si="11"/>
        <v>RU2610277</v>
      </c>
      <c r="D67" s="12" t="s">
        <v>2565</v>
      </c>
      <c r="E67" t="str">
        <f t="shared" si="0"/>
        <v>C07C</v>
      </c>
      <c r="H67" t="s">
        <v>177</v>
      </c>
      <c r="I67" t="s">
        <v>2551</v>
      </c>
      <c r="K67" t="s">
        <v>345</v>
      </c>
      <c r="L67">
        <f t="shared" si="3"/>
        <v>1</v>
      </c>
      <c r="M67">
        <f t="shared" si="1"/>
        <v>0.05</v>
      </c>
    </row>
    <row r="68" spans="3:13" x14ac:dyDescent="0.25">
      <c r="C68" s="12" t="str">
        <f t="shared" si="11"/>
        <v>RU2610277</v>
      </c>
      <c r="D68" s="12" t="s">
        <v>225</v>
      </c>
      <c r="E68" t="str">
        <f t="shared" si="0"/>
        <v>C10G</v>
      </c>
      <c r="H68" t="s">
        <v>180</v>
      </c>
      <c r="I68" t="s">
        <v>2551</v>
      </c>
      <c r="K68" t="s">
        <v>349</v>
      </c>
      <c r="L68">
        <f t="shared" si="3"/>
        <v>2</v>
      </c>
      <c r="M68">
        <f t="shared" si="1"/>
        <v>0.2</v>
      </c>
    </row>
    <row r="69" spans="3:13" x14ac:dyDescent="0.25">
      <c r="C69" s="12" t="s">
        <v>100</v>
      </c>
      <c r="D69" s="12" t="s">
        <v>1498</v>
      </c>
      <c r="E69" t="str">
        <f t="shared" ref="E69:E132" si="12">LEFT(D69,4)</f>
        <v>C07C</v>
      </c>
      <c r="H69" t="s">
        <v>180</v>
      </c>
      <c r="I69" t="s">
        <v>2552</v>
      </c>
      <c r="K69" t="s">
        <v>352</v>
      </c>
      <c r="L69">
        <f t="shared" ref="L69:L132" si="13">COUNTIF($H:$H,K69)</f>
        <v>2</v>
      </c>
      <c r="M69">
        <f t="shared" ref="M69:M132" si="14">VLOOKUP(L69,$O$3:$Q$10,3,0)</f>
        <v>0.2</v>
      </c>
    </row>
    <row r="70" spans="3:13" x14ac:dyDescent="0.25">
      <c r="C70" s="12" t="str">
        <f t="shared" ref="C70:C75" si="15">C69</f>
        <v>RU2558955</v>
      </c>
      <c r="D70" s="12" t="s">
        <v>2566</v>
      </c>
      <c r="E70" t="str">
        <f t="shared" si="12"/>
        <v>C07C</v>
      </c>
      <c r="H70" t="s">
        <v>183</v>
      </c>
      <c r="I70" t="s">
        <v>2551</v>
      </c>
      <c r="K70" t="s">
        <v>355</v>
      </c>
      <c r="L70">
        <f t="shared" si="13"/>
        <v>2</v>
      </c>
      <c r="M70">
        <f t="shared" si="14"/>
        <v>0.2</v>
      </c>
    </row>
    <row r="71" spans="3:13" x14ac:dyDescent="0.25">
      <c r="C71" s="12" t="str">
        <f t="shared" si="15"/>
        <v>RU2558955</v>
      </c>
      <c r="D71" s="12" t="s">
        <v>2567</v>
      </c>
      <c r="E71" t="str">
        <f t="shared" si="12"/>
        <v>C07C</v>
      </c>
      <c r="H71" t="s">
        <v>186</v>
      </c>
      <c r="I71" t="s">
        <v>2549</v>
      </c>
      <c r="K71" t="s">
        <v>358</v>
      </c>
      <c r="L71">
        <f t="shared" si="13"/>
        <v>2</v>
      </c>
      <c r="M71">
        <f t="shared" si="14"/>
        <v>0.2</v>
      </c>
    </row>
    <row r="72" spans="3:13" x14ac:dyDescent="0.25">
      <c r="C72" s="12" t="str">
        <f t="shared" si="15"/>
        <v>RU2558955</v>
      </c>
      <c r="D72" s="12" t="s">
        <v>1021</v>
      </c>
      <c r="E72" t="str">
        <f t="shared" si="12"/>
        <v>C07C</v>
      </c>
      <c r="H72" t="s">
        <v>186</v>
      </c>
      <c r="I72" t="s">
        <v>2572</v>
      </c>
      <c r="K72" t="s">
        <v>361</v>
      </c>
      <c r="L72">
        <f t="shared" si="13"/>
        <v>3</v>
      </c>
      <c r="M72">
        <f t="shared" si="14"/>
        <v>0.6</v>
      </c>
    </row>
    <row r="73" spans="3:13" x14ac:dyDescent="0.25">
      <c r="C73" s="12" t="str">
        <f t="shared" si="15"/>
        <v>RU2558955</v>
      </c>
      <c r="D73" s="12" t="s">
        <v>225</v>
      </c>
      <c r="E73" t="str">
        <f t="shared" si="12"/>
        <v>C10G</v>
      </c>
      <c r="H73" t="s">
        <v>186</v>
      </c>
      <c r="I73" t="s">
        <v>2551</v>
      </c>
      <c r="K73" t="s">
        <v>364</v>
      </c>
      <c r="L73">
        <f t="shared" si="13"/>
        <v>2</v>
      </c>
      <c r="M73">
        <f t="shared" si="14"/>
        <v>0.2</v>
      </c>
    </row>
    <row r="74" spans="3:13" x14ac:dyDescent="0.25">
      <c r="C74" s="12" t="str">
        <f t="shared" si="15"/>
        <v>RU2558955</v>
      </c>
      <c r="D74" s="12" t="s">
        <v>522</v>
      </c>
      <c r="E74" t="str">
        <f t="shared" si="12"/>
        <v>C10G</v>
      </c>
      <c r="H74" t="s">
        <v>191</v>
      </c>
      <c r="I74" t="s">
        <v>2549</v>
      </c>
      <c r="K74" t="s">
        <v>369</v>
      </c>
      <c r="L74">
        <f t="shared" si="13"/>
        <v>2</v>
      </c>
      <c r="M74">
        <f t="shared" si="14"/>
        <v>0.2</v>
      </c>
    </row>
    <row r="75" spans="3:13" x14ac:dyDescent="0.25">
      <c r="C75" s="12" t="str">
        <f t="shared" si="15"/>
        <v>RU2558955</v>
      </c>
      <c r="D75" s="12" t="s">
        <v>54</v>
      </c>
      <c r="E75" t="str">
        <f t="shared" si="12"/>
        <v>C10G</v>
      </c>
      <c r="H75" t="s">
        <v>191</v>
      </c>
      <c r="I75" t="s">
        <v>2551</v>
      </c>
      <c r="K75" t="s">
        <v>374</v>
      </c>
      <c r="L75">
        <f t="shared" si="13"/>
        <v>3</v>
      </c>
      <c r="M75">
        <f t="shared" si="14"/>
        <v>0.6</v>
      </c>
    </row>
    <row r="76" spans="3:13" x14ac:dyDescent="0.25">
      <c r="C76" s="12" t="s">
        <v>106</v>
      </c>
      <c r="D76" s="12" t="s">
        <v>2568</v>
      </c>
      <c r="E76" t="str">
        <f t="shared" si="12"/>
        <v>C02F</v>
      </c>
      <c r="H76" t="s">
        <v>191</v>
      </c>
      <c r="I76" t="s">
        <v>2552</v>
      </c>
      <c r="K76" t="s">
        <v>378</v>
      </c>
      <c r="L76">
        <f t="shared" si="13"/>
        <v>2</v>
      </c>
      <c r="M76">
        <f t="shared" si="14"/>
        <v>0.2</v>
      </c>
    </row>
    <row r="77" spans="3:13" x14ac:dyDescent="0.25">
      <c r="C77" s="12" t="str">
        <f t="shared" ref="C77:C78" si="16">C76</f>
        <v>RU2544510</v>
      </c>
      <c r="D77" s="12" t="s">
        <v>2569</v>
      </c>
      <c r="E77" t="str">
        <f t="shared" si="12"/>
        <v>C07C</v>
      </c>
      <c r="H77" t="s">
        <v>196</v>
      </c>
      <c r="I77" t="s">
        <v>2552</v>
      </c>
      <c r="K77" t="s">
        <v>382</v>
      </c>
      <c r="L77">
        <f t="shared" si="13"/>
        <v>2</v>
      </c>
      <c r="M77">
        <f t="shared" si="14"/>
        <v>0.2</v>
      </c>
    </row>
    <row r="78" spans="3:13" x14ac:dyDescent="0.25">
      <c r="C78" s="12" t="str">
        <f t="shared" si="16"/>
        <v>RU2544510</v>
      </c>
      <c r="D78" s="12" t="s">
        <v>2570</v>
      </c>
      <c r="E78" t="str">
        <f t="shared" si="12"/>
        <v>C10G</v>
      </c>
      <c r="H78" t="s">
        <v>200</v>
      </c>
      <c r="I78" t="s">
        <v>2552</v>
      </c>
      <c r="K78" t="s">
        <v>384</v>
      </c>
      <c r="L78">
        <f t="shared" si="13"/>
        <v>2</v>
      </c>
      <c r="M78">
        <f t="shared" si="14"/>
        <v>0.2</v>
      </c>
    </row>
    <row r="79" spans="3:13" x14ac:dyDescent="0.25">
      <c r="C79" s="12" t="s">
        <v>110</v>
      </c>
      <c r="D79" s="12" t="s">
        <v>2558</v>
      </c>
      <c r="E79" t="str">
        <f t="shared" si="12"/>
        <v>B01J</v>
      </c>
      <c r="H79" t="s">
        <v>204</v>
      </c>
      <c r="I79" t="s">
        <v>2551</v>
      </c>
      <c r="K79" t="s">
        <v>387</v>
      </c>
      <c r="L79">
        <f t="shared" si="13"/>
        <v>2</v>
      </c>
      <c r="M79">
        <f t="shared" si="14"/>
        <v>0.2</v>
      </c>
    </row>
    <row r="80" spans="3:13" x14ac:dyDescent="0.25">
      <c r="C80" s="12" t="str">
        <f t="shared" ref="C80:C81" si="17">C79</f>
        <v>RU2477656</v>
      </c>
      <c r="D80" s="12" t="s">
        <v>1466</v>
      </c>
      <c r="E80" t="str">
        <f t="shared" si="12"/>
        <v>C07C</v>
      </c>
      <c r="H80" t="s">
        <v>208</v>
      </c>
      <c r="I80" t="s">
        <v>2551</v>
      </c>
      <c r="K80" t="s">
        <v>389</v>
      </c>
      <c r="L80">
        <f t="shared" si="13"/>
        <v>2</v>
      </c>
      <c r="M80">
        <f t="shared" si="14"/>
        <v>0.2</v>
      </c>
    </row>
    <row r="81" spans="3:13" x14ac:dyDescent="0.25">
      <c r="C81" s="12" t="str">
        <f t="shared" si="17"/>
        <v>RU2477656</v>
      </c>
      <c r="D81" s="12" t="s">
        <v>54</v>
      </c>
      <c r="E81" t="str">
        <f t="shared" si="12"/>
        <v>C10G</v>
      </c>
      <c r="H81" t="s">
        <v>211</v>
      </c>
      <c r="I81" t="s">
        <v>2551</v>
      </c>
      <c r="K81" t="s">
        <v>391</v>
      </c>
      <c r="L81">
        <f t="shared" si="13"/>
        <v>2</v>
      </c>
      <c r="M81">
        <f t="shared" si="14"/>
        <v>0.2</v>
      </c>
    </row>
    <row r="82" spans="3:13" x14ac:dyDescent="0.25">
      <c r="C82" s="12" t="s">
        <v>115</v>
      </c>
      <c r="D82" s="12" t="s">
        <v>2571</v>
      </c>
      <c r="E82" t="str">
        <f t="shared" si="12"/>
        <v>B01J</v>
      </c>
      <c r="H82" t="s">
        <v>213</v>
      </c>
      <c r="I82" t="s">
        <v>2551</v>
      </c>
      <c r="K82" t="s">
        <v>393</v>
      </c>
      <c r="L82">
        <f t="shared" si="13"/>
        <v>2</v>
      </c>
      <c r="M82">
        <f t="shared" si="14"/>
        <v>0.2</v>
      </c>
    </row>
    <row r="83" spans="3:13" x14ac:dyDescent="0.25">
      <c r="C83" s="12" t="str">
        <f>C82</f>
        <v>WO03089135</v>
      </c>
      <c r="D83" s="12" t="s">
        <v>2558</v>
      </c>
      <c r="E83" t="str">
        <f t="shared" si="12"/>
        <v>B01J</v>
      </c>
      <c r="H83" t="s">
        <v>215</v>
      </c>
      <c r="I83" t="s">
        <v>2551</v>
      </c>
      <c r="K83" t="s">
        <v>395</v>
      </c>
      <c r="L83">
        <f t="shared" si="13"/>
        <v>1</v>
      </c>
      <c r="M83">
        <f t="shared" si="14"/>
        <v>0.05</v>
      </c>
    </row>
    <row r="84" spans="3:13" x14ac:dyDescent="0.25">
      <c r="C84" s="12" t="s">
        <v>122</v>
      </c>
      <c r="D84" s="12" t="s">
        <v>2549</v>
      </c>
      <c r="E84" t="str">
        <f t="shared" si="12"/>
        <v>B01J</v>
      </c>
      <c r="H84" t="s">
        <v>217</v>
      </c>
      <c r="I84" t="s">
        <v>2551</v>
      </c>
      <c r="K84" t="s">
        <v>400</v>
      </c>
      <c r="L84">
        <f t="shared" si="13"/>
        <v>1</v>
      </c>
      <c r="M84">
        <f t="shared" si="14"/>
        <v>0.05</v>
      </c>
    </row>
    <row r="85" spans="3:13" x14ac:dyDescent="0.25">
      <c r="C85" s="12" t="str">
        <f>C84</f>
        <v>ZA200810099</v>
      </c>
      <c r="D85" s="12" t="s">
        <v>2572</v>
      </c>
      <c r="E85" t="str">
        <f t="shared" si="12"/>
        <v>C01B</v>
      </c>
      <c r="H85" t="s">
        <v>219</v>
      </c>
      <c r="I85" t="s">
        <v>2551</v>
      </c>
      <c r="K85" t="s">
        <v>404</v>
      </c>
      <c r="L85">
        <f t="shared" si="13"/>
        <v>3</v>
      </c>
      <c r="M85">
        <f t="shared" si="14"/>
        <v>0.6</v>
      </c>
    </row>
    <row r="86" spans="3:13" x14ac:dyDescent="0.25">
      <c r="C86" s="12" t="s">
        <v>127</v>
      </c>
      <c r="D86" s="12" t="s">
        <v>2573</v>
      </c>
      <c r="E86" t="str">
        <f t="shared" si="12"/>
        <v>C07C</v>
      </c>
      <c r="H86" t="s">
        <v>221</v>
      </c>
      <c r="I86" t="s">
        <v>2552</v>
      </c>
      <c r="K86" t="s">
        <v>408</v>
      </c>
      <c r="L86">
        <f t="shared" si="13"/>
        <v>2</v>
      </c>
      <c r="M86">
        <f t="shared" si="14"/>
        <v>0.2</v>
      </c>
    </row>
    <row r="87" spans="3:13" x14ac:dyDescent="0.25">
      <c r="C87" s="12" t="str">
        <f t="shared" ref="C87:C89" si="18">C86</f>
        <v>RU2671568</v>
      </c>
      <c r="D87" s="12" t="s">
        <v>225</v>
      </c>
      <c r="E87" t="str">
        <f t="shared" si="12"/>
        <v>C10G</v>
      </c>
      <c r="H87" t="s">
        <v>227</v>
      </c>
      <c r="I87" t="s">
        <v>2549</v>
      </c>
      <c r="K87" t="s">
        <v>415</v>
      </c>
      <c r="L87">
        <f t="shared" si="13"/>
        <v>3</v>
      </c>
      <c r="M87">
        <f t="shared" si="14"/>
        <v>0.6</v>
      </c>
    </row>
    <row r="88" spans="3:13" x14ac:dyDescent="0.25">
      <c r="C88" s="12" t="str">
        <f t="shared" si="18"/>
        <v>RU2671568</v>
      </c>
      <c r="D88" s="12" t="s">
        <v>54</v>
      </c>
      <c r="E88" t="str">
        <f t="shared" si="12"/>
        <v>C10G</v>
      </c>
      <c r="H88" t="s">
        <v>227</v>
      </c>
      <c r="I88" t="s">
        <v>2551</v>
      </c>
      <c r="K88" t="s">
        <v>421</v>
      </c>
      <c r="L88">
        <f t="shared" si="13"/>
        <v>2</v>
      </c>
      <c r="M88">
        <f t="shared" si="14"/>
        <v>0.2</v>
      </c>
    </row>
    <row r="89" spans="3:13" x14ac:dyDescent="0.25">
      <c r="C89" s="12" t="str">
        <f t="shared" si="18"/>
        <v>RU2671568</v>
      </c>
      <c r="D89" s="12" t="s">
        <v>2555</v>
      </c>
      <c r="E89" t="str">
        <f t="shared" si="12"/>
        <v>C10L</v>
      </c>
      <c r="H89" t="s">
        <v>227</v>
      </c>
      <c r="I89" t="s">
        <v>2552</v>
      </c>
      <c r="K89" t="s">
        <v>426</v>
      </c>
      <c r="L89">
        <f t="shared" si="13"/>
        <v>2</v>
      </c>
      <c r="M89">
        <f t="shared" si="14"/>
        <v>0.2</v>
      </c>
    </row>
    <row r="90" spans="3:13" ht="30" x14ac:dyDescent="0.25">
      <c r="C90" s="12" t="s">
        <v>131</v>
      </c>
      <c r="D90" s="12" t="s">
        <v>2574</v>
      </c>
      <c r="E90" t="str">
        <f t="shared" si="12"/>
        <v>B01J</v>
      </c>
      <c r="H90" t="s">
        <v>233</v>
      </c>
      <c r="I90" t="s">
        <v>2549</v>
      </c>
      <c r="K90" t="s">
        <v>432</v>
      </c>
      <c r="L90">
        <f t="shared" si="13"/>
        <v>3</v>
      </c>
      <c r="M90">
        <f t="shared" si="14"/>
        <v>0.6</v>
      </c>
    </row>
    <row r="91" spans="3:13" ht="30" x14ac:dyDescent="0.25">
      <c r="C91" s="12" t="str">
        <f t="shared" ref="C91:C95" si="19">C90</f>
        <v>US20180273442</v>
      </c>
      <c r="D91" s="12" t="s">
        <v>1498</v>
      </c>
      <c r="E91" t="str">
        <f t="shared" si="12"/>
        <v>C07C</v>
      </c>
      <c r="H91" t="s">
        <v>233</v>
      </c>
      <c r="I91" t="s">
        <v>2572</v>
      </c>
      <c r="K91" t="s">
        <v>437</v>
      </c>
      <c r="L91">
        <f t="shared" si="13"/>
        <v>2</v>
      </c>
      <c r="M91">
        <f t="shared" si="14"/>
        <v>0.2</v>
      </c>
    </row>
    <row r="92" spans="3:13" ht="30" x14ac:dyDescent="0.25">
      <c r="C92" s="12" t="str">
        <f t="shared" si="19"/>
        <v>US20180273442</v>
      </c>
      <c r="D92" s="12" t="s">
        <v>2575</v>
      </c>
      <c r="E92" t="str">
        <f t="shared" si="12"/>
        <v>C07C</v>
      </c>
      <c r="H92" t="s">
        <v>233</v>
      </c>
      <c r="I92" t="s">
        <v>2552</v>
      </c>
      <c r="K92" t="s">
        <v>442</v>
      </c>
      <c r="L92">
        <f t="shared" si="13"/>
        <v>2</v>
      </c>
      <c r="M92">
        <f t="shared" si="14"/>
        <v>0.2</v>
      </c>
    </row>
    <row r="93" spans="3:13" ht="30" x14ac:dyDescent="0.25">
      <c r="C93" s="12" t="str">
        <f t="shared" si="19"/>
        <v>US20180273442</v>
      </c>
      <c r="D93" s="12" t="s">
        <v>2561</v>
      </c>
      <c r="E93" t="str">
        <f t="shared" si="12"/>
        <v>C07C</v>
      </c>
      <c r="H93" t="s">
        <v>240</v>
      </c>
      <c r="I93" t="s">
        <v>2549</v>
      </c>
      <c r="K93" t="s">
        <v>447</v>
      </c>
      <c r="L93">
        <f t="shared" si="13"/>
        <v>2</v>
      </c>
      <c r="M93">
        <f t="shared" si="14"/>
        <v>0.2</v>
      </c>
    </row>
    <row r="94" spans="3:13" ht="30" x14ac:dyDescent="0.25">
      <c r="C94" s="12" t="str">
        <f t="shared" si="19"/>
        <v>US20180273442</v>
      </c>
      <c r="D94" s="12" t="s">
        <v>1021</v>
      </c>
      <c r="E94" t="str">
        <f t="shared" si="12"/>
        <v>C07C</v>
      </c>
      <c r="H94" t="s">
        <v>240</v>
      </c>
      <c r="I94" t="s">
        <v>2572</v>
      </c>
      <c r="K94" t="s">
        <v>452</v>
      </c>
      <c r="L94">
        <f t="shared" si="13"/>
        <v>2</v>
      </c>
      <c r="M94">
        <f t="shared" si="14"/>
        <v>0.2</v>
      </c>
    </row>
    <row r="95" spans="3:13" ht="30" x14ac:dyDescent="0.25">
      <c r="C95" s="12" t="str">
        <f t="shared" si="19"/>
        <v>US20180273442</v>
      </c>
      <c r="D95" s="12" t="s">
        <v>2565</v>
      </c>
      <c r="E95" t="str">
        <f t="shared" si="12"/>
        <v>C07C</v>
      </c>
      <c r="H95" t="s">
        <v>240</v>
      </c>
      <c r="I95" t="s">
        <v>2552</v>
      </c>
      <c r="K95" t="s">
        <v>458</v>
      </c>
      <c r="L95">
        <f t="shared" si="13"/>
        <v>2</v>
      </c>
      <c r="M95">
        <f t="shared" si="14"/>
        <v>0.2</v>
      </c>
    </row>
    <row r="96" spans="3:13" x14ac:dyDescent="0.25">
      <c r="C96" s="12" t="s">
        <v>136</v>
      </c>
      <c r="D96" s="12" t="s">
        <v>2576</v>
      </c>
      <c r="E96" t="str">
        <f t="shared" si="12"/>
        <v>B01J</v>
      </c>
      <c r="H96" t="s">
        <v>245</v>
      </c>
      <c r="I96" t="s">
        <v>2549</v>
      </c>
      <c r="K96" t="s">
        <v>463</v>
      </c>
      <c r="L96">
        <f t="shared" si="13"/>
        <v>1</v>
      </c>
      <c r="M96">
        <f t="shared" si="14"/>
        <v>0.05</v>
      </c>
    </row>
    <row r="97" spans="3:13" x14ac:dyDescent="0.25">
      <c r="C97" s="12" t="str">
        <f t="shared" ref="C97:C112" si="20">C96</f>
        <v>CN108404970</v>
      </c>
      <c r="D97" s="12" t="s">
        <v>2558</v>
      </c>
      <c r="E97" t="str">
        <f t="shared" si="12"/>
        <v>B01J</v>
      </c>
      <c r="H97" t="s">
        <v>245</v>
      </c>
      <c r="I97" t="s">
        <v>2572</v>
      </c>
      <c r="K97" t="s">
        <v>466</v>
      </c>
      <c r="L97">
        <f t="shared" si="13"/>
        <v>2</v>
      </c>
      <c r="M97">
        <f t="shared" si="14"/>
        <v>0.2</v>
      </c>
    </row>
    <row r="98" spans="3:13" x14ac:dyDescent="0.25">
      <c r="C98" s="12" t="str">
        <f t="shared" si="20"/>
        <v>CN108404970</v>
      </c>
      <c r="D98" s="12" t="s">
        <v>2577</v>
      </c>
      <c r="E98" t="str">
        <f t="shared" si="12"/>
        <v>B01J</v>
      </c>
      <c r="H98" t="s">
        <v>245</v>
      </c>
      <c r="I98" t="s">
        <v>2552</v>
      </c>
      <c r="K98" t="s">
        <v>469</v>
      </c>
      <c r="L98">
        <f t="shared" si="13"/>
        <v>2</v>
      </c>
      <c r="M98">
        <f t="shared" si="14"/>
        <v>0.2</v>
      </c>
    </row>
    <row r="99" spans="3:13" x14ac:dyDescent="0.25">
      <c r="C99" s="12" t="str">
        <f t="shared" si="20"/>
        <v>CN108404970</v>
      </c>
      <c r="D99" s="12" t="s">
        <v>2578</v>
      </c>
      <c r="E99" t="str">
        <f t="shared" si="12"/>
        <v>B01J</v>
      </c>
      <c r="H99" t="s">
        <v>248</v>
      </c>
      <c r="I99" t="s">
        <v>2549</v>
      </c>
      <c r="K99" t="s">
        <v>472</v>
      </c>
      <c r="L99">
        <f t="shared" si="13"/>
        <v>3</v>
      </c>
      <c r="M99">
        <f t="shared" si="14"/>
        <v>0.6</v>
      </c>
    </row>
    <row r="100" spans="3:13" x14ac:dyDescent="0.25">
      <c r="C100" s="12" t="str">
        <f t="shared" si="20"/>
        <v>CN108404970</v>
      </c>
      <c r="D100" s="12" t="s">
        <v>2579</v>
      </c>
      <c r="E100" t="str">
        <f t="shared" si="12"/>
        <v>B01J</v>
      </c>
      <c r="H100" t="s">
        <v>248</v>
      </c>
      <c r="I100" t="s">
        <v>2551</v>
      </c>
      <c r="K100" t="s">
        <v>478</v>
      </c>
      <c r="L100">
        <f t="shared" si="13"/>
        <v>2</v>
      </c>
      <c r="M100">
        <f t="shared" si="14"/>
        <v>0.2</v>
      </c>
    </row>
    <row r="101" spans="3:13" x14ac:dyDescent="0.25">
      <c r="C101" s="12" t="str">
        <f t="shared" si="20"/>
        <v>CN108404970</v>
      </c>
      <c r="D101" s="12" t="s">
        <v>2580</v>
      </c>
      <c r="E101" t="str">
        <f t="shared" si="12"/>
        <v>B01J</v>
      </c>
      <c r="H101" t="s">
        <v>254</v>
      </c>
      <c r="I101" t="s">
        <v>2549</v>
      </c>
      <c r="K101" t="s">
        <v>483</v>
      </c>
      <c r="L101">
        <f t="shared" si="13"/>
        <v>2</v>
      </c>
      <c r="M101">
        <f t="shared" si="14"/>
        <v>0.2</v>
      </c>
    </row>
    <row r="102" spans="3:13" x14ac:dyDescent="0.25">
      <c r="C102" s="12" t="str">
        <f t="shared" si="20"/>
        <v>CN108404970</v>
      </c>
      <c r="D102" s="12" t="s">
        <v>1466</v>
      </c>
      <c r="E102" t="str">
        <f t="shared" si="12"/>
        <v>C07C</v>
      </c>
      <c r="H102" t="s">
        <v>254</v>
      </c>
      <c r="I102" t="s">
        <v>2572</v>
      </c>
      <c r="K102" t="s">
        <v>488</v>
      </c>
      <c r="L102">
        <f t="shared" si="13"/>
        <v>1</v>
      </c>
      <c r="M102">
        <f t="shared" si="14"/>
        <v>0.05</v>
      </c>
    </row>
    <row r="103" spans="3:13" x14ac:dyDescent="0.25">
      <c r="C103" s="12" t="str">
        <f t="shared" si="20"/>
        <v>CN108404970</v>
      </c>
      <c r="D103" s="12" t="s">
        <v>2581</v>
      </c>
      <c r="E103" t="str">
        <f t="shared" si="12"/>
        <v>C07C</v>
      </c>
      <c r="H103" t="s">
        <v>254</v>
      </c>
      <c r="I103" t="s">
        <v>2552</v>
      </c>
      <c r="K103" t="s">
        <v>493</v>
      </c>
      <c r="L103">
        <f t="shared" si="13"/>
        <v>2</v>
      </c>
      <c r="M103">
        <f t="shared" si="14"/>
        <v>0.2</v>
      </c>
    </row>
    <row r="104" spans="3:13" x14ac:dyDescent="0.25">
      <c r="C104" s="12" t="str">
        <f t="shared" si="20"/>
        <v>CN108404970</v>
      </c>
      <c r="D104" s="12" t="s">
        <v>2582</v>
      </c>
      <c r="E104" t="str">
        <f t="shared" si="12"/>
        <v>C07C</v>
      </c>
      <c r="H104" t="s">
        <v>260</v>
      </c>
      <c r="I104" t="s">
        <v>2549</v>
      </c>
      <c r="K104" t="s">
        <v>498</v>
      </c>
      <c r="L104">
        <f t="shared" si="13"/>
        <v>3</v>
      </c>
      <c r="M104">
        <f t="shared" si="14"/>
        <v>0.6</v>
      </c>
    </row>
    <row r="105" spans="3:13" x14ac:dyDescent="0.25">
      <c r="C105" s="12" t="str">
        <f t="shared" si="20"/>
        <v>CN108404970</v>
      </c>
      <c r="D105" s="12" t="s">
        <v>2583</v>
      </c>
      <c r="E105" t="str">
        <f t="shared" si="12"/>
        <v>C07C</v>
      </c>
      <c r="H105" t="s">
        <v>260</v>
      </c>
      <c r="I105" t="s">
        <v>2847</v>
      </c>
      <c r="K105" t="s">
        <v>504</v>
      </c>
      <c r="L105">
        <f t="shared" si="13"/>
        <v>2</v>
      </c>
      <c r="M105">
        <f t="shared" si="14"/>
        <v>0.2</v>
      </c>
    </row>
    <row r="106" spans="3:13" x14ac:dyDescent="0.25">
      <c r="C106" s="12" t="str">
        <f t="shared" si="20"/>
        <v>CN108404970</v>
      </c>
      <c r="D106" s="12" t="s">
        <v>2584</v>
      </c>
      <c r="E106" t="str">
        <f t="shared" si="12"/>
        <v>C07C</v>
      </c>
      <c r="H106" t="s">
        <v>260</v>
      </c>
      <c r="I106" t="s">
        <v>2551</v>
      </c>
      <c r="K106" t="s">
        <v>509</v>
      </c>
      <c r="L106">
        <f t="shared" si="13"/>
        <v>3</v>
      </c>
      <c r="M106">
        <f t="shared" si="14"/>
        <v>0.6</v>
      </c>
    </row>
    <row r="107" spans="3:13" x14ac:dyDescent="0.25">
      <c r="C107" s="12" t="str">
        <f t="shared" si="20"/>
        <v>CN108404970</v>
      </c>
      <c r="D107" s="12" t="s">
        <v>2573</v>
      </c>
      <c r="E107" t="str">
        <f t="shared" si="12"/>
        <v>C07C</v>
      </c>
      <c r="H107" t="s">
        <v>266</v>
      </c>
      <c r="I107" t="s">
        <v>2552</v>
      </c>
      <c r="K107" t="s">
        <v>515</v>
      </c>
      <c r="L107">
        <f t="shared" si="13"/>
        <v>2</v>
      </c>
      <c r="M107">
        <f t="shared" si="14"/>
        <v>0.2</v>
      </c>
    </row>
    <row r="108" spans="3:13" x14ac:dyDescent="0.25">
      <c r="C108" s="12" t="str">
        <f t="shared" si="20"/>
        <v>CN108404970</v>
      </c>
      <c r="D108" s="12" t="s">
        <v>2585</v>
      </c>
      <c r="E108" t="str">
        <f t="shared" si="12"/>
        <v>C07C</v>
      </c>
      <c r="H108" t="s">
        <v>271</v>
      </c>
      <c r="I108" t="s">
        <v>2549</v>
      </c>
      <c r="K108" t="s">
        <v>519</v>
      </c>
      <c r="L108">
        <f t="shared" si="13"/>
        <v>1</v>
      </c>
      <c r="M108">
        <f t="shared" si="14"/>
        <v>0.05</v>
      </c>
    </row>
    <row r="109" spans="3:13" x14ac:dyDescent="0.25">
      <c r="C109" s="12" t="str">
        <f t="shared" si="20"/>
        <v>CN108404970</v>
      </c>
      <c r="D109" s="12" t="s">
        <v>2586</v>
      </c>
      <c r="E109" t="str">
        <f t="shared" si="12"/>
        <v>C07C</v>
      </c>
      <c r="H109" t="s">
        <v>271</v>
      </c>
      <c r="I109" t="s">
        <v>2551</v>
      </c>
      <c r="K109" t="s">
        <v>524</v>
      </c>
      <c r="L109">
        <f t="shared" si="13"/>
        <v>2</v>
      </c>
      <c r="M109">
        <f t="shared" si="14"/>
        <v>0.2</v>
      </c>
    </row>
    <row r="110" spans="3:13" x14ac:dyDescent="0.25">
      <c r="C110" s="12" t="str">
        <f t="shared" si="20"/>
        <v>CN108404970</v>
      </c>
      <c r="D110" s="12" t="s">
        <v>2587</v>
      </c>
      <c r="E110" t="str">
        <f t="shared" si="12"/>
        <v>C07C</v>
      </c>
      <c r="H110" t="s">
        <v>276</v>
      </c>
      <c r="I110" t="s">
        <v>2549</v>
      </c>
      <c r="K110" t="s">
        <v>530</v>
      </c>
      <c r="L110">
        <f t="shared" si="13"/>
        <v>4</v>
      </c>
      <c r="M110">
        <f t="shared" si="14"/>
        <v>0.85</v>
      </c>
    </row>
    <row r="111" spans="3:13" x14ac:dyDescent="0.25">
      <c r="C111" s="12" t="str">
        <f t="shared" si="20"/>
        <v>CN108404970</v>
      </c>
      <c r="D111" s="12" t="s">
        <v>2588</v>
      </c>
      <c r="E111" t="str">
        <f t="shared" si="12"/>
        <v>C07C</v>
      </c>
      <c r="H111" t="s">
        <v>276</v>
      </c>
      <c r="I111" t="s">
        <v>2551</v>
      </c>
      <c r="K111" t="s">
        <v>537</v>
      </c>
      <c r="L111">
        <f t="shared" si="13"/>
        <v>1</v>
      </c>
      <c r="M111">
        <f t="shared" si="14"/>
        <v>0.05</v>
      </c>
    </row>
    <row r="112" spans="3:13" x14ac:dyDescent="0.25">
      <c r="C112" s="12" t="str">
        <f t="shared" si="20"/>
        <v>CN108404970</v>
      </c>
      <c r="D112" s="12" t="s">
        <v>2589</v>
      </c>
      <c r="E112" t="str">
        <f t="shared" si="12"/>
        <v>C07C</v>
      </c>
      <c r="H112" t="s">
        <v>283</v>
      </c>
      <c r="I112" t="s">
        <v>2549</v>
      </c>
      <c r="K112" t="s">
        <v>543</v>
      </c>
      <c r="L112">
        <f t="shared" si="13"/>
        <v>2</v>
      </c>
      <c r="M112">
        <f t="shared" si="14"/>
        <v>0.2</v>
      </c>
    </row>
    <row r="113" spans="3:13" x14ac:dyDescent="0.25">
      <c r="C113" s="12" t="s">
        <v>143</v>
      </c>
      <c r="D113" s="12" t="s">
        <v>2549</v>
      </c>
      <c r="E113" t="str">
        <f t="shared" si="12"/>
        <v>B01J</v>
      </c>
      <c r="H113" t="s">
        <v>283</v>
      </c>
      <c r="I113" t="s">
        <v>2552</v>
      </c>
      <c r="K113" t="s">
        <v>548</v>
      </c>
      <c r="L113">
        <f t="shared" si="13"/>
        <v>2</v>
      </c>
      <c r="M113">
        <f t="shared" si="14"/>
        <v>0.2</v>
      </c>
    </row>
    <row r="114" spans="3:13" x14ac:dyDescent="0.25">
      <c r="C114" s="12" t="str">
        <f t="shared" ref="C114:C124" si="21">C113</f>
        <v>ZA8809455</v>
      </c>
      <c r="D114" s="12" t="s">
        <v>2590</v>
      </c>
      <c r="E114" t="str">
        <f t="shared" si="12"/>
        <v>B01J</v>
      </c>
      <c r="H114" t="s">
        <v>291</v>
      </c>
      <c r="I114" t="s">
        <v>2552</v>
      </c>
      <c r="K114" t="s">
        <v>554</v>
      </c>
      <c r="L114">
        <f t="shared" si="13"/>
        <v>2</v>
      </c>
      <c r="M114">
        <f t="shared" si="14"/>
        <v>0.2</v>
      </c>
    </row>
    <row r="115" spans="3:13" x14ac:dyDescent="0.25">
      <c r="C115" s="12" t="str">
        <f t="shared" si="21"/>
        <v>ZA8809455</v>
      </c>
      <c r="D115" s="12" t="s">
        <v>2578</v>
      </c>
      <c r="E115" t="str">
        <f t="shared" si="12"/>
        <v>B01J</v>
      </c>
      <c r="H115" t="s">
        <v>296</v>
      </c>
      <c r="I115" t="s">
        <v>2549</v>
      </c>
      <c r="K115" t="s">
        <v>561</v>
      </c>
      <c r="L115">
        <f t="shared" si="13"/>
        <v>2</v>
      </c>
      <c r="M115">
        <f t="shared" si="14"/>
        <v>0.2</v>
      </c>
    </row>
    <row r="116" spans="3:13" x14ac:dyDescent="0.25">
      <c r="C116" s="12" t="str">
        <f t="shared" si="21"/>
        <v>ZA8809455</v>
      </c>
      <c r="D116" s="12" t="s">
        <v>2572</v>
      </c>
      <c r="E116" t="str">
        <f t="shared" si="12"/>
        <v>C01B</v>
      </c>
      <c r="H116" t="s">
        <v>296</v>
      </c>
      <c r="I116" t="s">
        <v>2572</v>
      </c>
      <c r="K116" t="s">
        <v>566</v>
      </c>
      <c r="L116">
        <f t="shared" si="13"/>
        <v>2</v>
      </c>
      <c r="M116">
        <f t="shared" si="14"/>
        <v>0.2</v>
      </c>
    </row>
    <row r="117" spans="3:13" x14ac:dyDescent="0.25">
      <c r="C117" s="12" t="str">
        <f t="shared" si="21"/>
        <v>ZA8809455</v>
      </c>
      <c r="D117" s="12" t="s">
        <v>2591</v>
      </c>
      <c r="E117" t="str">
        <f t="shared" si="12"/>
        <v>C01B</v>
      </c>
      <c r="H117" t="s">
        <v>296</v>
      </c>
      <c r="I117" t="s">
        <v>2552</v>
      </c>
      <c r="K117" t="s">
        <v>571</v>
      </c>
      <c r="L117">
        <f t="shared" si="13"/>
        <v>2</v>
      </c>
      <c r="M117">
        <f t="shared" si="14"/>
        <v>0.2</v>
      </c>
    </row>
    <row r="118" spans="3:13" x14ac:dyDescent="0.25">
      <c r="C118" s="12" t="str">
        <f t="shared" si="21"/>
        <v>ZA8809455</v>
      </c>
      <c r="D118" s="12" t="s">
        <v>2592</v>
      </c>
      <c r="E118" t="str">
        <f t="shared" si="12"/>
        <v>C01B</v>
      </c>
      <c r="H118" t="s">
        <v>302</v>
      </c>
      <c r="I118" t="s">
        <v>2549</v>
      </c>
      <c r="K118" t="s">
        <v>573</v>
      </c>
      <c r="L118">
        <f t="shared" si="13"/>
        <v>2</v>
      </c>
      <c r="M118">
        <f t="shared" si="14"/>
        <v>0.2</v>
      </c>
    </row>
    <row r="119" spans="3:13" x14ac:dyDescent="0.25">
      <c r="C119" s="12" t="str">
        <f t="shared" si="21"/>
        <v>ZA8809455</v>
      </c>
      <c r="D119" s="12" t="s">
        <v>2593</v>
      </c>
      <c r="E119" t="str">
        <f t="shared" si="12"/>
        <v>C01B</v>
      </c>
      <c r="H119" t="s">
        <v>302</v>
      </c>
      <c r="I119" t="s">
        <v>2572</v>
      </c>
      <c r="K119" t="s">
        <v>575</v>
      </c>
      <c r="L119">
        <f t="shared" si="13"/>
        <v>2</v>
      </c>
      <c r="M119">
        <f t="shared" si="14"/>
        <v>0.2</v>
      </c>
    </row>
    <row r="120" spans="3:13" x14ac:dyDescent="0.25">
      <c r="C120" s="12" t="str">
        <f t="shared" si="21"/>
        <v>ZA8809455</v>
      </c>
      <c r="D120" s="12" t="s">
        <v>2552</v>
      </c>
      <c r="E120" t="str">
        <f t="shared" si="12"/>
        <v>C10G</v>
      </c>
      <c r="H120" t="s">
        <v>302</v>
      </c>
      <c r="I120" t="s">
        <v>2552</v>
      </c>
      <c r="K120" t="s">
        <v>579</v>
      </c>
      <c r="L120">
        <f t="shared" si="13"/>
        <v>2</v>
      </c>
      <c r="M120">
        <f t="shared" si="14"/>
        <v>0.2</v>
      </c>
    </row>
    <row r="121" spans="3:13" x14ac:dyDescent="0.25">
      <c r="C121" s="12" t="str">
        <f t="shared" si="21"/>
        <v>ZA8809455</v>
      </c>
      <c r="D121" s="12" t="s">
        <v>2594</v>
      </c>
      <c r="E121" t="str">
        <f t="shared" si="12"/>
        <v>C10G</v>
      </c>
      <c r="H121" t="s">
        <v>307</v>
      </c>
      <c r="I121" t="s">
        <v>2549</v>
      </c>
      <c r="K121" t="s">
        <v>583</v>
      </c>
      <c r="L121">
        <f t="shared" si="13"/>
        <v>2</v>
      </c>
      <c r="M121">
        <f t="shared" si="14"/>
        <v>0.2</v>
      </c>
    </row>
    <row r="122" spans="3:13" x14ac:dyDescent="0.25">
      <c r="C122" s="12" t="str">
        <f t="shared" si="21"/>
        <v>ZA8809455</v>
      </c>
      <c r="D122" s="12" t="s">
        <v>1420</v>
      </c>
      <c r="E122" t="str">
        <f t="shared" si="12"/>
        <v>C10G</v>
      </c>
      <c r="H122" t="s">
        <v>307</v>
      </c>
      <c r="I122" t="s">
        <v>2572</v>
      </c>
      <c r="K122" t="s">
        <v>587</v>
      </c>
      <c r="L122">
        <f t="shared" si="13"/>
        <v>2</v>
      </c>
      <c r="M122">
        <f t="shared" si="14"/>
        <v>0.2</v>
      </c>
    </row>
    <row r="123" spans="3:13" x14ac:dyDescent="0.25">
      <c r="C123" s="12" t="str">
        <f t="shared" si="21"/>
        <v>ZA8809455</v>
      </c>
      <c r="D123" s="12" t="s">
        <v>54</v>
      </c>
      <c r="E123" t="str">
        <f t="shared" si="12"/>
        <v>C10G</v>
      </c>
      <c r="H123" t="s">
        <v>307</v>
      </c>
      <c r="I123" t="s">
        <v>2552</v>
      </c>
      <c r="K123" t="s">
        <v>591</v>
      </c>
      <c r="L123">
        <f t="shared" si="13"/>
        <v>2</v>
      </c>
      <c r="M123">
        <f t="shared" si="14"/>
        <v>0.2</v>
      </c>
    </row>
    <row r="124" spans="3:13" x14ac:dyDescent="0.25">
      <c r="C124" s="12" t="str">
        <f t="shared" si="21"/>
        <v>ZA8809455</v>
      </c>
      <c r="D124" s="12" t="s">
        <v>2595</v>
      </c>
      <c r="E124" t="str">
        <f t="shared" si="12"/>
        <v>C10G</v>
      </c>
      <c r="H124" t="s">
        <v>311</v>
      </c>
      <c r="I124" t="s">
        <v>2549</v>
      </c>
      <c r="K124" t="s">
        <v>594</v>
      </c>
      <c r="L124">
        <f t="shared" si="13"/>
        <v>2</v>
      </c>
      <c r="M124">
        <f t="shared" si="14"/>
        <v>0.2</v>
      </c>
    </row>
    <row r="125" spans="3:13" x14ac:dyDescent="0.25">
      <c r="C125" s="12" t="s">
        <v>150</v>
      </c>
      <c r="D125" s="12" t="s">
        <v>2590</v>
      </c>
      <c r="E125" t="str">
        <f t="shared" si="12"/>
        <v>B01J</v>
      </c>
      <c r="H125" t="s">
        <v>311</v>
      </c>
      <c r="I125" t="s">
        <v>2572</v>
      </c>
      <c r="K125" t="s">
        <v>598</v>
      </c>
      <c r="L125">
        <f t="shared" si="13"/>
        <v>2</v>
      </c>
      <c r="M125">
        <f t="shared" si="14"/>
        <v>0.2</v>
      </c>
    </row>
    <row r="126" spans="3:13" x14ac:dyDescent="0.25">
      <c r="C126" s="12" t="str">
        <f>C125</f>
        <v>RU2658832</v>
      </c>
      <c r="D126" s="12" t="s">
        <v>54</v>
      </c>
      <c r="E126" t="str">
        <f t="shared" si="12"/>
        <v>C10G</v>
      </c>
      <c r="H126" t="s">
        <v>311</v>
      </c>
      <c r="I126" t="s">
        <v>2551</v>
      </c>
      <c r="K126" t="s">
        <v>602</v>
      </c>
      <c r="L126">
        <f t="shared" si="13"/>
        <v>2</v>
      </c>
      <c r="M126">
        <f t="shared" si="14"/>
        <v>0.2</v>
      </c>
    </row>
    <row r="127" spans="3:13" x14ac:dyDescent="0.25">
      <c r="C127" s="12" t="s">
        <v>153</v>
      </c>
      <c r="D127" s="12" t="s">
        <v>2574</v>
      </c>
      <c r="E127" t="str">
        <f t="shared" si="12"/>
        <v>B01J</v>
      </c>
      <c r="H127" t="s">
        <v>317</v>
      </c>
      <c r="I127" t="s">
        <v>2549</v>
      </c>
      <c r="K127" t="s">
        <v>606</v>
      </c>
      <c r="L127">
        <f t="shared" si="13"/>
        <v>2</v>
      </c>
      <c r="M127">
        <f t="shared" si="14"/>
        <v>0.2</v>
      </c>
    </row>
    <row r="128" spans="3:13" x14ac:dyDescent="0.25">
      <c r="C128" s="12" t="str">
        <f t="shared" ref="C128:C131" si="22">C127</f>
        <v>CN108236966</v>
      </c>
      <c r="D128" s="12" t="s">
        <v>1739</v>
      </c>
      <c r="E128" t="str">
        <f t="shared" si="12"/>
        <v>B01J</v>
      </c>
      <c r="H128" t="s">
        <v>317</v>
      </c>
      <c r="I128" t="s">
        <v>2551</v>
      </c>
      <c r="K128" t="s">
        <v>609</v>
      </c>
      <c r="L128">
        <f t="shared" si="13"/>
        <v>2</v>
      </c>
      <c r="M128">
        <f t="shared" si="14"/>
        <v>0.2</v>
      </c>
    </row>
    <row r="129" spans="3:13" x14ac:dyDescent="0.25">
      <c r="C129" s="12" t="str">
        <f t="shared" si="22"/>
        <v>CN108236966</v>
      </c>
      <c r="D129" s="12" t="s">
        <v>1498</v>
      </c>
      <c r="E129" t="str">
        <f t="shared" si="12"/>
        <v>C07C</v>
      </c>
      <c r="H129" t="s">
        <v>317</v>
      </c>
      <c r="I129" t="s">
        <v>2552</v>
      </c>
      <c r="K129" t="s">
        <v>612</v>
      </c>
      <c r="L129">
        <f t="shared" si="13"/>
        <v>2</v>
      </c>
      <c r="M129">
        <f t="shared" si="14"/>
        <v>0.2</v>
      </c>
    </row>
    <row r="130" spans="3:13" x14ac:dyDescent="0.25">
      <c r="C130" s="12" t="str">
        <f t="shared" si="22"/>
        <v>CN108236966</v>
      </c>
      <c r="D130" s="12" t="s">
        <v>2566</v>
      </c>
      <c r="E130" t="str">
        <f t="shared" si="12"/>
        <v>C07C</v>
      </c>
      <c r="H130" t="s">
        <v>317</v>
      </c>
      <c r="I130" t="s">
        <v>2554</v>
      </c>
      <c r="K130" t="s">
        <v>615</v>
      </c>
      <c r="L130">
        <f t="shared" si="13"/>
        <v>2</v>
      </c>
      <c r="M130">
        <f t="shared" si="14"/>
        <v>0.2</v>
      </c>
    </row>
    <row r="131" spans="3:13" x14ac:dyDescent="0.25">
      <c r="C131" s="12" t="str">
        <f t="shared" si="22"/>
        <v>CN108236966</v>
      </c>
      <c r="D131" s="12" t="s">
        <v>54</v>
      </c>
      <c r="E131" t="str">
        <f t="shared" si="12"/>
        <v>C10G</v>
      </c>
      <c r="H131" t="s">
        <v>325</v>
      </c>
      <c r="I131" t="s">
        <v>2549</v>
      </c>
      <c r="K131" t="s">
        <v>618</v>
      </c>
      <c r="L131">
        <f t="shared" si="13"/>
        <v>2</v>
      </c>
      <c r="M131">
        <f t="shared" si="14"/>
        <v>0.2</v>
      </c>
    </row>
    <row r="132" spans="3:13" ht="30" x14ac:dyDescent="0.25">
      <c r="C132" s="12" t="s">
        <v>160</v>
      </c>
      <c r="D132" s="12" t="s">
        <v>2596</v>
      </c>
      <c r="E132" t="str">
        <f t="shared" si="12"/>
        <v>B01D</v>
      </c>
      <c r="H132" t="s">
        <v>325</v>
      </c>
      <c r="I132" t="s">
        <v>2551</v>
      </c>
      <c r="K132" t="s">
        <v>622</v>
      </c>
      <c r="L132">
        <f t="shared" si="13"/>
        <v>1</v>
      </c>
      <c r="M132">
        <f t="shared" si="14"/>
        <v>0.05</v>
      </c>
    </row>
    <row r="133" spans="3:13" ht="30" x14ac:dyDescent="0.25">
      <c r="C133" s="12" t="str">
        <f t="shared" ref="C133:C145" si="23">C132</f>
        <v>WO2018094336</v>
      </c>
      <c r="D133" s="12" t="s">
        <v>2597</v>
      </c>
      <c r="E133" t="str">
        <f t="shared" ref="E133:E196" si="24">LEFT(D133,4)</f>
        <v>B01D</v>
      </c>
      <c r="H133" t="s">
        <v>325</v>
      </c>
      <c r="I133" t="s">
        <v>2552</v>
      </c>
      <c r="K133" t="s">
        <v>629</v>
      </c>
      <c r="L133">
        <f t="shared" ref="L133:L196" si="25">COUNTIF($H:$H,K133)</f>
        <v>4</v>
      </c>
      <c r="M133">
        <f t="shared" ref="M133:M196" si="26">VLOOKUP(L133,$O$3:$Q$10,3,0)</f>
        <v>0.85</v>
      </c>
    </row>
    <row r="134" spans="3:13" ht="30" x14ac:dyDescent="0.25">
      <c r="C134" s="12" t="str">
        <f t="shared" si="23"/>
        <v>WO2018094336</v>
      </c>
      <c r="D134" s="12" t="s">
        <v>2598</v>
      </c>
      <c r="E134" t="str">
        <f t="shared" si="24"/>
        <v>C10G</v>
      </c>
      <c r="H134" t="s">
        <v>331</v>
      </c>
      <c r="I134" t="s">
        <v>2549</v>
      </c>
      <c r="K134" t="s">
        <v>635</v>
      </c>
      <c r="L134">
        <f t="shared" si="25"/>
        <v>1</v>
      </c>
      <c r="M134">
        <f t="shared" si="26"/>
        <v>0.05</v>
      </c>
    </row>
    <row r="135" spans="3:13" ht="30" x14ac:dyDescent="0.25">
      <c r="C135" s="12" t="str">
        <f t="shared" si="23"/>
        <v>WO2018094336</v>
      </c>
      <c r="D135" s="12" t="s">
        <v>2599</v>
      </c>
      <c r="E135" t="str">
        <f t="shared" si="24"/>
        <v>C10G</v>
      </c>
      <c r="H135" t="s">
        <v>331</v>
      </c>
      <c r="I135" t="s">
        <v>2551</v>
      </c>
      <c r="K135" t="s">
        <v>639</v>
      </c>
      <c r="L135">
        <f t="shared" si="25"/>
        <v>2</v>
      </c>
      <c r="M135">
        <f t="shared" si="26"/>
        <v>0.2</v>
      </c>
    </row>
    <row r="136" spans="3:13" ht="30" x14ac:dyDescent="0.25">
      <c r="C136" s="12" t="str">
        <f t="shared" si="23"/>
        <v>WO2018094336</v>
      </c>
      <c r="D136" s="12" t="s">
        <v>2600</v>
      </c>
      <c r="E136" t="str">
        <f t="shared" si="24"/>
        <v>C10G</v>
      </c>
      <c r="H136" t="s">
        <v>331</v>
      </c>
      <c r="I136" t="s">
        <v>2552</v>
      </c>
      <c r="K136" t="s">
        <v>644</v>
      </c>
      <c r="L136">
        <f t="shared" si="25"/>
        <v>2</v>
      </c>
      <c r="M136">
        <f t="shared" si="26"/>
        <v>0.2</v>
      </c>
    </row>
    <row r="137" spans="3:13" ht="30" x14ac:dyDescent="0.25">
      <c r="C137" s="12" t="str">
        <f t="shared" si="23"/>
        <v>WO2018094336</v>
      </c>
      <c r="D137" s="12" t="s">
        <v>2601</v>
      </c>
      <c r="E137" t="str">
        <f t="shared" si="24"/>
        <v>C10G</v>
      </c>
      <c r="H137" t="s">
        <v>335</v>
      </c>
      <c r="I137" t="s">
        <v>2549</v>
      </c>
      <c r="K137" t="s">
        <v>648</v>
      </c>
      <c r="L137">
        <f t="shared" si="25"/>
        <v>4</v>
      </c>
      <c r="M137">
        <f t="shared" si="26"/>
        <v>0.85</v>
      </c>
    </row>
    <row r="138" spans="3:13" ht="30" x14ac:dyDescent="0.25">
      <c r="C138" s="12" t="str">
        <f t="shared" si="23"/>
        <v>WO2018094336</v>
      </c>
      <c r="D138" s="12" t="s">
        <v>522</v>
      </c>
      <c r="E138" t="str">
        <f t="shared" si="24"/>
        <v>C10G</v>
      </c>
      <c r="H138" t="s">
        <v>335</v>
      </c>
      <c r="I138" t="s">
        <v>2551</v>
      </c>
      <c r="K138" t="s">
        <v>654</v>
      </c>
      <c r="L138">
        <f t="shared" si="25"/>
        <v>3</v>
      </c>
      <c r="M138">
        <f t="shared" si="26"/>
        <v>0.6</v>
      </c>
    </row>
    <row r="139" spans="3:13" ht="30" x14ac:dyDescent="0.25">
      <c r="C139" s="12" t="str">
        <f t="shared" si="23"/>
        <v>WO2018094336</v>
      </c>
      <c r="D139" s="12" t="s">
        <v>2602</v>
      </c>
      <c r="E139" t="str">
        <f t="shared" si="24"/>
        <v>C10G</v>
      </c>
      <c r="H139" t="s">
        <v>338</v>
      </c>
      <c r="I139" t="s">
        <v>2551</v>
      </c>
      <c r="K139" t="s">
        <v>659</v>
      </c>
      <c r="L139">
        <f t="shared" si="25"/>
        <v>1</v>
      </c>
      <c r="M139">
        <f t="shared" si="26"/>
        <v>0.05</v>
      </c>
    </row>
    <row r="140" spans="3:13" ht="30" x14ac:dyDescent="0.25">
      <c r="C140" s="12" t="str">
        <f t="shared" si="23"/>
        <v>WO2018094336</v>
      </c>
      <c r="D140" s="12" t="s">
        <v>2603</v>
      </c>
      <c r="E140" t="str">
        <f t="shared" si="24"/>
        <v>C10G</v>
      </c>
      <c r="H140" t="s">
        <v>342</v>
      </c>
      <c r="I140" t="s">
        <v>2551</v>
      </c>
      <c r="K140" t="s">
        <v>665</v>
      </c>
      <c r="L140">
        <f t="shared" si="25"/>
        <v>3</v>
      </c>
      <c r="M140">
        <f t="shared" si="26"/>
        <v>0.6</v>
      </c>
    </row>
    <row r="141" spans="3:13" ht="30" x14ac:dyDescent="0.25">
      <c r="C141" s="12" t="str">
        <f t="shared" si="23"/>
        <v>WO2018094336</v>
      </c>
      <c r="D141" s="12" t="s">
        <v>2604</v>
      </c>
      <c r="E141" t="str">
        <f t="shared" si="24"/>
        <v>C10G</v>
      </c>
      <c r="H141" t="s">
        <v>345</v>
      </c>
      <c r="I141" t="s">
        <v>2551</v>
      </c>
      <c r="K141" t="s">
        <v>672</v>
      </c>
      <c r="L141">
        <f t="shared" si="25"/>
        <v>2</v>
      </c>
      <c r="M141">
        <f t="shared" si="26"/>
        <v>0.2</v>
      </c>
    </row>
    <row r="142" spans="3:13" ht="30" x14ac:dyDescent="0.25">
      <c r="C142" s="12" t="str">
        <f t="shared" si="23"/>
        <v>WO2018094336</v>
      </c>
      <c r="D142" s="12" t="s">
        <v>2605</v>
      </c>
      <c r="E142" t="str">
        <f t="shared" si="24"/>
        <v>C10G</v>
      </c>
      <c r="H142" t="s">
        <v>349</v>
      </c>
      <c r="I142" t="s">
        <v>2549</v>
      </c>
      <c r="K142" t="s">
        <v>676</v>
      </c>
      <c r="L142">
        <f t="shared" si="25"/>
        <v>1</v>
      </c>
      <c r="M142">
        <f t="shared" si="26"/>
        <v>0.05</v>
      </c>
    </row>
    <row r="143" spans="3:13" ht="30" x14ac:dyDescent="0.25">
      <c r="C143" s="12" t="str">
        <f t="shared" si="23"/>
        <v>WO2018094336</v>
      </c>
      <c r="D143" s="12" t="s">
        <v>2606</v>
      </c>
      <c r="E143" t="str">
        <f t="shared" si="24"/>
        <v>C10G</v>
      </c>
      <c r="H143" t="s">
        <v>349</v>
      </c>
      <c r="I143" t="s">
        <v>2551</v>
      </c>
      <c r="K143" t="s">
        <v>681</v>
      </c>
      <c r="L143">
        <f t="shared" si="25"/>
        <v>2</v>
      </c>
      <c r="M143">
        <f t="shared" si="26"/>
        <v>0.2</v>
      </c>
    </row>
    <row r="144" spans="3:13" ht="30" x14ac:dyDescent="0.25">
      <c r="C144" s="12" t="str">
        <f t="shared" si="23"/>
        <v>WO2018094336</v>
      </c>
      <c r="D144" s="12" t="s">
        <v>2607</v>
      </c>
      <c r="E144" t="str">
        <f t="shared" si="24"/>
        <v>C10G</v>
      </c>
      <c r="H144" t="s">
        <v>352</v>
      </c>
      <c r="I144" t="s">
        <v>2549</v>
      </c>
      <c r="K144" t="s">
        <v>687</v>
      </c>
      <c r="L144">
        <f t="shared" si="25"/>
        <v>4</v>
      </c>
      <c r="M144">
        <f t="shared" si="26"/>
        <v>0.85</v>
      </c>
    </row>
    <row r="145" spans="3:13" ht="30" x14ac:dyDescent="0.25">
      <c r="C145" s="12" t="str">
        <f t="shared" si="23"/>
        <v>WO2018094336</v>
      </c>
      <c r="D145" s="12" t="s">
        <v>2608</v>
      </c>
      <c r="E145" t="str">
        <f t="shared" si="24"/>
        <v>C10G</v>
      </c>
      <c r="H145" t="s">
        <v>352</v>
      </c>
      <c r="I145" t="s">
        <v>2551</v>
      </c>
      <c r="K145" t="s">
        <v>694</v>
      </c>
      <c r="L145">
        <f t="shared" si="25"/>
        <v>1</v>
      </c>
      <c r="M145">
        <f t="shared" si="26"/>
        <v>0.05</v>
      </c>
    </row>
    <row r="146" spans="3:13" ht="30" x14ac:dyDescent="0.25">
      <c r="C146" s="12" t="s">
        <v>168</v>
      </c>
      <c r="D146" s="12" t="s">
        <v>2609</v>
      </c>
      <c r="E146" t="str">
        <f t="shared" si="24"/>
        <v>C07C</v>
      </c>
      <c r="H146" t="s">
        <v>355</v>
      </c>
      <c r="I146" t="s">
        <v>2549</v>
      </c>
      <c r="K146" t="s">
        <v>700</v>
      </c>
      <c r="L146">
        <f t="shared" si="25"/>
        <v>2</v>
      </c>
      <c r="M146">
        <f t="shared" si="26"/>
        <v>0.2</v>
      </c>
    </row>
    <row r="147" spans="3:13" ht="30" x14ac:dyDescent="0.25">
      <c r="C147" s="12" t="str">
        <f t="shared" ref="C147:C154" si="27">C146</f>
        <v>WO2018094353</v>
      </c>
      <c r="D147" s="12" t="s">
        <v>2610</v>
      </c>
      <c r="E147" t="str">
        <f t="shared" si="24"/>
        <v>C07C</v>
      </c>
      <c r="H147" t="s">
        <v>355</v>
      </c>
      <c r="I147" t="s">
        <v>2551</v>
      </c>
      <c r="K147" t="s">
        <v>705</v>
      </c>
      <c r="L147">
        <f t="shared" si="25"/>
        <v>1</v>
      </c>
      <c r="M147">
        <f t="shared" si="26"/>
        <v>0.05</v>
      </c>
    </row>
    <row r="148" spans="3:13" ht="30" x14ac:dyDescent="0.25">
      <c r="C148" s="12" t="str">
        <f t="shared" si="27"/>
        <v>WO2018094353</v>
      </c>
      <c r="D148" s="12" t="s">
        <v>2599</v>
      </c>
      <c r="E148" t="str">
        <f t="shared" si="24"/>
        <v>C10G</v>
      </c>
      <c r="H148" t="s">
        <v>358</v>
      </c>
      <c r="I148" t="s">
        <v>2549</v>
      </c>
      <c r="K148" t="s">
        <v>709</v>
      </c>
      <c r="L148">
        <f t="shared" si="25"/>
        <v>1</v>
      </c>
      <c r="M148">
        <f t="shared" si="26"/>
        <v>0.05</v>
      </c>
    </row>
    <row r="149" spans="3:13" ht="30" x14ac:dyDescent="0.25">
      <c r="C149" s="12" t="str">
        <f t="shared" si="27"/>
        <v>WO2018094353</v>
      </c>
      <c r="D149" s="12" t="s">
        <v>2600</v>
      </c>
      <c r="E149" t="str">
        <f t="shared" si="24"/>
        <v>C10G</v>
      </c>
      <c r="H149" t="s">
        <v>358</v>
      </c>
      <c r="I149" t="s">
        <v>2551</v>
      </c>
      <c r="K149" t="s">
        <v>714</v>
      </c>
      <c r="L149">
        <f t="shared" si="25"/>
        <v>2</v>
      </c>
      <c r="M149">
        <f t="shared" si="26"/>
        <v>0.2</v>
      </c>
    </row>
    <row r="150" spans="3:13" ht="30" x14ac:dyDescent="0.25">
      <c r="C150" s="12" t="str">
        <f t="shared" si="27"/>
        <v>WO2018094353</v>
      </c>
      <c r="D150" s="12" t="s">
        <v>2611</v>
      </c>
      <c r="E150" t="str">
        <f t="shared" si="24"/>
        <v>C10G</v>
      </c>
      <c r="H150" t="s">
        <v>361</v>
      </c>
      <c r="I150" t="s">
        <v>2549</v>
      </c>
      <c r="K150" t="s">
        <v>719</v>
      </c>
      <c r="L150">
        <f t="shared" si="25"/>
        <v>2</v>
      </c>
      <c r="M150">
        <f t="shared" si="26"/>
        <v>0.2</v>
      </c>
    </row>
    <row r="151" spans="3:13" ht="30" x14ac:dyDescent="0.25">
      <c r="C151" s="12" t="str">
        <f t="shared" si="27"/>
        <v>WO2018094353</v>
      </c>
      <c r="D151" s="12" t="s">
        <v>2601</v>
      </c>
      <c r="E151" t="str">
        <f t="shared" si="24"/>
        <v>C10G</v>
      </c>
      <c r="H151" t="s">
        <v>361</v>
      </c>
      <c r="I151" t="s">
        <v>2551</v>
      </c>
      <c r="K151" t="s">
        <v>723</v>
      </c>
      <c r="L151">
        <f t="shared" si="25"/>
        <v>2</v>
      </c>
      <c r="M151">
        <f t="shared" si="26"/>
        <v>0.2</v>
      </c>
    </row>
    <row r="152" spans="3:13" ht="30" x14ac:dyDescent="0.25">
      <c r="C152" s="12" t="str">
        <f t="shared" si="27"/>
        <v>WO2018094353</v>
      </c>
      <c r="D152" s="12" t="s">
        <v>522</v>
      </c>
      <c r="E152" t="str">
        <f t="shared" si="24"/>
        <v>C10G</v>
      </c>
      <c r="H152" t="s">
        <v>361</v>
      </c>
      <c r="I152" t="s">
        <v>2552</v>
      </c>
      <c r="K152" t="s">
        <v>729</v>
      </c>
      <c r="L152">
        <f t="shared" si="25"/>
        <v>2</v>
      </c>
      <c r="M152">
        <f t="shared" si="26"/>
        <v>0.2</v>
      </c>
    </row>
    <row r="153" spans="3:13" ht="30" x14ac:dyDescent="0.25">
      <c r="C153" s="12" t="str">
        <f t="shared" si="27"/>
        <v>WO2018094353</v>
      </c>
      <c r="D153" s="12" t="s">
        <v>2602</v>
      </c>
      <c r="E153" t="str">
        <f t="shared" si="24"/>
        <v>C10G</v>
      </c>
      <c r="H153" t="s">
        <v>364</v>
      </c>
      <c r="I153" t="s">
        <v>2549</v>
      </c>
      <c r="K153" t="s">
        <v>737</v>
      </c>
      <c r="L153">
        <f t="shared" si="25"/>
        <v>5</v>
      </c>
      <c r="M153">
        <f t="shared" si="26"/>
        <v>1</v>
      </c>
    </row>
    <row r="154" spans="3:13" ht="30" x14ac:dyDescent="0.25">
      <c r="C154" s="12" t="str">
        <f t="shared" si="27"/>
        <v>WO2018094353</v>
      </c>
      <c r="D154" s="12" t="s">
        <v>2607</v>
      </c>
      <c r="E154" t="str">
        <f t="shared" si="24"/>
        <v>C10G</v>
      </c>
      <c r="H154" t="s">
        <v>364</v>
      </c>
      <c r="I154" t="s">
        <v>2552</v>
      </c>
      <c r="K154" t="s">
        <v>745</v>
      </c>
      <c r="L154">
        <f t="shared" si="25"/>
        <v>3</v>
      </c>
      <c r="M154">
        <f t="shared" si="26"/>
        <v>0.6</v>
      </c>
    </row>
    <row r="155" spans="3:13" x14ac:dyDescent="0.25">
      <c r="C155" s="12" t="s">
        <v>172</v>
      </c>
      <c r="D155" s="12" t="s">
        <v>2612</v>
      </c>
      <c r="E155" t="str">
        <f t="shared" si="24"/>
        <v>B01J</v>
      </c>
      <c r="H155" t="s">
        <v>369</v>
      </c>
      <c r="I155" t="s">
        <v>2549</v>
      </c>
      <c r="K155" t="s">
        <v>751</v>
      </c>
      <c r="L155">
        <f t="shared" si="25"/>
        <v>3</v>
      </c>
      <c r="M155">
        <f t="shared" si="26"/>
        <v>0.6</v>
      </c>
    </row>
    <row r="156" spans="3:13" x14ac:dyDescent="0.25">
      <c r="C156" s="12" t="str">
        <f t="shared" ref="C156:C159" si="28">C155</f>
        <v>CN108017487</v>
      </c>
      <c r="D156" s="12" t="s">
        <v>1466</v>
      </c>
      <c r="E156" t="str">
        <f t="shared" si="24"/>
        <v>C07C</v>
      </c>
      <c r="H156" t="s">
        <v>369</v>
      </c>
      <c r="I156" t="s">
        <v>2551</v>
      </c>
      <c r="K156" t="s">
        <v>756</v>
      </c>
      <c r="L156">
        <f t="shared" si="25"/>
        <v>2</v>
      </c>
      <c r="M156">
        <f t="shared" si="26"/>
        <v>0.2</v>
      </c>
    </row>
    <row r="157" spans="3:13" x14ac:dyDescent="0.25">
      <c r="C157" s="12" t="str">
        <f t="shared" si="28"/>
        <v>CN108017487</v>
      </c>
      <c r="D157" s="12" t="s">
        <v>2613</v>
      </c>
      <c r="E157" t="str">
        <f t="shared" si="24"/>
        <v>C07C</v>
      </c>
      <c r="H157" t="s">
        <v>374</v>
      </c>
      <c r="I157" t="s">
        <v>2549</v>
      </c>
      <c r="K157" t="s">
        <v>760</v>
      </c>
      <c r="L157">
        <f t="shared" si="25"/>
        <v>2</v>
      </c>
      <c r="M157">
        <f t="shared" si="26"/>
        <v>0.2</v>
      </c>
    </row>
    <row r="158" spans="3:13" x14ac:dyDescent="0.25">
      <c r="C158" s="12" t="str">
        <f t="shared" si="28"/>
        <v>CN108017487</v>
      </c>
      <c r="D158" s="12" t="s">
        <v>2567</v>
      </c>
      <c r="E158" t="str">
        <f t="shared" si="24"/>
        <v>C07C</v>
      </c>
      <c r="H158" t="s">
        <v>374</v>
      </c>
      <c r="I158" t="s">
        <v>2572</v>
      </c>
      <c r="K158" t="s">
        <v>767</v>
      </c>
      <c r="L158">
        <f t="shared" si="25"/>
        <v>4</v>
      </c>
      <c r="M158">
        <f t="shared" si="26"/>
        <v>0.85</v>
      </c>
    </row>
    <row r="159" spans="3:13" x14ac:dyDescent="0.25">
      <c r="C159" s="12" t="str">
        <f t="shared" si="28"/>
        <v>CN108017487</v>
      </c>
      <c r="D159" s="12" t="s">
        <v>1021</v>
      </c>
      <c r="E159" t="str">
        <f t="shared" si="24"/>
        <v>C07C</v>
      </c>
      <c r="H159" t="s">
        <v>374</v>
      </c>
      <c r="I159" t="s">
        <v>2551</v>
      </c>
      <c r="K159" t="s">
        <v>775</v>
      </c>
      <c r="L159">
        <f t="shared" si="25"/>
        <v>3</v>
      </c>
      <c r="M159">
        <f t="shared" si="26"/>
        <v>0.6</v>
      </c>
    </row>
    <row r="160" spans="3:13" x14ac:dyDescent="0.25">
      <c r="C160" s="12" t="s">
        <v>177</v>
      </c>
      <c r="D160" s="12" t="s">
        <v>1739</v>
      </c>
      <c r="E160" t="str">
        <f t="shared" si="24"/>
        <v>B01J</v>
      </c>
      <c r="H160" t="s">
        <v>378</v>
      </c>
      <c r="I160" t="s">
        <v>2549</v>
      </c>
      <c r="K160" t="s">
        <v>782</v>
      </c>
      <c r="L160">
        <f t="shared" si="25"/>
        <v>2</v>
      </c>
      <c r="M160">
        <f t="shared" si="26"/>
        <v>0.2</v>
      </c>
    </row>
    <row r="161" spans="3:13" x14ac:dyDescent="0.25">
      <c r="C161" s="12" t="str">
        <f t="shared" ref="C161:C167" si="29">C160</f>
        <v>CN108014841</v>
      </c>
      <c r="D161" s="12" t="s">
        <v>1466</v>
      </c>
      <c r="E161" t="str">
        <f t="shared" si="24"/>
        <v>C07C</v>
      </c>
      <c r="H161" t="s">
        <v>378</v>
      </c>
      <c r="I161" t="s">
        <v>2551</v>
      </c>
      <c r="K161" t="s">
        <v>786</v>
      </c>
      <c r="L161">
        <f t="shared" si="25"/>
        <v>2</v>
      </c>
      <c r="M161">
        <f t="shared" si="26"/>
        <v>0.2</v>
      </c>
    </row>
    <row r="162" spans="3:13" x14ac:dyDescent="0.25">
      <c r="C162" s="12" t="str">
        <f t="shared" si="29"/>
        <v>CN108014841</v>
      </c>
      <c r="D162" s="12" t="s">
        <v>2614</v>
      </c>
      <c r="E162" t="str">
        <f t="shared" si="24"/>
        <v>C07C</v>
      </c>
      <c r="H162" t="s">
        <v>382</v>
      </c>
      <c r="I162" t="s">
        <v>2549</v>
      </c>
      <c r="K162" t="s">
        <v>789</v>
      </c>
      <c r="L162">
        <f t="shared" si="25"/>
        <v>1</v>
      </c>
      <c r="M162">
        <f t="shared" si="26"/>
        <v>0.05</v>
      </c>
    </row>
    <row r="163" spans="3:13" x14ac:dyDescent="0.25">
      <c r="C163" s="12" t="str">
        <f t="shared" si="29"/>
        <v>CN108014841</v>
      </c>
      <c r="D163" s="12" t="s">
        <v>2582</v>
      </c>
      <c r="E163" t="str">
        <f t="shared" si="24"/>
        <v>C07C</v>
      </c>
      <c r="H163" t="s">
        <v>382</v>
      </c>
      <c r="I163" t="s">
        <v>2551</v>
      </c>
      <c r="K163" t="s">
        <v>794</v>
      </c>
      <c r="L163">
        <f t="shared" si="25"/>
        <v>3</v>
      </c>
      <c r="M163">
        <f t="shared" si="26"/>
        <v>0.6</v>
      </c>
    </row>
    <row r="164" spans="3:13" x14ac:dyDescent="0.25">
      <c r="C164" s="12" t="str">
        <f t="shared" si="29"/>
        <v>CN108014841</v>
      </c>
      <c r="D164" s="12" t="s">
        <v>2583</v>
      </c>
      <c r="E164" t="str">
        <f t="shared" si="24"/>
        <v>C07C</v>
      </c>
      <c r="H164" t="s">
        <v>384</v>
      </c>
      <c r="I164" t="s">
        <v>2549</v>
      </c>
      <c r="K164" t="s">
        <v>799</v>
      </c>
      <c r="L164">
        <f t="shared" si="25"/>
        <v>1</v>
      </c>
      <c r="M164">
        <f t="shared" si="26"/>
        <v>0.05</v>
      </c>
    </row>
    <row r="165" spans="3:13" x14ac:dyDescent="0.25">
      <c r="C165" s="12" t="str">
        <f t="shared" si="29"/>
        <v>CN108014841</v>
      </c>
      <c r="D165" s="12" t="s">
        <v>2615</v>
      </c>
      <c r="E165" t="str">
        <f t="shared" si="24"/>
        <v>C07C</v>
      </c>
      <c r="H165" t="s">
        <v>384</v>
      </c>
      <c r="I165" t="s">
        <v>2551</v>
      </c>
      <c r="K165" t="s">
        <v>804</v>
      </c>
      <c r="L165">
        <f t="shared" si="25"/>
        <v>1</v>
      </c>
      <c r="M165">
        <f t="shared" si="26"/>
        <v>0.05</v>
      </c>
    </row>
    <row r="166" spans="3:13" x14ac:dyDescent="0.25">
      <c r="C166" s="12" t="str">
        <f t="shared" si="29"/>
        <v>CN108014841</v>
      </c>
      <c r="D166" s="12" t="s">
        <v>2567</v>
      </c>
      <c r="E166" t="str">
        <f t="shared" si="24"/>
        <v>C07C</v>
      </c>
      <c r="H166" t="s">
        <v>387</v>
      </c>
      <c r="I166" t="s">
        <v>2549</v>
      </c>
      <c r="K166" t="s">
        <v>809</v>
      </c>
      <c r="L166">
        <f t="shared" si="25"/>
        <v>3</v>
      </c>
      <c r="M166">
        <f t="shared" si="26"/>
        <v>0.6</v>
      </c>
    </row>
    <row r="167" spans="3:13" x14ac:dyDescent="0.25">
      <c r="C167" s="12" t="str">
        <f t="shared" si="29"/>
        <v>CN108014841</v>
      </c>
      <c r="D167" s="12" t="s">
        <v>1021</v>
      </c>
      <c r="E167" t="str">
        <f t="shared" si="24"/>
        <v>C07C</v>
      </c>
      <c r="H167" t="s">
        <v>387</v>
      </c>
      <c r="I167" t="s">
        <v>2551</v>
      </c>
      <c r="K167" t="s">
        <v>815</v>
      </c>
      <c r="L167">
        <f t="shared" si="25"/>
        <v>2</v>
      </c>
      <c r="M167">
        <f t="shared" si="26"/>
        <v>0.2</v>
      </c>
    </row>
    <row r="168" spans="3:13" x14ac:dyDescent="0.25">
      <c r="C168" s="12" t="s">
        <v>180</v>
      </c>
      <c r="D168" s="12" t="s">
        <v>2616</v>
      </c>
      <c r="E168" t="str">
        <f t="shared" si="24"/>
        <v>C07C</v>
      </c>
      <c r="H168" t="s">
        <v>389</v>
      </c>
      <c r="I168" t="s">
        <v>2549</v>
      </c>
      <c r="K168" t="s">
        <v>821</v>
      </c>
      <c r="L168">
        <f t="shared" si="25"/>
        <v>3</v>
      </c>
      <c r="M168">
        <f t="shared" si="26"/>
        <v>0.6</v>
      </c>
    </row>
    <row r="169" spans="3:13" x14ac:dyDescent="0.25">
      <c r="C169" s="12" t="str">
        <f t="shared" ref="C169:C173" si="30">C168</f>
        <v>CN108017494</v>
      </c>
      <c r="D169" s="12" t="s">
        <v>2566</v>
      </c>
      <c r="E169" t="str">
        <f t="shared" si="24"/>
        <v>C07C</v>
      </c>
      <c r="H169" t="s">
        <v>389</v>
      </c>
      <c r="I169" t="s">
        <v>2551</v>
      </c>
      <c r="K169" t="s">
        <v>829</v>
      </c>
      <c r="L169">
        <f t="shared" si="25"/>
        <v>2</v>
      </c>
      <c r="M169">
        <f t="shared" si="26"/>
        <v>0.2</v>
      </c>
    </row>
    <row r="170" spans="3:13" x14ac:dyDescent="0.25">
      <c r="C170" s="12" t="str">
        <f t="shared" si="30"/>
        <v>CN108017494</v>
      </c>
      <c r="D170" s="12" t="s">
        <v>2613</v>
      </c>
      <c r="E170" t="str">
        <f t="shared" si="24"/>
        <v>C07C</v>
      </c>
      <c r="H170" t="s">
        <v>391</v>
      </c>
      <c r="I170" t="s">
        <v>2549</v>
      </c>
      <c r="K170" t="s">
        <v>835</v>
      </c>
      <c r="L170">
        <f t="shared" si="25"/>
        <v>2</v>
      </c>
      <c r="M170">
        <f t="shared" si="26"/>
        <v>0.2</v>
      </c>
    </row>
    <row r="171" spans="3:13" x14ac:dyDescent="0.25">
      <c r="C171" s="12" t="str">
        <f t="shared" si="30"/>
        <v>CN108017494</v>
      </c>
      <c r="D171" s="12" t="s">
        <v>2567</v>
      </c>
      <c r="E171" t="str">
        <f t="shared" si="24"/>
        <v>C07C</v>
      </c>
      <c r="H171" t="s">
        <v>391</v>
      </c>
      <c r="I171" t="s">
        <v>2551</v>
      </c>
      <c r="K171" t="s">
        <v>840</v>
      </c>
      <c r="L171">
        <f t="shared" si="25"/>
        <v>2</v>
      </c>
      <c r="M171">
        <f t="shared" si="26"/>
        <v>0.2</v>
      </c>
    </row>
    <row r="172" spans="3:13" x14ac:dyDescent="0.25">
      <c r="C172" s="12" t="str">
        <f t="shared" si="30"/>
        <v>CN108017494</v>
      </c>
      <c r="D172" s="12" t="s">
        <v>1021</v>
      </c>
      <c r="E172" t="str">
        <f t="shared" si="24"/>
        <v>C07C</v>
      </c>
      <c r="H172" t="s">
        <v>393</v>
      </c>
      <c r="I172" t="s">
        <v>2549</v>
      </c>
      <c r="K172" t="s">
        <v>844</v>
      </c>
      <c r="L172">
        <f t="shared" si="25"/>
        <v>2</v>
      </c>
      <c r="M172">
        <f t="shared" si="26"/>
        <v>0.2</v>
      </c>
    </row>
    <row r="173" spans="3:13" x14ac:dyDescent="0.25">
      <c r="C173" s="12" t="str">
        <f t="shared" si="30"/>
        <v>CN108017494</v>
      </c>
      <c r="D173" s="12" t="s">
        <v>1437</v>
      </c>
      <c r="E173" t="str">
        <f t="shared" si="24"/>
        <v>C10G</v>
      </c>
      <c r="H173" t="s">
        <v>393</v>
      </c>
      <c r="I173" t="s">
        <v>2551</v>
      </c>
      <c r="K173" t="s">
        <v>847</v>
      </c>
      <c r="L173">
        <f t="shared" si="25"/>
        <v>2</v>
      </c>
      <c r="M173">
        <f t="shared" si="26"/>
        <v>0.2</v>
      </c>
    </row>
    <row r="174" spans="3:13" x14ac:dyDescent="0.25">
      <c r="C174" s="12" t="s">
        <v>183</v>
      </c>
      <c r="D174" s="12" t="s">
        <v>2617</v>
      </c>
      <c r="E174" t="str">
        <f t="shared" si="24"/>
        <v>C07C</v>
      </c>
      <c r="H174" t="s">
        <v>395</v>
      </c>
      <c r="I174" t="s">
        <v>2551</v>
      </c>
      <c r="K174" t="s">
        <v>850</v>
      </c>
      <c r="L174">
        <f t="shared" si="25"/>
        <v>2</v>
      </c>
      <c r="M174">
        <f t="shared" si="26"/>
        <v>0.2</v>
      </c>
    </row>
    <row r="175" spans="3:13" x14ac:dyDescent="0.25">
      <c r="C175" s="12" t="str">
        <f t="shared" ref="C175:C179" si="31">C174</f>
        <v>CN108017491</v>
      </c>
      <c r="D175" s="12" t="s">
        <v>2618</v>
      </c>
      <c r="E175" t="str">
        <f t="shared" si="24"/>
        <v>C07C</v>
      </c>
      <c r="H175" t="s">
        <v>400</v>
      </c>
      <c r="I175" t="s">
        <v>2551</v>
      </c>
      <c r="K175" t="s">
        <v>854</v>
      </c>
      <c r="L175">
        <f t="shared" si="25"/>
        <v>2</v>
      </c>
      <c r="M175">
        <f t="shared" si="26"/>
        <v>0.2</v>
      </c>
    </row>
    <row r="176" spans="3:13" x14ac:dyDescent="0.25">
      <c r="C176" s="12" t="str">
        <f t="shared" si="31"/>
        <v>CN108017491</v>
      </c>
      <c r="D176" s="12" t="s">
        <v>2619</v>
      </c>
      <c r="E176" t="str">
        <f t="shared" si="24"/>
        <v>C07C</v>
      </c>
      <c r="H176" t="s">
        <v>404</v>
      </c>
      <c r="I176" t="s">
        <v>2549</v>
      </c>
      <c r="K176" t="s">
        <v>856</v>
      </c>
      <c r="L176">
        <f t="shared" si="25"/>
        <v>2</v>
      </c>
      <c r="M176">
        <f t="shared" si="26"/>
        <v>0.2</v>
      </c>
    </row>
    <row r="177" spans="3:13" x14ac:dyDescent="0.25">
      <c r="C177" s="12" t="str">
        <f t="shared" si="31"/>
        <v>CN108017491</v>
      </c>
      <c r="D177" s="12" t="s">
        <v>2613</v>
      </c>
      <c r="E177" t="str">
        <f t="shared" si="24"/>
        <v>C07C</v>
      </c>
      <c r="H177" t="s">
        <v>404</v>
      </c>
      <c r="I177" t="s">
        <v>2572</v>
      </c>
      <c r="K177" t="s">
        <v>861</v>
      </c>
      <c r="L177">
        <f t="shared" si="25"/>
        <v>4</v>
      </c>
      <c r="M177">
        <f t="shared" si="26"/>
        <v>0.85</v>
      </c>
    </row>
    <row r="178" spans="3:13" x14ac:dyDescent="0.25">
      <c r="C178" s="12" t="str">
        <f t="shared" si="31"/>
        <v>CN108017491</v>
      </c>
      <c r="D178" s="12" t="s">
        <v>2567</v>
      </c>
      <c r="E178" t="str">
        <f t="shared" si="24"/>
        <v>C07C</v>
      </c>
      <c r="H178" t="s">
        <v>404</v>
      </c>
      <c r="I178" t="s">
        <v>2551</v>
      </c>
      <c r="K178" t="s">
        <v>867</v>
      </c>
      <c r="L178">
        <f t="shared" si="25"/>
        <v>3</v>
      </c>
      <c r="M178">
        <f t="shared" si="26"/>
        <v>0.6</v>
      </c>
    </row>
    <row r="179" spans="3:13" x14ac:dyDescent="0.25">
      <c r="C179" s="12" t="str">
        <f t="shared" si="31"/>
        <v>CN108017491</v>
      </c>
      <c r="D179" s="12" t="s">
        <v>1021</v>
      </c>
      <c r="E179" t="str">
        <f t="shared" si="24"/>
        <v>C07C</v>
      </c>
      <c r="H179" t="s">
        <v>408</v>
      </c>
      <c r="I179" t="s">
        <v>2549</v>
      </c>
      <c r="K179" t="s">
        <v>871</v>
      </c>
      <c r="L179">
        <f t="shared" si="25"/>
        <v>2</v>
      </c>
      <c r="M179">
        <f t="shared" si="26"/>
        <v>0.2</v>
      </c>
    </row>
    <row r="180" spans="3:13" x14ac:dyDescent="0.25">
      <c r="C180" s="12" t="s">
        <v>186</v>
      </c>
      <c r="D180" s="12" t="s">
        <v>2558</v>
      </c>
      <c r="E180" t="str">
        <f t="shared" si="24"/>
        <v>B01J</v>
      </c>
      <c r="H180" t="s">
        <v>408</v>
      </c>
      <c r="I180" t="s">
        <v>2551</v>
      </c>
      <c r="K180" t="s">
        <v>876</v>
      </c>
      <c r="L180">
        <f t="shared" si="25"/>
        <v>2</v>
      </c>
      <c r="M180">
        <f t="shared" si="26"/>
        <v>0.2</v>
      </c>
    </row>
    <row r="181" spans="3:13" x14ac:dyDescent="0.25">
      <c r="C181" s="12" t="str">
        <f t="shared" ref="C181:C183" si="32">C180</f>
        <v>CN107963638</v>
      </c>
      <c r="D181" s="12" t="s">
        <v>2620</v>
      </c>
      <c r="E181" t="str">
        <f t="shared" si="24"/>
        <v>C01B</v>
      </c>
      <c r="H181" t="s">
        <v>415</v>
      </c>
      <c r="I181" t="s">
        <v>2549</v>
      </c>
      <c r="K181" t="s">
        <v>881</v>
      </c>
      <c r="L181">
        <f t="shared" si="25"/>
        <v>2</v>
      </c>
      <c r="M181">
        <f t="shared" si="26"/>
        <v>0.2</v>
      </c>
    </row>
    <row r="182" spans="3:13" x14ac:dyDescent="0.25">
      <c r="C182" s="12" t="str">
        <f t="shared" si="32"/>
        <v>CN107963638</v>
      </c>
      <c r="D182" s="12" t="s">
        <v>1498</v>
      </c>
      <c r="E182" t="str">
        <f t="shared" si="24"/>
        <v>C07C</v>
      </c>
      <c r="H182" t="s">
        <v>415</v>
      </c>
      <c r="I182" t="s">
        <v>2551</v>
      </c>
      <c r="K182" t="s">
        <v>887</v>
      </c>
      <c r="L182">
        <f t="shared" si="25"/>
        <v>2</v>
      </c>
      <c r="M182">
        <f t="shared" si="26"/>
        <v>0.2</v>
      </c>
    </row>
    <row r="183" spans="3:13" x14ac:dyDescent="0.25">
      <c r="C183" s="12" t="str">
        <f t="shared" si="32"/>
        <v>CN107963638</v>
      </c>
      <c r="D183" s="12" t="s">
        <v>2566</v>
      </c>
      <c r="E183" t="str">
        <f t="shared" si="24"/>
        <v>C07C</v>
      </c>
      <c r="H183" t="s">
        <v>415</v>
      </c>
      <c r="I183" t="s">
        <v>2552</v>
      </c>
      <c r="K183" t="s">
        <v>895</v>
      </c>
      <c r="L183">
        <f t="shared" si="25"/>
        <v>3</v>
      </c>
      <c r="M183">
        <f t="shared" si="26"/>
        <v>0.6</v>
      </c>
    </row>
    <row r="184" spans="3:13" x14ac:dyDescent="0.25">
      <c r="C184" s="12" t="s">
        <v>191</v>
      </c>
      <c r="D184" s="12" t="s">
        <v>2563</v>
      </c>
      <c r="E184" t="str">
        <f t="shared" si="24"/>
        <v>B01J</v>
      </c>
      <c r="H184" t="s">
        <v>421</v>
      </c>
      <c r="I184" t="s">
        <v>2549</v>
      </c>
      <c r="K184" t="s">
        <v>902</v>
      </c>
      <c r="L184">
        <f t="shared" si="25"/>
        <v>2</v>
      </c>
      <c r="M184">
        <f t="shared" si="26"/>
        <v>0.2</v>
      </c>
    </row>
    <row r="185" spans="3:13" x14ac:dyDescent="0.25">
      <c r="C185" s="12" t="str">
        <f t="shared" ref="C185:C191" si="33">C184</f>
        <v>CN107876083</v>
      </c>
      <c r="D185" s="12" t="s">
        <v>2544</v>
      </c>
      <c r="E185" t="str">
        <f t="shared" si="24"/>
        <v>B01J</v>
      </c>
      <c r="H185" t="s">
        <v>421</v>
      </c>
      <c r="I185" t="s">
        <v>2551</v>
      </c>
      <c r="K185" t="s">
        <v>911</v>
      </c>
      <c r="L185">
        <f t="shared" si="25"/>
        <v>3</v>
      </c>
      <c r="M185">
        <f t="shared" si="26"/>
        <v>0.6</v>
      </c>
    </row>
    <row r="186" spans="3:13" x14ac:dyDescent="0.25">
      <c r="C186" s="12" t="str">
        <f t="shared" si="33"/>
        <v>CN107876083</v>
      </c>
      <c r="D186" s="12" t="s">
        <v>2546</v>
      </c>
      <c r="E186" t="str">
        <f t="shared" si="24"/>
        <v>B01J</v>
      </c>
      <c r="H186" t="s">
        <v>426</v>
      </c>
      <c r="I186" t="s">
        <v>2549</v>
      </c>
      <c r="K186" t="s">
        <v>917</v>
      </c>
      <c r="L186">
        <f t="shared" si="25"/>
        <v>4</v>
      </c>
      <c r="M186">
        <f t="shared" si="26"/>
        <v>0.85</v>
      </c>
    </row>
    <row r="187" spans="3:13" x14ac:dyDescent="0.25">
      <c r="C187" s="12" t="str">
        <f t="shared" si="33"/>
        <v>CN107876083</v>
      </c>
      <c r="D187" s="12" t="s">
        <v>1466</v>
      </c>
      <c r="E187" t="str">
        <f t="shared" si="24"/>
        <v>C07C</v>
      </c>
      <c r="H187" t="s">
        <v>426</v>
      </c>
      <c r="I187" t="s">
        <v>2551</v>
      </c>
      <c r="K187" t="s">
        <v>924</v>
      </c>
      <c r="L187">
        <f t="shared" si="25"/>
        <v>2</v>
      </c>
      <c r="M187">
        <f t="shared" si="26"/>
        <v>0.2</v>
      </c>
    </row>
    <row r="188" spans="3:13" x14ac:dyDescent="0.25">
      <c r="C188" s="12" t="str">
        <f t="shared" si="33"/>
        <v>CN107876083</v>
      </c>
      <c r="D188" s="12" t="s">
        <v>2613</v>
      </c>
      <c r="E188" t="str">
        <f t="shared" si="24"/>
        <v>C07C</v>
      </c>
      <c r="H188" t="s">
        <v>432</v>
      </c>
      <c r="I188" t="s">
        <v>2549</v>
      </c>
      <c r="K188" t="s">
        <v>930</v>
      </c>
      <c r="L188">
        <f t="shared" si="25"/>
        <v>5</v>
      </c>
      <c r="M188">
        <f t="shared" si="26"/>
        <v>1</v>
      </c>
    </row>
    <row r="189" spans="3:13" x14ac:dyDescent="0.25">
      <c r="C189" s="12" t="str">
        <f t="shared" si="33"/>
        <v>CN107876083</v>
      </c>
      <c r="D189" s="12" t="s">
        <v>2567</v>
      </c>
      <c r="E189" t="str">
        <f t="shared" si="24"/>
        <v>C07C</v>
      </c>
      <c r="H189" t="s">
        <v>432</v>
      </c>
      <c r="I189" t="s">
        <v>2551</v>
      </c>
      <c r="K189" t="s">
        <v>938</v>
      </c>
      <c r="L189">
        <f t="shared" si="25"/>
        <v>4</v>
      </c>
      <c r="M189">
        <f t="shared" si="26"/>
        <v>0.85</v>
      </c>
    </row>
    <row r="190" spans="3:13" x14ac:dyDescent="0.25">
      <c r="C190" s="12" t="str">
        <f t="shared" si="33"/>
        <v>CN107876083</v>
      </c>
      <c r="D190" s="12" t="s">
        <v>1021</v>
      </c>
      <c r="E190" t="str">
        <f t="shared" si="24"/>
        <v>C07C</v>
      </c>
      <c r="H190" t="s">
        <v>432</v>
      </c>
      <c r="I190" t="s">
        <v>2552</v>
      </c>
      <c r="K190" t="s">
        <v>944</v>
      </c>
      <c r="L190">
        <f t="shared" si="25"/>
        <v>8</v>
      </c>
      <c r="M190">
        <f t="shared" si="26"/>
        <v>1</v>
      </c>
    </row>
    <row r="191" spans="3:13" x14ac:dyDescent="0.25">
      <c r="C191" s="12" t="str">
        <f t="shared" si="33"/>
        <v>CN107876083</v>
      </c>
      <c r="D191" s="12" t="s">
        <v>225</v>
      </c>
      <c r="E191" t="str">
        <f t="shared" si="24"/>
        <v>C10G</v>
      </c>
      <c r="H191" t="s">
        <v>437</v>
      </c>
      <c r="I191" t="s">
        <v>2549</v>
      </c>
      <c r="K191" t="s">
        <v>952</v>
      </c>
      <c r="L191">
        <f t="shared" si="25"/>
        <v>3</v>
      </c>
      <c r="M191">
        <f t="shared" si="26"/>
        <v>0.6</v>
      </c>
    </row>
    <row r="192" spans="3:13" x14ac:dyDescent="0.25">
      <c r="C192" s="12" t="s">
        <v>196</v>
      </c>
      <c r="D192" s="12" t="s">
        <v>522</v>
      </c>
      <c r="E192" t="str">
        <f t="shared" si="24"/>
        <v>C10G</v>
      </c>
      <c r="H192" t="s">
        <v>437</v>
      </c>
      <c r="I192" t="s">
        <v>2551</v>
      </c>
      <c r="K192" t="s">
        <v>959</v>
      </c>
      <c r="L192">
        <f t="shared" si="25"/>
        <v>4</v>
      </c>
      <c r="M192">
        <f t="shared" si="26"/>
        <v>0.85</v>
      </c>
    </row>
    <row r="193" spans="3:13" x14ac:dyDescent="0.25">
      <c r="C193" s="12" t="str">
        <f>C192</f>
        <v>CN107794080</v>
      </c>
      <c r="D193" s="12" t="s">
        <v>202</v>
      </c>
      <c r="E193" t="str">
        <f t="shared" si="24"/>
        <v>C10G</v>
      </c>
      <c r="H193" t="s">
        <v>442</v>
      </c>
      <c r="I193" t="s">
        <v>2549</v>
      </c>
      <c r="K193" t="s">
        <v>965</v>
      </c>
      <c r="L193">
        <f t="shared" si="25"/>
        <v>2</v>
      </c>
      <c r="M193">
        <f t="shared" si="26"/>
        <v>0.2</v>
      </c>
    </row>
    <row r="194" spans="3:13" x14ac:dyDescent="0.25">
      <c r="C194" s="12" t="s">
        <v>200</v>
      </c>
      <c r="D194" s="12" t="s">
        <v>202</v>
      </c>
      <c r="E194" t="str">
        <f t="shared" si="24"/>
        <v>C10G</v>
      </c>
      <c r="H194" t="s">
        <v>442</v>
      </c>
      <c r="I194" t="s">
        <v>2551</v>
      </c>
      <c r="K194" t="s">
        <v>971</v>
      </c>
      <c r="L194">
        <f t="shared" si="25"/>
        <v>2</v>
      </c>
      <c r="M194">
        <f t="shared" si="26"/>
        <v>0.2</v>
      </c>
    </row>
    <row r="195" spans="3:13" x14ac:dyDescent="0.25">
      <c r="C195" s="12" t="s">
        <v>204</v>
      </c>
      <c r="D195" s="12" t="s">
        <v>1466</v>
      </c>
      <c r="E195" t="str">
        <f t="shared" si="24"/>
        <v>C07C</v>
      </c>
      <c r="H195" t="s">
        <v>447</v>
      </c>
      <c r="I195" t="s">
        <v>2549</v>
      </c>
      <c r="K195" t="s">
        <v>976</v>
      </c>
      <c r="L195">
        <f t="shared" si="25"/>
        <v>3</v>
      </c>
      <c r="M195">
        <f t="shared" si="26"/>
        <v>0.6</v>
      </c>
    </row>
    <row r="196" spans="3:13" x14ac:dyDescent="0.25">
      <c r="C196" s="12" t="str">
        <f t="shared" ref="C196:C202" si="34">C195</f>
        <v>CN107540499</v>
      </c>
      <c r="D196" s="12" t="s">
        <v>2582</v>
      </c>
      <c r="E196" t="str">
        <f t="shared" si="24"/>
        <v>C07C</v>
      </c>
      <c r="H196" t="s">
        <v>447</v>
      </c>
      <c r="I196" t="s">
        <v>2551</v>
      </c>
      <c r="K196" t="s">
        <v>980</v>
      </c>
      <c r="L196">
        <f t="shared" si="25"/>
        <v>1</v>
      </c>
      <c r="M196">
        <f t="shared" si="26"/>
        <v>0.05</v>
      </c>
    </row>
    <row r="197" spans="3:13" x14ac:dyDescent="0.25">
      <c r="C197" s="12" t="str">
        <f t="shared" si="34"/>
        <v>CN107540499</v>
      </c>
      <c r="D197" s="12" t="s">
        <v>2583</v>
      </c>
      <c r="E197" t="str">
        <f t="shared" ref="E197:E260" si="35">LEFT(D197,4)</f>
        <v>C07C</v>
      </c>
      <c r="H197" t="s">
        <v>452</v>
      </c>
      <c r="I197" t="s">
        <v>2549</v>
      </c>
      <c r="K197" t="s">
        <v>985</v>
      </c>
      <c r="L197">
        <f t="shared" ref="L197:L258" si="36">COUNTIF($H:$H,K197)</f>
        <v>1</v>
      </c>
      <c r="M197">
        <f t="shared" ref="M197:M258" si="37">VLOOKUP(L197,$O$3:$Q$10,3,0)</f>
        <v>0.05</v>
      </c>
    </row>
    <row r="198" spans="3:13" x14ac:dyDescent="0.25">
      <c r="C198" s="12" t="str">
        <f t="shared" si="34"/>
        <v>CN107540499</v>
      </c>
      <c r="D198" s="12" t="s">
        <v>2573</v>
      </c>
      <c r="E198" t="str">
        <f t="shared" si="35"/>
        <v>C07C</v>
      </c>
      <c r="H198" t="s">
        <v>452</v>
      </c>
      <c r="I198" t="s">
        <v>2552</v>
      </c>
      <c r="K198" t="s">
        <v>990</v>
      </c>
      <c r="L198">
        <f t="shared" si="36"/>
        <v>2</v>
      </c>
      <c r="M198">
        <f t="shared" si="37"/>
        <v>0.2</v>
      </c>
    </row>
    <row r="199" spans="3:13" x14ac:dyDescent="0.25">
      <c r="C199" s="12" t="str">
        <f t="shared" si="34"/>
        <v>CN107540499</v>
      </c>
      <c r="D199" s="12" t="s">
        <v>2613</v>
      </c>
      <c r="E199" t="str">
        <f t="shared" si="35"/>
        <v>C07C</v>
      </c>
      <c r="H199" t="s">
        <v>458</v>
      </c>
      <c r="I199" t="s">
        <v>2549</v>
      </c>
      <c r="K199" t="s">
        <v>996</v>
      </c>
      <c r="L199">
        <f t="shared" si="36"/>
        <v>1</v>
      </c>
      <c r="M199">
        <f t="shared" si="37"/>
        <v>0.05</v>
      </c>
    </row>
    <row r="200" spans="3:13" x14ac:dyDescent="0.25">
      <c r="C200" s="12" t="str">
        <f t="shared" si="34"/>
        <v>CN107540499</v>
      </c>
      <c r="D200" s="12" t="s">
        <v>2567</v>
      </c>
      <c r="E200" t="str">
        <f t="shared" si="35"/>
        <v>C07C</v>
      </c>
      <c r="H200" t="s">
        <v>458</v>
      </c>
      <c r="I200" t="s">
        <v>2551</v>
      </c>
      <c r="K200" t="s">
        <v>1001</v>
      </c>
      <c r="L200">
        <f t="shared" si="36"/>
        <v>1</v>
      </c>
      <c r="M200">
        <f t="shared" si="37"/>
        <v>0.05</v>
      </c>
    </row>
    <row r="201" spans="3:13" x14ac:dyDescent="0.25">
      <c r="C201" s="12" t="str">
        <f t="shared" si="34"/>
        <v>CN107540499</v>
      </c>
      <c r="D201" s="12" t="s">
        <v>1021</v>
      </c>
      <c r="E201" t="str">
        <f t="shared" si="35"/>
        <v>C07C</v>
      </c>
      <c r="H201" t="s">
        <v>463</v>
      </c>
      <c r="I201" t="s">
        <v>2551</v>
      </c>
      <c r="K201" t="s">
        <v>1006</v>
      </c>
      <c r="L201">
        <f t="shared" si="36"/>
        <v>2</v>
      </c>
      <c r="M201">
        <f t="shared" si="37"/>
        <v>0.2</v>
      </c>
    </row>
    <row r="202" spans="3:13" x14ac:dyDescent="0.25">
      <c r="C202" s="12" t="str">
        <f t="shared" si="34"/>
        <v>CN107540499</v>
      </c>
      <c r="D202" s="12" t="s">
        <v>2621</v>
      </c>
      <c r="E202" t="str">
        <f t="shared" si="35"/>
        <v>C07C</v>
      </c>
      <c r="H202" t="s">
        <v>466</v>
      </c>
      <c r="I202" t="s">
        <v>2549</v>
      </c>
      <c r="K202" t="s">
        <v>1014</v>
      </c>
      <c r="L202">
        <f t="shared" si="36"/>
        <v>1</v>
      </c>
      <c r="M202">
        <f t="shared" si="37"/>
        <v>0.05</v>
      </c>
    </row>
    <row r="203" spans="3:13" x14ac:dyDescent="0.25">
      <c r="C203" s="12" t="s">
        <v>208</v>
      </c>
      <c r="D203" s="12" t="s">
        <v>1466</v>
      </c>
      <c r="E203" t="str">
        <f t="shared" si="35"/>
        <v>C07C</v>
      </c>
      <c r="H203" t="s">
        <v>466</v>
      </c>
      <c r="I203" t="s">
        <v>2551</v>
      </c>
      <c r="K203" t="s">
        <v>1018</v>
      </c>
      <c r="L203">
        <f t="shared" si="36"/>
        <v>1</v>
      </c>
      <c r="M203">
        <f t="shared" si="37"/>
        <v>0.05</v>
      </c>
    </row>
    <row r="204" spans="3:13" x14ac:dyDescent="0.25">
      <c r="C204" s="12" t="str">
        <f t="shared" ref="C204:C208" si="38">C203</f>
        <v>CN107540498</v>
      </c>
      <c r="D204" s="12" t="s">
        <v>2582</v>
      </c>
      <c r="E204" t="str">
        <f t="shared" si="35"/>
        <v>C07C</v>
      </c>
      <c r="H204" t="s">
        <v>469</v>
      </c>
      <c r="I204" t="s">
        <v>2549</v>
      </c>
      <c r="K204" t="s">
        <v>1024</v>
      </c>
      <c r="L204">
        <f t="shared" si="36"/>
        <v>2</v>
      </c>
      <c r="M204">
        <f t="shared" si="37"/>
        <v>0.2</v>
      </c>
    </row>
    <row r="205" spans="3:13" x14ac:dyDescent="0.25">
      <c r="C205" s="12" t="str">
        <f t="shared" si="38"/>
        <v>CN107540498</v>
      </c>
      <c r="D205" s="12" t="s">
        <v>2583</v>
      </c>
      <c r="E205" t="str">
        <f t="shared" si="35"/>
        <v>C07C</v>
      </c>
      <c r="H205" t="s">
        <v>469</v>
      </c>
      <c r="I205" t="s">
        <v>2551</v>
      </c>
      <c r="K205" t="s">
        <v>1030</v>
      </c>
      <c r="L205">
        <f t="shared" si="36"/>
        <v>1</v>
      </c>
      <c r="M205">
        <f t="shared" si="37"/>
        <v>0.05</v>
      </c>
    </row>
    <row r="206" spans="3:13" x14ac:dyDescent="0.25">
      <c r="C206" s="12" t="str">
        <f t="shared" si="38"/>
        <v>CN107540498</v>
      </c>
      <c r="D206" s="12" t="s">
        <v>2613</v>
      </c>
      <c r="E206" t="str">
        <f t="shared" si="35"/>
        <v>C07C</v>
      </c>
      <c r="H206" t="s">
        <v>472</v>
      </c>
      <c r="I206" t="s">
        <v>2549</v>
      </c>
      <c r="K206" t="s">
        <v>1034</v>
      </c>
      <c r="L206">
        <f t="shared" si="36"/>
        <v>3</v>
      </c>
      <c r="M206">
        <f t="shared" si="37"/>
        <v>0.6</v>
      </c>
    </row>
    <row r="207" spans="3:13" x14ac:dyDescent="0.25">
      <c r="C207" s="12" t="str">
        <f t="shared" si="38"/>
        <v>CN107540498</v>
      </c>
      <c r="D207" s="12" t="s">
        <v>2567</v>
      </c>
      <c r="E207" t="str">
        <f t="shared" si="35"/>
        <v>C07C</v>
      </c>
      <c r="H207" t="s">
        <v>472</v>
      </c>
      <c r="I207" t="s">
        <v>2572</v>
      </c>
      <c r="K207" t="s">
        <v>1038</v>
      </c>
      <c r="L207">
        <f t="shared" si="36"/>
        <v>1</v>
      </c>
      <c r="M207">
        <f t="shared" si="37"/>
        <v>0.05</v>
      </c>
    </row>
    <row r="208" spans="3:13" x14ac:dyDescent="0.25">
      <c r="C208" s="12" t="str">
        <f t="shared" si="38"/>
        <v>CN107540498</v>
      </c>
      <c r="D208" s="12" t="s">
        <v>1021</v>
      </c>
      <c r="E208" t="str">
        <f t="shared" si="35"/>
        <v>C07C</v>
      </c>
      <c r="H208" t="s">
        <v>472</v>
      </c>
      <c r="I208" t="s">
        <v>2551</v>
      </c>
      <c r="K208" t="s">
        <v>1041</v>
      </c>
      <c r="L208">
        <f t="shared" si="36"/>
        <v>4</v>
      </c>
      <c r="M208">
        <f t="shared" si="37"/>
        <v>0.85</v>
      </c>
    </row>
    <row r="209" spans="3:13" x14ac:dyDescent="0.25">
      <c r="C209" s="12" t="s">
        <v>211</v>
      </c>
      <c r="D209" s="12" t="s">
        <v>1466</v>
      </c>
      <c r="E209" t="str">
        <f t="shared" si="35"/>
        <v>C07C</v>
      </c>
      <c r="H209" t="s">
        <v>478</v>
      </c>
      <c r="I209" t="s">
        <v>2549</v>
      </c>
      <c r="K209" t="s">
        <v>1047</v>
      </c>
      <c r="L209">
        <f t="shared" si="36"/>
        <v>4</v>
      </c>
      <c r="M209">
        <f t="shared" si="37"/>
        <v>0.85</v>
      </c>
    </row>
    <row r="210" spans="3:13" x14ac:dyDescent="0.25">
      <c r="C210" s="12" t="str">
        <f t="shared" ref="C210:C214" si="39">C209</f>
        <v>CN107540496</v>
      </c>
      <c r="D210" s="12" t="s">
        <v>2582</v>
      </c>
      <c r="E210" t="str">
        <f t="shared" si="35"/>
        <v>C07C</v>
      </c>
      <c r="H210" t="s">
        <v>478</v>
      </c>
      <c r="I210" t="s">
        <v>2551</v>
      </c>
      <c r="K210" t="s">
        <v>1055</v>
      </c>
      <c r="L210">
        <f t="shared" si="36"/>
        <v>1</v>
      </c>
      <c r="M210">
        <f t="shared" si="37"/>
        <v>0.05</v>
      </c>
    </row>
    <row r="211" spans="3:13" x14ac:dyDescent="0.25">
      <c r="C211" s="12" t="str">
        <f t="shared" si="39"/>
        <v>CN107540496</v>
      </c>
      <c r="D211" s="12" t="s">
        <v>2583</v>
      </c>
      <c r="E211" t="str">
        <f t="shared" si="35"/>
        <v>C07C</v>
      </c>
      <c r="H211" t="s">
        <v>483</v>
      </c>
      <c r="I211" t="s">
        <v>2549</v>
      </c>
      <c r="K211" t="s">
        <v>1060</v>
      </c>
      <c r="L211">
        <f t="shared" si="36"/>
        <v>4</v>
      </c>
      <c r="M211">
        <f t="shared" si="37"/>
        <v>0.85</v>
      </c>
    </row>
    <row r="212" spans="3:13" x14ac:dyDescent="0.25">
      <c r="C212" s="12" t="str">
        <f t="shared" si="39"/>
        <v>CN107540496</v>
      </c>
      <c r="D212" s="12" t="s">
        <v>2613</v>
      </c>
      <c r="E212" t="str">
        <f t="shared" si="35"/>
        <v>C07C</v>
      </c>
      <c r="H212" t="s">
        <v>483</v>
      </c>
      <c r="I212" t="s">
        <v>2551</v>
      </c>
      <c r="K212" t="s">
        <v>1068</v>
      </c>
      <c r="L212">
        <f t="shared" si="36"/>
        <v>5</v>
      </c>
      <c r="M212">
        <f t="shared" si="37"/>
        <v>1</v>
      </c>
    </row>
    <row r="213" spans="3:13" x14ac:dyDescent="0.25">
      <c r="C213" s="12" t="str">
        <f t="shared" si="39"/>
        <v>CN107540496</v>
      </c>
      <c r="D213" s="12" t="s">
        <v>2567</v>
      </c>
      <c r="E213" t="str">
        <f t="shared" si="35"/>
        <v>C07C</v>
      </c>
      <c r="H213" t="s">
        <v>488</v>
      </c>
      <c r="I213" t="s">
        <v>2552</v>
      </c>
      <c r="K213" t="s">
        <v>1076</v>
      </c>
      <c r="L213">
        <f t="shared" si="36"/>
        <v>2</v>
      </c>
      <c r="M213">
        <f t="shared" si="37"/>
        <v>0.2</v>
      </c>
    </row>
    <row r="214" spans="3:13" x14ac:dyDescent="0.25">
      <c r="C214" s="12" t="str">
        <f t="shared" si="39"/>
        <v>CN107540496</v>
      </c>
      <c r="D214" s="12" t="s">
        <v>1021</v>
      </c>
      <c r="E214" t="str">
        <f t="shared" si="35"/>
        <v>C07C</v>
      </c>
      <c r="H214" t="s">
        <v>493</v>
      </c>
      <c r="I214" t="s">
        <v>2551</v>
      </c>
      <c r="K214" t="s">
        <v>1081</v>
      </c>
      <c r="L214">
        <f t="shared" si="36"/>
        <v>4</v>
      </c>
      <c r="M214">
        <f t="shared" si="37"/>
        <v>0.85</v>
      </c>
    </row>
    <row r="215" spans="3:13" x14ac:dyDescent="0.25">
      <c r="C215" s="12" t="s">
        <v>213</v>
      </c>
      <c r="D215" s="12" t="s">
        <v>1466</v>
      </c>
      <c r="E215" t="str">
        <f t="shared" si="35"/>
        <v>C07C</v>
      </c>
      <c r="H215" t="s">
        <v>493</v>
      </c>
      <c r="I215" t="s">
        <v>2552</v>
      </c>
      <c r="K215" t="s">
        <v>1086</v>
      </c>
      <c r="L215">
        <f t="shared" si="36"/>
        <v>3</v>
      </c>
      <c r="M215">
        <f t="shared" si="37"/>
        <v>0.6</v>
      </c>
    </row>
    <row r="216" spans="3:13" x14ac:dyDescent="0.25">
      <c r="C216" s="12" t="str">
        <f t="shared" ref="C216:C220" si="40">C215</f>
        <v>CN107540495</v>
      </c>
      <c r="D216" s="12" t="s">
        <v>2582</v>
      </c>
      <c r="E216" t="str">
        <f t="shared" si="35"/>
        <v>C07C</v>
      </c>
      <c r="H216" t="s">
        <v>498</v>
      </c>
      <c r="I216" t="s">
        <v>2549</v>
      </c>
      <c r="K216" t="s">
        <v>1092</v>
      </c>
      <c r="L216">
        <f t="shared" si="36"/>
        <v>4</v>
      </c>
      <c r="M216">
        <f t="shared" si="37"/>
        <v>0.85</v>
      </c>
    </row>
    <row r="217" spans="3:13" x14ac:dyDescent="0.25">
      <c r="C217" s="12" t="str">
        <f t="shared" si="40"/>
        <v>CN107540495</v>
      </c>
      <c r="D217" s="12" t="s">
        <v>2583</v>
      </c>
      <c r="E217" t="str">
        <f t="shared" si="35"/>
        <v>C07C</v>
      </c>
      <c r="H217" t="s">
        <v>498</v>
      </c>
      <c r="I217" t="s">
        <v>2551</v>
      </c>
      <c r="K217" t="s">
        <v>1099</v>
      </c>
      <c r="L217">
        <f t="shared" si="36"/>
        <v>5</v>
      </c>
      <c r="M217">
        <f t="shared" si="37"/>
        <v>1</v>
      </c>
    </row>
    <row r="218" spans="3:13" x14ac:dyDescent="0.25">
      <c r="C218" s="12" t="str">
        <f t="shared" si="40"/>
        <v>CN107540495</v>
      </c>
      <c r="D218" s="12" t="s">
        <v>2613</v>
      </c>
      <c r="E218" t="str">
        <f t="shared" si="35"/>
        <v>C07C</v>
      </c>
      <c r="H218" t="s">
        <v>498</v>
      </c>
      <c r="I218" t="s">
        <v>2554</v>
      </c>
      <c r="K218" t="s">
        <v>1108</v>
      </c>
      <c r="L218">
        <f t="shared" si="36"/>
        <v>5</v>
      </c>
      <c r="M218">
        <f t="shared" si="37"/>
        <v>1</v>
      </c>
    </row>
    <row r="219" spans="3:13" x14ac:dyDescent="0.25">
      <c r="C219" s="12" t="str">
        <f t="shared" si="40"/>
        <v>CN107540495</v>
      </c>
      <c r="D219" s="12" t="s">
        <v>2567</v>
      </c>
      <c r="E219" t="str">
        <f t="shared" si="35"/>
        <v>C07C</v>
      </c>
      <c r="H219" t="s">
        <v>504</v>
      </c>
      <c r="I219" t="s">
        <v>2549</v>
      </c>
      <c r="K219" t="s">
        <v>1116</v>
      </c>
      <c r="L219">
        <f t="shared" si="36"/>
        <v>4</v>
      </c>
      <c r="M219">
        <f t="shared" si="37"/>
        <v>0.85</v>
      </c>
    </row>
    <row r="220" spans="3:13" x14ac:dyDescent="0.25">
      <c r="C220" s="12" t="str">
        <f t="shared" si="40"/>
        <v>CN107540495</v>
      </c>
      <c r="D220" s="12" t="s">
        <v>1021</v>
      </c>
      <c r="E220" t="str">
        <f t="shared" si="35"/>
        <v>C07C</v>
      </c>
      <c r="H220" t="s">
        <v>504</v>
      </c>
      <c r="I220" t="s">
        <v>2551</v>
      </c>
      <c r="K220" t="s">
        <v>1123</v>
      </c>
      <c r="L220">
        <f t="shared" si="36"/>
        <v>4</v>
      </c>
      <c r="M220">
        <f t="shared" si="37"/>
        <v>0.85</v>
      </c>
    </row>
    <row r="221" spans="3:13" x14ac:dyDescent="0.25">
      <c r="C221" s="12" t="s">
        <v>215</v>
      </c>
      <c r="D221" s="12" t="s">
        <v>1466</v>
      </c>
      <c r="E221" t="str">
        <f t="shared" si="35"/>
        <v>C07C</v>
      </c>
      <c r="H221" t="s">
        <v>509</v>
      </c>
      <c r="I221" t="s">
        <v>2549</v>
      </c>
      <c r="K221" t="s">
        <v>1129</v>
      </c>
      <c r="L221">
        <f t="shared" si="36"/>
        <v>6</v>
      </c>
      <c r="M221">
        <f t="shared" si="37"/>
        <v>1</v>
      </c>
    </row>
    <row r="222" spans="3:13" x14ac:dyDescent="0.25">
      <c r="C222" s="12" t="str">
        <f t="shared" ref="C222:C228" si="41">C221</f>
        <v>CN107540494</v>
      </c>
      <c r="D222" s="12" t="s">
        <v>2582</v>
      </c>
      <c r="E222" t="str">
        <f t="shared" si="35"/>
        <v>C07C</v>
      </c>
      <c r="H222" t="s">
        <v>509</v>
      </c>
      <c r="I222" t="s">
        <v>2551</v>
      </c>
      <c r="K222" t="s">
        <v>1137</v>
      </c>
      <c r="L222">
        <f t="shared" si="36"/>
        <v>2</v>
      </c>
      <c r="M222">
        <f t="shared" si="37"/>
        <v>0.2</v>
      </c>
    </row>
    <row r="223" spans="3:13" x14ac:dyDescent="0.25">
      <c r="C223" s="12" t="str">
        <f t="shared" si="41"/>
        <v>CN107540494</v>
      </c>
      <c r="D223" s="12" t="s">
        <v>2583</v>
      </c>
      <c r="E223" t="str">
        <f t="shared" si="35"/>
        <v>C07C</v>
      </c>
      <c r="H223" t="s">
        <v>509</v>
      </c>
      <c r="I223" t="s">
        <v>2552</v>
      </c>
      <c r="K223" t="s">
        <v>1145</v>
      </c>
      <c r="L223">
        <f t="shared" si="36"/>
        <v>2</v>
      </c>
      <c r="M223">
        <f t="shared" si="37"/>
        <v>0.2</v>
      </c>
    </row>
    <row r="224" spans="3:13" x14ac:dyDescent="0.25">
      <c r="C224" s="12" t="str">
        <f t="shared" si="41"/>
        <v>CN107540494</v>
      </c>
      <c r="D224" s="12" t="s">
        <v>2573</v>
      </c>
      <c r="E224" t="str">
        <f t="shared" si="35"/>
        <v>C07C</v>
      </c>
      <c r="H224" t="s">
        <v>515</v>
      </c>
      <c r="I224" t="s">
        <v>2549</v>
      </c>
      <c r="K224" t="s">
        <v>1152</v>
      </c>
      <c r="L224">
        <f t="shared" si="36"/>
        <v>4</v>
      </c>
      <c r="M224">
        <f t="shared" si="37"/>
        <v>0.85</v>
      </c>
    </row>
    <row r="225" spans="3:13" x14ac:dyDescent="0.25">
      <c r="C225" s="12" t="str">
        <f t="shared" si="41"/>
        <v>CN107540494</v>
      </c>
      <c r="D225" s="12" t="s">
        <v>2613</v>
      </c>
      <c r="E225" t="str">
        <f t="shared" si="35"/>
        <v>C07C</v>
      </c>
      <c r="H225" t="s">
        <v>515</v>
      </c>
      <c r="I225" t="s">
        <v>2551</v>
      </c>
      <c r="K225" t="s">
        <v>1159</v>
      </c>
      <c r="L225">
        <f t="shared" si="36"/>
        <v>4</v>
      </c>
      <c r="M225">
        <f t="shared" si="37"/>
        <v>0.85</v>
      </c>
    </row>
    <row r="226" spans="3:13" x14ac:dyDescent="0.25">
      <c r="C226" s="12" t="str">
        <f t="shared" si="41"/>
        <v>CN107540494</v>
      </c>
      <c r="D226" s="12" t="s">
        <v>2567</v>
      </c>
      <c r="E226" t="str">
        <f t="shared" si="35"/>
        <v>C07C</v>
      </c>
      <c r="H226" t="s">
        <v>519</v>
      </c>
      <c r="I226" t="s">
        <v>2552</v>
      </c>
      <c r="K226" t="s">
        <v>1166</v>
      </c>
      <c r="L226">
        <f t="shared" si="36"/>
        <v>5</v>
      </c>
      <c r="M226">
        <f t="shared" si="37"/>
        <v>1</v>
      </c>
    </row>
    <row r="227" spans="3:13" x14ac:dyDescent="0.25">
      <c r="C227" s="12" t="str">
        <f t="shared" si="41"/>
        <v>CN107540494</v>
      </c>
      <c r="D227" s="12" t="s">
        <v>1021</v>
      </c>
      <c r="E227" t="str">
        <f t="shared" si="35"/>
        <v>C07C</v>
      </c>
      <c r="H227" t="s">
        <v>524</v>
      </c>
      <c r="I227" t="s">
        <v>2549</v>
      </c>
      <c r="K227" t="s">
        <v>1174</v>
      </c>
      <c r="L227">
        <f t="shared" si="36"/>
        <v>3</v>
      </c>
      <c r="M227">
        <f t="shared" si="37"/>
        <v>0.6</v>
      </c>
    </row>
    <row r="228" spans="3:13" x14ac:dyDescent="0.25">
      <c r="C228" s="12" t="str">
        <f t="shared" si="41"/>
        <v>CN107540494</v>
      </c>
      <c r="D228" s="12" t="s">
        <v>2621</v>
      </c>
      <c r="E228" t="str">
        <f t="shared" si="35"/>
        <v>C07C</v>
      </c>
      <c r="H228" t="s">
        <v>524</v>
      </c>
      <c r="I228" t="s">
        <v>2551</v>
      </c>
      <c r="K228" t="s">
        <v>1181</v>
      </c>
      <c r="L228">
        <f t="shared" si="36"/>
        <v>2</v>
      </c>
      <c r="M228">
        <f t="shared" si="37"/>
        <v>0.2</v>
      </c>
    </row>
    <row r="229" spans="3:13" x14ac:dyDescent="0.25">
      <c r="C229" s="12" t="s">
        <v>217</v>
      </c>
      <c r="D229" s="12" t="s">
        <v>1466</v>
      </c>
      <c r="E229" t="str">
        <f t="shared" si="35"/>
        <v>C07C</v>
      </c>
      <c r="H229" t="s">
        <v>530</v>
      </c>
      <c r="I229" t="s">
        <v>2846</v>
      </c>
      <c r="K229" t="s">
        <v>1187</v>
      </c>
      <c r="L229">
        <f t="shared" si="36"/>
        <v>2</v>
      </c>
      <c r="M229">
        <f t="shared" si="37"/>
        <v>0.2</v>
      </c>
    </row>
    <row r="230" spans="3:13" x14ac:dyDescent="0.25">
      <c r="C230" s="12" t="str">
        <f t="shared" ref="C230:C234" si="42">C229</f>
        <v>CN107540493</v>
      </c>
      <c r="D230" s="12" t="s">
        <v>2582</v>
      </c>
      <c r="E230" t="str">
        <f t="shared" si="35"/>
        <v>C07C</v>
      </c>
      <c r="H230" t="s">
        <v>530</v>
      </c>
      <c r="I230" t="s">
        <v>2549</v>
      </c>
      <c r="K230" t="s">
        <v>1191</v>
      </c>
      <c r="L230">
        <f t="shared" si="36"/>
        <v>2</v>
      </c>
      <c r="M230">
        <f t="shared" si="37"/>
        <v>0.2</v>
      </c>
    </row>
    <row r="231" spans="3:13" x14ac:dyDescent="0.25">
      <c r="C231" s="12" t="str">
        <f t="shared" si="42"/>
        <v>CN107540493</v>
      </c>
      <c r="D231" s="12" t="s">
        <v>2583</v>
      </c>
      <c r="E231" t="str">
        <f t="shared" si="35"/>
        <v>C07C</v>
      </c>
      <c r="H231" t="s">
        <v>530</v>
      </c>
      <c r="I231" t="s">
        <v>2572</v>
      </c>
      <c r="K231" t="s">
        <v>1196</v>
      </c>
      <c r="L231">
        <f t="shared" si="36"/>
        <v>3</v>
      </c>
      <c r="M231">
        <f t="shared" si="37"/>
        <v>0.6</v>
      </c>
    </row>
    <row r="232" spans="3:13" x14ac:dyDescent="0.25">
      <c r="C232" s="12" t="str">
        <f t="shared" si="42"/>
        <v>CN107540493</v>
      </c>
      <c r="D232" s="12" t="s">
        <v>2613</v>
      </c>
      <c r="E232" t="str">
        <f t="shared" si="35"/>
        <v>C07C</v>
      </c>
      <c r="H232" t="s">
        <v>530</v>
      </c>
      <c r="I232" t="s">
        <v>2552</v>
      </c>
      <c r="K232" t="s">
        <v>1203</v>
      </c>
      <c r="L232">
        <f t="shared" si="36"/>
        <v>3</v>
      </c>
      <c r="M232">
        <f t="shared" si="37"/>
        <v>0.6</v>
      </c>
    </row>
    <row r="233" spans="3:13" x14ac:dyDescent="0.25">
      <c r="C233" s="12" t="str">
        <f t="shared" si="42"/>
        <v>CN107540493</v>
      </c>
      <c r="D233" s="12" t="s">
        <v>2567</v>
      </c>
      <c r="E233" t="str">
        <f t="shared" si="35"/>
        <v>C07C</v>
      </c>
      <c r="H233" t="s">
        <v>537</v>
      </c>
      <c r="I233" t="s">
        <v>2552</v>
      </c>
      <c r="K233" t="s">
        <v>1211</v>
      </c>
      <c r="L233">
        <f t="shared" si="36"/>
        <v>3</v>
      </c>
      <c r="M233">
        <f t="shared" si="37"/>
        <v>0.6</v>
      </c>
    </row>
    <row r="234" spans="3:13" x14ac:dyDescent="0.25">
      <c r="C234" s="12" t="str">
        <f t="shared" si="42"/>
        <v>CN107540493</v>
      </c>
      <c r="D234" s="12" t="s">
        <v>1021</v>
      </c>
      <c r="E234" t="str">
        <f t="shared" si="35"/>
        <v>C07C</v>
      </c>
      <c r="H234" t="s">
        <v>543</v>
      </c>
      <c r="I234" t="s">
        <v>2549</v>
      </c>
      <c r="K234" t="s">
        <v>1219</v>
      </c>
      <c r="L234">
        <f t="shared" si="36"/>
        <v>4</v>
      </c>
      <c r="M234">
        <f t="shared" si="37"/>
        <v>0.85</v>
      </c>
    </row>
    <row r="235" spans="3:13" x14ac:dyDescent="0.25">
      <c r="C235" s="12" t="s">
        <v>219</v>
      </c>
      <c r="D235" s="12" t="s">
        <v>1466</v>
      </c>
      <c r="E235" t="str">
        <f t="shared" si="35"/>
        <v>C07C</v>
      </c>
      <c r="H235" t="s">
        <v>543</v>
      </c>
      <c r="I235" t="s">
        <v>2551</v>
      </c>
      <c r="K235" t="s">
        <v>1227</v>
      </c>
      <c r="L235">
        <f t="shared" si="36"/>
        <v>2</v>
      </c>
      <c r="M235">
        <f t="shared" si="37"/>
        <v>0.2</v>
      </c>
    </row>
    <row r="236" spans="3:13" x14ac:dyDescent="0.25">
      <c r="C236" s="12" t="str">
        <f t="shared" ref="C236:C240" si="43">C235</f>
        <v>CN107540492</v>
      </c>
      <c r="D236" s="12" t="s">
        <v>2582</v>
      </c>
      <c r="E236" t="str">
        <f t="shared" si="35"/>
        <v>C07C</v>
      </c>
      <c r="H236" t="s">
        <v>548</v>
      </c>
      <c r="I236" t="s">
        <v>2549</v>
      </c>
      <c r="K236" t="s">
        <v>1233</v>
      </c>
      <c r="L236">
        <f t="shared" si="36"/>
        <v>1</v>
      </c>
      <c r="M236">
        <f t="shared" si="37"/>
        <v>0.05</v>
      </c>
    </row>
    <row r="237" spans="3:13" x14ac:dyDescent="0.25">
      <c r="C237" s="12" t="str">
        <f t="shared" si="43"/>
        <v>CN107540492</v>
      </c>
      <c r="D237" s="12" t="s">
        <v>2583</v>
      </c>
      <c r="E237" t="str">
        <f t="shared" si="35"/>
        <v>C07C</v>
      </c>
      <c r="H237" t="s">
        <v>548</v>
      </c>
      <c r="I237" t="s">
        <v>2551</v>
      </c>
      <c r="K237" t="s">
        <v>1240</v>
      </c>
      <c r="L237">
        <f t="shared" si="36"/>
        <v>5</v>
      </c>
      <c r="M237">
        <f t="shared" si="37"/>
        <v>1</v>
      </c>
    </row>
    <row r="238" spans="3:13" x14ac:dyDescent="0.25">
      <c r="C238" s="12" t="str">
        <f t="shared" si="43"/>
        <v>CN107540492</v>
      </c>
      <c r="D238" s="12" t="s">
        <v>2613</v>
      </c>
      <c r="E238" t="str">
        <f t="shared" si="35"/>
        <v>C07C</v>
      </c>
      <c r="H238" t="s">
        <v>554</v>
      </c>
      <c r="I238" t="s">
        <v>2551</v>
      </c>
      <c r="K238" t="s">
        <v>1247</v>
      </c>
      <c r="L238">
        <f t="shared" si="36"/>
        <v>5</v>
      </c>
      <c r="M238">
        <f t="shared" si="37"/>
        <v>1</v>
      </c>
    </row>
    <row r="239" spans="3:13" x14ac:dyDescent="0.25">
      <c r="C239" s="12" t="str">
        <f t="shared" si="43"/>
        <v>CN107540492</v>
      </c>
      <c r="D239" s="12" t="s">
        <v>2567</v>
      </c>
      <c r="E239" t="str">
        <f t="shared" si="35"/>
        <v>C07C</v>
      </c>
      <c r="H239" t="s">
        <v>554</v>
      </c>
      <c r="I239" t="s">
        <v>2552</v>
      </c>
      <c r="K239" t="s">
        <v>1256</v>
      </c>
      <c r="L239">
        <f t="shared" si="36"/>
        <v>2</v>
      </c>
      <c r="M239">
        <f t="shared" si="37"/>
        <v>0.2</v>
      </c>
    </row>
    <row r="240" spans="3:13" x14ac:dyDescent="0.25">
      <c r="C240" s="12" t="str">
        <f t="shared" si="43"/>
        <v>CN107540492</v>
      </c>
      <c r="D240" s="12" t="s">
        <v>1021</v>
      </c>
      <c r="E240" t="str">
        <f t="shared" si="35"/>
        <v>C07C</v>
      </c>
      <c r="H240" t="s">
        <v>561</v>
      </c>
      <c r="I240" t="s">
        <v>2551</v>
      </c>
      <c r="K240" t="s">
        <v>1263</v>
      </c>
      <c r="L240">
        <f t="shared" si="36"/>
        <v>3</v>
      </c>
      <c r="M240">
        <f t="shared" si="37"/>
        <v>0.6</v>
      </c>
    </row>
    <row r="241" spans="3:13" x14ac:dyDescent="0.25">
      <c r="C241" s="12" t="s">
        <v>221</v>
      </c>
      <c r="D241" s="12" t="s">
        <v>225</v>
      </c>
      <c r="E241" t="str">
        <f t="shared" si="35"/>
        <v>C10G</v>
      </c>
      <c r="H241" t="s">
        <v>561</v>
      </c>
      <c r="I241" t="s">
        <v>2552</v>
      </c>
      <c r="K241" t="s">
        <v>1271</v>
      </c>
      <c r="L241">
        <f t="shared" si="36"/>
        <v>3</v>
      </c>
      <c r="M241">
        <f t="shared" si="37"/>
        <v>0.6</v>
      </c>
    </row>
    <row r="242" spans="3:13" x14ac:dyDescent="0.25">
      <c r="C242" s="12" t="s">
        <v>227</v>
      </c>
      <c r="D242" s="12" t="s">
        <v>1940</v>
      </c>
      <c r="E242" t="str">
        <f t="shared" si="35"/>
        <v>B01J</v>
      </c>
      <c r="H242" t="s">
        <v>566</v>
      </c>
      <c r="I242" t="s">
        <v>2549</v>
      </c>
      <c r="K242" t="s">
        <v>1279</v>
      </c>
      <c r="L242">
        <f t="shared" si="36"/>
        <v>1</v>
      </c>
      <c r="M242">
        <f t="shared" si="37"/>
        <v>0.05</v>
      </c>
    </row>
    <row r="243" spans="3:13" x14ac:dyDescent="0.25">
      <c r="C243" s="12" t="str">
        <f t="shared" ref="C243:C248" si="44">C242</f>
        <v>CN107413376</v>
      </c>
      <c r="D243" s="12" t="s">
        <v>2622</v>
      </c>
      <c r="E243" t="str">
        <f t="shared" si="35"/>
        <v>B01J</v>
      </c>
      <c r="H243" t="s">
        <v>566</v>
      </c>
      <c r="I243" t="s">
        <v>2551</v>
      </c>
      <c r="K243" t="s">
        <v>1286</v>
      </c>
      <c r="L243">
        <f t="shared" si="36"/>
        <v>3</v>
      </c>
      <c r="M243">
        <f t="shared" si="37"/>
        <v>0.6</v>
      </c>
    </row>
    <row r="244" spans="3:13" x14ac:dyDescent="0.25">
      <c r="C244" s="12" t="str">
        <f t="shared" si="44"/>
        <v>CN107413376</v>
      </c>
      <c r="D244" s="12" t="s">
        <v>2623</v>
      </c>
      <c r="E244" t="str">
        <f t="shared" si="35"/>
        <v>B01J</v>
      </c>
      <c r="H244" t="s">
        <v>571</v>
      </c>
      <c r="I244" t="s">
        <v>2549</v>
      </c>
      <c r="K244" t="s">
        <v>1294</v>
      </c>
      <c r="L244">
        <f t="shared" si="36"/>
        <v>4</v>
      </c>
      <c r="M244">
        <f t="shared" si="37"/>
        <v>0.85</v>
      </c>
    </row>
    <row r="245" spans="3:13" x14ac:dyDescent="0.25">
      <c r="C245" s="12" t="str">
        <f t="shared" si="44"/>
        <v>CN107413376</v>
      </c>
      <c r="D245" s="12" t="s">
        <v>1498</v>
      </c>
      <c r="E245" t="str">
        <f t="shared" si="35"/>
        <v>C07C</v>
      </c>
      <c r="H245" t="s">
        <v>571</v>
      </c>
      <c r="I245" t="s">
        <v>2551</v>
      </c>
      <c r="K245" t="s">
        <v>1302</v>
      </c>
      <c r="L245">
        <f t="shared" si="36"/>
        <v>4</v>
      </c>
      <c r="M245">
        <f t="shared" si="37"/>
        <v>0.85</v>
      </c>
    </row>
    <row r="246" spans="3:13" x14ac:dyDescent="0.25">
      <c r="C246" s="12" t="str">
        <f t="shared" si="44"/>
        <v>CN107413376</v>
      </c>
      <c r="D246" s="12" t="s">
        <v>2624</v>
      </c>
      <c r="E246" t="str">
        <f t="shared" si="35"/>
        <v>C07C</v>
      </c>
      <c r="H246" t="s">
        <v>573</v>
      </c>
      <c r="I246" t="s">
        <v>2549</v>
      </c>
      <c r="K246" t="s">
        <v>1307</v>
      </c>
      <c r="L246">
        <f t="shared" si="36"/>
        <v>4</v>
      </c>
      <c r="M246">
        <f t="shared" si="37"/>
        <v>0.85</v>
      </c>
    </row>
    <row r="247" spans="3:13" x14ac:dyDescent="0.25">
      <c r="C247" s="12" t="str">
        <f t="shared" si="44"/>
        <v>CN107413376</v>
      </c>
      <c r="D247" s="12" t="s">
        <v>1021</v>
      </c>
      <c r="E247" t="str">
        <f t="shared" si="35"/>
        <v>C07C</v>
      </c>
      <c r="H247" t="s">
        <v>573</v>
      </c>
      <c r="I247" t="s">
        <v>2551</v>
      </c>
      <c r="K247" t="s">
        <v>1310</v>
      </c>
      <c r="L247">
        <f t="shared" si="36"/>
        <v>4</v>
      </c>
      <c r="M247">
        <f t="shared" si="37"/>
        <v>0.85</v>
      </c>
    </row>
    <row r="248" spans="3:13" x14ac:dyDescent="0.25">
      <c r="C248" s="12" t="str">
        <f t="shared" si="44"/>
        <v>CN107413376</v>
      </c>
      <c r="D248" s="12" t="s">
        <v>54</v>
      </c>
      <c r="E248" t="str">
        <f t="shared" si="35"/>
        <v>C10G</v>
      </c>
      <c r="H248" t="s">
        <v>575</v>
      </c>
      <c r="I248" t="s">
        <v>2549</v>
      </c>
      <c r="K248" t="s">
        <v>1316</v>
      </c>
      <c r="L248">
        <f t="shared" si="36"/>
        <v>2</v>
      </c>
      <c r="M248">
        <f t="shared" si="37"/>
        <v>0.2</v>
      </c>
    </row>
    <row r="249" spans="3:13" ht="30" x14ac:dyDescent="0.25">
      <c r="C249" s="12" t="s">
        <v>233</v>
      </c>
      <c r="D249" s="12" t="s">
        <v>2625</v>
      </c>
      <c r="E249" t="str">
        <f t="shared" si="35"/>
        <v>B01J</v>
      </c>
      <c r="H249" t="s">
        <v>575</v>
      </c>
      <c r="I249" t="s">
        <v>2551</v>
      </c>
      <c r="K249" t="s">
        <v>1322</v>
      </c>
      <c r="L249">
        <f t="shared" si="36"/>
        <v>3</v>
      </c>
      <c r="M249">
        <f t="shared" si="37"/>
        <v>0.6</v>
      </c>
    </row>
    <row r="250" spans="3:13" ht="30" x14ac:dyDescent="0.25">
      <c r="C250" s="12" t="str">
        <f t="shared" ref="C250:C254" si="45">C249</f>
        <v>WO2017205243</v>
      </c>
      <c r="D250" s="12" t="s">
        <v>2626</v>
      </c>
      <c r="E250" t="str">
        <f t="shared" si="35"/>
        <v>B01J</v>
      </c>
      <c r="H250" t="s">
        <v>579</v>
      </c>
      <c r="I250" t="s">
        <v>2549</v>
      </c>
      <c r="K250" t="s">
        <v>1330</v>
      </c>
      <c r="L250">
        <f t="shared" si="36"/>
        <v>4</v>
      </c>
      <c r="M250">
        <f t="shared" si="37"/>
        <v>0.85</v>
      </c>
    </row>
    <row r="251" spans="3:13" ht="30" x14ac:dyDescent="0.25">
      <c r="C251" s="12" t="str">
        <f t="shared" si="45"/>
        <v>WO2017205243</v>
      </c>
      <c r="D251" s="12" t="s">
        <v>2627</v>
      </c>
      <c r="E251" t="str">
        <f t="shared" si="35"/>
        <v>B01J</v>
      </c>
      <c r="H251" t="s">
        <v>579</v>
      </c>
      <c r="I251" t="s">
        <v>2551</v>
      </c>
      <c r="K251" t="s">
        <v>1337</v>
      </c>
      <c r="L251">
        <f t="shared" si="36"/>
        <v>3</v>
      </c>
      <c r="M251">
        <f t="shared" si="37"/>
        <v>0.6</v>
      </c>
    </row>
    <row r="252" spans="3:13" ht="30" x14ac:dyDescent="0.25">
      <c r="C252" s="12" t="str">
        <f t="shared" si="45"/>
        <v>WO2017205243</v>
      </c>
      <c r="D252" s="12" t="s">
        <v>2628</v>
      </c>
      <c r="E252" t="str">
        <f t="shared" si="35"/>
        <v>C01B</v>
      </c>
      <c r="H252" t="s">
        <v>583</v>
      </c>
      <c r="I252" t="s">
        <v>2549</v>
      </c>
      <c r="K252" t="s">
        <v>1344</v>
      </c>
      <c r="L252">
        <f t="shared" si="36"/>
        <v>4</v>
      </c>
      <c r="M252">
        <f t="shared" si="37"/>
        <v>0.85</v>
      </c>
    </row>
    <row r="253" spans="3:13" ht="30" x14ac:dyDescent="0.25">
      <c r="C253" s="12" t="str">
        <f t="shared" si="45"/>
        <v>WO2017205243</v>
      </c>
      <c r="D253" s="12" t="s">
        <v>2629</v>
      </c>
      <c r="E253" t="str">
        <f t="shared" si="35"/>
        <v>C10G</v>
      </c>
      <c r="H253" t="s">
        <v>583</v>
      </c>
      <c r="I253" t="s">
        <v>2551</v>
      </c>
      <c r="K253" t="s">
        <v>1349</v>
      </c>
      <c r="L253">
        <f t="shared" si="36"/>
        <v>2</v>
      </c>
      <c r="M253">
        <f t="shared" si="37"/>
        <v>0.2</v>
      </c>
    </row>
    <row r="254" spans="3:13" ht="30" x14ac:dyDescent="0.25">
      <c r="C254" s="12" t="str">
        <f t="shared" si="45"/>
        <v>WO2017205243</v>
      </c>
      <c r="D254" s="12" t="s">
        <v>54</v>
      </c>
      <c r="E254" t="str">
        <f t="shared" si="35"/>
        <v>C10G</v>
      </c>
      <c r="H254" t="s">
        <v>587</v>
      </c>
      <c r="I254" t="s">
        <v>2549</v>
      </c>
      <c r="K254" t="s">
        <v>1358</v>
      </c>
      <c r="L254">
        <f t="shared" si="36"/>
        <v>3</v>
      </c>
      <c r="M254">
        <f t="shared" si="37"/>
        <v>0.6</v>
      </c>
    </row>
    <row r="255" spans="3:13" ht="30" x14ac:dyDescent="0.25">
      <c r="C255" s="12" t="s">
        <v>240</v>
      </c>
      <c r="D255" s="12" t="s">
        <v>2630</v>
      </c>
      <c r="E255" t="str">
        <f t="shared" si="35"/>
        <v>B01J</v>
      </c>
      <c r="H255" t="s">
        <v>587</v>
      </c>
      <c r="I255" t="s">
        <v>2551</v>
      </c>
      <c r="K255" t="s">
        <v>1367</v>
      </c>
      <c r="L255">
        <f t="shared" si="36"/>
        <v>4</v>
      </c>
      <c r="M255">
        <f t="shared" si="37"/>
        <v>0.85</v>
      </c>
    </row>
    <row r="256" spans="3:13" ht="30" x14ac:dyDescent="0.25">
      <c r="C256" s="12" t="str">
        <f t="shared" ref="C256:C260" si="46">C255</f>
        <v>WO2017205112</v>
      </c>
      <c r="D256" s="12" t="s">
        <v>2577</v>
      </c>
      <c r="E256" t="str">
        <f t="shared" si="35"/>
        <v>B01J</v>
      </c>
      <c r="H256" t="s">
        <v>591</v>
      </c>
      <c r="I256" t="s">
        <v>2549</v>
      </c>
      <c r="K256" t="s">
        <v>1374</v>
      </c>
      <c r="L256">
        <f t="shared" si="36"/>
        <v>3</v>
      </c>
      <c r="M256">
        <f t="shared" si="37"/>
        <v>0.6</v>
      </c>
    </row>
    <row r="257" spans="3:13" ht="30" x14ac:dyDescent="0.25">
      <c r="C257" s="12" t="str">
        <f t="shared" si="46"/>
        <v>WO2017205112</v>
      </c>
      <c r="D257" s="12" t="s">
        <v>2627</v>
      </c>
      <c r="E257" t="str">
        <f t="shared" si="35"/>
        <v>B01J</v>
      </c>
      <c r="H257" t="s">
        <v>591</v>
      </c>
      <c r="I257" t="s">
        <v>2551</v>
      </c>
      <c r="K257" t="s">
        <v>1382</v>
      </c>
      <c r="L257">
        <f t="shared" si="36"/>
        <v>3</v>
      </c>
      <c r="M257">
        <f t="shared" si="37"/>
        <v>0.6</v>
      </c>
    </row>
    <row r="258" spans="3:13" ht="30" x14ac:dyDescent="0.25">
      <c r="C258" s="12" t="str">
        <f t="shared" si="46"/>
        <v>WO2017205112</v>
      </c>
      <c r="D258" s="12" t="s">
        <v>2628</v>
      </c>
      <c r="E258" t="str">
        <f t="shared" si="35"/>
        <v>C01B</v>
      </c>
      <c r="H258" t="s">
        <v>594</v>
      </c>
      <c r="I258" t="s">
        <v>2549</v>
      </c>
      <c r="K258" t="s">
        <v>1390</v>
      </c>
      <c r="L258">
        <f t="shared" si="36"/>
        <v>2</v>
      </c>
      <c r="M258">
        <f t="shared" si="37"/>
        <v>0.2</v>
      </c>
    </row>
    <row r="259" spans="3:13" ht="30" x14ac:dyDescent="0.25">
      <c r="C259" s="12" t="str">
        <f t="shared" si="46"/>
        <v>WO2017205112</v>
      </c>
      <c r="D259" s="12" t="s">
        <v>2629</v>
      </c>
      <c r="E259" t="str">
        <f t="shared" si="35"/>
        <v>C10G</v>
      </c>
      <c r="H259" t="s">
        <v>594</v>
      </c>
      <c r="I259" t="s">
        <v>2551</v>
      </c>
    </row>
    <row r="260" spans="3:13" ht="30" x14ac:dyDescent="0.25">
      <c r="C260" s="12" t="str">
        <f t="shared" si="46"/>
        <v>WO2017205112</v>
      </c>
      <c r="D260" s="12" t="s">
        <v>54</v>
      </c>
      <c r="E260" t="str">
        <f t="shared" si="35"/>
        <v>C10G</v>
      </c>
      <c r="H260" t="s">
        <v>598</v>
      </c>
      <c r="I260" t="s">
        <v>2549</v>
      </c>
    </row>
    <row r="261" spans="3:13" ht="30" x14ac:dyDescent="0.25">
      <c r="C261" s="12" t="s">
        <v>245</v>
      </c>
      <c r="D261" s="12" t="s">
        <v>2630</v>
      </c>
      <c r="E261" t="str">
        <f t="shared" ref="E261:E324" si="47">LEFT(D261,4)</f>
        <v>B01J</v>
      </c>
      <c r="H261" t="s">
        <v>598</v>
      </c>
      <c r="I261" t="s">
        <v>2551</v>
      </c>
    </row>
    <row r="262" spans="3:13" ht="30" x14ac:dyDescent="0.25">
      <c r="C262" s="12" t="str">
        <f t="shared" ref="C262:C266" si="48">C261</f>
        <v>WO2017205023</v>
      </c>
      <c r="D262" s="12" t="s">
        <v>2577</v>
      </c>
      <c r="E262" t="str">
        <f t="shared" si="47"/>
        <v>B01J</v>
      </c>
      <c r="H262" t="s">
        <v>602</v>
      </c>
      <c r="I262" t="s">
        <v>2549</v>
      </c>
    </row>
    <row r="263" spans="3:13" ht="30" x14ac:dyDescent="0.25">
      <c r="C263" s="12" t="str">
        <f t="shared" si="48"/>
        <v>WO2017205023</v>
      </c>
      <c r="D263" s="12" t="s">
        <v>2627</v>
      </c>
      <c r="E263" t="str">
        <f t="shared" si="47"/>
        <v>B01J</v>
      </c>
      <c r="H263" t="s">
        <v>602</v>
      </c>
      <c r="I263" t="s">
        <v>2551</v>
      </c>
    </row>
    <row r="264" spans="3:13" ht="30" x14ac:dyDescent="0.25">
      <c r="C264" s="12" t="str">
        <f t="shared" si="48"/>
        <v>WO2017205023</v>
      </c>
      <c r="D264" s="12" t="s">
        <v>2628</v>
      </c>
      <c r="E264" t="str">
        <f t="shared" si="47"/>
        <v>C01B</v>
      </c>
      <c r="H264" t="s">
        <v>606</v>
      </c>
      <c r="I264" t="s">
        <v>2549</v>
      </c>
    </row>
    <row r="265" spans="3:13" ht="30" x14ac:dyDescent="0.25">
      <c r="C265" s="12" t="str">
        <f t="shared" si="48"/>
        <v>WO2017205023</v>
      </c>
      <c r="D265" s="12" t="s">
        <v>2629</v>
      </c>
      <c r="E265" t="str">
        <f t="shared" si="47"/>
        <v>C10G</v>
      </c>
      <c r="H265" t="s">
        <v>606</v>
      </c>
      <c r="I265" t="s">
        <v>2551</v>
      </c>
    </row>
    <row r="266" spans="3:13" ht="30" x14ac:dyDescent="0.25">
      <c r="C266" s="12" t="str">
        <f t="shared" si="48"/>
        <v>WO2017205023</v>
      </c>
      <c r="D266" s="12" t="s">
        <v>54</v>
      </c>
      <c r="E266" t="str">
        <f t="shared" si="47"/>
        <v>C10G</v>
      </c>
      <c r="H266" t="s">
        <v>609</v>
      </c>
      <c r="I266" t="s">
        <v>2549</v>
      </c>
    </row>
    <row r="267" spans="3:13" x14ac:dyDescent="0.25">
      <c r="C267" s="12" t="s">
        <v>248</v>
      </c>
      <c r="D267" s="12" t="s">
        <v>2558</v>
      </c>
      <c r="E267" t="str">
        <f t="shared" si="47"/>
        <v>B01J</v>
      </c>
      <c r="H267" t="s">
        <v>609</v>
      </c>
      <c r="I267" t="s">
        <v>2551</v>
      </c>
    </row>
    <row r="268" spans="3:13" x14ac:dyDescent="0.25">
      <c r="C268" s="12" t="str">
        <f t="shared" ref="C268:C271" si="49">C267</f>
        <v>CN107398294</v>
      </c>
      <c r="D268" s="12" t="s">
        <v>1498</v>
      </c>
      <c r="E268" t="str">
        <f t="shared" si="47"/>
        <v>C07C</v>
      </c>
      <c r="H268" t="s">
        <v>612</v>
      </c>
      <c r="I268" t="s">
        <v>2549</v>
      </c>
    </row>
    <row r="269" spans="3:13" x14ac:dyDescent="0.25">
      <c r="C269" s="12" t="str">
        <f t="shared" si="49"/>
        <v>CN107398294</v>
      </c>
      <c r="D269" s="12" t="s">
        <v>2566</v>
      </c>
      <c r="E269" t="str">
        <f t="shared" si="47"/>
        <v>C07C</v>
      </c>
      <c r="H269" t="s">
        <v>612</v>
      </c>
      <c r="I269" t="s">
        <v>2551</v>
      </c>
    </row>
    <row r="270" spans="3:13" x14ac:dyDescent="0.25">
      <c r="C270" s="12" t="str">
        <f t="shared" si="49"/>
        <v>CN107398294</v>
      </c>
      <c r="D270" s="12" t="s">
        <v>2567</v>
      </c>
      <c r="E270" t="str">
        <f t="shared" si="47"/>
        <v>C07C</v>
      </c>
      <c r="H270" t="s">
        <v>615</v>
      </c>
      <c r="I270" t="s">
        <v>2549</v>
      </c>
    </row>
    <row r="271" spans="3:13" x14ac:dyDescent="0.25">
      <c r="C271" s="12" t="str">
        <f t="shared" si="49"/>
        <v>CN107398294</v>
      </c>
      <c r="D271" s="12" t="s">
        <v>1021</v>
      </c>
      <c r="E271" t="str">
        <f t="shared" si="47"/>
        <v>C07C</v>
      </c>
      <c r="H271" t="s">
        <v>615</v>
      </c>
      <c r="I271" t="s">
        <v>2551</v>
      </c>
    </row>
    <row r="272" spans="3:13" ht="30" x14ac:dyDescent="0.25">
      <c r="C272" s="12" t="s">
        <v>254</v>
      </c>
      <c r="D272" s="12" t="s">
        <v>2631</v>
      </c>
      <c r="E272" t="str">
        <f t="shared" si="47"/>
        <v>B01J</v>
      </c>
      <c r="H272" t="s">
        <v>618</v>
      </c>
      <c r="I272" t="s">
        <v>2549</v>
      </c>
    </row>
    <row r="273" spans="3:9" ht="30" x14ac:dyDescent="0.25">
      <c r="C273" s="12" t="str">
        <f t="shared" ref="C273:C285" si="50">C272</f>
        <v>US20170341064</v>
      </c>
      <c r="D273" s="12" t="s">
        <v>2632</v>
      </c>
      <c r="E273" t="str">
        <f t="shared" si="47"/>
        <v>B01J</v>
      </c>
      <c r="H273" t="s">
        <v>618</v>
      </c>
      <c r="I273" t="s">
        <v>2551</v>
      </c>
    </row>
    <row r="274" spans="3:9" ht="30" x14ac:dyDescent="0.25">
      <c r="C274" s="12" t="str">
        <f t="shared" si="50"/>
        <v>US20170341064</v>
      </c>
      <c r="D274" s="12" t="s">
        <v>2625</v>
      </c>
      <c r="E274" t="str">
        <f t="shared" si="47"/>
        <v>B01J</v>
      </c>
      <c r="H274" t="s">
        <v>622</v>
      </c>
      <c r="I274" t="s">
        <v>2551</v>
      </c>
    </row>
    <row r="275" spans="3:9" ht="30" x14ac:dyDescent="0.25">
      <c r="C275" s="12" t="str">
        <f t="shared" si="50"/>
        <v>US20170341064</v>
      </c>
      <c r="D275" s="12" t="s">
        <v>2626</v>
      </c>
      <c r="E275" t="str">
        <f t="shared" si="47"/>
        <v>B01J</v>
      </c>
      <c r="H275" t="s">
        <v>629</v>
      </c>
      <c r="I275" t="s">
        <v>2549</v>
      </c>
    </row>
    <row r="276" spans="3:9" ht="30" x14ac:dyDescent="0.25">
      <c r="C276" s="12" t="str">
        <f t="shared" si="50"/>
        <v>US20170341064</v>
      </c>
      <c r="D276" s="12" t="s">
        <v>2627</v>
      </c>
      <c r="E276" t="str">
        <f t="shared" si="47"/>
        <v>B01J</v>
      </c>
      <c r="H276" t="s">
        <v>629</v>
      </c>
      <c r="I276" t="s">
        <v>2572</v>
      </c>
    </row>
    <row r="277" spans="3:9" ht="30" x14ac:dyDescent="0.25">
      <c r="C277" s="12" t="str">
        <f t="shared" si="50"/>
        <v>US20170341064</v>
      </c>
      <c r="D277" s="12" t="s">
        <v>2633</v>
      </c>
      <c r="E277" t="str">
        <f t="shared" si="47"/>
        <v>B01J</v>
      </c>
      <c r="H277" t="s">
        <v>629</v>
      </c>
      <c r="I277" t="s">
        <v>2551</v>
      </c>
    </row>
    <row r="278" spans="3:9" ht="30" x14ac:dyDescent="0.25">
      <c r="C278" s="12" t="str">
        <f t="shared" si="50"/>
        <v>US20170341064</v>
      </c>
      <c r="D278" s="12" t="s">
        <v>2545</v>
      </c>
      <c r="E278" t="str">
        <f t="shared" si="47"/>
        <v>B01J</v>
      </c>
      <c r="H278" t="s">
        <v>629</v>
      </c>
      <c r="I278" t="s">
        <v>2552</v>
      </c>
    </row>
    <row r="279" spans="3:9" ht="30" x14ac:dyDescent="0.25">
      <c r="C279" s="12" t="str">
        <f t="shared" si="50"/>
        <v>US20170341064</v>
      </c>
      <c r="D279" s="12" t="s">
        <v>2634</v>
      </c>
      <c r="E279" t="str">
        <f t="shared" si="47"/>
        <v>B01J</v>
      </c>
      <c r="H279" t="s">
        <v>635</v>
      </c>
      <c r="I279" t="s">
        <v>2551</v>
      </c>
    </row>
    <row r="280" spans="3:9" ht="30" x14ac:dyDescent="0.25">
      <c r="C280" s="12" t="str">
        <f t="shared" si="50"/>
        <v>US20170341064</v>
      </c>
      <c r="D280" s="12" t="s">
        <v>2635</v>
      </c>
      <c r="E280" t="str">
        <f t="shared" si="47"/>
        <v>B01J</v>
      </c>
      <c r="H280" t="s">
        <v>639</v>
      </c>
      <c r="I280" t="s">
        <v>2549</v>
      </c>
    </row>
    <row r="281" spans="3:9" ht="30" x14ac:dyDescent="0.25">
      <c r="C281" s="12" t="str">
        <f t="shared" si="50"/>
        <v>US20170341064</v>
      </c>
      <c r="D281" s="12" t="s">
        <v>2636</v>
      </c>
      <c r="E281" t="str">
        <f t="shared" si="47"/>
        <v>B01J</v>
      </c>
      <c r="H281" t="s">
        <v>639</v>
      </c>
      <c r="I281" t="s">
        <v>2551</v>
      </c>
    </row>
    <row r="282" spans="3:9" ht="30" x14ac:dyDescent="0.25">
      <c r="C282" s="12" t="str">
        <f t="shared" si="50"/>
        <v>US20170341064</v>
      </c>
      <c r="D282" s="12" t="s">
        <v>2637</v>
      </c>
      <c r="E282" t="str">
        <f t="shared" si="47"/>
        <v>B01J</v>
      </c>
      <c r="H282" t="s">
        <v>644</v>
      </c>
      <c r="I282" t="s">
        <v>2549</v>
      </c>
    </row>
    <row r="283" spans="3:9" ht="30" x14ac:dyDescent="0.25">
      <c r="C283" s="12" t="str">
        <f t="shared" si="50"/>
        <v>US20170341064</v>
      </c>
      <c r="D283" s="12" t="s">
        <v>2628</v>
      </c>
      <c r="E283" t="str">
        <f t="shared" si="47"/>
        <v>C01B</v>
      </c>
      <c r="H283" t="s">
        <v>644</v>
      </c>
      <c r="I283" t="s">
        <v>2551</v>
      </c>
    </row>
    <row r="284" spans="3:9" ht="30" x14ac:dyDescent="0.25">
      <c r="C284" s="12" t="str">
        <f t="shared" si="50"/>
        <v>US20170341064</v>
      </c>
      <c r="D284" s="12" t="s">
        <v>2629</v>
      </c>
      <c r="E284" t="str">
        <f t="shared" si="47"/>
        <v>C10G</v>
      </c>
      <c r="H284" t="s">
        <v>648</v>
      </c>
      <c r="I284" t="s">
        <v>2549</v>
      </c>
    </row>
    <row r="285" spans="3:9" ht="30" x14ac:dyDescent="0.25">
      <c r="C285" s="12" t="str">
        <f t="shared" si="50"/>
        <v>US20170341064</v>
      </c>
      <c r="D285" s="12" t="s">
        <v>54</v>
      </c>
      <c r="E285" t="str">
        <f t="shared" si="47"/>
        <v>C10G</v>
      </c>
      <c r="H285" t="s">
        <v>648</v>
      </c>
      <c r="I285" t="s">
        <v>2848</v>
      </c>
    </row>
    <row r="286" spans="3:9" ht="30" x14ac:dyDescent="0.25">
      <c r="C286" s="12" t="s">
        <v>260</v>
      </c>
      <c r="D286" s="12" t="s">
        <v>2638</v>
      </c>
      <c r="E286" t="str">
        <f t="shared" si="47"/>
        <v>B01J</v>
      </c>
      <c r="H286" t="s">
        <v>648</v>
      </c>
      <c r="I286" t="s">
        <v>2551</v>
      </c>
    </row>
    <row r="287" spans="3:9" ht="30" x14ac:dyDescent="0.25">
      <c r="C287" s="12" t="str">
        <f t="shared" ref="C287:C296" si="51">C286</f>
        <v>WO2017187873</v>
      </c>
      <c r="D287" s="12" t="s">
        <v>2639</v>
      </c>
      <c r="E287" t="str">
        <f t="shared" si="47"/>
        <v>B01J</v>
      </c>
      <c r="H287" t="s">
        <v>648</v>
      </c>
      <c r="I287" t="s">
        <v>2552</v>
      </c>
    </row>
    <row r="288" spans="3:9" ht="30" x14ac:dyDescent="0.25">
      <c r="C288" s="12" t="str">
        <f t="shared" si="51"/>
        <v>WO2017187873</v>
      </c>
      <c r="D288" s="12" t="s">
        <v>2558</v>
      </c>
      <c r="E288" t="str">
        <f t="shared" si="47"/>
        <v>B01J</v>
      </c>
      <c r="H288" t="s">
        <v>654</v>
      </c>
      <c r="I288" t="s">
        <v>2549</v>
      </c>
    </row>
    <row r="289" spans="3:9" ht="30" x14ac:dyDescent="0.25">
      <c r="C289" s="12" t="str">
        <f t="shared" si="51"/>
        <v>WO2017187873</v>
      </c>
      <c r="D289" s="12" t="s">
        <v>2640</v>
      </c>
      <c r="E289" t="str">
        <f t="shared" si="47"/>
        <v>C07B</v>
      </c>
      <c r="H289" t="s">
        <v>654</v>
      </c>
      <c r="I289" t="s">
        <v>2551</v>
      </c>
    </row>
    <row r="290" spans="3:9" ht="30" x14ac:dyDescent="0.25">
      <c r="C290" s="12" t="str">
        <f t="shared" si="51"/>
        <v>WO2017187873</v>
      </c>
      <c r="D290" s="12" t="s">
        <v>1466</v>
      </c>
      <c r="E290" t="str">
        <f t="shared" si="47"/>
        <v>C07C</v>
      </c>
      <c r="H290" t="s">
        <v>654</v>
      </c>
      <c r="I290" t="s">
        <v>2552</v>
      </c>
    </row>
    <row r="291" spans="3:9" ht="30" x14ac:dyDescent="0.25">
      <c r="C291" s="12" t="str">
        <f t="shared" si="51"/>
        <v>WO2017187873</v>
      </c>
      <c r="D291" s="12" t="s">
        <v>2641</v>
      </c>
      <c r="E291" t="str">
        <f t="shared" si="47"/>
        <v>C07C</v>
      </c>
      <c r="H291" t="s">
        <v>659</v>
      </c>
      <c r="I291" t="s">
        <v>2551</v>
      </c>
    </row>
    <row r="292" spans="3:9" ht="30" x14ac:dyDescent="0.25">
      <c r="C292" s="12" t="str">
        <f t="shared" si="51"/>
        <v>WO2017187873</v>
      </c>
      <c r="D292" s="12" t="s">
        <v>2566</v>
      </c>
      <c r="E292" t="str">
        <f t="shared" si="47"/>
        <v>C07C</v>
      </c>
      <c r="H292" t="s">
        <v>665</v>
      </c>
      <c r="I292" t="s">
        <v>2549</v>
      </c>
    </row>
    <row r="293" spans="3:9" ht="30" x14ac:dyDescent="0.25">
      <c r="C293" s="12" t="str">
        <f t="shared" si="51"/>
        <v>WO2017187873</v>
      </c>
      <c r="D293" s="12" t="s">
        <v>2613</v>
      </c>
      <c r="E293" t="str">
        <f t="shared" si="47"/>
        <v>C07C</v>
      </c>
      <c r="H293" t="s">
        <v>665</v>
      </c>
      <c r="I293" t="s">
        <v>2551</v>
      </c>
    </row>
    <row r="294" spans="3:9" ht="30" x14ac:dyDescent="0.25">
      <c r="C294" s="12" t="str">
        <f t="shared" si="51"/>
        <v>WO2017187873</v>
      </c>
      <c r="D294" s="12" t="s">
        <v>2567</v>
      </c>
      <c r="E294" t="str">
        <f t="shared" si="47"/>
        <v>C07C</v>
      </c>
      <c r="H294" t="s">
        <v>665</v>
      </c>
      <c r="I294" t="s">
        <v>2552</v>
      </c>
    </row>
    <row r="295" spans="3:9" ht="30" x14ac:dyDescent="0.25">
      <c r="C295" s="12" t="str">
        <f t="shared" si="51"/>
        <v>WO2017187873</v>
      </c>
      <c r="D295" s="12" t="s">
        <v>2624</v>
      </c>
      <c r="E295" t="str">
        <f t="shared" si="47"/>
        <v>C07C</v>
      </c>
      <c r="H295" t="s">
        <v>672</v>
      </c>
      <c r="I295" t="s">
        <v>2549</v>
      </c>
    </row>
    <row r="296" spans="3:9" ht="30" x14ac:dyDescent="0.25">
      <c r="C296" s="12" t="str">
        <f t="shared" si="51"/>
        <v>WO2017187873</v>
      </c>
      <c r="D296" s="12" t="s">
        <v>2642</v>
      </c>
      <c r="E296" t="str">
        <f t="shared" si="47"/>
        <v>C07C</v>
      </c>
      <c r="H296" t="s">
        <v>672</v>
      </c>
      <c r="I296" t="s">
        <v>2552</v>
      </c>
    </row>
    <row r="297" spans="3:9" x14ac:dyDescent="0.25">
      <c r="C297" s="12" t="s">
        <v>266</v>
      </c>
      <c r="D297" s="12" t="s">
        <v>225</v>
      </c>
      <c r="E297" t="str">
        <f t="shared" si="47"/>
        <v>C10G</v>
      </c>
      <c r="H297" t="s">
        <v>676</v>
      </c>
      <c r="I297" t="s">
        <v>2552</v>
      </c>
    </row>
    <row r="298" spans="3:9" x14ac:dyDescent="0.25">
      <c r="C298" s="12" t="str">
        <f>C297</f>
        <v>CN206570276</v>
      </c>
      <c r="D298" s="12" t="s">
        <v>1420</v>
      </c>
      <c r="E298" t="str">
        <f t="shared" si="47"/>
        <v>C10G</v>
      </c>
      <c r="H298" t="s">
        <v>681</v>
      </c>
      <c r="I298" t="s">
        <v>2549</v>
      </c>
    </row>
    <row r="299" spans="3:9" x14ac:dyDescent="0.25">
      <c r="C299" s="12" t="s">
        <v>271</v>
      </c>
      <c r="D299" s="12" t="s">
        <v>2574</v>
      </c>
      <c r="E299" t="str">
        <f t="shared" si="47"/>
        <v>B01J</v>
      </c>
      <c r="H299" t="s">
        <v>681</v>
      </c>
      <c r="I299" t="s">
        <v>2551</v>
      </c>
    </row>
    <row r="300" spans="3:9" x14ac:dyDescent="0.25">
      <c r="C300" s="12" t="str">
        <f t="shared" ref="C300:C306" si="52">C299</f>
        <v>CN107262142</v>
      </c>
      <c r="D300" s="12" t="s">
        <v>1466</v>
      </c>
      <c r="E300" t="str">
        <f t="shared" si="47"/>
        <v>C07C</v>
      </c>
      <c r="H300" t="s">
        <v>687</v>
      </c>
      <c r="I300" t="s">
        <v>2549</v>
      </c>
    </row>
    <row r="301" spans="3:9" x14ac:dyDescent="0.25">
      <c r="C301" s="12" t="str">
        <f t="shared" si="52"/>
        <v>CN107262142</v>
      </c>
      <c r="D301" s="12" t="s">
        <v>2613</v>
      </c>
      <c r="E301" t="str">
        <f t="shared" si="47"/>
        <v>C07C</v>
      </c>
      <c r="H301" t="s">
        <v>687</v>
      </c>
      <c r="I301" t="s">
        <v>2551</v>
      </c>
    </row>
    <row r="302" spans="3:9" x14ac:dyDescent="0.25">
      <c r="C302" s="12" t="str">
        <f t="shared" si="52"/>
        <v>CN107262142</v>
      </c>
      <c r="D302" s="12" t="s">
        <v>2567</v>
      </c>
      <c r="E302" t="str">
        <f t="shared" si="47"/>
        <v>C07C</v>
      </c>
      <c r="H302" t="s">
        <v>687</v>
      </c>
      <c r="I302" t="s">
        <v>2552</v>
      </c>
    </row>
    <row r="303" spans="3:9" x14ac:dyDescent="0.25">
      <c r="C303" s="12" t="str">
        <f t="shared" si="52"/>
        <v>CN107262142</v>
      </c>
      <c r="D303" s="12" t="s">
        <v>1021</v>
      </c>
      <c r="E303" t="str">
        <f t="shared" si="47"/>
        <v>C07C</v>
      </c>
      <c r="H303" t="s">
        <v>687</v>
      </c>
      <c r="I303" t="s">
        <v>2849</v>
      </c>
    </row>
    <row r="304" spans="3:9" x14ac:dyDescent="0.25">
      <c r="C304" s="12" t="str">
        <f t="shared" si="52"/>
        <v>CN107262142</v>
      </c>
      <c r="D304" s="12" t="s">
        <v>2643</v>
      </c>
      <c r="E304" t="str">
        <f t="shared" si="47"/>
        <v>C07C</v>
      </c>
      <c r="H304" t="s">
        <v>694</v>
      </c>
      <c r="I304" t="s">
        <v>2551</v>
      </c>
    </row>
    <row r="305" spans="3:9" x14ac:dyDescent="0.25">
      <c r="C305" s="12" t="str">
        <f t="shared" si="52"/>
        <v>CN107262142</v>
      </c>
      <c r="D305" s="12" t="s">
        <v>2644</v>
      </c>
      <c r="E305" t="str">
        <f t="shared" si="47"/>
        <v>C07C</v>
      </c>
      <c r="H305" t="s">
        <v>700</v>
      </c>
      <c r="I305" t="s">
        <v>2549</v>
      </c>
    </row>
    <row r="306" spans="3:9" x14ac:dyDescent="0.25">
      <c r="C306" s="12" t="str">
        <f t="shared" si="52"/>
        <v>CN107262142</v>
      </c>
      <c r="D306" s="12" t="s">
        <v>2565</v>
      </c>
      <c r="E306" t="str">
        <f t="shared" si="47"/>
        <v>C07C</v>
      </c>
      <c r="H306" t="s">
        <v>700</v>
      </c>
      <c r="I306" t="s">
        <v>2551</v>
      </c>
    </row>
    <row r="307" spans="3:9" x14ac:dyDescent="0.25">
      <c r="C307" s="12" t="s">
        <v>276</v>
      </c>
      <c r="D307" s="12" t="s">
        <v>2558</v>
      </c>
      <c r="E307" t="str">
        <f t="shared" si="47"/>
        <v>B01J</v>
      </c>
      <c r="H307" t="s">
        <v>705</v>
      </c>
      <c r="I307" t="s">
        <v>2552</v>
      </c>
    </row>
    <row r="308" spans="3:9" x14ac:dyDescent="0.25">
      <c r="C308" s="12" t="str">
        <f t="shared" ref="C308:C313" si="53">C307</f>
        <v>CN107243359</v>
      </c>
      <c r="D308" s="12" t="s">
        <v>2563</v>
      </c>
      <c r="E308" t="str">
        <f t="shared" si="47"/>
        <v>B01J</v>
      </c>
      <c r="H308" t="s">
        <v>709</v>
      </c>
      <c r="I308" t="s">
        <v>2551</v>
      </c>
    </row>
    <row r="309" spans="3:9" x14ac:dyDescent="0.25">
      <c r="C309" s="12" t="str">
        <f t="shared" si="53"/>
        <v>CN107243359</v>
      </c>
      <c r="D309" s="12" t="s">
        <v>2574</v>
      </c>
      <c r="E309" t="str">
        <f t="shared" si="47"/>
        <v>B01J</v>
      </c>
      <c r="H309" t="s">
        <v>714</v>
      </c>
      <c r="I309" t="s">
        <v>2549</v>
      </c>
    </row>
    <row r="310" spans="3:9" x14ac:dyDescent="0.25">
      <c r="C310" s="12" t="str">
        <f t="shared" si="53"/>
        <v>CN107243359</v>
      </c>
      <c r="D310" s="12" t="s">
        <v>1466</v>
      </c>
      <c r="E310" t="str">
        <f t="shared" si="47"/>
        <v>C07C</v>
      </c>
      <c r="H310" t="s">
        <v>714</v>
      </c>
      <c r="I310" t="s">
        <v>2551</v>
      </c>
    </row>
    <row r="311" spans="3:9" x14ac:dyDescent="0.25">
      <c r="C311" s="12" t="str">
        <f t="shared" si="53"/>
        <v>CN107243359</v>
      </c>
      <c r="D311" s="12" t="s">
        <v>2613</v>
      </c>
      <c r="E311" t="str">
        <f t="shared" si="47"/>
        <v>C07C</v>
      </c>
      <c r="H311" t="s">
        <v>719</v>
      </c>
      <c r="I311" t="s">
        <v>2549</v>
      </c>
    </row>
    <row r="312" spans="3:9" x14ac:dyDescent="0.25">
      <c r="C312" s="12" t="str">
        <f t="shared" si="53"/>
        <v>CN107243359</v>
      </c>
      <c r="D312" s="12" t="s">
        <v>2567</v>
      </c>
      <c r="E312" t="str">
        <f t="shared" si="47"/>
        <v>C07C</v>
      </c>
      <c r="H312" t="s">
        <v>719</v>
      </c>
      <c r="I312" t="s">
        <v>2551</v>
      </c>
    </row>
    <row r="313" spans="3:9" x14ac:dyDescent="0.25">
      <c r="C313" s="12" t="str">
        <f t="shared" si="53"/>
        <v>CN107243359</v>
      </c>
      <c r="D313" s="12" t="s">
        <v>1021</v>
      </c>
      <c r="E313" t="str">
        <f t="shared" si="47"/>
        <v>C07C</v>
      </c>
      <c r="H313" t="s">
        <v>723</v>
      </c>
      <c r="I313" t="s">
        <v>2549</v>
      </c>
    </row>
    <row r="314" spans="3:9" x14ac:dyDescent="0.25">
      <c r="C314" s="12" t="s">
        <v>283</v>
      </c>
      <c r="D314" s="12" t="s">
        <v>2645</v>
      </c>
      <c r="E314" t="str">
        <f t="shared" si="47"/>
        <v>B01J</v>
      </c>
      <c r="H314" t="s">
        <v>723</v>
      </c>
      <c r="I314" t="s">
        <v>2551</v>
      </c>
    </row>
    <row r="315" spans="3:9" x14ac:dyDescent="0.25">
      <c r="C315" s="12" t="str">
        <f t="shared" ref="C315:C316" si="54">C314</f>
        <v>CA3016531</v>
      </c>
      <c r="D315" s="12" t="s">
        <v>2635</v>
      </c>
      <c r="E315" t="str">
        <f t="shared" si="47"/>
        <v>B01J</v>
      </c>
      <c r="H315" t="s">
        <v>729</v>
      </c>
      <c r="I315" t="s">
        <v>2549</v>
      </c>
    </row>
    <row r="316" spans="3:9" x14ac:dyDescent="0.25">
      <c r="C316" s="12" t="str">
        <f t="shared" si="54"/>
        <v>CA3016531</v>
      </c>
      <c r="D316" s="12" t="s">
        <v>54</v>
      </c>
      <c r="E316" t="str">
        <f t="shared" si="47"/>
        <v>C10G</v>
      </c>
      <c r="H316" t="s">
        <v>729</v>
      </c>
      <c r="I316" t="s">
        <v>2551</v>
      </c>
    </row>
    <row r="317" spans="3:9" ht="30" x14ac:dyDescent="0.25">
      <c r="C317" s="12" t="s">
        <v>291</v>
      </c>
      <c r="D317" s="12" t="s">
        <v>54</v>
      </c>
      <c r="E317" t="str">
        <f t="shared" si="47"/>
        <v>C10G</v>
      </c>
      <c r="H317" t="s">
        <v>737</v>
      </c>
      <c r="I317" t="s">
        <v>2846</v>
      </c>
    </row>
    <row r="318" spans="3:9" ht="30" x14ac:dyDescent="0.25">
      <c r="C318" s="12" t="s">
        <v>296</v>
      </c>
      <c r="D318" s="12" t="s">
        <v>2630</v>
      </c>
      <c r="E318" t="str">
        <f t="shared" si="47"/>
        <v>B01J</v>
      </c>
      <c r="H318" t="s">
        <v>737</v>
      </c>
      <c r="I318" t="s">
        <v>2549</v>
      </c>
    </row>
    <row r="319" spans="3:9" ht="30" x14ac:dyDescent="0.25">
      <c r="C319" s="12" t="str">
        <f t="shared" ref="C319:C324" si="55">C318</f>
        <v>US20170252734</v>
      </c>
      <c r="D319" s="12" t="s">
        <v>2577</v>
      </c>
      <c r="E319" t="str">
        <f t="shared" si="47"/>
        <v>B01J</v>
      </c>
      <c r="H319" t="s">
        <v>737</v>
      </c>
      <c r="I319" t="s">
        <v>2572</v>
      </c>
    </row>
    <row r="320" spans="3:9" ht="30" x14ac:dyDescent="0.25">
      <c r="C320" s="12" t="str">
        <f t="shared" si="55"/>
        <v>US20170252734</v>
      </c>
      <c r="D320" s="12" t="s">
        <v>2627</v>
      </c>
      <c r="E320" t="str">
        <f t="shared" si="47"/>
        <v>B01J</v>
      </c>
      <c r="H320" t="s">
        <v>737</v>
      </c>
      <c r="I320" t="s">
        <v>2551</v>
      </c>
    </row>
    <row r="321" spans="3:9" ht="30" x14ac:dyDescent="0.25">
      <c r="C321" s="12" t="str">
        <f t="shared" si="55"/>
        <v>US20170252734</v>
      </c>
      <c r="D321" s="12" t="s">
        <v>2546</v>
      </c>
      <c r="E321" t="str">
        <f t="shared" si="47"/>
        <v>B01J</v>
      </c>
      <c r="H321" t="s">
        <v>737</v>
      </c>
      <c r="I321" t="s">
        <v>2552</v>
      </c>
    </row>
    <row r="322" spans="3:9" ht="30" x14ac:dyDescent="0.25">
      <c r="C322" s="12" t="str">
        <f t="shared" si="55"/>
        <v>US20170252734</v>
      </c>
      <c r="D322" s="12" t="s">
        <v>2628</v>
      </c>
      <c r="E322" t="str">
        <f t="shared" si="47"/>
        <v>C01B</v>
      </c>
      <c r="H322" t="s">
        <v>745</v>
      </c>
      <c r="I322" t="s">
        <v>2572</v>
      </c>
    </row>
    <row r="323" spans="3:9" ht="30" x14ac:dyDescent="0.25">
      <c r="C323" s="12" t="str">
        <f t="shared" si="55"/>
        <v>US20170252734</v>
      </c>
      <c r="D323" s="12" t="s">
        <v>2629</v>
      </c>
      <c r="E323" t="str">
        <f t="shared" si="47"/>
        <v>C10G</v>
      </c>
      <c r="H323" t="s">
        <v>745</v>
      </c>
      <c r="I323" t="s">
        <v>2551</v>
      </c>
    </row>
    <row r="324" spans="3:9" ht="30" x14ac:dyDescent="0.25">
      <c r="C324" s="12" t="str">
        <f t="shared" si="55"/>
        <v>US20170252734</v>
      </c>
      <c r="D324" s="12" t="s">
        <v>54</v>
      </c>
      <c r="E324" t="str">
        <f t="shared" si="47"/>
        <v>C10G</v>
      </c>
      <c r="H324" t="s">
        <v>745</v>
      </c>
      <c r="I324" t="s">
        <v>2552</v>
      </c>
    </row>
    <row r="325" spans="3:9" ht="30" x14ac:dyDescent="0.25">
      <c r="C325" s="12" t="s">
        <v>302</v>
      </c>
      <c r="D325" s="12" t="s">
        <v>2630</v>
      </c>
      <c r="E325" t="str">
        <f t="shared" ref="E325:E388" si="56">LEFT(D325,4)</f>
        <v>B01J</v>
      </c>
      <c r="H325" t="s">
        <v>751</v>
      </c>
      <c r="I325" t="s">
        <v>2572</v>
      </c>
    </row>
    <row r="326" spans="3:9" ht="30" x14ac:dyDescent="0.25">
      <c r="C326" s="12" t="str">
        <f t="shared" ref="C326:C336" si="57">C325</f>
        <v>US20170252733</v>
      </c>
      <c r="D326" s="12" t="s">
        <v>2577</v>
      </c>
      <c r="E326" t="str">
        <f t="shared" si="56"/>
        <v>B01J</v>
      </c>
      <c r="H326" t="s">
        <v>751</v>
      </c>
      <c r="I326" t="s">
        <v>2551</v>
      </c>
    </row>
    <row r="327" spans="3:9" ht="30" x14ac:dyDescent="0.25">
      <c r="C327" s="12" t="str">
        <f t="shared" si="57"/>
        <v>US20170252733</v>
      </c>
      <c r="D327" s="12" t="s">
        <v>2627</v>
      </c>
      <c r="E327" t="str">
        <f t="shared" si="56"/>
        <v>B01J</v>
      </c>
      <c r="H327" t="s">
        <v>751</v>
      </c>
      <c r="I327" t="s">
        <v>2552</v>
      </c>
    </row>
    <row r="328" spans="3:9" ht="30" x14ac:dyDescent="0.25">
      <c r="C328" s="12" t="str">
        <f t="shared" si="57"/>
        <v>US20170252733</v>
      </c>
      <c r="D328" s="12" t="s">
        <v>2543</v>
      </c>
      <c r="E328" t="str">
        <f t="shared" si="56"/>
        <v>B01J</v>
      </c>
      <c r="H328" t="s">
        <v>756</v>
      </c>
      <c r="I328" t="s">
        <v>2549</v>
      </c>
    </row>
    <row r="329" spans="3:9" ht="30" x14ac:dyDescent="0.25">
      <c r="C329" s="12" t="str">
        <f t="shared" si="57"/>
        <v>US20170252733</v>
      </c>
      <c r="D329" s="12" t="s">
        <v>2633</v>
      </c>
      <c r="E329" t="str">
        <f t="shared" si="56"/>
        <v>B01J</v>
      </c>
      <c r="H329" t="s">
        <v>756</v>
      </c>
      <c r="I329" t="s">
        <v>2551</v>
      </c>
    </row>
    <row r="330" spans="3:9" ht="30" x14ac:dyDescent="0.25">
      <c r="C330" s="12" t="str">
        <f t="shared" si="57"/>
        <v>US20170252733</v>
      </c>
      <c r="D330" s="12" t="s">
        <v>2545</v>
      </c>
      <c r="E330" t="str">
        <f t="shared" si="56"/>
        <v>B01J</v>
      </c>
      <c r="H330" t="s">
        <v>760</v>
      </c>
      <c r="I330" t="s">
        <v>2551</v>
      </c>
    </row>
    <row r="331" spans="3:9" ht="30" x14ac:dyDescent="0.25">
      <c r="C331" s="12" t="str">
        <f t="shared" si="57"/>
        <v>US20170252733</v>
      </c>
      <c r="D331" s="12" t="s">
        <v>2634</v>
      </c>
      <c r="E331" t="str">
        <f t="shared" si="56"/>
        <v>B01J</v>
      </c>
      <c r="H331" t="s">
        <v>760</v>
      </c>
      <c r="I331" t="s">
        <v>2552</v>
      </c>
    </row>
    <row r="332" spans="3:9" ht="30" x14ac:dyDescent="0.25">
      <c r="C332" s="12" t="str">
        <f t="shared" si="57"/>
        <v>US20170252733</v>
      </c>
      <c r="D332" s="12" t="s">
        <v>2546</v>
      </c>
      <c r="E332" t="str">
        <f t="shared" si="56"/>
        <v>B01J</v>
      </c>
      <c r="H332" t="s">
        <v>767</v>
      </c>
      <c r="I332" t="s">
        <v>2549</v>
      </c>
    </row>
    <row r="333" spans="3:9" ht="30" x14ac:dyDescent="0.25">
      <c r="C333" s="12" t="str">
        <f t="shared" si="57"/>
        <v>US20170252733</v>
      </c>
      <c r="D333" s="12" t="s">
        <v>2646</v>
      </c>
      <c r="E333" t="str">
        <f t="shared" si="56"/>
        <v>B01J</v>
      </c>
      <c r="H333" t="s">
        <v>767</v>
      </c>
      <c r="I333" t="s">
        <v>2572</v>
      </c>
    </row>
    <row r="334" spans="3:9" ht="30" x14ac:dyDescent="0.25">
      <c r="C334" s="12" t="str">
        <f t="shared" si="57"/>
        <v>US20170252733</v>
      </c>
      <c r="D334" s="12" t="s">
        <v>2628</v>
      </c>
      <c r="E334" t="str">
        <f t="shared" si="56"/>
        <v>C01B</v>
      </c>
      <c r="H334" t="s">
        <v>767</v>
      </c>
      <c r="I334" t="s">
        <v>2551</v>
      </c>
    </row>
    <row r="335" spans="3:9" ht="30" x14ac:dyDescent="0.25">
      <c r="C335" s="12" t="str">
        <f t="shared" si="57"/>
        <v>US20170252733</v>
      </c>
      <c r="D335" s="12" t="s">
        <v>2629</v>
      </c>
      <c r="E335" t="str">
        <f t="shared" si="56"/>
        <v>C10G</v>
      </c>
      <c r="H335" t="s">
        <v>767</v>
      </c>
      <c r="I335" t="s">
        <v>2552</v>
      </c>
    </row>
    <row r="336" spans="3:9" ht="30" x14ac:dyDescent="0.25">
      <c r="C336" s="12" t="str">
        <f t="shared" si="57"/>
        <v>US20170252733</v>
      </c>
      <c r="D336" s="12" t="s">
        <v>54</v>
      </c>
      <c r="E336" t="str">
        <f t="shared" si="56"/>
        <v>C10G</v>
      </c>
      <c r="H336" t="s">
        <v>775</v>
      </c>
      <c r="I336" t="s">
        <v>2847</v>
      </c>
    </row>
    <row r="337" spans="3:9" ht="30" x14ac:dyDescent="0.25">
      <c r="C337" s="12" t="s">
        <v>307</v>
      </c>
      <c r="D337" s="12" t="s">
        <v>2630</v>
      </c>
      <c r="E337" t="str">
        <f t="shared" si="56"/>
        <v>B01J</v>
      </c>
      <c r="H337" t="s">
        <v>775</v>
      </c>
      <c r="I337" t="s">
        <v>2551</v>
      </c>
    </row>
    <row r="338" spans="3:9" ht="30" x14ac:dyDescent="0.25">
      <c r="C338" s="12" t="str">
        <f t="shared" ref="C338:C347" si="58">C337</f>
        <v>US20170252732</v>
      </c>
      <c r="D338" s="12" t="s">
        <v>2577</v>
      </c>
      <c r="E338" t="str">
        <f t="shared" si="56"/>
        <v>B01J</v>
      </c>
      <c r="H338" t="s">
        <v>775</v>
      </c>
      <c r="I338" t="s">
        <v>2552</v>
      </c>
    </row>
    <row r="339" spans="3:9" ht="30" x14ac:dyDescent="0.25">
      <c r="C339" s="12" t="str">
        <f t="shared" si="58"/>
        <v>US20170252732</v>
      </c>
      <c r="D339" s="12" t="s">
        <v>2627</v>
      </c>
      <c r="E339" t="str">
        <f t="shared" si="56"/>
        <v>B01J</v>
      </c>
      <c r="H339" t="s">
        <v>782</v>
      </c>
      <c r="I339" t="s">
        <v>2549</v>
      </c>
    </row>
    <row r="340" spans="3:9" ht="30" x14ac:dyDescent="0.25">
      <c r="C340" s="12" t="str">
        <f t="shared" si="58"/>
        <v>US20170252732</v>
      </c>
      <c r="D340" s="12" t="s">
        <v>2543</v>
      </c>
      <c r="E340" t="str">
        <f t="shared" si="56"/>
        <v>B01J</v>
      </c>
      <c r="H340" t="s">
        <v>782</v>
      </c>
      <c r="I340" t="s">
        <v>2551</v>
      </c>
    </row>
    <row r="341" spans="3:9" ht="30" x14ac:dyDescent="0.25">
      <c r="C341" s="12" t="str">
        <f t="shared" si="58"/>
        <v>US20170252732</v>
      </c>
      <c r="D341" s="12" t="s">
        <v>2633</v>
      </c>
      <c r="E341" t="str">
        <f t="shared" si="56"/>
        <v>B01J</v>
      </c>
      <c r="H341" t="s">
        <v>786</v>
      </c>
      <c r="I341" t="s">
        <v>2549</v>
      </c>
    </row>
    <row r="342" spans="3:9" ht="30" x14ac:dyDescent="0.25">
      <c r="C342" s="12" t="str">
        <f t="shared" si="58"/>
        <v>US20170252732</v>
      </c>
      <c r="D342" s="12" t="s">
        <v>2545</v>
      </c>
      <c r="E342" t="str">
        <f t="shared" si="56"/>
        <v>B01J</v>
      </c>
      <c r="H342" t="s">
        <v>786</v>
      </c>
      <c r="I342" t="s">
        <v>2551</v>
      </c>
    </row>
    <row r="343" spans="3:9" ht="30" x14ac:dyDescent="0.25">
      <c r="C343" s="12" t="str">
        <f t="shared" si="58"/>
        <v>US20170252732</v>
      </c>
      <c r="D343" s="12" t="s">
        <v>2634</v>
      </c>
      <c r="E343" t="str">
        <f t="shared" si="56"/>
        <v>B01J</v>
      </c>
      <c r="H343" t="s">
        <v>789</v>
      </c>
      <c r="I343" t="s">
        <v>2551</v>
      </c>
    </row>
    <row r="344" spans="3:9" ht="30" x14ac:dyDescent="0.25">
      <c r="C344" s="12" t="str">
        <f t="shared" si="58"/>
        <v>US20170252732</v>
      </c>
      <c r="D344" s="12" t="s">
        <v>2646</v>
      </c>
      <c r="E344" t="str">
        <f t="shared" si="56"/>
        <v>B01J</v>
      </c>
      <c r="H344" t="s">
        <v>794</v>
      </c>
      <c r="I344" t="s">
        <v>2549</v>
      </c>
    </row>
    <row r="345" spans="3:9" ht="30" x14ac:dyDescent="0.25">
      <c r="C345" s="12" t="str">
        <f t="shared" si="58"/>
        <v>US20170252732</v>
      </c>
      <c r="D345" s="12" t="s">
        <v>2628</v>
      </c>
      <c r="E345" t="str">
        <f t="shared" si="56"/>
        <v>C01B</v>
      </c>
      <c r="H345" t="s">
        <v>794</v>
      </c>
      <c r="I345" t="s">
        <v>2572</v>
      </c>
    </row>
    <row r="346" spans="3:9" ht="30" x14ac:dyDescent="0.25">
      <c r="C346" s="12" t="str">
        <f t="shared" si="58"/>
        <v>US20170252732</v>
      </c>
      <c r="D346" s="12" t="s">
        <v>2629</v>
      </c>
      <c r="E346" t="str">
        <f t="shared" si="56"/>
        <v>C10G</v>
      </c>
      <c r="H346" t="s">
        <v>794</v>
      </c>
      <c r="I346" t="s">
        <v>2551</v>
      </c>
    </row>
    <row r="347" spans="3:9" ht="30" x14ac:dyDescent="0.25">
      <c r="C347" s="12" t="str">
        <f t="shared" si="58"/>
        <v>US20170252732</v>
      </c>
      <c r="D347" s="12" t="s">
        <v>54</v>
      </c>
      <c r="E347" t="str">
        <f t="shared" si="56"/>
        <v>C10G</v>
      </c>
      <c r="H347" t="s">
        <v>799</v>
      </c>
      <c r="I347" t="s">
        <v>2552</v>
      </c>
    </row>
    <row r="348" spans="3:9" x14ac:dyDescent="0.25">
      <c r="C348" s="12" t="s">
        <v>311</v>
      </c>
      <c r="D348" s="12" t="s">
        <v>2558</v>
      </c>
      <c r="E348" t="str">
        <f t="shared" si="56"/>
        <v>B01J</v>
      </c>
      <c r="H348" t="s">
        <v>804</v>
      </c>
      <c r="I348" t="s">
        <v>2552</v>
      </c>
    </row>
    <row r="349" spans="3:9" x14ac:dyDescent="0.25">
      <c r="C349" s="12" t="str">
        <f t="shared" ref="C349:C351" si="59">C348</f>
        <v>CN107010639</v>
      </c>
      <c r="D349" s="12" t="s">
        <v>2647</v>
      </c>
      <c r="E349" t="str">
        <f t="shared" si="56"/>
        <v>C01B</v>
      </c>
      <c r="H349" t="s">
        <v>809</v>
      </c>
      <c r="I349" t="s">
        <v>2551</v>
      </c>
    </row>
    <row r="350" spans="3:9" x14ac:dyDescent="0.25">
      <c r="C350" s="12" t="str">
        <f t="shared" si="59"/>
        <v>CN107010639</v>
      </c>
      <c r="D350" s="12" t="s">
        <v>1466</v>
      </c>
      <c r="E350" t="str">
        <f t="shared" si="56"/>
        <v>C07C</v>
      </c>
      <c r="H350" t="s">
        <v>809</v>
      </c>
      <c r="I350" t="s">
        <v>2552</v>
      </c>
    </row>
    <row r="351" spans="3:9" x14ac:dyDescent="0.25">
      <c r="C351" s="12" t="str">
        <f t="shared" si="59"/>
        <v>CN107010639</v>
      </c>
      <c r="D351" s="12" t="s">
        <v>2566</v>
      </c>
      <c r="E351" t="str">
        <f t="shared" si="56"/>
        <v>C07C</v>
      </c>
      <c r="H351" t="s">
        <v>809</v>
      </c>
      <c r="I351" t="s">
        <v>2554</v>
      </c>
    </row>
    <row r="352" spans="3:9" ht="30" x14ac:dyDescent="0.25">
      <c r="C352" s="12" t="s">
        <v>317</v>
      </c>
      <c r="D352" s="12" t="s">
        <v>2648</v>
      </c>
      <c r="E352" t="str">
        <f t="shared" si="56"/>
        <v>B01J</v>
      </c>
      <c r="H352" t="s">
        <v>815</v>
      </c>
      <c r="I352" t="s">
        <v>2549</v>
      </c>
    </row>
    <row r="353" spans="3:9" ht="30" x14ac:dyDescent="0.25">
      <c r="C353" s="12" t="str">
        <f t="shared" ref="C353:C363" si="60">C352</f>
        <v>US20170226427</v>
      </c>
      <c r="D353" s="12" t="s">
        <v>2649</v>
      </c>
      <c r="E353" t="str">
        <f t="shared" si="56"/>
        <v>B01J</v>
      </c>
      <c r="H353" t="s">
        <v>815</v>
      </c>
      <c r="I353" t="s">
        <v>2551</v>
      </c>
    </row>
    <row r="354" spans="3:9" ht="30" x14ac:dyDescent="0.25">
      <c r="C354" s="12" t="str">
        <f t="shared" si="60"/>
        <v>US20170226427</v>
      </c>
      <c r="D354" s="12" t="s">
        <v>2650</v>
      </c>
      <c r="E354" t="str">
        <f t="shared" si="56"/>
        <v>C07C</v>
      </c>
      <c r="H354" t="s">
        <v>821</v>
      </c>
      <c r="I354" t="s">
        <v>2549</v>
      </c>
    </row>
    <row r="355" spans="3:9" ht="30" x14ac:dyDescent="0.25">
      <c r="C355" s="12" t="str">
        <f t="shared" si="60"/>
        <v>US20170226427</v>
      </c>
      <c r="D355" s="12" t="s">
        <v>2651</v>
      </c>
      <c r="E355" t="str">
        <f t="shared" si="56"/>
        <v>C07C</v>
      </c>
      <c r="H355" t="s">
        <v>821</v>
      </c>
      <c r="I355" t="s">
        <v>2551</v>
      </c>
    </row>
    <row r="356" spans="3:9" ht="30" x14ac:dyDescent="0.25">
      <c r="C356" s="12" t="str">
        <f t="shared" si="60"/>
        <v>US20170226427</v>
      </c>
      <c r="D356" s="12" t="s">
        <v>2643</v>
      </c>
      <c r="E356" t="str">
        <f t="shared" si="56"/>
        <v>C07C</v>
      </c>
      <c r="H356" t="s">
        <v>821</v>
      </c>
      <c r="I356" t="s">
        <v>2552</v>
      </c>
    </row>
    <row r="357" spans="3:9" ht="30" x14ac:dyDescent="0.25">
      <c r="C357" s="12" t="str">
        <f t="shared" si="60"/>
        <v>US20170226427</v>
      </c>
      <c r="D357" s="12" t="s">
        <v>2652</v>
      </c>
      <c r="E357" t="str">
        <f t="shared" si="56"/>
        <v>C07C</v>
      </c>
      <c r="H357" t="s">
        <v>829</v>
      </c>
      <c r="I357" t="s">
        <v>2549</v>
      </c>
    </row>
    <row r="358" spans="3:9" ht="30" x14ac:dyDescent="0.25">
      <c r="C358" s="12" t="str">
        <f t="shared" si="60"/>
        <v>US20170226427</v>
      </c>
      <c r="D358" s="12" t="s">
        <v>2653</v>
      </c>
      <c r="E358" t="str">
        <f t="shared" si="56"/>
        <v>C07C</v>
      </c>
      <c r="H358" t="s">
        <v>829</v>
      </c>
      <c r="I358" t="s">
        <v>2551</v>
      </c>
    </row>
    <row r="359" spans="3:9" ht="30" x14ac:dyDescent="0.25">
      <c r="C359" s="12" t="str">
        <f t="shared" si="60"/>
        <v>US20170226427</v>
      </c>
      <c r="D359" s="12" t="s">
        <v>225</v>
      </c>
      <c r="E359" t="str">
        <f t="shared" si="56"/>
        <v>C10G</v>
      </c>
      <c r="H359" t="s">
        <v>835</v>
      </c>
      <c r="I359" t="s">
        <v>2549</v>
      </c>
    </row>
    <row r="360" spans="3:9" ht="30" x14ac:dyDescent="0.25">
      <c r="C360" s="12" t="str">
        <f t="shared" si="60"/>
        <v>US20170226427</v>
      </c>
      <c r="D360" s="12" t="s">
        <v>54</v>
      </c>
      <c r="E360" t="str">
        <f t="shared" si="56"/>
        <v>C10G</v>
      </c>
      <c r="H360" t="s">
        <v>835</v>
      </c>
      <c r="I360" t="s">
        <v>2551</v>
      </c>
    </row>
    <row r="361" spans="3:9" ht="30" x14ac:dyDescent="0.25">
      <c r="C361" s="12" t="str">
        <f t="shared" si="60"/>
        <v>US20170226427</v>
      </c>
      <c r="D361" s="12" t="s">
        <v>2535</v>
      </c>
      <c r="E361" t="str">
        <f t="shared" si="56"/>
        <v>C10L</v>
      </c>
      <c r="H361" t="s">
        <v>840</v>
      </c>
      <c r="I361" t="s">
        <v>2549</v>
      </c>
    </row>
    <row r="362" spans="3:9" ht="30" x14ac:dyDescent="0.25">
      <c r="C362" s="12" t="str">
        <f t="shared" si="60"/>
        <v>US20170226427</v>
      </c>
      <c r="D362" s="12" t="s">
        <v>2555</v>
      </c>
      <c r="E362" t="str">
        <f t="shared" si="56"/>
        <v>C10L</v>
      </c>
      <c r="H362" t="s">
        <v>840</v>
      </c>
      <c r="I362" t="s">
        <v>2551</v>
      </c>
    </row>
    <row r="363" spans="3:9" ht="30" x14ac:dyDescent="0.25">
      <c r="C363" s="12" t="str">
        <f t="shared" si="60"/>
        <v>US20170226427</v>
      </c>
      <c r="D363" s="12" t="s">
        <v>2556</v>
      </c>
      <c r="E363" t="str">
        <f t="shared" si="56"/>
        <v>C10L</v>
      </c>
      <c r="H363" t="s">
        <v>844</v>
      </c>
      <c r="I363" t="s">
        <v>2549</v>
      </c>
    </row>
    <row r="364" spans="3:9" x14ac:dyDescent="0.25">
      <c r="C364" s="12" t="s">
        <v>325</v>
      </c>
      <c r="D364" s="12" t="s">
        <v>2538</v>
      </c>
      <c r="E364" t="str">
        <f t="shared" si="56"/>
        <v>B01J</v>
      </c>
      <c r="H364" t="s">
        <v>844</v>
      </c>
      <c r="I364" t="s">
        <v>2551</v>
      </c>
    </row>
    <row r="365" spans="3:9" x14ac:dyDescent="0.25">
      <c r="C365" s="12" t="str">
        <f t="shared" ref="C365:C373" si="61">C364</f>
        <v>CA3006021</v>
      </c>
      <c r="D365" s="12" t="s">
        <v>2539</v>
      </c>
      <c r="E365" t="str">
        <f t="shared" si="56"/>
        <v>B01J</v>
      </c>
      <c r="H365" t="s">
        <v>847</v>
      </c>
      <c r="I365" t="s">
        <v>2549</v>
      </c>
    </row>
    <row r="366" spans="3:9" x14ac:dyDescent="0.25">
      <c r="C366" s="12" t="str">
        <f t="shared" si="61"/>
        <v>CA3006021</v>
      </c>
      <c r="D366" s="12" t="s">
        <v>2654</v>
      </c>
      <c r="E366" t="str">
        <f t="shared" si="56"/>
        <v>B01J</v>
      </c>
      <c r="H366" t="s">
        <v>847</v>
      </c>
      <c r="I366" t="s">
        <v>2551</v>
      </c>
    </row>
    <row r="367" spans="3:9" x14ac:dyDescent="0.25">
      <c r="C367" s="12" t="str">
        <f t="shared" si="61"/>
        <v>CA3006021</v>
      </c>
      <c r="D367" s="12" t="s">
        <v>2655</v>
      </c>
      <c r="E367" t="str">
        <f t="shared" si="56"/>
        <v>B01J</v>
      </c>
      <c r="H367" t="s">
        <v>850</v>
      </c>
      <c r="I367" t="s">
        <v>2549</v>
      </c>
    </row>
    <row r="368" spans="3:9" x14ac:dyDescent="0.25">
      <c r="C368" s="12" t="str">
        <f t="shared" si="61"/>
        <v>CA3006021</v>
      </c>
      <c r="D368" s="12" t="s">
        <v>2558</v>
      </c>
      <c r="E368" t="str">
        <f t="shared" si="56"/>
        <v>B01J</v>
      </c>
      <c r="H368" t="s">
        <v>850</v>
      </c>
      <c r="I368" t="s">
        <v>2551</v>
      </c>
    </row>
    <row r="369" spans="3:9" x14ac:dyDescent="0.25">
      <c r="C369" s="12" t="str">
        <f t="shared" si="61"/>
        <v>CA3006021</v>
      </c>
      <c r="D369" s="12" t="s">
        <v>2633</v>
      </c>
      <c r="E369" t="str">
        <f t="shared" si="56"/>
        <v>B01J</v>
      </c>
      <c r="H369" t="s">
        <v>854</v>
      </c>
      <c r="I369" t="s">
        <v>2549</v>
      </c>
    </row>
    <row r="370" spans="3:9" x14ac:dyDescent="0.25">
      <c r="C370" s="12" t="str">
        <f t="shared" si="61"/>
        <v>CA3006021</v>
      </c>
      <c r="D370" s="12" t="s">
        <v>2544</v>
      </c>
      <c r="E370" t="str">
        <f t="shared" si="56"/>
        <v>B01J</v>
      </c>
      <c r="H370" t="s">
        <v>854</v>
      </c>
      <c r="I370" t="s">
        <v>2551</v>
      </c>
    </row>
    <row r="371" spans="3:9" x14ac:dyDescent="0.25">
      <c r="C371" s="12" t="str">
        <f t="shared" si="61"/>
        <v>CA3006021</v>
      </c>
      <c r="D371" s="12" t="s">
        <v>2546</v>
      </c>
      <c r="E371" t="str">
        <f t="shared" si="56"/>
        <v>B01J</v>
      </c>
      <c r="H371" t="s">
        <v>856</v>
      </c>
      <c r="I371" t="s">
        <v>2549</v>
      </c>
    </row>
    <row r="372" spans="3:9" x14ac:dyDescent="0.25">
      <c r="C372" s="12" t="str">
        <f t="shared" si="61"/>
        <v>CA3006021</v>
      </c>
      <c r="D372" s="12" t="s">
        <v>1466</v>
      </c>
      <c r="E372" t="str">
        <f t="shared" si="56"/>
        <v>C07C</v>
      </c>
      <c r="H372" t="s">
        <v>856</v>
      </c>
      <c r="I372" t="s">
        <v>2551</v>
      </c>
    </row>
    <row r="373" spans="3:9" x14ac:dyDescent="0.25">
      <c r="C373" s="12" t="str">
        <f t="shared" si="61"/>
        <v>CA3006021</v>
      </c>
      <c r="D373" s="12" t="s">
        <v>2594</v>
      </c>
      <c r="E373" t="str">
        <f t="shared" si="56"/>
        <v>C10G</v>
      </c>
      <c r="H373" t="s">
        <v>861</v>
      </c>
      <c r="I373" t="s">
        <v>2549</v>
      </c>
    </row>
    <row r="374" spans="3:9" x14ac:dyDescent="0.25">
      <c r="C374" s="12" t="s">
        <v>331</v>
      </c>
      <c r="D374" s="12" t="s">
        <v>2558</v>
      </c>
      <c r="E374" t="str">
        <f t="shared" si="56"/>
        <v>B01J</v>
      </c>
      <c r="H374" t="s">
        <v>861</v>
      </c>
      <c r="I374" t="s">
        <v>2551</v>
      </c>
    </row>
    <row r="375" spans="3:9" x14ac:dyDescent="0.25">
      <c r="C375" s="12" t="str">
        <f t="shared" ref="C375:C381" si="62">C374</f>
        <v>CN106694029</v>
      </c>
      <c r="D375" s="12" t="s">
        <v>1466</v>
      </c>
      <c r="E375" t="str">
        <f t="shared" si="56"/>
        <v>C07C</v>
      </c>
      <c r="H375" t="s">
        <v>861</v>
      </c>
      <c r="I375" t="s">
        <v>2552</v>
      </c>
    </row>
    <row r="376" spans="3:9" x14ac:dyDescent="0.25">
      <c r="C376" s="12" t="str">
        <f t="shared" si="62"/>
        <v>CN106694029</v>
      </c>
      <c r="D376" s="12" t="s">
        <v>1997</v>
      </c>
      <c r="E376" t="str">
        <f t="shared" si="56"/>
        <v>C07C</v>
      </c>
      <c r="H376" t="s">
        <v>861</v>
      </c>
      <c r="I376" t="s">
        <v>2554</v>
      </c>
    </row>
    <row r="377" spans="3:9" x14ac:dyDescent="0.25">
      <c r="C377" s="12" t="str">
        <f t="shared" si="62"/>
        <v>CN106694029</v>
      </c>
      <c r="D377" s="12" t="s">
        <v>2582</v>
      </c>
      <c r="E377" t="str">
        <f t="shared" si="56"/>
        <v>C07C</v>
      </c>
      <c r="H377" t="s">
        <v>867</v>
      </c>
      <c r="I377" t="s">
        <v>2549</v>
      </c>
    </row>
    <row r="378" spans="3:9" x14ac:dyDescent="0.25">
      <c r="C378" s="12" t="str">
        <f t="shared" si="62"/>
        <v>CN106694029</v>
      </c>
      <c r="D378" s="12" t="s">
        <v>2583</v>
      </c>
      <c r="E378" t="str">
        <f t="shared" si="56"/>
        <v>C07C</v>
      </c>
      <c r="H378" t="s">
        <v>867</v>
      </c>
      <c r="I378" t="s">
        <v>2551</v>
      </c>
    </row>
    <row r="379" spans="3:9" x14ac:dyDescent="0.25">
      <c r="C379" s="12" t="str">
        <f t="shared" si="62"/>
        <v>CN106694029</v>
      </c>
      <c r="D379" s="12" t="s">
        <v>2584</v>
      </c>
      <c r="E379" t="str">
        <f t="shared" si="56"/>
        <v>C07C</v>
      </c>
      <c r="H379" t="s">
        <v>867</v>
      </c>
      <c r="I379" t="s">
        <v>2552</v>
      </c>
    </row>
    <row r="380" spans="3:9" x14ac:dyDescent="0.25">
      <c r="C380" s="12" t="str">
        <f t="shared" si="62"/>
        <v>CN106694029</v>
      </c>
      <c r="D380" s="12" t="s">
        <v>1021</v>
      </c>
      <c r="E380" t="str">
        <f t="shared" si="56"/>
        <v>C07C</v>
      </c>
      <c r="H380" t="s">
        <v>871</v>
      </c>
      <c r="I380" t="s">
        <v>2572</v>
      </c>
    </row>
    <row r="381" spans="3:9" x14ac:dyDescent="0.25">
      <c r="C381" s="12" t="str">
        <f t="shared" si="62"/>
        <v>CN106694029</v>
      </c>
      <c r="D381" s="12" t="s">
        <v>225</v>
      </c>
      <c r="E381" t="str">
        <f t="shared" si="56"/>
        <v>C10G</v>
      </c>
      <c r="H381" t="s">
        <v>871</v>
      </c>
      <c r="I381" t="s">
        <v>2551</v>
      </c>
    </row>
    <row r="382" spans="3:9" x14ac:dyDescent="0.25">
      <c r="C382" s="12" t="s">
        <v>335</v>
      </c>
      <c r="D382" s="12" t="s">
        <v>2558</v>
      </c>
      <c r="E382" t="str">
        <f t="shared" si="56"/>
        <v>B01J</v>
      </c>
      <c r="H382" t="s">
        <v>876</v>
      </c>
      <c r="I382" t="s">
        <v>2549</v>
      </c>
    </row>
    <row r="383" spans="3:9" x14ac:dyDescent="0.25">
      <c r="C383" s="12" t="str">
        <f t="shared" ref="C383:C384" si="63">C382</f>
        <v>CN106622344</v>
      </c>
      <c r="D383" s="12" t="s">
        <v>1466</v>
      </c>
      <c r="E383" t="str">
        <f t="shared" si="56"/>
        <v>C07C</v>
      </c>
      <c r="H383" t="s">
        <v>876</v>
      </c>
      <c r="I383" t="s">
        <v>2552</v>
      </c>
    </row>
    <row r="384" spans="3:9" x14ac:dyDescent="0.25">
      <c r="C384" s="12" t="str">
        <f t="shared" si="63"/>
        <v>CN106622344</v>
      </c>
      <c r="D384" s="12" t="s">
        <v>1021</v>
      </c>
      <c r="E384" t="str">
        <f t="shared" si="56"/>
        <v>C07C</v>
      </c>
      <c r="H384" t="s">
        <v>881</v>
      </c>
      <c r="I384" t="s">
        <v>2551</v>
      </c>
    </row>
    <row r="385" spans="3:9" x14ac:dyDescent="0.25">
      <c r="C385" s="12" t="s">
        <v>338</v>
      </c>
      <c r="D385" s="12" t="s">
        <v>1466</v>
      </c>
      <c r="E385" t="str">
        <f t="shared" si="56"/>
        <v>C07C</v>
      </c>
      <c r="H385" t="s">
        <v>881</v>
      </c>
      <c r="I385" t="s">
        <v>2552</v>
      </c>
    </row>
    <row r="386" spans="3:9" x14ac:dyDescent="0.25">
      <c r="C386" s="12" t="str">
        <f t="shared" ref="C386:C388" si="64">C385</f>
        <v>CN106608786</v>
      </c>
      <c r="D386" s="12" t="s">
        <v>1426</v>
      </c>
      <c r="E386" t="str">
        <f t="shared" si="56"/>
        <v>C07C</v>
      </c>
      <c r="H386" t="s">
        <v>887</v>
      </c>
      <c r="I386" t="s">
        <v>2549</v>
      </c>
    </row>
    <row r="387" spans="3:9" x14ac:dyDescent="0.25">
      <c r="C387" s="12" t="str">
        <f t="shared" si="64"/>
        <v>CN106608786</v>
      </c>
      <c r="D387" s="12" t="s">
        <v>2656</v>
      </c>
      <c r="E387" t="str">
        <f t="shared" si="56"/>
        <v>C07C</v>
      </c>
      <c r="H387" t="s">
        <v>887</v>
      </c>
      <c r="I387" t="s">
        <v>2551</v>
      </c>
    </row>
    <row r="388" spans="3:9" x14ac:dyDescent="0.25">
      <c r="C388" s="12" t="str">
        <f t="shared" si="64"/>
        <v>CN106608786</v>
      </c>
      <c r="D388" s="12" t="s">
        <v>1021</v>
      </c>
      <c r="E388" t="str">
        <f t="shared" si="56"/>
        <v>C07C</v>
      </c>
      <c r="H388" t="s">
        <v>895</v>
      </c>
      <c r="I388" t="s">
        <v>2549</v>
      </c>
    </row>
    <row r="389" spans="3:9" x14ac:dyDescent="0.25">
      <c r="C389" s="12" t="s">
        <v>342</v>
      </c>
      <c r="D389" s="12" t="s">
        <v>1466</v>
      </c>
      <c r="E389" t="str">
        <f t="shared" ref="E389:E452" si="65">LEFT(D389,4)</f>
        <v>C07C</v>
      </c>
      <c r="H389" t="s">
        <v>895</v>
      </c>
      <c r="I389" t="s">
        <v>2847</v>
      </c>
    </row>
    <row r="390" spans="3:9" x14ac:dyDescent="0.25">
      <c r="C390" s="12" t="str">
        <f t="shared" ref="C390:C394" si="66">C389</f>
        <v>CN106608781</v>
      </c>
      <c r="D390" s="12" t="s">
        <v>2566</v>
      </c>
      <c r="E390" t="str">
        <f t="shared" si="65"/>
        <v>C07C</v>
      </c>
      <c r="H390" t="s">
        <v>895</v>
      </c>
      <c r="I390" t="s">
        <v>2551</v>
      </c>
    </row>
    <row r="391" spans="3:9" x14ac:dyDescent="0.25">
      <c r="C391" s="12" t="str">
        <f t="shared" si="66"/>
        <v>CN106608781</v>
      </c>
      <c r="D391" s="12" t="s">
        <v>2613</v>
      </c>
      <c r="E391" t="str">
        <f t="shared" si="65"/>
        <v>C07C</v>
      </c>
      <c r="H391" t="s">
        <v>902</v>
      </c>
      <c r="I391" t="s">
        <v>2551</v>
      </c>
    </row>
    <row r="392" spans="3:9" x14ac:dyDescent="0.25">
      <c r="C392" s="12" t="str">
        <f t="shared" si="66"/>
        <v>CN106608781</v>
      </c>
      <c r="D392" s="12" t="s">
        <v>2567</v>
      </c>
      <c r="E392" t="str">
        <f t="shared" si="65"/>
        <v>C07C</v>
      </c>
      <c r="H392" t="s">
        <v>902</v>
      </c>
      <c r="I392" t="s">
        <v>2552</v>
      </c>
    </row>
    <row r="393" spans="3:9" x14ac:dyDescent="0.25">
      <c r="C393" s="12" t="str">
        <f t="shared" si="66"/>
        <v>CN106608781</v>
      </c>
      <c r="D393" s="12" t="s">
        <v>2656</v>
      </c>
      <c r="E393" t="str">
        <f t="shared" si="65"/>
        <v>C07C</v>
      </c>
      <c r="H393" t="s">
        <v>911</v>
      </c>
      <c r="I393" t="s">
        <v>2549</v>
      </c>
    </row>
    <row r="394" spans="3:9" x14ac:dyDescent="0.25">
      <c r="C394" s="12" t="str">
        <f t="shared" si="66"/>
        <v>CN106608781</v>
      </c>
      <c r="D394" s="12" t="s">
        <v>1021</v>
      </c>
      <c r="E394" t="str">
        <f t="shared" si="65"/>
        <v>C07C</v>
      </c>
      <c r="H394" t="s">
        <v>911</v>
      </c>
      <c r="I394" t="s">
        <v>2551</v>
      </c>
    </row>
    <row r="395" spans="3:9" x14ac:dyDescent="0.25">
      <c r="C395" s="12" t="s">
        <v>345</v>
      </c>
      <c r="D395" s="12" t="s">
        <v>1466</v>
      </c>
      <c r="E395" t="str">
        <f t="shared" si="65"/>
        <v>C07C</v>
      </c>
      <c r="H395" t="s">
        <v>911</v>
      </c>
      <c r="I395" t="s">
        <v>2552</v>
      </c>
    </row>
    <row r="396" spans="3:9" x14ac:dyDescent="0.25">
      <c r="C396" s="12" t="str">
        <f t="shared" ref="C396:C400" si="67">C395</f>
        <v>CN106608780</v>
      </c>
      <c r="D396" s="12" t="s">
        <v>2583</v>
      </c>
      <c r="E396" t="str">
        <f t="shared" si="65"/>
        <v>C07C</v>
      </c>
      <c r="H396" t="s">
        <v>917</v>
      </c>
      <c r="I396" t="s">
        <v>2549</v>
      </c>
    </row>
    <row r="397" spans="3:9" x14ac:dyDescent="0.25">
      <c r="C397" s="12" t="str">
        <f t="shared" si="67"/>
        <v>CN106608780</v>
      </c>
      <c r="D397" s="12" t="s">
        <v>2566</v>
      </c>
      <c r="E397" t="str">
        <f t="shared" si="65"/>
        <v>C07C</v>
      </c>
      <c r="H397" t="s">
        <v>917</v>
      </c>
      <c r="I397" t="s">
        <v>2572</v>
      </c>
    </row>
    <row r="398" spans="3:9" x14ac:dyDescent="0.25">
      <c r="C398" s="12" t="str">
        <f t="shared" si="67"/>
        <v>CN106608780</v>
      </c>
      <c r="D398" s="12" t="s">
        <v>2613</v>
      </c>
      <c r="E398" t="str">
        <f t="shared" si="65"/>
        <v>C07C</v>
      </c>
      <c r="H398" t="s">
        <v>917</v>
      </c>
      <c r="I398" t="s">
        <v>2850</v>
      </c>
    </row>
    <row r="399" spans="3:9" x14ac:dyDescent="0.25">
      <c r="C399" s="12" t="str">
        <f t="shared" si="67"/>
        <v>CN106608780</v>
      </c>
      <c r="D399" s="12" t="s">
        <v>2567</v>
      </c>
      <c r="E399" t="str">
        <f t="shared" si="65"/>
        <v>C07C</v>
      </c>
      <c r="H399" t="s">
        <v>917</v>
      </c>
      <c r="I399" t="s">
        <v>2552</v>
      </c>
    </row>
    <row r="400" spans="3:9" x14ac:dyDescent="0.25">
      <c r="C400" s="12" t="str">
        <f t="shared" si="67"/>
        <v>CN106608780</v>
      </c>
      <c r="D400" s="12" t="s">
        <v>1021</v>
      </c>
      <c r="E400" t="str">
        <f t="shared" si="65"/>
        <v>C07C</v>
      </c>
      <c r="H400" t="s">
        <v>924</v>
      </c>
      <c r="I400" t="s">
        <v>2549</v>
      </c>
    </row>
    <row r="401" spans="3:9" x14ac:dyDescent="0.25">
      <c r="C401" s="12" t="s">
        <v>349</v>
      </c>
      <c r="D401" s="12" t="s">
        <v>2577</v>
      </c>
      <c r="E401" t="str">
        <f t="shared" si="65"/>
        <v>B01J</v>
      </c>
      <c r="H401" t="s">
        <v>924</v>
      </c>
      <c r="I401" t="s">
        <v>2551</v>
      </c>
    </row>
    <row r="402" spans="3:9" x14ac:dyDescent="0.25">
      <c r="C402" s="12" t="str">
        <f t="shared" ref="C402:C405" si="68">C401</f>
        <v>CN106607088</v>
      </c>
      <c r="D402" s="12" t="s">
        <v>1466</v>
      </c>
      <c r="E402" t="str">
        <f t="shared" si="65"/>
        <v>C07C</v>
      </c>
      <c r="H402" t="s">
        <v>930</v>
      </c>
      <c r="I402" t="s">
        <v>2549</v>
      </c>
    </row>
    <row r="403" spans="3:9" x14ac:dyDescent="0.25">
      <c r="C403" s="12" t="str">
        <f t="shared" si="68"/>
        <v>CN106607088</v>
      </c>
      <c r="D403" s="12" t="s">
        <v>2613</v>
      </c>
      <c r="E403" t="str">
        <f t="shared" si="65"/>
        <v>C07C</v>
      </c>
      <c r="H403" t="s">
        <v>930</v>
      </c>
      <c r="I403" t="s">
        <v>2572</v>
      </c>
    </row>
    <row r="404" spans="3:9" x14ac:dyDescent="0.25">
      <c r="C404" s="12" t="str">
        <f t="shared" si="68"/>
        <v>CN106607088</v>
      </c>
      <c r="D404" s="12" t="s">
        <v>2567</v>
      </c>
      <c r="E404" t="str">
        <f t="shared" si="65"/>
        <v>C07C</v>
      </c>
      <c r="H404" t="s">
        <v>930</v>
      </c>
      <c r="I404" t="s">
        <v>2847</v>
      </c>
    </row>
    <row r="405" spans="3:9" x14ac:dyDescent="0.25">
      <c r="C405" s="12" t="str">
        <f t="shared" si="68"/>
        <v>CN106607088</v>
      </c>
      <c r="D405" s="12" t="s">
        <v>1021</v>
      </c>
      <c r="E405" t="str">
        <f t="shared" si="65"/>
        <v>C07C</v>
      </c>
      <c r="H405" t="s">
        <v>930</v>
      </c>
      <c r="I405" t="s">
        <v>2551</v>
      </c>
    </row>
    <row r="406" spans="3:9" x14ac:dyDescent="0.25">
      <c r="C406" s="12" t="s">
        <v>352</v>
      </c>
      <c r="D406" s="12" t="s">
        <v>2558</v>
      </c>
      <c r="E406" t="str">
        <f t="shared" si="65"/>
        <v>B01J</v>
      </c>
      <c r="H406" t="s">
        <v>930</v>
      </c>
      <c r="I406" t="s">
        <v>2552</v>
      </c>
    </row>
    <row r="407" spans="3:9" x14ac:dyDescent="0.25">
      <c r="C407" s="12" t="str">
        <f t="shared" ref="C407:C412" si="69">C406</f>
        <v>CN106607079</v>
      </c>
      <c r="D407" s="12" t="s">
        <v>1466</v>
      </c>
      <c r="E407" t="str">
        <f t="shared" si="65"/>
        <v>C07C</v>
      </c>
      <c r="H407" t="s">
        <v>938</v>
      </c>
      <c r="I407" t="s">
        <v>2549</v>
      </c>
    </row>
    <row r="408" spans="3:9" x14ac:dyDescent="0.25">
      <c r="C408" s="12" t="str">
        <f t="shared" si="69"/>
        <v>CN106607079</v>
      </c>
      <c r="D408" s="12" t="s">
        <v>2573</v>
      </c>
      <c r="E408" t="str">
        <f t="shared" si="65"/>
        <v>C07C</v>
      </c>
      <c r="H408" t="s">
        <v>938</v>
      </c>
      <c r="I408" t="s">
        <v>2572</v>
      </c>
    </row>
    <row r="409" spans="3:9" x14ac:dyDescent="0.25">
      <c r="C409" s="12" t="str">
        <f t="shared" si="69"/>
        <v>CN106607079</v>
      </c>
      <c r="D409" s="12" t="s">
        <v>2566</v>
      </c>
      <c r="E409" t="str">
        <f t="shared" si="65"/>
        <v>C07C</v>
      </c>
      <c r="H409" t="s">
        <v>938</v>
      </c>
      <c r="I409" t="s">
        <v>2551</v>
      </c>
    </row>
    <row r="410" spans="3:9" x14ac:dyDescent="0.25">
      <c r="C410" s="12" t="str">
        <f t="shared" si="69"/>
        <v>CN106607079</v>
      </c>
      <c r="D410" s="12" t="s">
        <v>2613</v>
      </c>
      <c r="E410" t="str">
        <f t="shared" si="65"/>
        <v>C07C</v>
      </c>
      <c r="H410" t="s">
        <v>938</v>
      </c>
      <c r="I410" t="s">
        <v>2552</v>
      </c>
    </row>
    <row r="411" spans="3:9" x14ac:dyDescent="0.25">
      <c r="C411" s="12" t="str">
        <f t="shared" si="69"/>
        <v>CN106607079</v>
      </c>
      <c r="D411" s="12" t="s">
        <v>2567</v>
      </c>
      <c r="E411" t="str">
        <f t="shared" si="65"/>
        <v>C07C</v>
      </c>
      <c r="H411" t="s">
        <v>944</v>
      </c>
      <c r="I411" t="s">
        <v>2846</v>
      </c>
    </row>
    <row r="412" spans="3:9" x14ac:dyDescent="0.25">
      <c r="C412" s="12" t="str">
        <f t="shared" si="69"/>
        <v>CN106607079</v>
      </c>
      <c r="D412" s="12" t="s">
        <v>1021</v>
      </c>
      <c r="E412" t="str">
        <f t="shared" si="65"/>
        <v>C07C</v>
      </c>
      <c r="H412" t="s">
        <v>944</v>
      </c>
      <c r="I412" t="s">
        <v>2549</v>
      </c>
    </row>
    <row r="413" spans="3:9" x14ac:dyDescent="0.25">
      <c r="C413" s="12" t="s">
        <v>355</v>
      </c>
      <c r="D413" s="12" t="s">
        <v>2558</v>
      </c>
      <c r="E413" t="str">
        <f t="shared" si="65"/>
        <v>B01J</v>
      </c>
      <c r="H413" t="s">
        <v>944</v>
      </c>
      <c r="I413" t="s">
        <v>2572</v>
      </c>
    </row>
    <row r="414" spans="3:9" x14ac:dyDescent="0.25">
      <c r="C414" s="12" t="str">
        <f t="shared" ref="C414:C417" si="70">C413</f>
        <v>CN106607078</v>
      </c>
      <c r="D414" s="12" t="s">
        <v>1940</v>
      </c>
      <c r="E414" t="str">
        <f t="shared" si="65"/>
        <v>B01J</v>
      </c>
      <c r="H414" t="s">
        <v>944</v>
      </c>
      <c r="I414" t="s">
        <v>2851</v>
      </c>
    </row>
    <row r="415" spans="3:9" x14ac:dyDescent="0.25">
      <c r="C415" s="12" t="str">
        <f t="shared" si="70"/>
        <v>CN106607078</v>
      </c>
      <c r="D415" s="12" t="s">
        <v>1466</v>
      </c>
      <c r="E415" t="str">
        <f t="shared" si="65"/>
        <v>C07C</v>
      </c>
      <c r="H415" t="s">
        <v>944</v>
      </c>
      <c r="I415" t="s">
        <v>2847</v>
      </c>
    </row>
    <row r="416" spans="3:9" x14ac:dyDescent="0.25">
      <c r="C416" s="12" t="str">
        <f t="shared" si="70"/>
        <v>CN106607078</v>
      </c>
      <c r="D416" s="12" t="s">
        <v>2583</v>
      </c>
      <c r="E416" t="str">
        <f t="shared" si="65"/>
        <v>C07C</v>
      </c>
      <c r="H416" t="s">
        <v>944</v>
      </c>
      <c r="I416" t="s">
        <v>2551</v>
      </c>
    </row>
    <row r="417" spans="3:9" x14ac:dyDescent="0.25">
      <c r="C417" s="12" t="str">
        <f t="shared" si="70"/>
        <v>CN106607078</v>
      </c>
      <c r="D417" s="12" t="s">
        <v>1021</v>
      </c>
      <c r="E417" t="str">
        <f t="shared" si="65"/>
        <v>C07C</v>
      </c>
      <c r="H417" t="s">
        <v>944</v>
      </c>
      <c r="I417" t="s">
        <v>2852</v>
      </c>
    </row>
    <row r="418" spans="3:9" x14ac:dyDescent="0.25">
      <c r="C418" s="12" t="s">
        <v>358</v>
      </c>
      <c r="D418" s="12" t="s">
        <v>2577</v>
      </c>
      <c r="E418" t="str">
        <f t="shared" si="65"/>
        <v>B01J</v>
      </c>
      <c r="H418" t="s">
        <v>944</v>
      </c>
      <c r="I418" t="s">
        <v>2552</v>
      </c>
    </row>
    <row r="419" spans="3:9" x14ac:dyDescent="0.25">
      <c r="C419" s="12" t="str">
        <f t="shared" ref="C419:C421" si="71">C418</f>
        <v>CN106607086</v>
      </c>
      <c r="D419" s="12" t="s">
        <v>1466</v>
      </c>
      <c r="E419" t="str">
        <f t="shared" si="65"/>
        <v>C07C</v>
      </c>
      <c r="H419" t="s">
        <v>952</v>
      </c>
      <c r="I419" t="s">
        <v>2549</v>
      </c>
    </row>
    <row r="420" spans="3:9" x14ac:dyDescent="0.25">
      <c r="C420" s="12" t="str">
        <f t="shared" si="71"/>
        <v>CN106607086</v>
      </c>
      <c r="D420" s="12" t="s">
        <v>2566</v>
      </c>
      <c r="E420" t="str">
        <f t="shared" si="65"/>
        <v>C07C</v>
      </c>
      <c r="H420" t="s">
        <v>952</v>
      </c>
      <c r="I420" t="s">
        <v>2552</v>
      </c>
    </row>
    <row r="421" spans="3:9" x14ac:dyDescent="0.25">
      <c r="C421" s="12" t="str">
        <f t="shared" si="71"/>
        <v>CN106607086</v>
      </c>
      <c r="D421" s="12" t="s">
        <v>1021</v>
      </c>
      <c r="E421" t="str">
        <f t="shared" si="65"/>
        <v>C07C</v>
      </c>
      <c r="H421" t="s">
        <v>952</v>
      </c>
      <c r="I421" t="s">
        <v>2554</v>
      </c>
    </row>
    <row r="422" spans="3:9" x14ac:dyDescent="0.25">
      <c r="C422" s="12" t="s">
        <v>361</v>
      </c>
      <c r="D422" s="12" t="s">
        <v>2574</v>
      </c>
      <c r="E422" t="str">
        <f t="shared" si="65"/>
        <v>B01J</v>
      </c>
      <c r="H422" t="s">
        <v>959</v>
      </c>
      <c r="I422" t="s">
        <v>2549</v>
      </c>
    </row>
    <row r="423" spans="3:9" x14ac:dyDescent="0.25">
      <c r="C423" s="12" t="str">
        <f t="shared" ref="C423:C428" si="72">C422</f>
        <v>CN106607083</v>
      </c>
      <c r="D423" s="12" t="s">
        <v>2569</v>
      </c>
      <c r="E423" t="str">
        <f t="shared" si="65"/>
        <v>C07C</v>
      </c>
      <c r="H423" t="s">
        <v>959</v>
      </c>
      <c r="I423" t="s">
        <v>2847</v>
      </c>
    </row>
    <row r="424" spans="3:9" x14ac:dyDescent="0.25">
      <c r="C424" s="12" t="str">
        <f t="shared" si="72"/>
        <v>CN106607083</v>
      </c>
      <c r="D424" s="12" t="s">
        <v>2573</v>
      </c>
      <c r="E424" t="str">
        <f t="shared" si="65"/>
        <v>C07C</v>
      </c>
      <c r="H424" t="s">
        <v>959</v>
      </c>
      <c r="I424" t="s">
        <v>2551</v>
      </c>
    </row>
    <row r="425" spans="3:9" x14ac:dyDescent="0.25">
      <c r="C425" s="12" t="str">
        <f t="shared" si="72"/>
        <v>CN106607083</v>
      </c>
      <c r="D425" s="12" t="s">
        <v>2613</v>
      </c>
      <c r="E425" t="str">
        <f t="shared" si="65"/>
        <v>C07C</v>
      </c>
      <c r="H425" t="s">
        <v>959</v>
      </c>
      <c r="I425" t="s">
        <v>2552</v>
      </c>
    </row>
    <row r="426" spans="3:9" x14ac:dyDescent="0.25">
      <c r="C426" s="12" t="str">
        <f t="shared" si="72"/>
        <v>CN106607083</v>
      </c>
      <c r="D426" s="12" t="s">
        <v>2567</v>
      </c>
      <c r="E426" t="str">
        <f t="shared" si="65"/>
        <v>C07C</v>
      </c>
      <c r="H426" t="s">
        <v>965</v>
      </c>
      <c r="I426" t="s">
        <v>2549</v>
      </c>
    </row>
    <row r="427" spans="3:9" x14ac:dyDescent="0.25">
      <c r="C427" s="12" t="str">
        <f t="shared" si="72"/>
        <v>CN106607083</v>
      </c>
      <c r="D427" s="12" t="s">
        <v>1021</v>
      </c>
      <c r="E427" t="str">
        <f t="shared" si="65"/>
        <v>C07C</v>
      </c>
      <c r="H427" t="s">
        <v>965</v>
      </c>
      <c r="I427" t="s">
        <v>2552</v>
      </c>
    </row>
    <row r="428" spans="3:9" x14ac:dyDescent="0.25">
      <c r="C428" s="12" t="str">
        <f t="shared" si="72"/>
        <v>CN106607083</v>
      </c>
      <c r="D428" s="12" t="s">
        <v>2570</v>
      </c>
      <c r="E428" t="str">
        <f t="shared" si="65"/>
        <v>C10G</v>
      </c>
      <c r="H428" t="s">
        <v>971</v>
      </c>
      <c r="I428" t="s">
        <v>2549</v>
      </c>
    </row>
    <row r="429" spans="3:9" x14ac:dyDescent="0.25">
      <c r="C429" s="12" t="s">
        <v>364</v>
      </c>
      <c r="D429" s="12" t="s">
        <v>2558</v>
      </c>
      <c r="E429" t="str">
        <f t="shared" si="65"/>
        <v>B01J</v>
      </c>
      <c r="H429" t="s">
        <v>971</v>
      </c>
      <c r="I429" t="s">
        <v>2552</v>
      </c>
    </row>
    <row r="430" spans="3:9" x14ac:dyDescent="0.25">
      <c r="C430" s="12" t="str">
        <f t="shared" ref="C430:C431" si="73">C429</f>
        <v>CN106582789</v>
      </c>
      <c r="D430" s="12" t="s">
        <v>225</v>
      </c>
      <c r="E430" t="str">
        <f t="shared" si="65"/>
        <v>C10G</v>
      </c>
      <c r="H430" t="s">
        <v>976</v>
      </c>
      <c r="I430" t="s">
        <v>2549</v>
      </c>
    </row>
    <row r="431" spans="3:9" x14ac:dyDescent="0.25">
      <c r="C431" s="12" t="str">
        <f t="shared" si="73"/>
        <v>CN106582789</v>
      </c>
      <c r="D431" s="12" t="s">
        <v>54</v>
      </c>
      <c r="E431" t="str">
        <f t="shared" si="65"/>
        <v>C10G</v>
      </c>
      <c r="H431" t="s">
        <v>976</v>
      </c>
      <c r="I431" t="s">
        <v>2551</v>
      </c>
    </row>
    <row r="432" spans="3:9" x14ac:dyDescent="0.25">
      <c r="C432" s="12" t="s">
        <v>369</v>
      </c>
      <c r="D432" s="12" t="s">
        <v>2574</v>
      </c>
      <c r="E432" t="str">
        <f t="shared" si="65"/>
        <v>B01J</v>
      </c>
      <c r="H432" t="s">
        <v>976</v>
      </c>
      <c r="I432" t="s">
        <v>2552</v>
      </c>
    </row>
    <row r="433" spans="3:9" x14ac:dyDescent="0.25">
      <c r="C433" s="12" t="str">
        <f t="shared" ref="C433:C436" si="74">C432</f>
        <v>CN106582797</v>
      </c>
      <c r="D433" s="12" t="s">
        <v>1466</v>
      </c>
      <c r="E433" t="str">
        <f t="shared" si="65"/>
        <v>C07C</v>
      </c>
      <c r="H433" t="s">
        <v>980</v>
      </c>
      <c r="I433" t="s">
        <v>2551</v>
      </c>
    </row>
    <row r="434" spans="3:9" x14ac:dyDescent="0.25">
      <c r="C434" s="12" t="str">
        <f t="shared" si="74"/>
        <v>CN106582797</v>
      </c>
      <c r="D434" s="12" t="s">
        <v>2613</v>
      </c>
      <c r="E434" t="str">
        <f t="shared" si="65"/>
        <v>C07C</v>
      </c>
      <c r="H434" t="s">
        <v>985</v>
      </c>
      <c r="I434" t="s">
        <v>2551</v>
      </c>
    </row>
    <row r="435" spans="3:9" x14ac:dyDescent="0.25">
      <c r="C435" s="12" t="str">
        <f t="shared" si="74"/>
        <v>CN106582797</v>
      </c>
      <c r="D435" s="12" t="s">
        <v>2567</v>
      </c>
      <c r="E435" t="str">
        <f t="shared" si="65"/>
        <v>C07C</v>
      </c>
      <c r="H435" t="s">
        <v>990</v>
      </c>
      <c r="I435" t="s">
        <v>2549</v>
      </c>
    </row>
    <row r="436" spans="3:9" x14ac:dyDescent="0.25">
      <c r="C436" s="12" t="str">
        <f t="shared" si="74"/>
        <v>CN106582797</v>
      </c>
      <c r="D436" s="12" t="s">
        <v>1021</v>
      </c>
      <c r="E436" t="str">
        <f t="shared" si="65"/>
        <v>C07C</v>
      </c>
      <c r="H436" t="s">
        <v>990</v>
      </c>
      <c r="I436" t="s">
        <v>2552</v>
      </c>
    </row>
    <row r="437" spans="3:9" x14ac:dyDescent="0.25">
      <c r="C437" s="12" t="s">
        <v>374</v>
      </c>
      <c r="D437" s="12" t="s">
        <v>2558</v>
      </c>
      <c r="E437" t="str">
        <f t="shared" si="65"/>
        <v>B01J</v>
      </c>
      <c r="H437" t="s">
        <v>996</v>
      </c>
      <c r="I437" t="s">
        <v>2551</v>
      </c>
    </row>
    <row r="438" spans="3:9" x14ac:dyDescent="0.25">
      <c r="C438" s="12" t="str">
        <f t="shared" ref="C438:C440" si="75">C437</f>
        <v>CN106540737</v>
      </c>
      <c r="D438" s="12" t="s">
        <v>2657</v>
      </c>
      <c r="E438" t="str">
        <f t="shared" si="65"/>
        <v>C01B</v>
      </c>
      <c r="H438" t="s">
        <v>1001</v>
      </c>
      <c r="I438" t="s">
        <v>2552</v>
      </c>
    </row>
    <row r="439" spans="3:9" x14ac:dyDescent="0.25">
      <c r="C439" s="12" t="str">
        <f t="shared" si="75"/>
        <v>CN106540737</v>
      </c>
      <c r="D439" s="12" t="s">
        <v>1466</v>
      </c>
      <c r="E439" t="str">
        <f t="shared" si="65"/>
        <v>C07C</v>
      </c>
      <c r="H439" t="s">
        <v>1006</v>
      </c>
      <c r="I439" t="s">
        <v>2549</v>
      </c>
    </row>
    <row r="440" spans="3:9" x14ac:dyDescent="0.25">
      <c r="C440" s="12" t="str">
        <f t="shared" si="75"/>
        <v>CN106540737</v>
      </c>
      <c r="D440" s="12" t="s">
        <v>2566</v>
      </c>
      <c r="E440" t="str">
        <f t="shared" si="65"/>
        <v>C07C</v>
      </c>
      <c r="H440" t="s">
        <v>1006</v>
      </c>
      <c r="I440" t="s">
        <v>2552</v>
      </c>
    </row>
    <row r="441" spans="3:9" x14ac:dyDescent="0.25">
      <c r="C441" s="12" t="s">
        <v>378</v>
      </c>
      <c r="D441" s="12" t="s">
        <v>2577</v>
      </c>
      <c r="E441" t="str">
        <f t="shared" si="65"/>
        <v>B01J</v>
      </c>
      <c r="H441" t="s">
        <v>1014</v>
      </c>
      <c r="I441" t="s">
        <v>2552</v>
      </c>
    </row>
    <row r="442" spans="3:9" x14ac:dyDescent="0.25">
      <c r="C442" s="12" t="str">
        <f t="shared" ref="C442:C443" si="76">C441</f>
        <v>CN106466637</v>
      </c>
      <c r="D442" s="12" t="s">
        <v>1466</v>
      </c>
      <c r="E442" t="str">
        <f t="shared" si="65"/>
        <v>C07C</v>
      </c>
      <c r="H442" t="s">
        <v>1018</v>
      </c>
      <c r="I442" t="s">
        <v>2551</v>
      </c>
    </row>
    <row r="443" spans="3:9" x14ac:dyDescent="0.25">
      <c r="C443" s="12" t="str">
        <f t="shared" si="76"/>
        <v>CN106466637</v>
      </c>
      <c r="D443" s="12" t="s">
        <v>2566</v>
      </c>
      <c r="E443" t="str">
        <f t="shared" si="65"/>
        <v>C07C</v>
      </c>
      <c r="H443" t="s">
        <v>1024</v>
      </c>
      <c r="I443" t="s">
        <v>2549</v>
      </c>
    </row>
    <row r="444" spans="3:9" x14ac:dyDescent="0.25">
      <c r="C444" s="12" t="s">
        <v>382</v>
      </c>
      <c r="D444" s="12" t="s">
        <v>2577</v>
      </c>
      <c r="E444" t="str">
        <f t="shared" si="65"/>
        <v>B01J</v>
      </c>
      <c r="H444" t="s">
        <v>1024</v>
      </c>
      <c r="I444" t="s">
        <v>2552</v>
      </c>
    </row>
    <row r="445" spans="3:9" x14ac:dyDescent="0.25">
      <c r="C445" s="12" t="str">
        <f t="shared" ref="C445:C446" si="77">C444</f>
        <v>CN106466635</v>
      </c>
      <c r="D445" s="12" t="s">
        <v>1466</v>
      </c>
      <c r="E445" t="str">
        <f t="shared" si="65"/>
        <v>C07C</v>
      </c>
      <c r="H445" t="s">
        <v>1030</v>
      </c>
      <c r="I445" t="s">
        <v>2552</v>
      </c>
    </row>
    <row r="446" spans="3:9" x14ac:dyDescent="0.25">
      <c r="C446" s="12" t="str">
        <f t="shared" si="77"/>
        <v>CN106466635</v>
      </c>
      <c r="D446" s="12" t="s">
        <v>2566</v>
      </c>
      <c r="E446" t="str">
        <f t="shared" si="65"/>
        <v>C07C</v>
      </c>
      <c r="H446" t="s">
        <v>1034</v>
      </c>
      <c r="I446" t="s">
        <v>2549</v>
      </c>
    </row>
    <row r="447" spans="3:9" x14ac:dyDescent="0.25">
      <c r="C447" s="12" t="s">
        <v>384</v>
      </c>
      <c r="D447" s="12" t="s">
        <v>2577</v>
      </c>
      <c r="E447" t="str">
        <f t="shared" si="65"/>
        <v>B01J</v>
      </c>
      <c r="H447" t="s">
        <v>1034</v>
      </c>
      <c r="I447" t="s">
        <v>2551</v>
      </c>
    </row>
    <row r="448" spans="3:9" x14ac:dyDescent="0.25">
      <c r="C448" s="12" t="str">
        <f t="shared" ref="C448:C452" si="78">C447</f>
        <v>CN106466634</v>
      </c>
      <c r="D448" s="12" t="s">
        <v>2580</v>
      </c>
      <c r="E448" t="str">
        <f t="shared" si="65"/>
        <v>B01J</v>
      </c>
      <c r="H448" t="s">
        <v>1034</v>
      </c>
      <c r="I448" t="s">
        <v>2552</v>
      </c>
    </row>
    <row r="449" spans="3:9" x14ac:dyDescent="0.25">
      <c r="C449" s="12" t="str">
        <f t="shared" si="78"/>
        <v>CN106466634</v>
      </c>
      <c r="D449" s="12" t="s">
        <v>1466</v>
      </c>
      <c r="E449" t="str">
        <f t="shared" si="65"/>
        <v>C07C</v>
      </c>
      <c r="H449" t="s">
        <v>1038</v>
      </c>
      <c r="I449" t="s">
        <v>2552</v>
      </c>
    </row>
    <row r="450" spans="3:9" x14ac:dyDescent="0.25">
      <c r="C450" s="12" t="str">
        <f t="shared" si="78"/>
        <v>CN106466634</v>
      </c>
      <c r="D450" s="12" t="s">
        <v>2613</v>
      </c>
      <c r="E450" t="str">
        <f t="shared" si="65"/>
        <v>C07C</v>
      </c>
      <c r="H450" t="s">
        <v>1041</v>
      </c>
      <c r="I450" t="s">
        <v>2549</v>
      </c>
    </row>
    <row r="451" spans="3:9" x14ac:dyDescent="0.25">
      <c r="C451" s="12" t="str">
        <f t="shared" si="78"/>
        <v>CN106466634</v>
      </c>
      <c r="D451" s="12" t="s">
        <v>2567</v>
      </c>
      <c r="E451" t="str">
        <f t="shared" si="65"/>
        <v>C07C</v>
      </c>
      <c r="H451" t="s">
        <v>1041</v>
      </c>
      <c r="I451" t="s">
        <v>2572</v>
      </c>
    </row>
    <row r="452" spans="3:9" x14ac:dyDescent="0.25">
      <c r="C452" s="12" t="str">
        <f t="shared" si="78"/>
        <v>CN106466634</v>
      </c>
      <c r="D452" s="12" t="s">
        <v>1021</v>
      </c>
      <c r="E452" t="str">
        <f t="shared" si="65"/>
        <v>C07C</v>
      </c>
      <c r="H452" t="s">
        <v>1041</v>
      </c>
      <c r="I452" t="s">
        <v>2551</v>
      </c>
    </row>
    <row r="453" spans="3:9" x14ac:dyDescent="0.25">
      <c r="C453" s="12" t="s">
        <v>387</v>
      </c>
      <c r="D453" s="12" t="s">
        <v>2577</v>
      </c>
      <c r="E453" t="str">
        <f t="shared" ref="E453:E516" si="79">LEFT(D453,4)</f>
        <v>B01J</v>
      </c>
      <c r="H453" t="s">
        <v>1041</v>
      </c>
      <c r="I453" t="s">
        <v>2552</v>
      </c>
    </row>
    <row r="454" spans="3:9" x14ac:dyDescent="0.25">
      <c r="C454" s="12" t="str">
        <f t="shared" ref="C454:C455" si="80">C453</f>
        <v>CN106466632</v>
      </c>
      <c r="D454" s="12" t="s">
        <v>1466</v>
      </c>
      <c r="E454" t="str">
        <f t="shared" si="79"/>
        <v>C07C</v>
      </c>
      <c r="H454" t="s">
        <v>1047</v>
      </c>
      <c r="I454" t="s">
        <v>2549</v>
      </c>
    </row>
    <row r="455" spans="3:9" x14ac:dyDescent="0.25">
      <c r="C455" s="12" t="str">
        <f t="shared" si="80"/>
        <v>CN106466632</v>
      </c>
      <c r="D455" s="12" t="s">
        <v>2566</v>
      </c>
      <c r="E455" t="str">
        <f t="shared" si="79"/>
        <v>C07C</v>
      </c>
      <c r="H455" t="s">
        <v>1047</v>
      </c>
      <c r="I455" t="s">
        <v>2572</v>
      </c>
    </row>
    <row r="456" spans="3:9" x14ac:dyDescent="0.25">
      <c r="C456" s="12" t="s">
        <v>389</v>
      </c>
      <c r="D456" s="12" t="s">
        <v>2577</v>
      </c>
      <c r="E456" t="str">
        <f t="shared" si="79"/>
        <v>B01J</v>
      </c>
      <c r="H456" t="s">
        <v>1047</v>
      </c>
      <c r="I456" t="s">
        <v>2551</v>
      </c>
    </row>
    <row r="457" spans="3:9" x14ac:dyDescent="0.25">
      <c r="C457" s="12" t="str">
        <f t="shared" ref="C457:C460" si="81">C456</f>
        <v>CN106466628</v>
      </c>
      <c r="D457" s="12" t="s">
        <v>1466</v>
      </c>
      <c r="E457" t="str">
        <f t="shared" si="79"/>
        <v>C07C</v>
      </c>
      <c r="H457" t="s">
        <v>1047</v>
      </c>
      <c r="I457" t="s">
        <v>2552</v>
      </c>
    </row>
    <row r="458" spans="3:9" x14ac:dyDescent="0.25">
      <c r="C458" s="12" t="str">
        <f t="shared" si="81"/>
        <v>CN106466628</v>
      </c>
      <c r="D458" s="12" t="s">
        <v>2613</v>
      </c>
      <c r="E458" t="str">
        <f t="shared" si="79"/>
        <v>C07C</v>
      </c>
      <c r="H458" t="s">
        <v>1055</v>
      </c>
      <c r="I458" t="s">
        <v>2552</v>
      </c>
    </row>
    <row r="459" spans="3:9" x14ac:dyDescent="0.25">
      <c r="C459" s="12" t="str">
        <f t="shared" si="81"/>
        <v>CN106466628</v>
      </c>
      <c r="D459" s="12" t="s">
        <v>2567</v>
      </c>
      <c r="E459" t="str">
        <f t="shared" si="79"/>
        <v>C07C</v>
      </c>
      <c r="H459" t="s">
        <v>1060</v>
      </c>
      <c r="I459" t="s">
        <v>2549</v>
      </c>
    </row>
    <row r="460" spans="3:9" x14ac:dyDescent="0.25">
      <c r="C460" s="12" t="str">
        <f t="shared" si="81"/>
        <v>CN106466628</v>
      </c>
      <c r="D460" s="12" t="s">
        <v>1021</v>
      </c>
      <c r="E460" t="str">
        <f t="shared" si="79"/>
        <v>C07C</v>
      </c>
      <c r="H460" t="s">
        <v>1060</v>
      </c>
      <c r="I460" t="s">
        <v>2572</v>
      </c>
    </row>
    <row r="461" spans="3:9" x14ac:dyDescent="0.25">
      <c r="C461" s="12" t="s">
        <v>391</v>
      </c>
      <c r="D461" s="12" t="s">
        <v>2577</v>
      </c>
      <c r="E461" t="str">
        <f t="shared" si="79"/>
        <v>B01J</v>
      </c>
      <c r="H461" t="s">
        <v>1060</v>
      </c>
      <c r="I461" t="s">
        <v>2551</v>
      </c>
    </row>
    <row r="462" spans="3:9" x14ac:dyDescent="0.25">
      <c r="C462" s="12" t="str">
        <f t="shared" ref="C462:C463" si="82">C461</f>
        <v>CN106466630</v>
      </c>
      <c r="D462" s="12" t="s">
        <v>1466</v>
      </c>
      <c r="E462" t="str">
        <f t="shared" si="79"/>
        <v>C07C</v>
      </c>
      <c r="H462" t="s">
        <v>1060</v>
      </c>
      <c r="I462" t="s">
        <v>2552</v>
      </c>
    </row>
    <row r="463" spans="3:9" x14ac:dyDescent="0.25">
      <c r="C463" s="12" t="str">
        <f t="shared" si="82"/>
        <v>CN106466630</v>
      </c>
      <c r="D463" s="12" t="s">
        <v>2566</v>
      </c>
      <c r="E463" t="str">
        <f t="shared" si="79"/>
        <v>C07C</v>
      </c>
      <c r="H463" t="s">
        <v>1068</v>
      </c>
      <c r="I463" t="s">
        <v>2549</v>
      </c>
    </row>
    <row r="464" spans="3:9" x14ac:dyDescent="0.25">
      <c r="C464" s="12" t="s">
        <v>393</v>
      </c>
      <c r="D464" s="12" t="s">
        <v>2577</v>
      </c>
      <c r="E464" t="str">
        <f t="shared" si="79"/>
        <v>B01J</v>
      </c>
      <c r="H464" t="s">
        <v>1068</v>
      </c>
      <c r="I464" t="s">
        <v>2572</v>
      </c>
    </row>
    <row r="465" spans="3:9" x14ac:dyDescent="0.25">
      <c r="C465" s="12" t="str">
        <f t="shared" ref="C465:C466" si="83">C464</f>
        <v>CN106466627</v>
      </c>
      <c r="D465" s="12" t="s">
        <v>1466</v>
      </c>
      <c r="E465" t="str">
        <f t="shared" si="79"/>
        <v>C07C</v>
      </c>
      <c r="H465" t="s">
        <v>1068</v>
      </c>
      <c r="I465" t="s">
        <v>2847</v>
      </c>
    </row>
    <row r="466" spans="3:9" x14ac:dyDescent="0.25">
      <c r="C466" s="12" t="str">
        <f t="shared" si="83"/>
        <v>CN106466627</v>
      </c>
      <c r="D466" s="12" t="s">
        <v>2566</v>
      </c>
      <c r="E466" t="str">
        <f t="shared" si="79"/>
        <v>C07C</v>
      </c>
      <c r="H466" t="s">
        <v>1068</v>
      </c>
      <c r="I466" t="s">
        <v>2551</v>
      </c>
    </row>
    <row r="467" spans="3:9" x14ac:dyDescent="0.25">
      <c r="C467" s="12" t="s">
        <v>395</v>
      </c>
      <c r="D467" s="12" t="s">
        <v>1498</v>
      </c>
      <c r="E467" t="str">
        <f t="shared" si="79"/>
        <v>C07C</v>
      </c>
      <c r="H467" t="s">
        <v>1068</v>
      </c>
      <c r="I467" t="s">
        <v>2552</v>
      </c>
    </row>
    <row r="468" spans="3:9" x14ac:dyDescent="0.25">
      <c r="C468" s="12" t="str">
        <f>C467</f>
        <v>CN106431808</v>
      </c>
      <c r="D468" s="12" t="s">
        <v>2566</v>
      </c>
      <c r="E468" t="str">
        <f t="shared" si="79"/>
        <v>C07C</v>
      </c>
      <c r="H468" t="s">
        <v>1076</v>
      </c>
      <c r="I468" t="s">
        <v>2549</v>
      </c>
    </row>
    <row r="469" spans="3:9" x14ac:dyDescent="0.25">
      <c r="C469" s="12" t="s">
        <v>400</v>
      </c>
      <c r="D469" s="12" t="s">
        <v>1466</v>
      </c>
      <c r="E469" t="str">
        <f t="shared" si="79"/>
        <v>C07C</v>
      </c>
      <c r="H469" t="s">
        <v>1076</v>
      </c>
      <c r="I469" t="s">
        <v>2552</v>
      </c>
    </row>
    <row r="470" spans="3:9" x14ac:dyDescent="0.25">
      <c r="C470" s="12" t="str">
        <f t="shared" ref="C470:C473" si="84">C469</f>
        <v>CN106336339</v>
      </c>
      <c r="D470" s="12" t="s">
        <v>2566</v>
      </c>
      <c r="E470" t="str">
        <f t="shared" si="79"/>
        <v>C07C</v>
      </c>
      <c r="H470" t="s">
        <v>1081</v>
      </c>
      <c r="I470" t="s">
        <v>2549</v>
      </c>
    </row>
    <row r="471" spans="3:9" x14ac:dyDescent="0.25">
      <c r="C471" s="12" t="str">
        <f t="shared" si="84"/>
        <v>CN106336339</v>
      </c>
      <c r="D471" s="12" t="s">
        <v>2613</v>
      </c>
      <c r="E471" t="str">
        <f t="shared" si="79"/>
        <v>C07C</v>
      </c>
      <c r="H471" t="s">
        <v>1081</v>
      </c>
      <c r="I471" t="s">
        <v>2572</v>
      </c>
    </row>
    <row r="472" spans="3:9" x14ac:dyDescent="0.25">
      <c r="C472" s="12" t="str">
        <f t="shared" si="84"/>
        <v>CN106336339</v>
      </c>
      <c r="D472" s="12" t="s">
        <v>2567</v>
      </c>
      <c r="E472" t="str">
        <f t="shared" si="79"/>
        <v>C07C</v>
      </c>
      <c r="H472" t="s">
        <v>1081</v>
      </c>
      <c r="I472" t="s">
        <v>2551</v>
      </c>
    </row>
    <row r="473" spans="3:9" x14ac:dyDescent="0.25">
      <c r="C473" s="12" t="str">
        <f t="shared" si="84"/>
        <v>CN106336339</v>
      </c>
      <c r="D473" s="12" t="s">
        <v>1021</v>
      </c>
      <c r="E473" t="str">
        <f t="shared" si="79"/>
        <v>C07C</v>
      </c>
      <c r="H473" t="s">
        <v>1081</v>
      </c>
      <c r="I473" t="s">
        <v>2552</v>
      </c>
    </row>
    <row r="474" spans="3:9" x14ac:dyDescent="0.25">
      <c r="C474" s="12" t="s">
        <v>404</v>
      </c>
      <c r="D474" s="12" t="s">
        <v>2558</v>
      </c>
      <c r="E474" t="str">
        <f t="shared" si="79"/>
        <v>B01J</v>
      </c>
      <c r="H474" t="s">
        <v>1086</v>
      </c>
      <c r="I474" t="s">
        <v>2551</v>
      </c>
    </row>
    <row r="475" spans="3:9" x14ac:dyDescent="0.25">
      <c r="C475" s="12" t="str">
        <f t="shared" ref="C475:C481" si="85">C474</f>
        <v>CN106082264</v>
      </c>
      <c r="D475" s="12" t="s">
        <v>2580</v>
      </c>
      <c r="E475" t="str">
        <f t="shared" si="79"/>
        <v>B01J</v>
      </c>
      <c r="H475" t="s">
        <v>1086</v>
      </c>
      <c r="I475" t="s">
        <v>2552</v>
      </c>
    </row>
    <row r="476" spans="3:9" x14ac:dyDescent="0.25">
      <c r="C476" s="12" t="str">
        <f t="shared" si="85"/>
        <v>CN106082264</v>
      </c>
      <c r="D476" s="12" t="s">
        <v>1757</v>
      </c>
      <c r="E476" t="str">
        <f t="shared" si="79"/>
        <v>C01B</v>
      </c>
      <c r="H476" t="s">
        <v>1086</v>
      </c>
      <c r="I476" t="s">
        <v>2554</v>
      </c>
    </row>
    <row r="477" spans="3:9" x14ac:dyDescent="0.25">
      <c r="C477" s="12" t="str">
        <f t="shared" si="85"/>
        <v>CN106082264</v>
      </c>
      <c r="D477" s="12" t="s">
        <v>2658</v>
      </c>
      <c r="E477" t="str">
        <f t="shared" si="79"/>
        <v>C01B</v>
      </c>
      <c r="H477" t="s">
        <v>1092</v>
      </c>
      <c r="I477" t="s">
        <v>2549</v>
      </c>
    </row>
    <row r="478" spans="3:9" x14ac:dyDescent="0.25">
      <c r="C478" s="12" t="str">
        <f t="shared" si="85"/>
        <v>CN106082264</v>
      </c>
      <c r="D478" s="12" t="s">
        <v>2657</v>
      </c>
      <c r="E478" t="str">
        <f t="shared" si="79"/>
        <v>C01B</v>
      </c>
      <c r="H478" t="s">
        <v>1092</v>
      </c>
      <c r="I478" t="s">
        <v>2572</v>
      </c>
    </row>
    <row r="479" spans="3:9" x14ac:dyDescent="0.25">
      <c r="C479" s="12" t="str">
        <f t="shared" si="85"/>
        <v>CN106082264</v>
      </c>
      <c r="D479" s="12" t="s">
        <v>1997</v>
      </c>
      <c r="E479" t="str">
        <f t="shared" si="79"/>
        <v>C07C</v>
      </c>
      <c r="H479" t="s">
        <v>1092</v>
      </c>
      <c r="I479" t="s">
        <v>2847</v>
      </c>
    </row>
    <row r="480" spans="3:9" x14ac:dyDescent="0.25">
      <c r="C480" s="12" t="str">
        <f t="shared" si="85"/>
        <v>CN106082264</v>
      </c>
      <c r="D480" s="12" t="s">
        <v>2573</v>
      </c>
      <c r="E480" t="str">
        <f t="shared" si="79"/>
        <v>C07C</v>
      </c>
      <c r="H480" t="s">
        <v>1092</v>
      </c>
      <c r="I480" t="s">
        <v>2551</v>
      </c>
    </row>
    <row r="481" spans="3:9" x14ac:dyDescent="0.25">
      <c r="C481" s="12" t="str">
        <f t="shared" si="85"/>
        <v>CN106082264</v>
      </c>
      <c r="D481" s="12" t="s">
        <v>1021</v>
      </c>
      <c r="E481" t="str">
        <f t="shared" si="79"/>
        <v>C07C</v>
      </c>
      <c r="H481" t="s">
        <v>1099</v>
      </c>
      <c r="I481" t="s">
        <v>2549</v>
      </c>
    </row>
    <row r="482" spans="3:9" x14ac:dyDescent="0.25">
      <c r="C482" s="12" t="s">
        <v>408</v>
      </c>
      <c r="D482" s="12" t="s">
        <v>2558</v>
      </c>
      <c r="E482" t="str">
        <f t="shared" si="79"/>
        <v>B01J</v>
      </c>
      <c r="H482" t="s">
        <v>1099</v>
      </c>
      <c r="I482" t="s">
        <v>2572</v>
      </c>
    </row>
    <row r="483" spans="3:9" x14ac:dyDescent="0.25">
      <c r="C483" s="12" t="str">
        <f t="shared" ref="C483:C485" si="86">C482</f>
        <v>CN106000452</v>
      </c>
      <c r="D483" s="12" t="s">
        <v>2633</v>
      </c>
      <c r="E483" t="str">
        <f t="shared" si="79"/>
        <v>B01J</v>
      </c>
      <c r="H483" t="s">
        <v>1099</v>
      </c>
      <c r="I483" t="s">
        <v>2847</v>
      </c>
    </row>
    <row r="484" spans="3:9" x14ac:dyDescent="0.25">
      <c r="C484" s="12" t="str">
        <f t="shared" si="86"/>
        <v>CN106000452</v>
      </c>
      <c r="D484" s="12" t="s">
        <v>1466</v>
      </c>
      <c r="E484" t="str">
        <f t="shared" si="79"/>
        <v>C07C</v>
      </c>
      <c r="H484" t="s">
        <v>1099</v>
      </c>
      <c r="I484" t="s">
        <v>2551</v>
      </c>
    </row>
    <row r="485" spans="3:9" x14ac:dyDescent="0.25">
      <c r="C485" s="12" t="str">
        <f t="shared" si="86"/>
        <v>CN106000452</v>
      </c>
      <c r="D485" s="12" t="s">
        <v>2566</v>
      </c>
      <c r="E485" t="str">
        <f t="shared" si="79"/>
        <v>C07C</v>
      </c>
      <c r="H485" t="s">
        <v>1099</v>
      </c>
      <c r="I485" t="s">
        <v>2552</v>
      </c>
    </row>
    <row r="486" spans="3:9" ht="30" x14ac:dyDescent="0.25">
      <c r="C486" s="12" t="s">
        <v>415</v>
      </c>
      <c r="D486" s="12" t="s">
        <v>2558</v>
      </c>
      <c r="E486" t="str">
        <f t="shared" si="79"/>
        <v>B01J</v>
      </c>
      <c r="H486" t="s">
        <v>1108</v>
      </c>
      <c r="I486" t="s">
        <v>2549</v>
      </c>
    </row>
    <row r="487" spans="3:9" ht="30" x14ac:dyDescent="0.25">
      <c r="C487" s="12" t="str">
        <f t="shared" ref="C487:C495" si="87">C486</f>
        <v>WO2016160081</v>
      </c>
      <c r="D487" s="12" t="s">
        <v>1466</v>
      </c>
      <c r="E487" t="str">
        <f t="shared" si="79"/>
        <v>C07C</v>
      </c>
      <c r="H487" t="s">
        <v>1108</v>
      </c>
      <c r="I487" t="s">
        <v>2572</v>
      </c>
    </row>
    <row r="488" spans="3:9" ht="30" x14ac:dyDescent="0.25">
      <c r="C488" s="12" t="str">
        <f t="shared" si="87"/>
        <v>WO2016160081</v>
      </c>
      <c r="D488" s="12" t="s">
        <v>2641</v>
      </c>
      <c r="E488" t="str">
        <f t="shared" si="79"/>
        <v>C07C</v>
      </c>
      <c r="H488" t="s">
        <v>1108</v>
      </c>
      <c r="I488" t="s">
        <v>2847</v>
      </c>
    </row>
    <row r="489" spans="3:9" ht="30" x14ac:dyDescent="0.25">
      <c r="C489" s="12" t="str">
        <f t="shared" si="87"/>
        <v>WO2016160081</v>
      </c>
      <c r="D489" s="12" t="s">
        <v>2659</v>
      </c>
      <c r="E489" t="str">
        <f t="shared" si="79"/>
        <v>C07C</v>
      </c>
      <c r="H489" t="s">
        <v>1108</v>
      </c>
      <c r="I489" t="s">
        <v>2551</v>
      </c>
    </row>
    <row r="490" spans="3:9" ht="30" x14ac:dyDescent="0.25">
      <c r="C490" s="12" t="str">
        <f t="shared" si="87"/>
        <v>WO2016160081</v>
      </c>
      <c r="D490" s="12" t="s">
        <v>2660</v>
      </c>
      <c r="E490" t="str">
        <f t="shared" si="79"/>
        <v>C07C</v>
      </c>
      <c r="H490" t="s">
        <v>1108</v>
      </c>
      <c r="I490" t="s">
        <v>2552</v>
      </c>
    </row>
    <row r="491" spans="3:9" ht="30" x14ac:dyDescent="0.25">
      <c r="C491" s="12" t="str">
        <f t="shared" si="87"/>
        <v>WO2016160081</v>
      </c>
      <c r="D491" s="12" t="s">
        <v>2661</v>
      </c>
      <c r="E491" t="str">
        <f t="shared" si="79"/>
        <v>C07C</v>
      </c>
      <c r="H491" t="s">
        <v>1116</v>
      </c>
      <c r="I491" t="s">
        <v>2847</v>
      </c>
    </row>
    <row r="492" spans="3:9" ht="30" x14ac:dyDescent="0.25">
      <c r="C492" s="12" t="str">
        <f t="shared" si="87"/>
        <v>WO2016160081</v>
      </c>
      <c r="D492" s="12" t="s">
        <v>2581</v>
      </c>
      <c r="E492" t="str">
        <f t="shared" si="79"/>
        <v>C07C</v>
      </c>
      <c r="H492" t="s">
        <v>1116</v>
      </c>
      <c r="I492" t="s">
        <v>2551</v>
      </c>
    </row>
    <row r="493" spans="3:9" ht="30" x14ac:dyDescent="0.25">
      <c r="C493" s="12" t="str">
        <f t="shared" si="87"/>
        <v>WO2016160081</v>
      </c>
      <c r="D493" s="12" t="s">
        <v>2566</v>
      </c>
      <c r="E493" t="str">
        <f t="shared" si="79"/>
        <v>C07C</v>
      </c>
      <c r="H493" t="s">
        <v>1116</v>
      </c>
      <c r="I493" t="s">
        <v>2552</v>
      </c>
    </row>
    <row r="494" spans="3:9" ht="30" x14ac:dyDescent="0.25">
      <c r="C494" s="12" t="str">
        <f t="shared" si="87"/>
        <v>WO2016160081</v>
      </c>
      <c r="D494" s="12" t="s">
        <v>1021</v>
      </c>
      <c r="E494" t="str">
        <f t="shared" si="79"/>
        <v>C07C</v>
      </c>
      <c r="H494" t="s">
        <v>1116</v>
      </c>
      <c r="I494" t="s">
        <v>2554</v>
      </c>
    </row>
    <row r="495" spans="3:9" ht="30" x14ac:dyDescent="0.25">
      <c r="C495" s="12" t="str">
        <f t="shared" si="87"/>
        <v>WO2016160081</v>
      </c>
      <c r="D495" s="12" t="s">
        <v>2611</v>
      </c>
      <c r="E495" t="str">
        <f t="shared" si="79"/>
        <v>C10G</v>
      </c>
      <c r="H495" t="s">
        <v>1123</v>
      </c>
      <c r="I495" t="s">
        <v>2847</v>
      </c>
    </row>
    <row r="496" spans="3:9" x14ac:dyDescent="0.25">
      <c r="C496" s="12" t="s">
        <v>421</v>
      </c>
      <c r="D496" s="12" t="s">
        <v>2558</v>
      </c>
      <c r="E496" t="str">
        <f t="shared" si="79"/>
        <v>B01J</v>
      </c>
      <c r="H496" t="s">
        <v>1123</v>
      </c>
      <c r="I496" t="s">
        <v>2551</v>
      </c>
    </row>
    <row r="497" spans="3:9" x14ac:dyDescent="0.25">
      <c r="C497" s="12" t="str">
        <f t="shared" ref="C497:C500" si="88">C496</f>
        <v>CN105949019</v>
      </c>
      <c r="D497" s="12" t="s">
        <v>2563</v>
      </c>
      <c r="E497" t="str">
        <f t="shared" si="79"/>
        <v>B01J</v>
      </c>
      <c r="H497" t="s">
        <v>1123</v>
      </c>
      <c r="I497" t="s">
        <v>2552</v>
      </c>
    </row>
    <row r="498" spans="3:9" x14ac:dyDescent="0.25">
      <c r="C498" s="12" t="str">
        <f t="shared" si="88"/>
        <v>CN105949019</v>
      </c>
      <c r="D498" s="12" t="s">
        <v>2574</v>
      </c>
      <c r="E498" t="str">
        <f t="shared" si="79"/>
        <v>B01J</v>
      </c>
      <c r="H498" t="s">
        <v>1123</v>
      </c>
      <c r="I498" t="s">
        <v>2554</v>
      </c>
    </row>
    <row r="499" spans="3:9" x14ac:dyDescent="0.25">
      <c r="C499" s="12" t="str">
        <f t="shared" si="88"/>
        <v>CN105949019</v>
      </c>
      <c r="D499" s="12" t="s">
        <v>1466</v>
      </c>
      <c r="E499" t="str">
        <f t="shared" si="79"/>
        <v>C07C</v>
      </c>
      <c r="H499" t="s">
        <v>1129</v>
      </c>
      <c r="I499" t="s">
        <v>2549</v>
      </c>
    </row>
    <row r="500" spans="3:9" x14ac:dyDescent="0.25">
      <c r="C500" s="12" t="str">
        <f t="shared" si="88"/>
        <v>CN105949019</v>
      </c>
      <c r="D500" s="12" t="s">
        <v>2566</v>
      </c>
      <c r="E500" t="str">
        <f t="shared" si="79"/>
        <v>C07C</v>
      </c>
      <c r="H500" t="s">
        <v>1129</v>
      </c>
      <c r="I500" t="s">
        <v>2572</v>
      </c>
    </row>
    <row r="501" spans="3:9" x14ac:dyDescent="0.25">
      <c r="C501" s="12" t="s">
        <v>426</v>
      </c>
      <c r="D501" s="12" t="s">
        <v>2563</v>
      </c>
      <c r="E501" t="str">
        <f t="shared" si="79"/>
        <v>B01J</v>
      </c>
      <c r="H501" t="s">
        <v>1129</v>
      </c>
      <c r="I501" t="s">
        <v>2845</v>
      </c>
    </row>
    <row r="502" spans="3:9" x14ac:dyDescent="0.25">
      <c r="C502" s="12" t="str">
        <f t="shared" ref="C502:C505" si="89">C501</f>
        <v>RU2594564</v>
      </c>
      <c r="D502" s="12" t="s">
        <v>1466</v>
      </c>
      <c r="E502" t="str">
        <f t="shared" si="79"/>
        <v>C07C</v>
      </c>
      <c r="H502" t="s">
        <v>1129</v>
      </c>
      <c r="I502" t="s">
        <v>2847</v>
      </c>
    </row>
    <row r="503" spans="3:9" x14ac:dyDescent="0.25">
      <c r="C503" s="12" t="str">
        <f t="shared" si="89"/>
        <v>RU2594564</v>
      </c>
      <c r="D503" s="12" t="s">
        <v>2566</v>
      </c>
      <c r="E503" t="str">
        <f t="shared" si="79"/>
        <v>C07C</v>
      </c>
      <c r="H503" t="s">
        <v>1129</v>
      </c>
      <c r="I503" t="s">
        <v>2551</v>
      </c>
    </row>
    <row r="504" spans="3:9" x14ac:dyDescent="0.25">
      <c r="C504" s="12" t="str">
        <f t="shared" si="89"/>
        <v>RU2594564</v>
      </c>
      <c r="D504" s="12" t="s">
        <v>1021</v>
      </c>
      <c r="E504" t="str">
        <f t="shared" si="79"/>
        <v>C07C</v>
      </c>
      <c r="H504" t="s">
        <v>1129</v>
      </c>
      <c r="I504" t="s">
        <v>2552</v>
      </c>
    </row>
    <row r="505" spans="3:9" x14ac:dyDescent="0.25">
      <c r="C505" s="12" t="str">
        <f t="shared" si="89"/>
        <v>RU2594564</v>
      </c>
      <c r="D505" s="12" t="s">
        <v>2662</v>
      </c>
      <c r="E505" t="str">
        <f t="shared" si="79"/>
        <v>C07C</v>
      </c>
      <c r="H505" t="s">
        <v>1137</v>
      </c>
      <c r="I505" t="s">
        <v>2552</v>
      </c>
    </row>
    <row r="506" spans="3:9" x14ac:dyDescent="0.25">
      <c r="C506" s="12" t="s">
        <v>432</v>
      </c>
      <c r="D506" s="12" t="s">
        <v>2558</v>
      </c>
      <c r="E506" t="str">
        <f t="shared" si="79"/>
        <v>B01J</v>
      </c>
      <c r="H506" t="s">
        <v>1137</v>
      </c>
      <c r="I506" t="s">
        <v>2554</v>
      </c>
    </row>
    <row r="507" spans="3:9" x14ac:dyDescent="0.25">
      <c r="C507" s="12" t="str">
        <f t="shared" ref="C507:C512" si="90">C506</f>
        <v>CA2973638</v>
      </c>
      <c r="D507" s="12" t="s">
        <v>1466</v>
      </c>
      <c r="E507" t="str">
        <f t="shared" si="79"/>
        <v>C07C</v>
      </c>
      <c r="H507" t="s">
        <v>1145</v>
      </c>
      <c r="I507" t="s">
        <v>2552</v>
      </c>
    </row>
    <row r="508" spans="3:9" x14ac:dyDescent="0.25">
      <c r="C508" s="12" t="str">
        <f t="shared" si="90"/>
        <v>CA2973638</v>
      </c>
      <c r="D508" s="12" t="s">
        <v>2663</v>
      </c>
      <c r="E508" t="str">
        <f t="shared" si="79"/>
        <v>C07C</v>
      </c>
      <c r="H508" t="s">
        <v>1145</v>
      </c>
      <c r="I508" t="s">
        <v>2554</v>
      </c>
    </row>
    <row r="509" spans="3:9" x14ac:dyDescent="0.25">
      <c r="C509" s="12" t="str">
        <f t="shared" si="90"/>
        <v>CA2973638</v>
      </c>
      <c r="D509" s="12" t="s">
        <v>2664</v>
      </c>
      <c r="E509" t="str">
        <f t="shared" si="79"/>
        <v>C07C</v>
      </c>
      <c r="H509" t="s">
        <v>1152</v>
      </c>
      <c r="I509" t="s">
        <v>2549</v>
      </c>
    </row>
    <row r="510" spans="3:9" x14ac:dyDescent="0.25">
      <c r="C510" s="12" t="str">
        <f t="shared" si="90"/>
        <v>CA2973638</v>
      </c>
      <c r="D510" s="12" t="s">
        <v>2665</v>
      </c>
      <c r="E510" t="str">
        <f t="shared" si="79"/>
        <v>C07C</v>
      </c>
      <c r="H510" t="s">
        <v>1152</v>
      </c>
      <c r="I510" t="s">
        <v>2551</v>
      </c>
    </row>
    <row r="511" spans="3:9" x14ac:dyDescent="0.25">
      <c r="C511" s="12" t="str">
        <f t="shared" si="90"/>
        <v>CA2973638</v>
      </c>
      <c r="D511" s="12" t="s">
        <v>2565</v>
      </c>
      <c r="E511" t="str">
        <f t="shared" si="79"/>
        <v>C07C</v>
      </c>
      <c r="H511" t="s">
        <v>1152</v>
      </c>
      <c r="I511" t="s">
        <v>2552</v>
      </c>
    </row>
    <row r="512" spans="3:9" x14ac:dyDescent="0.25">
      <c r="C512" s="12" t="str">
        <f t="shared" si="90"/>
        <v>CA2973638</v>
      </c>
      <c r="D512" s="12" t="s">
        <v>225</v>
      </c>
      <c r="E512" t="str">
        <f t="shared" si="79"/>
        <v>C10G</v>
      </c>
      <c r="H512" t="s">
        <v>1152</v>
      </c>
      <c r="I512" t="s">
        <v>2554</v>
      </c>
    </row>
    <row r="513" spans="3:9" x14ac:dyDescent="0.25">
      <c r="C513" s="12" t="s">
        <v>437</v>
      </c>
      <c r="D513" s="12" t="s">
        <v>2558</v>
      </c>
      <c r="E513" t="str">
        <f t="shared" si="79"/>
        <v>B01J</v>
      </c>
      <c r="H513" t="s">
        <v>1159</v>
      </c>
      <c r="I513" t="s">
        <v>2549</v>
      </c>
    </row>
    <row r="514" spans="3:9" x14ac:dyDescent="0.25">
      <c r="C514" s="12" t="str">
        <f t="shared" ref="C514:C519" si="91">C513</f>
        <v>CN105749958</v>
      </c>
      <c r="D514" s="12" t="s">
        <v>2563</v>
      </c>
      <c r="E514" t="str">
        <f t="shared" si="79"/>
        <v>B01J</v>
      </c>
      <c r="H514" t="s">
        <v>1159</v>
      </c>
      <c r="I514" t="s">
        <v>2847</v>
      </c>
    </row>
    <row r="515" spans="3:9" x14ac:dyDescent="0.25">
      <c r="C515" s="12" t="str">
        <f t="shared" si="91"/>
        <v>CN105749958</v>
      </c>
      <c r="D515" s="12" t="s">
        <v>2574</v>
      </c>
      <c r="E515" t="str">
        <f t="shared" si="79"/>
        <v>B01J</v>
      </c>
      <c r="H515" t="s">
        <v>1159</v>
      </c>
      <c r="I515" t="s">
        <v>2552</v>
      </c>
    </row>
    <row r="516" spans="3:9" x14ac:dyDescent="0.25">
      <c r="C516" s="12" t="str">
        <f t="shared" si="91"/>
        <v>CN105749958</v>
      </c>
      <c r="D516" s="12" t="s">
        <v>1466</v>
      </c>
      <c r="E516" t="str">
        <f t="shared" si="79"/>
        <v>C07C</v>
      </c>
      <c r="H516" t="s">
        <v>1159</v>
      </c>
      <c r="I516" t="s">
        <v>2554</v>
      </c>
    </row>
    <row r="517" spans="3:9" x14ac:dyDescent="0.25">
      <c r="C517" s="12" t="str">
        <f t="shared" si="91"/>
        <v>CN105749958</v>
      </c>
      <c r="D517" s="12" t="s">
        <v>2613</v>
      </c>
      <c r="E517" t="str">
        <f t="shared" ref="E517:E580" si="92">LEFT(D517,4)</f>
        <v>C07C</v>
      </c>
      <c r="H517" t="s">
        <v>1166</v>
      </c>
      <c r="I517" t="s">
        <v>2549</v>
      </c>
    </row>
    <row r="518" spans="3:9" x14ac:dyDescent="0.25">
      <c r="C518" s="12" t="str">
        <f t="shared" si="91"/>
        <v>CN105749958</v>
      </c>
      <c r="D518" s="12" t="s">
        <v>2567</v>
      </c>
      <c r="E518" t="str">
        <f t="shared" si="92"/>
        <v>C07C</v>
      </c>
      <c r="H518" t="s">
        <v>1166</v>
      </c>
      <c r="I518" t="s">
        <v>2572</v>
      </c>
    </row>
    <row r="519" spans="3:9" x14ac:dyDescent="0.25">
      <c r="C519" s="12" t="str">
        <f t="shared" si="91"/>
        <v>CN105749958</v>
      </c>
      <c r="D519" s="12" t="s">
        <v>1021</v>
      </c>
      <c r="E519" t="str">
        <f t="shared" si="92"/>
        <v>C07C</v>
      </c>
      <c r="H519" t="s">
        <v>1166</v>
      </c>
      <c r="I519" t="s">
        <v>2847</v>
      </c>
    </row>
    <row r="520" spans="3:9" x14ac:dyDescent="0.25">
      <c r="C520" s="12" t="s">
        <v>442</v>
      </c>
      <c r="D520" s="12" t="s">
        <v>2558</v>
      </c>
      <c r="E520" t="str">
        <f t="shared" si="92"/>
        <v>B01J</v>
      </c>
      <c r="H520" t="s">
        <v>1166</v>
      </c>
      <c r="I520" t="s">
        <v>2551</v>
      </c>
    </row>
    <row r="521" spans="3:9" x14ac:dyDescent="0.25">
      <c r="C521" s="12" t="str">
        <f t="shared" ref="C521:C525" si="93">C520</f>
        <v>CN105732251</v>
      </c>
      <c r="D521" s="12" t="s">
        <v>1739</v>
      </c>
      <c r="E521" t="str">
        <f t="shared" si="92"/>
        <v>B01J</v>
      </c>
      <c r="H521" t="s">
        <v>1166</v>
      </c>
      <c r="I521" t="s">
        <v>2552</v>
      </c>
    </row>
    <row r="522" spans="3:9" x14ac:dyDescent="0.25">
      <c r="C522" s="12" t="str">
        <f t="shared" si="93"/>
        <v>CN105732251</v>
      </c>
      <c r="D522" s="12" t="s">
        <v>1466</v>
      </c>
      <c r="E522" t="str">
        <f t="shared" si="92"/>
        <v>C07C</v>
      </c>
      <c r="H522" t="s">
        <v>1174</v>
      </c>
      <c r="I522" t="s">
        <v>2549</v>
      </c>
    </row>
    <row r="523" spans="3:9" x14ac:dyDescent="0.25">
      <c r="C523" s="12" t="str">
        <f t="shared" si="93"/>
        <v>CN105732251</v>
      </c>
      <c r="D523" s="12" t="s">
        <v>2666</v>
      </c>
      <c r="E523" t="str">
        <f t="shared" si="92"/>
        <v>C07C</v>
      </c>
      <c r="H523" t="s">
        <v>1174</v>
      </c>
      <c r="I523" t="s">
        <v>2551</v>
      </c>
    </row>
    <row r="524" spans="3:9" x14ac:dyDescent="0.25">
      <c r="C524" s="12" t="str">
        <f t="shared" si="93"/>
        <v>CN105732251</v>
      </c>
      <c r="D524" s="12" t="s">
        <v>2581</v>
      </c>
      <c r="E524" t="str">
        <f t="shared" si="92"/>
        <v>C07C</v>
      </c>
      <c r="H524" t="s">
        <v>1174</v>
      </c>
      <c r="I524" t="s">
        <v>2552</v>
      </c>
    </row>
    <row r="525" spans="3:9" x14ac:dyDescent="0.25">
      <c r="C525" s="12" t="str">
        <f t="shared" si="93"/>
        <v>CN105732251</v>
      </c>
      <c r="D525" s="12" t="s">
        <v>2566</v>
      </c>
      <c r="E525" t="str">
        <f t="shared" si="92"/>
        <v>C07C</v>
      </c>
      <c r="H525" t="s">
        <v>1181</v>
      </c>
      <c r="I525" t="s">
        <v>2551</v>
      </c>
    </row>
    <row r="526" spans="3:9" x14ac:dyDescent="0.25">
      <c r="C526" s="12" t="s">
        <v>447</v>
      </c>
      <c r="D526" s="12" t="s">
        <v>2558</v>
      </c>
      <c r="E526" t="str">
        <f t="shared" si="92"/>
        <v>B01J</v>
      </c>
      <c r="H526" t="s">
        <v>1181</v>
      </c>
      <c r="I526" t="s">
        <v>2552</v>
      </c>
    </row>
    <row r="527" spans="3:9" x14ac:dyDescent="0.25">
      <c r="C527" s="12" t="str">
        <f t="shared" ref="C527:C529" si="94">C526</f>
        <v>CN105728018</v>
      </c>
      <c r="D527" s="12" t="s">
        <v>1498</v>
      </c>
      <c r="E527" t="str">
        <f t="shared" si="92"/>
        <v>C07C</v>
      </c>
      <c r="H527" t="s">
        <v>1187</v>
      </c>
      <c r="I527" t="s">
        <v>2551</v>
      </c>
    </row>
    <row r="528" spans="3:9" x14ac:dyDescent="0.25">
      <c r="C528" s="12" t="str">
        <f t="shared" si="94"/>
        <v>CN105728018</v>
      </c>
      <c r="D528" s="12" t="s">
        <v>2567</v>
      </c>
      <c r="E528" t="str">
        <f t="shared" si="92"/>
        <v>C07C</v>
      </c>
      <c r="H528" t="s">
        <v>1187</v>
      </c>
      <c r="I528" t="s">
        <v>2552</v>
      </c>
    </row>
    <row r="529" spans="3:9" x14ac:dyDescent="0.25">
      <c r="C529" s="12" t="str">
        <f t="shared" si="94"/>
        <v>CN105728018</v>
      </c>
      <c r="D529" s="12" t="s">
        <v>1021</v>
      </c>
      <c r="E529" t="str">
        <f t="shared" si="92"/>
        <v>C07C</v>
      </c>
      <c r="H529" t="s">
        <v>1191</v>
      </c>
      <c r="I529" t="s">
        <v>2552</v>
      </c>
    </row>
    <row r="530" spans="3:9" ht="30" x14ac:dyDescent="0.25">
      <c r="C530" s="12" t="s">
        <v>452</v>
      </c>
      <c r="D530" s="12" t="s">
        <v>2560</v>
      </c>
      <c r="E530" t="str">
        <f t="shared" si="92"/>
        <v>B01J</v>
      </c>
      <c r="H530" t="s">
        <v>1191</v>
      </c>
      <c r="I530" t="s">
        <v>2554</v>
      </c>
    </row>
    <row r="531" spans="3:9" ht="30" x14ac:dyDescent="0.25">
      <c r="C531" s="12" t="str">
        <f t="shared" ref="C531:C537" si="95">C530</f>
        <v>US20160186074</v>
      </c>
      <c r="D531" s="12" t="s">
        <v>2667</v>
      </c>
      <c r="E531" t="str">
        <f t="shared" si="92"/>
        <v>B01J</v>
      </c>
      <c r="H531" t="s">
        <v>1196</v>
      </c>
      <c r="I531" t="s">
        <v>2549</v>
      </c>
    </row>
    <row r="532" spans="3:9" ht="30" x14ac:dyDescent="0.25">
      <c r="C532" s="12" t="str">
        <f t="shared" si="95"/>
        <v>US20160186074</v>
      </c>
      <c r="D532" s="12" t="s">
        <v>2668</v>
      </c>
      <c r="E532" t="str">
        <f t="shared" si="92"/>
        <v>B01J</v>
      </c>
      <c r="H532" t="s">
        <v>1196</v>
      </c>
      <c r="I532" t="s">
        <v>2572</v>
      </c>
    </row>
    <row r="533" spans="3:9" ht="30" x14ac:dyDescent="0.25">
      <c r="C533" s="12" t="str">
        <f t="shared" si="95"/>
        <v>US20160186074</v>
      </c>
      <c r="D533" s="12" t="s">
        <v>2649</v>
      </c>
      <c r="E533" t="str">
        <f t="shared" si="92"/>
        <v>B01J</v>
      </c>
      <c r="H533" t="s">
        <v>1196</v>
      </c>
      <c r="I533" t="s">
        <v>2551</v>
      </c>
    </row>
    <row r="534" spans="3:9" ht="30" x14ac:dyDescent="0.25">
      <c r="C534" s="12" t="str">
        <f t="shared" si="95"/>
        <v>US20160186074</v>
      </c>
      <c r="D534" s="12" t="s">
        <v>225</v>
      </c>
      <c r="E534" t="str">
        <f t="shared" si="92"/>
        <v>C10G</v>
      </c>
      <c r="H534" t="s">
        <v>1203</v>
      </c>
      <c r="I534" t="s">
        <v>2549</v>
      </c>
    </row>
    <row r="535" spans="3:9" ht="30" x14ac:dyDescent="0.25">
      <c r="C535" s="12" t="str">
        <f t="shared" si="95"/>
        <v>US20160186074</v>
      </c>
      <c r="D535" s="12" t="s">
        <v>2669</v>
      </c>
      <c r="E535" t="str">
        <f t="shared" si="92"/>
        <v>C10G</v>
      </c>
      <c r="H535" t="s">
        <v>1203</v>
      </c>
      <c r="I535" t="s">
        <v>2551</v>
      </c>
    </row>
    <row r="536" spans="3:9" ht="30" x14ac:dyDescent="0.25">
      <c r="C536" s="12" t="str">
        <f t="shared" si="95"/>
        <v>US20160186074</v>
      </c>
      <c r="D536" s="12" t="s">
        <v>2670</v>
      </c>
      <c r="E536" t="str">
        <f t="shared" si="92"/>
        <v>C10G</v>
      </c>
      <c r="H536" t="s">
        <v>1203</v>
      </c>
      <c r="I536" t="s">
        <v>2552</v>
      </c>
    </row>
    <row r="537" spans="3:9" ht="30" x14ac:dyDescent="0.25">
      <c r="C537" s="12" t="str">
        <f t="shared" si="95"/>
        <v>US20160186074</v>
      </c>
      <c r="D537" s="12" t="s">
        <v>2671</v>
      </c>
      <c r="E537" t="str">
        <f t="shared" si="92"/>
        <v>C10G</v>
      </c>
      <c r="H537" t="s">
        <v>1211</v>
      </c>
      <c r="I537" t="s">
        <v>2549</v>
      </c>
    </row>
    <row r="538" spans="3:9" x14ac:dyDescent="0.25">
      <c r="C538" s="12" t="s">
        <v>458</v>
      </c>
      <c r="D538" s="12" t="s">
        <v>2672</v>
      </c>
      <c r="E538" t="str">
        <f t="shared" si="92"/>
        <v>B01J</v>
      </c>
      <c r="H538" t="s">
        <v>1211</v>
      </c>
      <c r="I538" t="s">
        <v>2572</v>
      </c>
    </row>
    <row r="539" spans="3:9" x14ac:dyDescent="0.25">
      <c r="C539" s="12" t="str">
        <f t="shared" ref="C539:C548" si="96">C538</f>
        <v>CN105457570</v>
      </c>
      <c r="D539" s="12" t="s">
        <v>2673</v>
      </c>
      <c r="E539" t="str">
        <f t="shared" si="92"/>
        <v>B01J</v>
      </c>
      <c r="H539" t="s">
        <v>1211</v>
      </c>
      <c r="I539" t="s">
        <v>2552</v>
      </c>
    </row>
    <row r="540" spans="3:9" x14ac:dyDescent="0.25">
      <c r="C540" s="12" t="str">
        <f t="shared" si="96"/>
        <v>CN105457570</v>
      </c>
      <c r="D540" s="12" t="s">
        <v>2563</v>
      </c>
      <c r="E540" t="str">
        <f t="shared" si="92"/>
        <v>B01J</v>
      </c>
      <c r="H540" t="s">
        <v>1219</v>
      </c>
      <c r="I540" t="s">
        <v>2549</v>
      </c>
    </row>
    <row r="541" spans="3:9" x14ac:dyDescent="0.25">
      <c r="C541" s="12" t="str">
        <f t="shared" si="96"/>
        <v>CN105457570</v>
      </c>
      <c r="D541" s="12" t="s">
        <v>2574</v>
      </c>
      <c r="E541" t="str">
        <f t="shared" si="92"/>
        <v>B01J</v>
      </c>
      <c r="H541" t="s">
        <v>1219</v>
      </c>
      <c r="I541" t="s">
        <v>2847</v>
      </c>
    </row>
    <row r="542" spans="3:9" x14ac:dyDescent="0.25">
      <c r="C542" s="12" t="str">
        <f t="shared" si="96"/>
        <v>CN105457570</v>
      </c>
      <c r="D542" s="12" t="s">
        <v>1940</v>
      </c>
      <c r="E542" t="str">
        <f t="shared" si="92"/>
        <v>B01J</v>
      </c>
      <c r="H542" t="s">
        <v>1219</v>
      </c>
      <c r="I542" t="s">
        <v>2551</v>
      </c>
    </row>
    <row r="543" spans="3:9" x14ac:dyDescent="0.25">
      <c r="C543" s="12" t="str">
        <f t="shared" si="96"/>
        <v>CN105457570</v>
      </c>
      <c r="D543" s="12" t="s">
        <v>1739</v>
      </c>
      <c r="E543" t="str">
        <f t="shared" si="92"/>
        <v>B01J</v>
      </c>
      <c r="H543" t="s">
        <v>1219</v>
      </c>
      <c r="I543" t="s">
        <v>2552</v>
      </c>
    </row>
    <row r="544" spans="3:9" x14ac:dyDescent="0.25">
      <c r="C544" s="12" t="str">
        <f t="shared" si="96"/>
        <v>CN105457570</v>
      </c>
      <c r="D544" s="12" t="s">
        <v>2674</v>
      </c>
      <c r="E544" t="str">
        <f t="shared" si="92"/>
        <v>B01J</v>
      </c>
      <c r="H544" t="s">
        <v>1227</v>
      </c>
      <c r="I544" t="s">
        <v>2549</v>
      </c>
    </row>
    <row r="545" spans="3:9" x14ac:dyDescent="0.25">
      <c r="C545" s="12" t="str">
        <f t="shared" si="96"/>
        <v>CN105457570</v>
      </c>
      <c r="D545" s="12" t="s">
        <v>1466</v>
      </c>
      <c r="E545" t="str">
        <f t="shared" si="92"/>
        <v>C07C</v>
      </c>
      <c r="H545" t="s">
        <v>1227</v>
      </c>
      <c r="I545" t="s">
        <v>2552</v>
      </c>
    </row>
    <row r="546" spans="3:9" x14ac:dyDescent="0.25">
      <c r="C546" s="12" t="str">
        <f t="shared" si="96"/>
        <v>CN105457570</v>
      </c>
      <c r="D546" s="12" t="s">
        <v>2582</v>
      </c>
      <c r="E546" t="str">
        <f t="shared" si="92"/>
        <v>C07C</v>
      </c>
      <c r="H546" t="s">
        <v>1233</v>
      </c>
      <c r="I546" t="s">
        <v>2552</v>
      </c>
    </row>
    <row r="547" spans="3:9" x14ac:dyDescent="0.25">
      <c r="C547" s="12" t="str">
        <f t="shared" si="96"/>
        <v>CN105457570</v>
      </c>
      <c r="D547" s="12" t="s">
        <v>2583</v>
      </c>
      <c r="E547" t="str">
        <f t="shared" si="92"/>
        <v>C07C</v>
      </c>
      <c r="H547" t="s">
        <v>1240</v>
      </c>
      <c r="I547" t="s">
        <v>2549</v>
      </c>
    </row>
    <row r="548" spans="3:9" x14ac:dyDescent="0.25">
      <c r="C548" s="12" t="str">
        <f t="shared" si="96"/>
        <v>CN105457570</v>
      </c>
      <c r="D548" s="12" t="s">
        <v>2566</v>
      </c>
      <c r="E548" t="str">
        <f t="shared" si="92"/>
        <v>C07C</v>
      </c>
      <c r="H548" t="s">
        <v>1240</v>
      </c>
      <c r="I548" t="s">
        <v>2847</v>
      </c>
    </row>
    <row r="549" spans="3:9" x14ac:dyDescent="0.25">
      <c r="C549" s="12" t="s">
        <v>463</v>
      </c>
      <c r="D549" s="12" t="s">
        <v>1466</v>
      </c>
      <c r="E549" t="str">
        <f t="shared" si="92"/>
        <v>C07C</v>
      </c>
      <c r="H549" t="s">
        <v>1240</v>
      </c>
      <c r="I549" t="s">
        <v>2551</v>
      </c>
    </row>
    <row r="550" spans="3:9" x14ac:dyDescent="0.25">
      <c r="C550" s="12" t="str">
        <f t="shared" ref="C550:C554" si="97">C549</f>
        <v>CN105461497</v>
      </c>
      <c r="D550" s="12" t="s">
        <v>2582</v>
      </c>
      <c r="E550" t="str">
        <f t="shared" si="92"/>
        <v>C07C</v>
      </c>
      <c r="H550" t="s">
        <v>1240</v>
      </c>
      <c r="I550" t="s">
        <v>2853</v>
      </c>
    </row>
    <row r="551" spans="3:9" x14ac:dyDescent="0.25">
      <c r="C551" s="12" t="str">
        <f t="shared" si="97"/>
        <v>CN105461497</v>
      </c>
      <c r="D551" s="12" t="s">
        <v>2583</v>
      </c>
      <c r="E551" t="str">
        <f t="shared" si="92"/>
        <v>C07C</v>
      </c>
      <c r="H551" t="s">
        <v>1240</v>
      </c>
      <c r="I551" t="s">
        <v>2552</v>
      </c>
    </row>
    <row r="552" spans="3:9" x14ac:dyDescent="0.25">
      <c r="C552" s="12" t="str">
        <f t="shared" si="97"/>
        <v>CN105461497</v>
      </c>
      <c r="D552" s="12" t="s">
        <v>2613</v>
      </c>
      <c r="E552" t="str">
        <f t="shared" si="92"/>
        <v>C07C</v>
      </c>
      <c r="H552" t="s">
        <v>1247</v>
      </c>
      <c r="I552" t="s">
        <v>2549</v>
      </c>
    </row>
    <row r="553" spans="3:9" x14ac:dyDescent="0.25">
      <c r="C553" s="12" t="str">
        <f t="shared" si="97"/>
        <v>CN105461497</v>
      </c>
      <c r="D553" s="12" t="s">
        <v>2567</v>
      </c>
      <c r="E553" t="str">
        <f t="shared" si="92"/>
        <v>C07C</v>
      </c>
      <c r="H553" t="s">
        <v>1247</v>
      </c>
      <c r="I553" t="s">
        <v>2572</v>
      </c>
    </row>
    <row r="554" spans="3:9" x14ac:dyDescent="0.25">
      <c r="C554" s="12" t="str">
        <f t="shared" si="97"/>
        <v>CN105461497</v>
      </c>
      <c r="D554" s="12" t="s">
        <v>1021</v>
      </c>
      <c r="E554" t="str">
        <f t="shared" si="92"/>
        <v>C07C</v>
      </c>
      <c r="H554" t="s">
        <v>1247</v>
      </c>
      <c r="I554" t="s">
        <v>2847</v>
      </c>
    </row>
    <row r="555" spans="3:9" x14ac:dyDescent="0.25">
      <c r="C555" s="12" t="s">
        <v>466</v>
      </c>
      <c r="D555" s="12" t="s">
        <v>2672</v>
      </c>
      <c r="E555" t="str">
        <f t="shared" si="92"/>
        <v>B01J</v>
      </c>
      <c r="H555" t="s">
        <v>1247</v>
      </c>
      <c r="I555" t="s">
        <v>2551</v>
      </c>
    </row>
    <row r="556" spans="3:9" x14ac:dyDescent="0.25">
      <c r="C556" s="12" t="str">
        <f t="shared" ref="C556:C565" si="98">C555</f>
        <v>CN105457569</v>
      </c>
      <c r="D556" s="12" t="s">
        <v>2673</v>
      </c>
      <c r="E556" t="str">
        <f t="shared" si="92"/>
        <v>B01J</v>
      </c>
      <c r="H556" t="s">
        <v>1247</v>
      </c>
      <c r="I556" t="s">
        <v>2552</v>
      </c>
    </row>
    <row r="557" spans="3:9" x14ac:dyDescent="0.25">
      <c r="C557" s="12" t="str">
        <f t="shared" si="98"/>
        <v>CN105457569</v>
      </c>
      <c r="D557" s="12" t="s">
        <v>2563</v>
      </c>
      <c r="E557" t="str">
        <f t="shared" si="92"/>
        <v>B01J</v>
      </c>
      <c r="H557" t="s">
        <v>1256</v>
      </c>
      <c r="I557" t="s">
        <v>2549</v>
      </c>
    </row>
    <row r="558" spans="3:9" x14ac:dyDescent="0.25">
      <c r="C558" s="12" t="str">
        <f t="shared" si="98"/>
        <v>CN105457569</v>
      </c>
      <c r="D558" s="12" t="s">
        <v>2574</v>
      </c>
      <c r="E558" t="str">
        <f t="shared" si="92"/>
        <v>B01J</v>
      </c>
      <c r="H558" t="s">
        <v>1256</v>
      </c>
      <c r="I558" t="s">
        <v>2551</v>
      </c>
    </row>
    <row r="559" spans="3:9" x14ac:dyDescent="0.25">
      <c r="C559" s="12" t="str">
        <f t="shared" si="98"/>
        <v>CN105457569</v>
      </c>
      <c r="D559" s="12" t="s">
        <v>1940</v>
      </c>
      <c r="E559" t="str">
        <f t="shared" si="92"/>
        <v>B01J</v>
      </c>
      <c r="H559" t="s">
        <v>1263</v>
      </c>
      <c r="I559" t="s">
        <v>2549</v>
      </c>
    </row>
    <row r="560" spans="3:9" x14ac:dyDescent="0.25">
      <c r="C560" s="12" t="str">
        <f t="shared" si="98"/>
        <v>CN105457569</v>
      </c>
      <c r="D560" s="12" t="s">
        <v>1739</v>
      </c>
      <c r="E560" t="str">
        <f t="shared" si="92"/>
        <v>B01J</v>
      </c>
      <c r="H560" t="s">
        <v>1263</v>
      </c>
      <c r="I560" t="s">
        <v>2847</v>
      </c>
    </row>
    <row r="561" spans="3:9" x14ac:dyDescent="0.25">
      <c r="C561" s="12" t="str">
        <f t="shared" si="98"/>
        <v>CN105457569</v>
      </c>
      <c r="D561" s="12" t="s">
        <v>2674</v>
      </c>
      <c r="E561" t="str">
        <f t="shared" si="92"/>
        <v>B01J</v>
      </c>
      <c r="H561" t="s">
        <v>1263</v>
      </c>
      <c r="I561" t="s">
        <v>2551</v>
      </c>
    </row>
    <row r="562" spans="3:9" x14ac:dyDescent="0.25">
      <c r="C562" s="12" t="str">
        <f t="shared" si="98"/>
        <v>CN105457569</v>
      </c>
      <c r="D562" s="12" t="s">
        <v>1466</v>
      </c>
      <c r="E562" t="str">
        <f t="shared" si="92"/>
        <v>C07C</v>
      </c>
      <c r="H562" t="s">
        <v>1271</v>
      </c>
      <c r="I562" t="s">
        <v>2549</v>
      </c>
    </row>
    <row r="563" spans="3:9" x14ac:dyDescent="0.25">
      <c r="C563" s="12" t="str">
        <f t="shared" si="98"/>
        <v>CN105457569</v>
      </c>
      <c r="D563" s="12" t="s">
        <v>2582</v>
      </c>
      <c r="E563" t="str">
        <f t="shared" si="92"/>
        <v>C07C</v>
      </c>
      <c r="H563" t="s">
        <v>1271</v>
      </c>
      <c r="I563" t="s">
        <v>2572</v>
      </c>
    </row>
    <row r="564" spans="3:9" x14ac:dyDescent="0.25">
      <c r="C564" s="12" t="str">
        <f t="shared" si="98"/>
        <v>CN105457569</v>
      </c>
      <c r="D564" s="12" t="s">
        <v>2583</v>
      </c>
      <c r="E564" t="str">
        <f t="shared" si="92"/>
        <v>C07C</v>
      </c>
      <c r="H564" t="s">
        <v>1271</v>
      </c>
      <c r="I564" t="s">
        <v>2551</v>
      </c>
    </row>
    <row r="565" spans="3:9" x14ac:dyDescent="0.25">
      <c r="C565" s="12" t="str">
        <f t="shared" si="98"/>
        <v>CN105457569</v>
      </c>
      <c r="D565" s="12" t="s">
        <v>2566</v>
      </c>
      <c r="E565" t="str">
        <f t="shared" si="92"/>
        <v>C07C</v>
      </c>
      <c r="H565" t="s">
        <v>1279</v>
      </c>
      <c r="I565" t="s">
        <v>2552</v>
      </c>
    </row>
    <row r="566" spans="3:9" x14ac:dyDescent="0.25">
      <c r="C566" s="12" t="s">
        <v>469</v>
      </c>
      <c r="D566" s="12" t="s">
        <v>2672</v>
      </c>
      <c r="E566" t="str">
        <f t="shared" si="92"/>
        <v>B01J</v>
      </c>
      <c r="H566" t="s">
        <v>1286</v>
      </c>
      <c r="I566" t="s">
        <v>2549</v>
      </c>
    </row>
    <row r="567" spans="3:9" x14ac:dyDescent="0.25">
      <c r="C567" s="12" t="str">
        <f t="shared" ref="C567:C576" si="99">C566</f>
        <v>CN105457568</v>
      </c>
      <c r="D567" s="12" t="s">
        <v>2673</v>
      </c>
      <c r="E567" t="str">
        <f t="shared" si="92"/>
        <v>B01J</v>
      </c>
      <c r="H567" t="s">
        <v>1286</v>
      </c>
      <c r="I567" t="s">
        <v>2551</v>
      </c>
    </row>
    <row r="568" spans="3:9" x14ac:dyDescent="0.25">
      <c r="C568" s="12" t="str">
        <f t="shared" si="99"/>
        <v>CN105457568</v>
      </c>
      <c r="D568" s="12" t="s">
        <v>2563</v>
      </c>
      <c r="E568" t="str">
        <f t="shared" si="92"/>
        <v>B01J</v>
      </c>
      <c r="H568" t="s">
        <v>1286</v>
      </c>
      <c r="I568" t="s">
        <v>2552</v>
      </c>
    </row>
    <row r="569" spans="3:9" x14ac:dyDescent="0.25">
      <c r="C569" s="12" t="str">
        <f t="shared" si="99"/>
        <v>CN105457568</v>
      </c>
      <c r="D569" s="12" t="s">
        <v>2574</v>
      </c>
      <c r="E569" t="str">
        <f t="shared" si="92"/>
        <v>B01J</v>
      </c>
      <c r="H569" t="s">
        <v>1294</v>
      </c>
      <c r="I569" t="s">
        <v>2549</v>
      </c>
    </row>
    <row r="570" spans="3:9" x14ac:dyDescent="0.25">
      <c r="C570" s="12" t="str">
        <f t="shared" si="99"/>
        <v>CN105457568</v>
      </c>
      <c r="D570" s="12" t="s">
        <v>1940</v>
      </c>
      <c r="E570" t="str">
        <f t="shared" si="92"/>
        <v>B01J</v>
      </c>
      <c r="H570" t="s">
        <v>1294</v>
      </c>
      <c r="I570" t="s">
        <v>2572</v>
      </c>
    </row>
    <row r="571" spans="3:9" x14ac:dyDescent="0.25">
      <c r="C571" s="12" t="str">
        <f t="shared" si="99"/>
        <v>CN105457568</v>
      </c>
      <c r="D571" s="12" t="s">
        <v>1739</v>
      </c>
      <c r="E571" t="str">
        <f t="shared" si="92"/>
        <v>B01J</v>
      </c>
      <c r="H571" t="s">
        <v>1294</v>
      </c>
      <c r="I571" t="s">
        <v>2844</v>
      </c>
    </row>
    <row r="572" spans="3:9" x14ac:dyDescent="0.25">
      <c r="C572" s="12" t="str">
        <f t="shared" si="99"/>
        <v>CN105457568</v>
      </c>
      <c r="D572" s="12" t="s">
        <v>2674</v>
      </c>
      <c r="E572" t="str">
        <f t="shared" si="92"/>
        <v>B01J</v>
      </c>
      <c r="H572" t="s">
        <v>1294</v>
      </c>
      <c r="I572" t="s">
        <v>2551</v>
      </c>
    </row>
    <row r="573" spans="3:9" x14ac:dyDescent="0.25">
      <c r="C573" s="12" t="str">
        <f t="shared" si="99"/>
        <v>CN105457568</v>
      </c>
      <c r="D573" s="12" t="s">
        <v>1466</v>
      </c>
      <c r="E573" t="str">
        <f t="shared" si="92"/>
        <v>C07C</v>
      </c>
      <c r="H573" t="s">
        <v>1302</v>
      </c>
      <c r="I573" t="s">
        <v>2549</v>
      </c>
    </row>
    <row r="574" spans="3:9" x14ac:dyDescent="0.25">
      <c r="C574" s="12" t="str">
        <f t="shared" si="99"/>
        <v>CN105457568</v>
      </c>
      <c r="D574" s="12" t="s">
        <v>2582</v>
      </c>
      <c r="E574" t="str">
        <f t="shared" si="92"/>
        <v>C07C</v>
      </c>
      <c r="H574" t="s">
        <v>1302</v>
      </c>
      <c r="I574" t="s">
        <v>2572</v>
      </c>
    </row>
    <row r="575" spans="3:9" x14ac:dyDescent="0.25">
      <c r="C575" s="12" t="str">
        <f t="shared" si="99"/>
        <v>CN105457568</v>
      </c>
      <c r="D575" s="12" t="s">
        <v>2583</v>
      </c>
      <c r="E575" t="str">
        <f t="shared" si="92"/>
        <v>C07C</v>
      </c>
      <c r="H575" t="s">
        <v>1302</v>
      </c>
      <c r="I575" t="s">
        <v>2847</v>
      </c>
    </row>
    <row r="576" spans="3:9" x14ac:dyDescent="0.25">
      <c r="C576" s="12" t="str">
        <f t="shared" si="99"/>
        <v>CN105457568</v>
      </c>
      <c r="D576" s="12" t="s">
        <v>2566</v>
      </c>
      <c r="E576" t="str">
        <f t="shared" si="92"/>
        <v>C07C</v>
      </c>
      <c r="H576" t="s">
        <v>1302</v>
      </c>
      <c r="I576" t="s">
        <v>2551</v>
      </c>
    </row>
    <row r="577" spans="3:9" x14ac:dyDescent="0.25">
      <c r="C577" s="12" t="s">
        <v>472</v>
      </c>
      <c r="D577" s="12" t="s">
        <v>2558</v>
      </c>
      <c r="E577" t="str">
        <f t="shared" si="92"/>
        <v>B01J</v>
      </c>
      <c r="H577" t="s">
        <v>1307</v>
      </c>
      <c r="I577" t="s">
        <v>2549</v>
      </c>
    </row>
    <row r="578" spans="3:9" x14ac:dyDescent="0.25">
      <c r="C578" s="12" t="str">
        <f t="shared" ref="C578:C582" si="100">C577</f>
        <v>CN105460952</v>
      </c>
      <c r="D578" s="12" t="s">
        <v>2657</v>
      </c>
      <c r="E578" t="str">
        <f t="shared" si="92"/>
        <v>C01B</v>
      </c>
      <c r="H578" t="s">
        <v>1307</v>
      </c>
      <c r="I578" t="s">
        <v>2572</v>
      </c>
    </row>
    <row r="579" spans="3:9" x14ac:dyDescent="0.25">
      <c r="C579" s="12" t="str">
        <f t="shared" si="100"/>
        <v>CN105460952</v>
      </c>
      <c r="D579" s="12" t="s">
        <v>1466</v>
      </c>
      <c r="E579" t="str">
        <f t="shared" si="92"/>
        <v>C07C</v>
      </c>
      <c r="H579" t="s">
        <v>1307</v>
      </c>
      <c r="I579" t="s">
        <v>2847</v>
      </c>
    </row>
    <row r="580" spans="3:9" x14ac:dyDescent="0.25">
      <c r="C580" s="12" t="str">
        <f t="shared" si="100"/>
        <v>CN105460952</v>
      </c>
      <c r="D580" s="12" t="s">
        <v>2675</v>
      </c>
      <c r="E580" t="str">
        <f t="shared" si="92"/>
        <v>C07C</v>
      </c>
      <c r="H580" t="s">
        <v>1307</v>
      </c>
      <c r="I580" t="s">
        <v>2551</v>
      </c>
    </row>
    <row r="581" spans="3:9" x14ac:dyDescent="0.25">
      <c r="C581" s="12" t="str">
        <f t="shared" si="100"/>
        <v>CN105460952</v>
      </c>
      <c r="D581" s="12" t="s">
        <v>2581</v>
      </c>
      <c r="E581" t="str">
        <f t="shared" ref="E581:E644" si="101">LEFT(D581,4)</f>
        <v>C07C</v>
      </c>
      <c r="H581" t="s">
        <v>1310</v>
      </c>
      <c r="I581" t="s">
        <v>2549</v>
      </c>
    </row>
    <row r="582" spans="3:9" x14ac:dyDescent="0.25">
      <c r="C582" s="12" t="str">
        <f t="shared" si="100"/>
        <v>CN105460952</v>
      </c>
      <c r="D582" s="12" t="s">
        <v>2566</v>
      </c>
      <c r="E582" t="str">
        <f t="shared" si="101"/>
        <v>C07C</v>
      </c>
      <c r="H582" t="s">
        <v>1310</v>
      </c>
      <c r="I582" t="s">
        <v>2572</v>
      </c>
    </row>
    <row r="583" spans="3:9" x14ac:dyDescent="0.25">
      <c r="C583" s="12" t="s">
        <v>478</v>
      </c>
      <c r="D583" s="12" t="s">
        <v>1739</v>
      </c>
      <c r="E583" t="str">
        <f t="shared" si="101"/>
        <v>B01J</v>
      </c>
      <c r="H583" t="s">
        <v>1310</v>
      </c>
      <c r="I583" t="s">
        <v>2551</v>
      </c>
    </row>
    <row r="584" spans="3:9" x14ac:dyDescent="0.25">
      <c r="C584" s="12" t="str">
        <f t="shared" ref="C584:C587" si="102">C583</f>
        <v>CN105435839</v>
      </c>
      <c r="D584" s="12" t="s">
        <v>1466</v>
      </c>
      <c r="E584" t="str">
        <f t="shared" si="101"/>
        <v>C07C</v>
      </c>
      <c r="H584" t="s">
        <v>1310</v>
      </c>
      <c r="I584" t="s">
        <v>2552</v>
      </c>
    </row>
    <row r="585" spans="3:9" x14ac:dyDescent="0.25">
      <c r="C585" s="12" t="str">
        <f t="shared" si="102"/>
        <v>CN105435839</v>
      </c>
      <c r="D585" s="12" t="s">
        <v>2566</v>
      </c>
      <c r="E585" t="str">
        <f t="shared" si="101"/>
        <v>C07C</v>
      </c>
      <c r="H585" t="s">
        <v>1316</v>
      </c>
      <c r="I585" t="s">
        <v>2549</v>
      </c>
    </row>
    <row r="586" spans="3:9" x14ac:dyDescent="0.25">
      <c r="C586" s="12" t="str">
        <f t="shared" si="102"/>
        <v>CN105435839</v>
      </c>
      <c r="D586" s="12" t="s">
        <v>2613</v>
      </c>
      <c r="E586" t="str">
        <f t="shared" si="101"/>
        <v>C07C</v>
      </c>
      <c r="H586" t="s">
        <v>1316</v>
      </c>
      <c r="I586" t="s">
        <v>2551</v>
      </c>
    </row>
    <row r="587" spans="3:9" x14ac:dyDescent="0.25">
      <c r="C587" s="12" t="str">
        <f t="shared" si="102"/>
        <v>CN105435839</v>
      </c>
      <c r="D587" s="12" t="s">
        <v>2567</v>
      </c>
      <c r="E587" t="str">
        <f t="shared" si="101"/>
        <v>C07C</v>
      </c>
      <c r="H587" t="s">
        <v>1322</v>
      </c>
      <c r="I587" t="s">
        <v>2549</v>
      </c>
    </row>
    <row r="588" spans="3:9" x14ac:dyDescent="0.25">
      <c r="C588" s="12" t="s">
        <v>483</v>
      </c>
      <c r="D588" s="12" t="s">
        <v>2558</v>
      </c>
      <c r="E588" t="str">
        <f t="shared" si="101"/>
        <v>B01J</v>
      </c>
      <c r="H588" t="s">
        <v>1322</v>
      </c>
      <c r="I588" t="s">
        <v>2551</v>
      </c>
    </row>
    <row r="589" spans="3:9" x14ac:dyDescent="0.25">
      <c r="C589" s="12" t="str">
        <f t="shared" ref="C589:C595" si="103">C588</f>
        <v>CN105289703</v>
      </c>
      <c r="D589" s="12" t="s">
        <v>2563</v>
      </c>
      <c r="E589" t="str">
        <f t="shared" si="101"/>
        <v>B01J</v>
      </c>
      <c r="H589" t="s">
        <v>1322</v>
      </c>
      <c r="I589" t="s">
        <v>2552</v>
      </c>
    </row>
    <row r="590" spans="3:9" x14ac:dyDescent="0.25">
      <c r="C590" s="12" t="str">
        <f t="shared" si="103"/>
        <v>CN105289703</v>
      </c>
      <c r="D590" s="12" t="s">
        <v>2574</v>
      </c>
      <c r="E590" t="str">
        <f t="shared" si="101"/>
        <v>B01J</v>
      </c>
      <c r="H590" t="s">
        <v>1330</v>
      </c>
      <c r="I590" t="s">
        <v>2549</v>
      </c>
    </row>
    <row r="591" spans="3:9" x14ac:dyDescent="0.25">
      <c r="C591" s="12" t="str">
        <f t="shared" si="103"/>
        <v>CN105289703</v>
      </c>
      <c r="D591" s="12" t="s">
        <v>2580</v>
      </c>
      <c r="E591" t="str">
        <f t="shared" si="101"/>
        <v>B01J</v>
      </c>
      <c r="H591" t="s">
        <v>1330</v>
      </c>
      <c r="I591" t="s">
        <v>2847</v>
      </c>
    </row>
    <row r="592" spans="3:9" x14ac:dyDescent="0.25">
      <c r="C592" s="12" t="str">
        <f t="shared" si="103"/>
        <v>CN105289703</v>
      </c>
      <c r="D592" s="12" t="s">
        <v>1466</v>
      </c>
      <c r="E592" t="str">
        <f t="shared" si="101"/>
        <v>C07C</v>
      </c>
      <c r="H592" t="s">
        <v>1330</v>
      </c>
      <c r="I592" t="s">
        <v>2551</v>
      </c>
    </row>
    <row r="593" spans="3:9" x14ac:dyDescent="0.25">
      <c r="C593" s="12" t="str">
        <f t="shared" si="103"/>
        <v>CN105289703</v>
      </c>
      <c r="D593" s="12" t="s">
        <v>2613</v>
      </c>
      <c r="E593" t="str">
        <f t="shared" si="101"/>
        <v>C07C</v>
      </c>
      <c r="H593" t="s">
        <v>1330</v>
      </c>
      <c r="I593" t="s">
        <v>2552</v>
      </c>
    </row>
    <row r="594" spans="3:9" x14ac:dyDescent="0.25">
      <c r="C594" s="12" t="str">
        <f t="shared" si="103"/>
        <v>CN105289703</v>
      </c>
      <c r="D594" s="12" t="s">
        <v>2567</v>
      </c>
      <c r="E594" t="str">
        <f t="shared" si="101"/>
        <v>C07C</v>
      </c>
      <c r="H594" t="s">
        <v>1337</v>
      </c>
      <c r="I594" t="s">
        <v>2549</v>
      </c>
    </row>
    <row r="595" spans="3:9" x14ac:dyDescent="0.25">
      <c r="C595" s="12" t="str">
        <f t="shared" si="103"/>
        <v>CN105289703</v>
      </c>
      <c r="D595" s="12" t="s">
        <v>1021</v>
      </c>
      <c r="E595" t="str">
        <f t="shared" si="101"/>
        <v>C07C</v>
      </c>
      <c r="H595" t="s">
        <v>1337</v>
      </c>
      <c r="I595" t="s">
        <v>2572</v>
      </c>
    </row>
    <row r="596" spans="3:9" x14ac:dyDescent="0.25">
      <c r="C596" s="12" t="s">
        <v>488</v>
      </c>
      <c r="D596" s="12" t="s">
        <v>54</v>
      </c>
      <c r="E596" t="str">
        <f t="shared" si="101"/>
        <v>C10G</v>
      </c>
      <c r="H596" t="s">
        <v>1337</v>
      </c>
      <c r="I596" t="s">
        <v>2551</v>
      </c>
    </row>
    <row r="597" spans="3:9" x14ac:dyDescent="0.25">
      <c r="C597" s="12" t="str">
        <f>C596</f>
        <v>CN103725315</v>
      </c>
      <c r="D597" s="12" t="s">
        <v>2676</v>
      </c>
      <c r="E597" t="str">
        <f t="shared" si="101"/>
        <v>C10G</v>
      </c>
      <c r="H597" t="s">
        <v>1344</v>
      </c>
      <c r="I597" t="s">
        <v>2549</v>
      </c>
    </row>
    <row r="598" spans="3:9" x14ac:dyDescent="0.25">
      <c r="C598" s="12" t="s">
        <v>493</v>
      </c>
      <c r="D598" s="12" t="s">
        <v>1466</v>
      </c>
      <c r="E598" t="str">
        <f t="shared" si="101"/>
        <v>C07C</v>
      </c>
      <c r="H598" t="s">
        <v>1344</v>
      </c>
      <c r="I598" t="s">
        <v>2572</v>
      </c>
    </row>
    <row r="599" spans="3:9" x14ac:dyDescent="0.25">
      <c r="C599" s="12" t="str">
        <f t="shared" ref="C599:C604" si="104">C598</f>
        <v>CN105254462</v>
      </c>
      <c r="D599" s="12" t="s">
        <v>2575</v>
      </c>
      <c r="E599" t="str">
        <f t="shared" si="101"/>
        <v>C07C</v>
      </c>
      <c r="H599" t="s">
        <v>1344</v>
      </c>
      <c r="I599" t="s">
        <v>2847</v>
      </c>
    </row>
    <row r="600" spans="3:9" x14ac:dyDescent="0.25">
      <c r="C600" s="12" t="str">
        <f t="shared" si="104"/>
        <v>CN105254462</v>
      </c>
      <c r="D600" s="12" t="s">
        <v>2582</v>
      </c>
      <c r="E600" t="str">
        <f t="shared" si="101"/>
        <v>C07C</v>
      </c>
      <c r="H600" t="s">
        <v>1344</v>
      </c>
      <c r="I600" t="s">
        <v>2551</v>
      </c>
    </row>
    <row r="601" spans="3:9" x14ac:dyDescent="0.25">
      <c r="C601" s="12" t="str">
        <f t="shared" si="104"/>
        <v>CN105254462</v>
      </c>
      <c r="D601" s="12" t="s">
        <v>2583</v>
      </c>
      <c r="E601" t="str">
        <f t="shared" si="101"/>
        <v>C07C</v>
      </c>
      <c r="H601" t="s">
        <v>1349</v>
      </c>
      <c r="I601" t="s">
        <v>2549</v>
      </c>
    </row>
    <row r="602" spans="3:9" x14ac:dyDescent="0.25">
      <c r="C602" s="12" t="str">
        <f t="shared" si="104"/>
        <v>CN105254462</v>
      </c>
      <c r="D602" s="12" t="s">
        <v>2584</v>
      </c>
      <c r="E602" t="str">
        <f t="shared" si="101"/>
        <v>C07C</v>
      </c>
      <c r="H602" t="s">
        <v>1349</v>
      </c>
      <c r="I602" t="s">
        <v>2551</v>
      </c>
    </row>
    <row r="603" spans="3:9" x14ac:dyDescent="0.25">
      <c r="C603" s="12" t="str">
        <f t="shared" si="104"/>
        <v>CN105254462</v>
      </c>
      <c r="D603" s="12" t="s">
        <v>2566</v>
      </c>
      <c r="E603" t="str">
        <f t="shared" si="101"/>
        <v>C07C</v>
      </c>
      <c r="H603" t="s">
        <v>1358</v>
      </c>
      <c r="I603" t="s">
        <v>2549</v>
      </c>
    </row>
    <row r="604" spans="3:9" x14ac:dyDescent="0.25">
      <c r="C604" s="12" t="str">
        <f t="shared" si="104"/>
        <v>CN105254462</v>
      </c>
      <c r="D604" s="12" t="s">
        <v>225</v>
      </c>
      <c r="E604" t="str">
        <f t="shared" si="101"/>
        <v>C10G</v>
      </c>
      <c r="H604" t="s">
        <v>1358</v>
      </c>
      <c r="I604" t="s">
        <v>2572</v>
      </c>
    </row>
    <row r="605" spans="3:9" x14ac:dyDescent="0.25">
      <c r="C605" s="12" t="s">
        <v>498</v>
      </c>
      <c r="D605" s="12" t="s">
        <v>1739</v>
      </c>
      <c r="E605" t="str">
        <f t="shared" si="101"/>
        <v>B01J</v>
      </c>
      <c r="H605" t="s">
        <v>1358</v>
      </c>
      <c r="I605" t="s">
        <v>2551</v>
      </c>
    </row>
    <row r="606" spans="3:9" x14ac:dyDescent="0.25">
      <c r="C606" s="12" t="str">
        <f t="shared" ref="C606:C608" si="105">C605</f>
        <v>CN105254461</v>
      </c>
      <c r="D606" s="12" t="s">
        <v>1466</v>
      </c>
      <c r="E606" t="str">
        <f t="shared" si="101"/>
        <v>C07C</v>
      </c>
      <c r="H606" t="s">
        <v>1367</v>
      </c>
      <c r="I606" t="s">
        <v>2549</v>
      </c>
    </row>
    <row r="607" spans="3:9" x14ac:dyDescent="0.25">
      <c r="C607" s="12" t="str">
        <f t="shared" si="105"/>
        <v>CN105254461</v>
      </c>
      <c r="D607" s="12" t="s">
        <v>2566</v>
      </c>
      <c r="E607" t="str">
        <f t="shared" si="101"/>
        <v>C07C</v>
      </c>
      <c r="H607" t="s">
        <v>1367</v>
      </c>
      <c r="I607" t="s">
        <v>2572</v>
      </c>
    </row>
    <row r="608" spans="3:9" x14ac:dyDescent="0.25">
      <c r="C608" s="12" t="str">
        <f t="shared" si="105"/>
        <v>CN105254461</v>
      </c>
      <c r="D608" s="12" t="s">
        <v>2555</v>
      </c>
      <c r="E608" t="str">
        <f t="shared" si="101"/>
        <v>C10L</v>
      </c>
      <c r="H608" t="s">
        <v>1367</v>
      </c>
      <c r="I608" t="s">
        <v>2847</v>
      </c>
    </row>
    <row r="609" spans="3:9" x14ac:dyDescent="0.25">
      <c r="C609" s="12" t="s">
        <v>504</v>
      </c>
      <c r="D609" s="12" t="s">
        <v>2558</v>
      </c>
      <c r="E609" t="str">
        <f t="shared" si="101"/>
        <v>B01J</v>
      </c>
      <c r="H609" t="s">
        <v>1367</v>
      </c>
      <c r="I609" t="s">
        <v>2551</v>
      </c>
    </row>
    <row r="610" spans="3:9" x14ac:dyDescent="0.25">
      <c r="C610" s="12" t="str">
        <f t="shared" ref="C610:C612" si="106">C609</f>
        <v>CN105195213</v>
      </c>
      <c r="D610" s="12" t="s">
        <v>2673</v>
      </c>
      <c r="E610" t="str">
        <f t="shared" si="101"/>
        <v>B01J</v>
      </c>
      <c r="H610" t="s">
        <v>1374</v>
      </c>
      <c r="I610" t="s">
        <v>2549</v>
      </c>
    </row>
    <row r="611" spans="3:9" x14ac:dyDescent="0.25">
      <c r="C611" s="12" t="str">
        <f t="shared" si="106"/>
        <v>CN105195213</v>
      </c>
      <c r="D611" s="12" t="s">
        <v>1466</v>
      </c>
      <c r="E611" t="str">
        <f t="shared" si="101"/>
        <v>C07C</v>
      </c>
      <c r="H611" t="s">
        <v>1374</v>
      </c>
      <c r="I611" t="s">
        <v>2572</v>
      </c>
    </row>
    <row r="612" spans="3:9" x14ac:dyDescent="0.25">
      <c r="C612" s="12" t="str">
        <f t="shared" si="106"/>
        <v>CN105195213</v>
      </c>
      <c r="D612" s="12" t="s">
        <v>2566</v>
      </c>
      <c r="E612" t="str">
        <f t="shared" si="101"/>
        <v>C07C</v>
      </c>
      <c r="H612" t="s">
        <v>1374</v>
      </c>
      <c r="I612" t="s">
        <v>2552</v>
      </c>
    </row>
    <row r="613" spans="3:9" x14ac:dyDescent="0.25">
      <c r="C613" s="12" t="s">
        <v>509</v>
      </c>
      <c r="D613" s="12" t="s">
        <v>2677</v>
      </c>
      <c r="E613" t="str">
        <f t="shared" si="101"/>
        <v>B01J</v>
      </c>
      <c r="H613" t="s">
        <v>1382</v>
      </c>
      <c r="I613" t="s">
        <v>2549</v>
      </c>
    </row>
    <row r="614" spans="3:9" x14ac:dyDescent="0.25">
      <c r="C614" s="12" t="str">
        <f t="shared" ref="C614:C622" si="107">C613</f>
        <v>CN105195226</v>
      </c>
      <c r="D614" s="12" t="s">
        <v>1466</v>
      </c>
      <c r="E614" t="str">
        <f t="shared" si="101"/>
        <v>C07C</v>
      </c>
      <c r="H614" t="s">
        <v>1382</v>
      </c>
      <c r="I614" t="s">
        <v>2552</v>
      </c>
    </row>
    <row r="615" spans="3:9" x14ac:dyDescent="0.25">
      <c r="C615" s="12" t="str">
        <f t="shared" si="107"/>
        <v>CN105195226</v>
      </c>
      <c r="D615" s="12" t="s">
        <v>2678</v>
      </c>
      <c r="E615" t="str">
        <f t="shared" si="101"/>
        <v>C07C</v>
      </c>
      <c r="H615" t="s">
        <v>1382</v>
      </c>
      <c r="I615" t="s">
        <v>2554</v>
      </c>
    </row>
    <row r="616" spans="3:9" x14ac:dyDescent="0.25">
      <c r="C616" s="12" t="str">
        <f t="shared" si="107"/>
        <v>CN105195226</v>
      </c>
      <c r="D616" s="12" t="s">
        <v>2679</v>
      </c>
      <c r="E616" t="str">
        <f t="shared" si="101"/>
        <v>C07C</v>
      </c>
      <c r="H616" t="s">
        <v>1390</v>
      </c>
      <c r="I616" t="s">
        <v>2549</v>
      </c>
    </row>
    <row r="617" spans="3:9" x14ac:dyDescent="0.25">
      <c r="C617" s="12" t="str">
        <f t="shared" si="107"/>
        <v>CN105195226</v>
      </c>
      <c r="D617" s="12" t="s">
        <v>2581</v>
      </c>
      <c r="E617" t="str">
        <f t="shared" si="101"/>
        <v>C07C</v>
      </c>
      <c r="H617" t="s">
        <v>1390</v>
      </c>
      <c r="I617" t="s">
        <v>2552</v>
      </c>
    </row>
    <row r="618" spans="3:9" x14ac:dyDescent="0.25">
      <c r="C618" s="12" t="str">
        <f t="shared" si="107"/>
        <v>CN105195226</v>
      </c>
      <c r="D618" s="12" t="s">
        <v>2582</v>
      </c>
      <c r="E618" t="str">
        <f t="shared" si="101"/>
        <v>C07C</v>
      </c>
    </row>
    <row r="619" spans="3:9" x14ac:dyDescent="0.25">
      <c r="C619" s="12" t="str">
        <f t="shared" si="107"/>
        <v>CN105195226</v>
      </c>
      <c r="D619" s="12" t="s">
        <v>2583</v>
      </c>
      <c r="E619" t="str">
        <f t="shared" si="101"/>
        <v>C07C</v>
      </c>
    </row>
    <row r="620" spans="3:9" x14ac:dyDescent="0.25">
      <c r="C620" s="12" t="str">
        <f t="shared" si="107"/>
        <v>CN105195226</v>
      </c>
      <c r="D620" s="12" t="s">
        <v>2656</v>
      </c>
      <c r="E620" t="str">
        <f t="shared" si="101"/>
        <v>C07C</v>
      </c>
    </row>
    <row r="621" spans="3:9" x14ac:dyDescent="0.25">
      <c r="C621" s="12" t="str">
        <f t="shared" si="107"/>
        <v>CN105195226</v>
      </c>
      <c r="D621" s="12" t="s">
        <v>1021</v>
      </c>
      <c r="E621" t="str">
        <f t="shared" si="101"/>
        <v>C07C</v>
      </c>
    </row>
    <row r="622" spans="3:9" x14ac:dyDescent="0.25">
      <c r="C622" s="12" t="str">
        <f t="shared" si="107"/>
        <v>CN105195226</v>
      </c>
      <c r="D622" s="12" t="s">
        <v>225</v>
      </c>
      <c r="E622" t="str">
        <f t="shared" si="101"/>
        <v>C10G</v>
      </c>
    </row>
    <row r="623" spans="3:9" x14ac:dyDescent="0.25">
      <c r="C623" s="12" t="s">
        <v>515</v>
      </c>
      <c r="D623" s="12" t="s">
        <v>2558</v>
      </c>
      <c r="E623" t="str">
        <f t="shared" si="101"/>
        <v>B01J</v>
      </c>
    </row>
    <row r="624" spans="3:9" x14ac:dyDescent="0.25">
      <c r="C624" s="12" t="str">
        <f t="shared" ref="C624:C628" si="108">C623</f>
        <v>CN105195211</v>
      </c>
      <c r="D624" s="12" t="s">
        <v>2680</v>
      </c>
      <c r="E624" t="str">
        <f t="shared" si="101"/>
        <v>C07C</v>
      </c>
    </row>
    <row r="625" spans="3:5" x14ac:dyDescent="0.25">
      <c r="C625" s="12" t="str">
        <f t="shared" si="108"/>
        <v>CN105195211</v>
      </c>
      <c r="D625" s="12" t="s">
        <v>2566</v>
      </c>
      <c r="E625" t="str">
        <f t="shared" si="101"/>
        <v>C07C</v>
      </c>
    </row>
    <row r="626" spans="3:5" x14ac:dyDescent="0.25">
      <c r="C626" s="12" t="str">
        <f t="shared" si="108"/>
        <v>CN105195211</v>
      </c>
      <c r="D626" s="12" t="s">
        <v>2613</v>
      </c>
      <c r="E626" t="str">
        <f t="shared" si="101"/>
        <v>C07C</v>
      </c>
    </row>
    <row r="627" spans="3:5" x14ac:dyDescent="0.25">
      <c r="C627" s="12" t="str">
        <f t="shared" si="108"/>
        <v>CN105195211</v>
      </c>
      <c r="D627" s="12" t="s">
        <v>2567</v>
      </c>
      <c r="E627" t="str">
        <f t="shared" si="101"/>
        <v>C07C</v>
      </c>
    </row>
    <row r="628" spans="3:5" x14ac:dyDescent="0.25">
      <c r="C628" s="12" t="str">
        <f t="shared" si="108"/>
        <v>CN105195211</v>
      </c>
      <c r="D628" s="12" t="s">
        <v>1021</v>
      </c>
      <c r="E628" t="str">
        <f t="shared" si="101"/>
        <v>C07C</v>
      </c>
    </row>
    <row r="629" spans="3:5" x14ac:dyDescent="0.25">
      <c r="C629" s="12" t="s">
        <v>519</v>
      </c>
      <c r="D629" s="12" t="s">
        <v>522</v>
      </c>
      <c r="E629" t="str">
        <f t="shared" si="101"/>
        <v>C10G</v>
      </c>
    </row>
    <row r="630" spans="3:5" x14ac:dyDescent="0.25">
      <c r="C630" s="12" t="s">
        <v>524</v>
      </c>
      <c r="D630" s="12" t="s">
        <v>2574</v>
      </c>
      <c r="E630" t="str">
        <f t="shared" si="101"/>
        <v>B01J</v>
      </c>
    </row>
    <row r="631" spans="3:5" x14ac:dyDescent="0.25">
      <c r="C631" s="12" t="str">
        <f t="shared" ref="C631:C634" si="109">C630</f>
        <v>CN105013524</v>
      </c>
      <c r="D631" s="12" t="s">
        <v>1466</v>
      </c>
      <c r="E631" t="str">
        <f t="shared" si="101"/>
        <v>C07C</v>
      </c>
    </row>
    <row r="632" spans="3:5" x14ac:dyDescent="0.25">
      <c r="C632" s="12" t="str">
        <f t="shared" si="109"/>
        <v>CN105013524</v>
      </c>
      <c r="D632" s="12" t="s">
        <v>2613</v>
      </c>
      <c r="E632" t="str">
        <f t="shared" si="101"/>
        <v>C07C</v>
      </c>
    </row>
    <row r="633" spans="3:5" x14ac:dyDescent="0.25">
      <c r="C633" s="12" t="str">
        <f t="shared" si="109"/>
        <v>CN105013524</v>
      </c>
      <c r="D633" s="12" t="s">
        <v>2567</v>
      </c>
      <c r="E633" t="str">
        <f t="shared" si="101"/>
        <v>C07C</v>
      </c>
    </row>
    <row r="634" spans="3:5" x14ac:dyDescent="0.25">
      <c r="C634" s="12" t="str">
        <f t="shared" si="109"/>
        <v>CN105013524</v>
      </c>
      <c r="D634" s="12" t="s">
        <v>1021</v>
      </c>
      <c r="E634" t="str">
        <f t="shared" si="101"/>
        <v>C07C</v>
      </c>
    </row>
    <row r="635" spans="3:5" ht="30" x14ac:dyDescent="0.25">
      <c r="C635" s="12" t="s">
        <v>530</v>
      </c>
      <c r="D635" s="12" t="s">
        <v>2681</v>
      </c>
      <c r="E635" t="str">
        <f t="shared" si="101"/>
        <v>B01D</v>
      </c>
    </row>
    <row r="636" spans="3:5" ht="30" x14ac:dyDescent="0.25">
      <c r="C636" s="12" t="str">
        <f t="shared" ref="C636:C649" si="110">C635</f>
        <v>US20150266744</v>
      </c>
      <c r="D636" s="12" t="s">
        <v>2682</v>
      </c>
      <c r="E636" t="str">
        <f t="shared" si="101"/>
        <v>B01D</v>
      </c>
    </row>
    <row r="637" spans="3:5" ht="30" x14ac:dyDescent="0.25">
      <c r="C637" s="12" t="str">
        <f t="shared" si="110"/>
        <v>US20150266744</v>
      </c>
      <c r="D637" s="12" t="s">
        <v>2683</v>
      </c>
      <c r="E637" t="str">
        <f t="shared" si="101"/>
        <v>B01D</v>
      </c>
    </row>
    <row r="638" spans="3:5" ht="30" x14ac:dyDescent="0.25">
      <c r="C638" s="12" t="str">
        <f t="shared" si="110"/>
        <v>US20150266744</v>
      </c>
      <c r="D638" s="12" t="s">
        <v>2684</v>
      </c>
      <c r="E638" t="str">
        <f t="shared" si="101"/>
        <v>B01D</v>
      </c>
    </row>
    <row r="639" spans="3:5" ht="30" x14ac:dyDescent="0.25">
      <c r="C639" s="12" t="str">
        <f t="shared" si="110"/>
        <v>US20150266744</v>
      </c>
      <c r="D639" s="12" t="s">
        <v>2685</v>
      </c>
      <c r="E639" t="str">
        <f t="shared" si="101"/>
        <v>B01D</v>
      </c>
    </row>
    <row r="640" spans="3:5" ht="30" x14ac:dyDescent="0.25">
      <c r="C640" s="12" t="str">
        <f t="shared" si="110"/>
        <v>US20150266744</v>
      </c>
      <c r="D640" s="12" t="s">
        <v>2686</v>
      </c>
      <c r="E640" t="str">
        <f t="shared" si="101"/>
        <v>B01D</v>
      </c>
    </row>
    <row r="641" spans="3:5" ht="30" x14ac:dyDescent="0.25">
      <c r="C641" s="12" t="str">
        <f t="shared" si="110"/>
        <v>US20150266744</v>
      </c>
      <c r="D641" s="12" t="s">
        <v>2687</v>
      </c>
      <c r="E641" t="str">
        <f t="shared" si="101"/>
        <v>B01J</v>
      </c>
    </row>
    <row r="642" spans="3:5" ht="30" x14ac:dyDescent="0.25">
      <c r="C642" s="12" t="str">
        <f t="shared" si="110"/>
        <v>US20150266744</v>
      </c>
      <c r="D642" s="12" t="s">
        <v>2688</v>
      </c>
      <c r="E642" t="str">
        <f t="shared" si="101"/>
        <v>B01J</v>
      </c>
    </row>
    <row r="643" spans="3:5" ht="30" x14ac:dyDescent="0.25">
      <c r="C643" s="12" t="str">
        <f t="shared" si="110"/>
        <v>US20150266744</v>
      </c>
      <c r="D643" s="12" t="s">
        <v>2649</v>
      </c>
      <c r="E643" t="str">
        <f t="shared" si="101"/>
        <v>B01J</v>
      </c>
    </row>
    <row r="644" spans="3:5" ht="30" x14ac:dyDescent="0.25">
      <c r="C644" s="12" t="str">
        <f t="shared" si="110"/>
        <v>US20150266744</v>
      </c>
      <c r="D644" s="12" t="s">
        <v>2689</v>
      </c>
      <c r="E644" t="str">
        <f t="shared" si="101"/>
        <v>C01B</v>
      </c>
    </row>
    <row r="645" spans="3:5" ht="30" x14ac:dyDescent="0.25">
      <c r="C645" s="12" t="str">
        <f t="shared" si="110"/>
        <v>US20150266744</v>
      </c>
      <c r="D645" s="12" t="s">
        <v>2690</v>
      </c>
      <c r="E645" t="str">
        <f t="shared" ref="E645:E708" si="111">LEFT(D645,4)</f>
        <v>C01B</v>
      </c>
    </row>
    <row r="646" spans="3:5" ht="30" x14ac:dyDescent="0.25">
      <c r="C646" s="12" t="str">
        <f t="shared" si="110"/>
        <v>US20150266744</v>
      </c>
      <c r="D646" s="12" t="s">
        <v>2691</v>
      </c>
      <c r="E646" t="str">
        <f t="shared" si="111"/>
        <v>C01B</v>
      </c>
    </row>
    <row r="647" spans="3:5" ht="30" x14ac:dyDescent="0.25">
      <c r="C647" s="12" t="str">
        <f t="shared" si="110"/>
        <v>US20150266744</v>
      </c>
      <c r="D647" s="12" t="s">
        <v>2692</v>
      </c>
      <c r="E647" t="str">
        <f t="shared" si="111"/>
        <v>C01B</v>
      </c>
    </row>
    <row r="648" spans="3:5" ht="30" x14ac:dyDescent="0.25">
      <c r="C648" s="12" t="str">
        <f t="shared" si="110"/>
        <v>US20150266744</v>
      </c>
      <c r="D648" s="12" t="s">
        <v>2693</v>
      </c>
      <c r="E648" t="str">
        <f t="shared" si="111"/>
        <v>C01B</v>
      </c>
    </row>
    <row r="649" spans="3:5" ht="30" x14ac:dyDescent="0.25">
      <c r="C649" s="12" t="str">
        <f t="shared" si="110"/>
        <v>US20150266744</v>
      </c>
      <c r="D649" s="12" t="s">
        <v>2694</v>
      </c>
      <c r="E649" t="str">
        <f t="shared" si="111"/>
        <v>C10G</v>
      </c>
    </row>
    <row r="650" spans="3:5" x14ac:dyDescent="0.25">
      <c r="C650" s="12" t="s">
        <v>537</v>
      </c>
      <c r="D650" s="12" t="s">
        <v>540</v>
      </c>
      <c r="E650" t="str">
        <f t="shared" si="111"/>
        <v>C10G</v>
      </c>
    </row>
    <row r="651" spans="3:5" x14ac:dyDescent="0.25">
      <c r="C651" s="12" t="s">
        <v>543</v>
      </c>
      <c r="D651" s="12" t="s">
        <v>2558</v>
      </c>
      <c r="E651" t="str">
        <f t="shared" si="111"/>
        <v>B01J</v>
      </c>
    </row>
    <row r="652" spans="3:5" x14ac:dyDescent="0.25">
      <c r="C652" s="12" t="str">
        <f t="shared" ref="C652:C656" si="112">C651</f>
        <v>CN104907091</v>
      </c>
      <c r="D652" s="12" t="s">
        <v>2673</v>
      </c>
      <c r="E652" t="str">
        <f t="shared" si="111"/>
        <v>B01J</v>
      </c>
    </row>
    <row r="653" spans="3:5" x14ac:dyDescent="0.25">
      <c r="C653" s="12" t="str">
        <f t="shared" si="112"/>
        <v>CN104907091</v>
      </c>
      <c r="D653" s="12" t="s">
        <v>2574</v>
      </c>
      <c r="E653" t="str">
        <f t="shared" si="111"/>
        <v>B01J</v>
      </c>
    </row>
    <row r="654" spans="3:5" x14ac:dyDescent="0.25">
      <c r="C654" s="12" t="str">
        <f t="shared" si="112"/>
        <v>CN104907091</v>
      </c>
      <c r="D654" s="12" t="s">
        <v>1466</v>
      </c>
      <c r="E654" t="str">
        <f t="shared" si="111"/>
        <v>C07C</v>
      </c>
    </row>
    <row r="655" spans="3:5" x14ac:dyDescent="0.25">
      <c r="C655" s="12" t="str">
        <f t="shared" si="112"/>
        <v>CN104907091</v>
      </c>
      <c r="D655" s="12" t="s">
        <v>2581</v>
      </c>
      <c r="E655" t="str">
        <f t="shared" si="111"/>
        <v>C07C</v>
      </c>
    </row>
    <row r="656" spans="3:5" x14ac:dyDescent="0.25">
      <c r="C656" s="12" t="str">
        <f t="shared" si="112"/>
        <v>CN104907091</v>
      </c>
      <c r="D656" s="12" t="s">
        <v>2566</v>
      </c>
      <c r="E656" t="str">
        <f t="shared" si="111"/>
        <v>C07C</v>
      </c>
    </row>
    <row r="657" spans="3:5" x14ac:dyDescent="0.25">
      <c r="C657" s="12" t="s">
        <v>548</v>
      </c>
      <c r="D657" s="12" t="s">
        <v>2563</v>
      </c>
      <c r="E657" t="str">
        <f t="shared" si="111"/>
        <v>B01J</v>
      </c>
    </row>
    <row r="658" spans="3:5" x14ac:dyDescent="0.25">
      <c r="C658" s="12" t="str">
        <f t="shared" ref="C658:C661" si="113">C657</f>
        <v>CN104801332</v>
      </c>
      <c r="D658" s="12" t="s">
        <v>1466</v>
      </c>
      <c r="E658" t="str">
        <f t="shared" si="111"/>
        <v>C07C</v>
      </c>
    </row>
    <row r="659" spans="3:5" x14ac:dyDescent="0.25">
      <c r="C659" s="12" t="str">
        <f t="shared" si="113"/>
        <v>CN104801332</v>
      </c>
      <c r="D659" s="12" t="s">
        <v>2613</v>
      </c>
      <c r="E659" t="str">
        <f t="shared" si="111"/>
        <v>C07C</v>
      </c>
    </row>
    <row r="660" spans="3:5" x14ac:dyDescent="0.25">
      <c r="C660" s="12" t="str">
        <f t="shared" si="113"/>
        <v>CN104801332</v>
      </c>
      <c r="D660" s="12" t="s">
        <v>2567</v>
      </c>
      <c r="E660" t="str">
        <f t="shared" si="111"/>
        <v>C07C</v>
      </c>
    </row>
    <row r="661" spans="3:5" x14ac:dyDescent="0.25">
      <c r="C661" s="12" t="str">
        <f t="shared" si="113"/>
        <v>CN104801332</v>
      </c>
      <c r="D661" s="12" t="s">
        <v>1021</v>
      </c>
      <c r="E661" t="str">
        <f t="shared" si="111"/>
        <v>C07C</v>
      </c>
    </row>
    <row r="662" spans="3:5" x14ac:dyDescent="0.25">
      <c r="C662" s="12" t="s">
        <v>554</v>
      </c>
      <c r="D662" s="12" t="s">
        <v>1466</v>
      </c>
      <c r="E662" t="str">
        <f t="shared" si="111"/>
        <v>C07C</v>
      </c>
    </row>
    <row r="663" spans="3:5" x14ac:dyDescent="0.25">
      <c r="C663" s="12" t="str">
        <f t="shared" ref="C663:C670" si="114">C662</f>
        <v>RU2550354</v>
      </c>
      <c r="D663" s="12" t="s">
        <v>2533</v>
      </c>
      <c r="E663" t="str">
        <f t="shared" si="111"/>
        <v>C07C</v>
      </c>
    </row>
    <row r="664" spans="3:5" x14ac:dyDescent="0.25">
      <c r="C664" s="12" t="str">
        <f t="shared" si="114"/>
        <v>RU2550354</v>
      </c>
      <c r="D664" s="12" t="s">
        <v>2666</v>
      </c>
      <c r="E664" t="str">
        <f t="shared" si="111"/>
        <v>C07C</v>
      </c>
    </row>
    <row r="665" spans="3:5" x14ac:dyDescent="0.25">
      <c r="C665" s="12" t="str">
        <f t="shared" si="114"/>
        <v>RU2550354</v>
      </c>
      <c r="D665" s="12" t="s">
        <v>1498</v>
      </c>
      <c r="E665" t="str">
        <f t="shared" si="111"/>
        <v>C07C</v>
      </c>
    </row>
    <row r="666" spans="3:5" x14ac:dyDescent="0.25">
      <c r="C666" s="12" t="str">
        <f t="shared" si="114"/>
        <v>RU2550354</v>
      </c>
      <c r="D666" s="12" t="s">
        <v>2566</v>
      </c>
      <c r="E666" t="str">
        <f t="shared" si="111"/>
        <v>C07C</v>
      </c>
    </row>
    <row r="667" spans="3:5" x14ac:dyDescent="0.25">
      <c r="C667" s="12" t="str">
        <f t="shared" si="114"/>
        <v>RU2550354</v>
      </c>
      <c r="D667" s="12" t="s">
        <v>225</v>
      </c>
      <c r="E667" t="str">
        <f t="shared" si="111"/>
        <v>C10G</v>
      </c>
    </row>
    <row r="668" spans="3:5" x14ac:dyDescent="0.25">
      <c r="C668" s="12" t="str">
        <f t="shared" si="114"/>
        <v>RU2550354</v>
      </c>
      <c r="D668" s="12" t="s">
        <v>54</v>
      </c>
      <c r="E668" t="str">
        <f t="shared" si="111"/>
        <v>C10G</v>
      </c>
    </row>
    <row r="669" spans="3:5" x14ac:dyDescent="0.25">
      <c r="C669" s="12" t="str">
        <f t="shared" si="114"/>
        <v>RU2550354</v>
      </c>
      <c r="D669" s="12" t="s">
        <v>2695</v>
      </c>
      <c r="E669" t="str">
        <f t="shared" si="111"/>
        <v>C10G</v>
      </c>
    </row>
    <row r="670" spans="3:5" x14ac:dyDescent="0.25">
      <c r="C670" s="12" t="str">
        <f t="shared" si="114"/>
        <v>RU2550354</v>
      </c>
      <c r="D670" s="12" t="s">
        <v>2696</v>
      </c>
      <c r="E670" t="str">
        <f t="shared" si="111"/>
        <v>C10G</v>
      </c>
    </row>
    <row r="671" spans="3:5" ht="30" x14ac:dyDescent="0.25">
      <c r="C671" s="12" t="s">
        <v>561</v>
      </c>
      <c r="D671" s="12" t="s">
        <v>1466</v>
      </c>
      <c r="E671" t="str">
        <f t="shared" si="111"/>
        <v>C07C</v>
      </c>
    </row>
    <row r="672" spans="3:5" ht="30" x14ac:dyDescent="0.25">
      <c r="C672" s="12" t="str">
        <f t="shared" ref="C672:C674" si="115">C671</f>
        <v>WO2015094696</v>
      </c>
      <c r="D672" s="12" t="s">
        <v>2566</v>
      </c>
      <c r="E672" t="str">
        <f t="shared" si="111"/>
        <v>C07C</v>
      </c>
    </row>
    <row r="673" spans="3:5" ht="30" x14ac:dyDescent="0.25">
      <c r="C673" s="12" t="str">
        <f t="shared" si="115"/>
        <v>WO2015094696</v>
      </c>
      <c r="D673" s="12" t="s">
        <v>1021</v>
      </c>
      <c r="E673" t="str">
        <f t="shared" si="111"/>
        <v>C07C</v>
      </c>
    </row>
    <row r="674" spans="3:5" ht="30" x14ac:dyDescent="0.25">
      <c r="C674" s="12" t="str">
        <f t="shared" si="115"/>
        <v>WO2015094696</v>
      </c>
      <c r="D674" s="12" t="s">
        <v>225</v>
      </c>
      <c r="E674" t="str">
        <f t="shared" si="111"/>
        <v>C10G</v>
      </c>
    </row>
    <row r="675" spans="3:5" x14ac:dyDescent="0.25">
      <c r="C675" s="12" t="s">
        <v>566</v>
      </c>
      <c r="D675" s="12" t="s">
        <v>2558</v>
      </c>
      <c r="E675" t="str">
        <f t="shared" si="111"/>
        <v>B01J</v>
      </c>
    </row>
    <row r="676" spans="3:5" x14ac:dyDescent="0.25">
      <c r="C676" s="12" t="str">
        <f t="shared" ref="C676:C679" si="116">C675</f>
        <v>CN104557432</v>
      </c>
      <c r="D676" s="12" t="s">
        <v>2574</v>
      </c>
      <c r="E676" t="str">
        <f t="shared" si="111"/>
        <v>B01J</v>
      </c>
    </row>
    <row r="677" spans="3:5" x14ac:dyDescent="0.25">
      <c r="C677" s="12" t="str">
        <f t="shared" si="116"/>
        <v>CN104557432</v>
      </c>
      <c r="D677" s="12" t="s">
        <v>1466</v>
      </c>
      <c r="E677" t="str">
        <f t="shared" si="111"/>
        <v>C07C</v>
      </c>
    </row>
    <row r="678" spans="3:5" x14ac:dyDescent="0.25">
      <c r="C678" s="12" t="str">
        <f t="shared" si="116"/>
        <v>CN104557432</v>
      </c>
      <c r="D678" s="12" t="s">
        <v>1498</v>
      </c>
      <c r="E678" t="str">
        <f t="shared" si="111"/>
        <v>C07C</v>
      </c>
    </row>
    <row r="679" spans="3:5" x14ac:dyDescent="0.25">
      <c r="C679" s="12" t="str">
        <f t="shared" si="116"/>
        <v>CN104557432</v>
      </c>
      <c r="D679" s="12" t="s">
        <v>1021</v>
      </c>
      <c r="E679" t="str">
        <f t="shared" si="111"/>
        <v>C07C</v>
      </c>
    </row>
    <row r="680" spans="3:5" x14ac:dyDescent="0.25">
      <c r="C680" s="12" t="s">
        <v>571</v>
      </c>
      <c r="D680" s="12" t="s">
        <v>2558</v>
      </c>
      <c r="E680" t="str">
        <f t="shared" si="111"/>
        <v>B01J</v>
      </c>
    </row>
    <row r="681" spans="3:5" x14ac:dyDescent="0.25">
      <c r="C681" s="12" t="str">
        <f t="shared" ref="C681:C684" si="117">C680</f>
        <v>CN104557369</v>
      </c>
      <c r="D681" s="12" t="s">
        <v>2563</v>
      </c>
      <c r="E681" t="str">
        <f t="shared" si="111"/>
        <v>B01J</v>
      </c>
    </row>
    <row r="682" spans="3:5" x14ac:dyDescent="0.25">
      <c r="C682" s="12" t="str">
        <f t="shared" si="117"/>
        <v>CN104557369</v>
      </c>
      <c r="D682" s="12" t="s">
        <v>2574</v>
      </c>
      <c r="E682" t="str">
        <f t="shared" si="111"/>
        <v>B01J</v>
      </c>
    </row>
    <row r="683" spans="3:5" x14ac:dyDescent="0.25">
      <c r="C683" s="12" t="str">
        <f t="shared" si="117"/>
        <v>CN104557369</v>
      </c>
      <c r="D683" s="12" t="s">
        <v>1466</v>
      </c>
      <c r="E683" t="str">
        <f t="shared" si="111"/>
        <v>C07C</v>
      </c>
    </row>
    <row r="684" spans="3:5" x14ac:dyDescent="0.25">
      <c r="C684" s="12" t="str">
        <f t="shared" si="117"/>
        <v>CN104557369</v>
      </c>
      <c r="D684" s="12" t="s">
        <v>2566</v>
      </c>
      <c r="E684" t="str">
        <f t="shared" si="111"/>
        <v>C07C</v>
      </c>
    </row>
    <row r="685" spans="3:5" x14ac:dyDescent="0.25">
      <c r="C685" s="12" t="s">
        <v>573</v>
      </c>
      <c r="D685" s="12" t="s">
        <v>2577</v>
      </c>
      <c r="E685" t="str">
        <f t="shared" si="111"/>
        <v>B01J</v>
      </c>
    </row>
    <row r="686" spans="3:5" x14ac:dyDescent="0.25">
      <c r="C686" s="12" t="str">
        <f t="shared" ref="C686:C687" si="118">C685</f>
        <v>CN104549484</v>
      </c>
      <c r="D686" s="12" t="s">
        <v>1466</v>
      </c>
      <c r="E686" t="str">
        <f t="shared" si="111"/>
        <v>C07C</v>
      </c>
    </row>
    <row r="687" spans="3:5" x14ac:dyDescent="0.25">
      <c r="C687" s="12" t="str">
        <f t="shared" si="118"/>
        <v>CN104549484</v>
      </c>
      <c r="D687" s="12" t="s">
        <v>2566</v>
      </c>
      <c r="E687" t="str">
        <f t="shared" si="111"/>
        <v>C07C</v>
      </c>
    </row>
    <row r="688" spans="3:5" x14ac:dyDescent="0.25">
      <c r="C688" s="12" t="s">
        <v>575</v>
      </c>
      <c r="D688" s="12" t="s">
        <v>2558</v>
      </c>
      <c r="E688" t="str">
        <f t="shared" si="111"/>
        <v>B01J</v>
      </c>
    </row>
    <row r="689" spans="3:5" x14ac:dyDescent="0.25">
      <c r="C689" s="12" t="str">
        <f t="shared" ref="C689:C694" si="119">C688</f>
        <v>CN104557419</v>
      </c>
      <c r="D689" s="12" t="s">
        <v>2563</v>
      </c>
      <c r="E689" t="str">
        <f t="shared" si="111"/>
        <v>B01J</v>
      </c>
    </row>
    <row r="690" spans="3:5" x14ac:dyDescent="0.25">
      <c r="C690" s="12" t="str">
        <f t="shared" si="119"/>
        <v>CN104557419</v>
      </c>
      <c r="D690" s="12" t="s">
        <v>1739</v>
      </c>
      <c r="E690" t="str">
        <f t="shared" si="111"/>
        <v>B01J</v>
      </c>
    </row>
    <row r="691" spans="3:5" x14ac:dyDescent="0.25">
      <c r="C691" s="12" t="str">
        <f t="shared" si="119"/>
        <v>CN104557419</v>
      </c>
      <c r="D691" s="12" t="s">
        <v>1466</v>
      </c>
      <c r="E691" t="str">
        <f t="shared" si="111"/>
        <v>C07C</v>
      </c>
    </row>
    <row r="692" spans="3:5" x14ac:dyDescent="0.25">
      <c r="C692" s="12" t="str">
        <f t="shared" si="119"/>
        <v>CN104557419</v>
      </c>
      <c r="D692" s="12" t="s">
        <v>2613</v>
      </c>
      <c r="E692" t="str">
        <f t="shared" si="111"/>
        <v>C07C</v>
      </c>
    </row>
    <row r="693" spans="3:5" x14ac:dyDescent="0.25">
      <c r="C693" s="12" t="str">
        <f t="shared" si="119"/>
        <v>CN104557419</v>
      </c>
      <c r="D693" s="12" t="s">
        <v>2567</v>
      </c>
      <c r="E693" t="str">
        <f t="shared" si="111"/>
        <v>C07C</v>
      </c>
    </row>
    <row r="694" spans="3:5" x14ac:dyDescent="0.25">
      <c r="C694" s="12" t="str">
        <f t="shared" si="119"/>
        <v>CN104557419</v>
      </c>
      <c r="D694" s="12" t="s">
        <v>1021</v>
      </c>
      <c r="E694" t="str">
        <f t="shared" si="111"/>
        <v>C07C</v>
      </c>
    </row>
    <row r="695" spans="3:5" x14ac:dyDescent="0.25">
      <c r="C695" s="12" t="s">
        <v>579</v>
      </c>
      <c r="D695" s="12" t="s">
        <v>2577</v>
      </c>
      <c r="E695" t="str">
        <f t="shared" si="111"/>
        <v>B01J</v>
      </c>
    </row>
    <row r="696" spans="3:5" x14ac:dyDescent="0.25">
      <c r="C696" s="12" t="str">
        <f t="shared" ref="C696:C700" si="120">C695</f>
        <v>CN104549483</v>
      </c>
      <c r="D696" s="12" t="s">
        <v>1466</v>
      </c>
      <c r="E696" t="str">
        <f t="shared" si="111"/>
        <v>C07C</v>
      </c>
    </row>
    <row r="697" spans="3:5" x14ac:dyDescent="0.25">
      <c r="C697" s="12" t="str">
        <f t="shared" si="120"/>
        <v>CN104549483</v>
      </c>
      <c r="D697" s="12" t="s">
        <v>2566</v>
      </c>
      <c r="E697" t="str">
        <f t="shared" si="111"/>
        <v>C07C</v>
      </c>
    </row>
    <row r="698" spans="3:5" x14ac:dyDescent="0.25">
      <c r="C698" s="12" t="str">
        <f t="shared" si="120"/>
        <v>CN104549483</v>
      </c>
      <c r="D698" s="12" t="s">
        <v>2613</v>
      </c>
      <c r="E698" t="str">
        <f t="shared" si="111"/>
        <v>C07C</v>
      </c>
    </row>
    <row r="699" spans="3:5" x14ac:dyDescent="0.25">
      <c r="C699" s="12" t="str">
        <f t="shared" si="120"/>
        <v>CN104549483</v>
      </c>
      <c r="D699" s="12" t="s">
        <v>2567</v>
      </c>
      <c r="E699" t="str">
        <f t="shared" si="111"/>
        <v>C07C</v>
      </c>
    </row>
    <row r="700" spans="3:5" x14ac:dyDescent="0.25">
      <c r="C700" s="12" t="str">
        <f t="shared" si="120"/>
        <v>CN104549483</v>
      </c>
      <c r="D700" s="12" t="s">
        <v>1021</v>
      </c>
      <c r="E700" t="str">
        <f t="shared" si="111"/>
        <v>C07C</v>
      </c>
    </row>
    <row r="701" spans="3:5" x14ac:dyDescent="0.25">
      <c r="C701" s="12" t="s">
        <v>583</v>
      </c>
      <c r="D701" s="12" t="s">
        <v>2558</v>
      </c>
      <c r="E701" t="str">
        <f t="shared" si="111"/>
        <v>B01J</v>
      </c>
    </row>
    <row r="702" spans="3:5" x14ac:dyDescent="0.25">
      <c r="C702" s="12" t="str">
        <f t="shared" ref="C702:C705" si="121">C701</f>
        <v>CN104557416</v>
      </c>
      <c r="D702" s="12" t="s">
        <v>2574</v>
      </c>
      <c r="E702" t="str">
        <f t="shared" si="111"/>
        <v>B01J</v>
      </c>
    </row>
    <row r="703" spans="3:5" x14ac:dyDescent="0.25">
      <c r="C703" s="12" t="str">
        <f t="shared" si="121"/>
        <v>CN104557416</v>
      </c>
      <c r="D703" s="12" t="s">
        <v>1498</v>
      </c>
      <c r="E703" t="str">
        <f t="shared" si="111"/>
        <v>C07C</v>
      </c>
    </row>
    <row r="704" spans="3:5" x14ac:dyDescent="0.25">
      <c r="C704" s="12" t="str">
        <f t="shared" si="121"/>
        <v>CN104557416</v>
      </c>
      <c r="D704" s="12" t="s">
        <v>2697</v>
      </c>
      <c r="E704" t="str">
        <f t="shared" si="111"/>
        <v>C07C</v>
      </c>
    </row>
    <row r="705" spans="3:5" x14ac:dyDescent="0.25">
      <c r="C705" s="12" t="str">
        <f t="shared" si="121"/>
        <v>CN104557416</v>
      </c>
      <c r="D705" s="12" t="s">
        <v>2566</v>
      </c>
      <c r="E705" t="str">
        <f t="shared" si="111"/>
        <v>C07C</v>
      </c>
    </row>
    <row r="706" spans="3:5" x14ac:dyDescent="0.25">
      <c r="C706" s="12" t="s">
        <v>587</v>
      </c>
      <c r="D706" s="12" t="s">
        <v>2558</v>
      </c>
      <c r="E706" t="str">
        <f t="shared" si="111"/>
        <v>B01J</v>
      </c>
    </row>
    <row r="707" spans="3:5" x14ac:dyDescent="0.25">
      <c r="C707" s="12" t="str">
        <f t="shared" ref="C707:C710" si="122">C706</f>
        <v>CN104549470</v>
      </c>
      <c r="D707" s="12" t="s">
        <v>2574</v>
      </c>
      <c r="E707" t="str">
        <f t="shared" si="111"/>
        <v>B01J</v>
      </c>
    </row>
    <row r="708" spans="3:5" x14ac:dyDescent="0.25">
      <c r="C708" s="12" t="str">
        <f t="shared" si="122"/>
        <v>CN104549470</v>
      </c>
      <c r="D708" s="12" t="s">
        <v>1739</v>
      </c>
      <c r="E708" t="str">
        <f t="shared" si="111"/>
        <v>B01J</v>
      </c>
    </row>
    <row r="709" spans="3:5" x14ac:dyDescent="0.25">
      <c r="C709" s="12" t="str">
        <f t="shared" si="122"/>
        <v>CN104549470</v>
      </c>
      <c r="D709" s="12" t="s">
        <v>1466</v>
      </c>
      <c r="E709" t="str">
        <f t="shared" ref="E709:E772" si="123">LEFT(D709,4)</f>
        <v>C07C</v>
      </c>
    </row>
    <row r="710" spans="3:5" x14ac:dyDescent="0.25">
      <c r="C710" s="12" t="str">
        <f t="shared" si="122"/>
        <v>CN104549470</v>
      </c>
      <c r="D710" s="12" t="s">
        <v>2566</v>
      </c>
      <c r="E710" t="str">
        <f t="shared" si="123"/>
        <v>C07C</v>
      </c>
    </row>
    <row r="711" spans="3:5" x14ac:dyDescent="0.25">
      <c r="C711" s="12" t="s">
        <v>591</v>
      </c>
      <c r="D711" s="12" t="s">
        <v>2577</v>
      </c>
      <c r="E711" t="str">
        <f t="shared" si="123"/>
        <v>B01J</v>
      </c>
    </row>
    <row r="712" spans="3:5" x14ac:dyDescent="0.25">
      <c r="C712" s="12" t="str">
        <f t="shared" ref="C712:C715" si="124">C711</f>
        <v>CN104549481</v>
      </c>
      <c r="D712" s="12" t="s">
        <v>1466</v>
      </c>
      <c r="E712" t="str">
        <f t="shared" si="123"/>
        <v>C07C</v>
      </c>
    </row>
    <row r="713" spans="3:5" x14ac:dyDescent="0.25">
      <c r="C713" s="12" t="str">
        <f t="shared" si="124"/>
        <v>CN104549481</v>
      </c>
      <c r="D713" s="12" t="s">
        <v>2613</v>
      </c>
      <c r="E713" t="str">
        <f t="shared" si="123"/>
        <v>C07C</v>
      </c>
    </row>
    <row r="714" spans="3:5" x14ac:dyDescent="0.25">
      <c r="C714" s="12" t="str">
        <f t="shared" si="124"/>
        <v>CN104549481</v>
      </c>
      <c r="D714" s="12" t="s">
        <v>2567</v>
      </c>
      <c r="E714" t="str">
        <f t="shared" si="123"/>
        <v>C07C</v>
      </c>
    </row>
    <row r="715" spans="3:5" x14ac:dyDescent="0.25">
      <c r="C715" s="12" t="str">
        <f t="shared" si="124"/>
        <v>CN104549481</v>
      </c>
      <c r="D715" s="12" t="s">
        <v>1021</v>
      </c>
      <c r="E715" t="str">
        <f t="shared" si="123"/>
        <v>C07C</v>
      </c>
    </row>
    <row r="716" spans="3:5" x14ac:dyDescent="0.25">
      <c r="C716" s="12" t="s">
        <v>594</v>
      </c>
      <c r="D716" s="12" t="s">
        <v>1940</v>
      </c>
      <c r="E716" t="str">
        <f t="shared" si="123"/>
        <v>B01J</v>
      </c>
    </row>
    <row r="717" spans="3:5" x14ac:dyDescent="0.25">
      <c r="C717" s="12" t="str">
        <f t="shared" ref="C717:C722" si="125">C716</f>
        <v>CN104549454</v>
      </c>
      <c r="D717" s="12" t="s">
        <v>2623</v>
      </c>
      <c r="E717" t="str">
        <f t="shared" si="123"/>
        <v>B01J</v>
      </c>
    </row>
    <row r="718" spans="3:5" x14ac:dyDescent="0.25">
      <c r="C718" s="12" t="str">
        <f t="shared" si="125"/>
        <v>CN104549454</v>
      </c>
      <c r="D718" s="12" t="s">
        <v>2698</v>
      </c>
      <c r="E718" t="str">
        <f t="shared" si="123"/>
        <v>B01J</v>
      </c>
    </row>
    <row r="719" spans="3:5" x14ac:dyDescent="0.25">
      <c r="C719" s="12" t="str">
        <f t="shared" si="125"/>
        <v>CN104549454</v>
      </c>
      <c r="D719" s="12" t="s">
        <v>1466</v>
      </c>
      <c r="E719" t="str">
        <f t="shared" si="123"/>
        <v>C07C</v>
      </c>
    </row>
    <row r="720" spans="3:5" x14ac:dyDescent="0.25">
      <c r="C720" s="12" t="str">
        <f t="shared" si="125"/>
        <v>CN104549454</v>
      </c>
      <c r="D720" s="12" t="s">
        <v>2613</v>
      </c>
      <c r="E720" t="str">
        <f t="shared" si="123"/>
        <v>C07C</v>
      </c>
    </row>
    <row r="721" spans="3:5" x14ac:dyDescent="0.25">
      <c r="C721" s="12" t="str">
        <f t="shared" si="125"/>
        <v>CN104549454</v>
      </c>
      <c r="D721" s="12" t="s">
        <v>2567</v>
      </c>
      <c r="E721" t="str">
        <f t="shared" si="123"/>
        <v>C07C</v>
      </c>
    </row>
    <row r="722" spans="3:5" x14ac:dyDescent="0.25">
      <c r="C722" s="12" t="str">
        <f t="shared" si="125"/>
        <v>CN104549454</v>
      </c>
      <c r="D722" s="12" t="s">
        <v>1021</v>
      </c>
      <c r="E722" t="str">
        <f t="shared" si="123"/>
        <v>C07C</v>
      </c>
    </row>
    <row r="723" spans="3:5" x14ac:dyDescent="0.25">
      <c r="C723" s="12" t="s">
        <v>598</v>
      </c>
      <c r="D723" s="12" t="s">
        <v>2558</v>
      </c>
      <c r="E723" t="str">
        <f t="shared" si="123"/>
        <v>B01J</v>
      </c>
    </row>
    <row r="724" spans="3:5" x14ac:dyDescent="0.25">
      <c r="C724" s="12" t="str">
        <f t="shared" ref="C724:C725" si="126">C723</f>
        <v>CN104557427</v>
      </c>
      <c r="D724" s="12" t="s">
        <v>1498</v>
      </c>
      <c r="E724" t="str">
        <f t="shared" si="123"/>
        <v>C07C</v>
      </c>
    </row>
    <row r="725" spans="3:5" x14ac:dyDescent="0.25">
      <c r="C725" s="12" t="str">
        <f t="shared" si="126"/>
        <v>CN104557427</v>
      </c>
      <c r="D725" s="12" t="s">
        <v>1021</v>
      </c>
      <c r="E725" t="str">
        <f t="shared" si="123"/>
        <v>C07C</v>
      </c>
    </row>
    <row r="726" spans="3:5" x14ac:dyDescent="0.25">
      <c r="C726" s="12" t="s">
        <v>602</v>
      </c>
      <c r="D726" s="12" t="s">
        <v>2045</v>
      </c>
      <c r="E726" t="str">
        <f t="shared" si="123"/>
        <v>B01J</v>
      </c>
    </row>
    <row r="727" spans="3:5" x14ac:dyDescent="0.25">
      <c r="C727" s="12" t="str">
        <f t="shared" ref="C727:C728" si="127">C726</f>
        <v>CN104549408</v>
      </c>
      <c r="D727" s="12" t="s">
        <v>1466</v>
      </c>
      <c r="E727" t="str">
        <f t="shared" si="123"/>
        <v>C07C</v>
      </c>
    </row>
    <row r="728" spans="3:5" x14ac:dyDescent="0.25">
      <c r="C728" s="12" t="str">
        <f t="shared" si="127"/>
        <v>CN104549408</v>
      </c>
      <c r="D728" s="12" t="s">
        <v>2566</v>
      </c>
      <c r="E728" t="str">
        <f t="shared" si="123"/>
        <v>C07C</v>
      </c>
    </row>
    <row r="729" spans="3:5" x14ac:dyDescent="0.25">
      <c r="C729" s="12" t="s">
        <v>606</v>
      </c>
      <c r="D729" s="12" t="s">
        <v>2577</v>
      </c>
      <c r="E729" t="str">
        <f t="shared" si="123"/>
        <v>B01J</v>
      </c>
    </row>
    <row r="730" spans="3:5" x14ac:dyDescent="0.25">
      <c r="C730" s="12" t="str">
        <f t="shared" ref="C730:C731" si="128">C729</f>
        <v>CN104549480</v>
      </c>
      <c r="D730" s="12" t="s">
        <v>1466</v>
      </c>
      <c r="E730" t="str">
        <f t="shared" si="123"/>
        <v>C07C</v>
      </c>
    </row>
    <row r="731" spans="3:5" x14ac:dyDescent="0.25">
      <c r="C731" s="12" t="str">
        <f t="shared" si="128"/>
        <v>CN104549480</v>
      </c>
      <c r="D731" s="12" t="s">
        <v>2566</v>
      </c>
      <c r="E731" t="str">
        <f t="shared" si="123"/>
        <v>C07C</v>
      </c>
    </row>
    <row r="732" spans="3:5" x14ac:dyDescent="0.25">
      <c r="C732" s="12" t="s">
        <v>609</v>
      </c>
      <c r="D732" s="12" t="s">
        <v>2577</v>
      </c>
      <c r="E732" t="str">
        <f t="shared" si="123"/>
        <v>B01J</v>
      </c>
    </row>
    <row r="733" spans="3:5" x14ac:dyDescent="0.25">
      <c r="C733" s="12" t="str">
        <f t="shared" ref="C733:C737" si="129">C732</f>
        <v>CN104549479</v>
      </c>
      <c r="D733" s="12" t="s">
        <v>1466</v>
      </c>
      <c r="E733" t="str">
        <f t="shared" si="123"/>
        <v>C07C</v>
      </c>
    </row>
    <row r="734" spans="3:5" x14ac:dyDescent="0.25">
      <c r="C734" s="12" t="str">
        <f t="shared" si="129"/>
        <v>CN104549479</v>
      </c>
      <c r="D734" s="12" t="s">
        <v>2566</v>
      </c>
      <c r="E734" t="str">
        <f t="shared" si="123"/>
        <v>C07C</v>
      </c>
    </row>
    <row r="735" spans="3:5" x14ac:dyDescent="0.25">
      <c r="C735" s="12" t="str">
        <f t="shared" si="129"/>
        <v>CN104549479</v>
      </c>
      <c r="D735" s="12" t="s">
        <v>2613</v>
      </c>
      <c r="E735" t="str">
        <f t="shared" si="123"/>
        <v>C07C</v>
      </c>
    </row>
    <row r="736" spans="3:5" x14ac:dyDescent="0.25">
      <c r="C736" s="12" t="str">
        <f t="shared" si="129"/>
        <v>CN104549479</v>
      </c>
      <c r="D736" s="12" t="s">
        <v>2567</v>
      </c>
      <c r="E736" t="str">
        <f t="shared" si="123"/>
        <v>C07C</v>
      </c>
    </row>
    <row r="737" spans="3:5" x14ac:dyDescent="0.25">
      <c r="C737" s="12" t="str">
        <f t="shared" si="129"/>
        <v>CN104549479</v>
      </c>
      <c r="D737" s="12" t="s">
        <v>1021</v>
      </c>
      <c r="E737" t="str">
        <f t="shared" si="123"/>
        <v>C07C</v>
      </c>
    </row>
    <row r="738" spans="3:5" x14ac:dyDescent="0.25">
      <c r="C738" s="12" t="s">
        <v>612</v>
      </c>
      <c r="D738" s="12" t="s">
        <v>2558</v>
      </c>
      <c r="E738" t="str">
        <f t="shared" si="123"/>
        <v>B01J</v>
      </c>
    </row>
    <row r="739" spans="3:5" x14ac:dyDescent="0.25">
      <c r="C739" s="12" t="str">
        <f t="shared" ref="C739:C743" si="130">C738</f>
        <v>CN104557364</v>
      </c>
      <c r="D739" s="12" t="s">
        <v>2574</v>
      </c>
      <c r="E739" t="str">
        <f t="shared" si="123"/>
        <v>B01J</v>
      </c>
    </row>
    <row r="740" spans="3:5" x14ac:dyDescent="0.25">
      <c r="C740" s="12" t="str">
        <f t="shared" si="130"/>
        <v>CN104557364</v>
      </c>
      <c r="D740" s="12" t="s">
        <v>1466</v>
      </c>
      <c r="E740" t="str">
        <f t="shared" si="123"/>
        <v>C07C</v>
      </c>
    </row>
    <row r="741" spans="3:5" x14ac:dyDescent="0.25">
      <c r="C741" s="12" t="str">
        <f t="shared" si="130"/>
        <v>CN104557364</v>
      </c>
      <c r="D741" s="12" t="s">
        <v>2613</v>
      </c>
      <c r="E741" t="str">
        <f t="shared" si="123"/>
        <v>C07C</v>
      </c>
    </row>
    <row r="742" spans="3:5" x14ac:dyDescent="0.25">
      <c r="C742" s="12" t="str">
        <f t="shared" si="130"/>
        <v>CN104557364</v>
      </c>
      <c r="D742" s="12" t="s">
        <v>2567</v>
      </c>
      <c r="E742" t="str">
        <f t="shared" si="123"/>
        <v>C07C</v>
      </c>
    </row>
    <row r="743" spans="3:5" x14ac:dyDescent="0.25">
      <c r="C743" s="12" t="str">
        <f t="shared" si="130"/>
        <v>CN104557364</v>
      </c>
      <c r="D743" s="12" t="s">
        <v>1021</v>
      </c>
      <c r="E743" t="str">
        <f t="shared" si="123"/>
        <v>C07C</v>
      </c>
    </row>
    <row r="744" spans="3:5" x14ac:dyDescent="0.25">
      <c r="C744" s="12" t="s">
        <v>615</v>
      </c>
      <c r="D744" s="12" t="s">
        <v>2558</v>
      </c>
      <c r="E744" t="str">
        <f t="shared" si="123"/>
        <v>B01J</v>
      </c>
    </row>
    <row r="745" spans="3:5" x14ac:dyDescent="0.25">
      <c r="C745" s="12" t="str">
        <f t="shared" ref="C745:C749" si="131">C744</f>
        <v>CN104549441</v>
      </c>
      <c r="D745" s="12" t="s">
        <v>2563</v>
      </c>
      <c r="E745" t="str">
        <f t="shared" si="123"/>
        <v>B01J</v>
      </c>
    </row>
    <row r="746" spans="3:5" x14ac:dyDescent="0.25">
      <c r="C746" s="12" t="str">
        <f t="shared" si="131"/>
        <v>CN104549441</v>
      </c>
      <c r="D746" s="12" t="s">
        <v>1466</v>
      </c>
      <c r="E746" t="str">
        <f t="shared" si="123"/>
        <v>C07C</v>
      </c>
    </row>
    <row r="747" spans="3:5" x14ac:dyDescent="0.25">
      <c r="C747" s="12" t="str">
        <f t="shared" si="131"/>
        <v>CN104549441</v>
      </c>
      <c r="D747" s="12" t="s">
        <v>2613</v>
      </c>
      <c r="E747" t="str">
        <f t="shared" si="123"/>
        <v>C07C</v>
      </c>
    </row>
    <row r="748" spans="3:5" x14ac:dyDescent="0.25">
      <c r="C748" s="12" t="str">
        <f t="shared" si="131"/>
        <v>CN104549441</v>
      </c>
      <c r="D748" s="12" t="s">
        <v>2567</v>
      </c>
      <c r="E748" t="str">
        <f t="shared" si="123"/>
        <v>C07C</v>
      </c>
    </row>
    <row r="749" spans="3:5" x14ac:dyDescent="0.25">
      <c r="C749" s="12" t="str">
        <f t="shared" si="131"/>
        <v>CN104549441</v>
      </c>
      <c r="D749" s="12" t="s">
        <v>1021</v>
      </c>
      <c r="E749" t="str">
        <f t="shared" si="123"/>
        <v>C07C</v>
      </c>
    </row>
    <row r="750" spans="3:5" x14ac:dyDescent="0.25">
      <c r="C750" s="12" t="s">
        <v>618</v>
      </c>
      <c r="D750" s="12" t="s">
        <v>2558</v>
      </c>
      <c r="E750" t="str">
        <f t="shared" si="123"/>
        <v>B01J</v>
      </c>
    </row>
    <row r="751" spans="3:5" x14ac:dyDescent="0.25">
      <c r="C751" s="12" t="str">
        <f t="shared" ref="C751:C756" si="132">C750</f>
        <v>CN104549440</v>
      </c>
      <c r="D751" s="12" t="s">
        <v>1739</v>
      </c>
      <c r="E751" t="str">
        <f t="shared" si="123"/>
        <v>B01J</v>
      </c>
    </row>
    <row r="752" spans="3:5" x14ac:dyDescent="0.25">
      <c r="C752" s="12" t="str">
        <f t="shared" si="132"/>
        <v>CN104549440</v>
      </c>
      <c r="D752" s="12" t="s">
        <v>1466</v>
      </c>
      <c r="E752" t="str">
        <f t="shared" si="123"/>
        <v>C07C</v>
      </c>
    </row>
    <row r="753" spans="3:5" x14ac:dyDescent="0.25">
      <c r="C753" s="12" t="str">
        <f t="shared" si="132"/>
        <v>CN104549440</v>
      </c>
      <c r="D753" s="12" t="s">
        <v>2566</v>
      </c>
      <c r="E753" t="str">
        <f t="shared" si="123"/>
        <v>C07C</v>
      </c>
    </row>
    <row r="754" spans="3:5" x14ac:dyDescent="0.25">
      <c r="C754" s="12" t="str">
        <f t="shared" si="132"/>
        <v>CN104549440</v>
      </c>
      <c r="D754" s="12" t="s">
        <v>2613</v>
      </c>
      <c r="E754" t="str">
        <f t="shared" si="123"/>
        <v>C07C</v>
      </c>
    </row>
    <row r="755" spans="3:5" x14ac:dyDescent="0.25">
      <c r="C755" s="12" t="str">
        <f t="shared" si="132"/>
        <v>CN104549440</v>
      </c>
      <c r="D755" s="12" t="s">
        <v>2567</v>
      </c>
      <c r="E755" t="str">
        <f t="shared" si="123"/>
        <v>C07C</v>
      </c>
    </row>
    <row r="756" spans="3:5" x14ac:dyDescent="0.25">
      <c r="C756" s="12" t="str">
        <f t="shared" si="132"/>
        <v>CN104549440</v>
      </c>
      <c r="D756" s="12" t="s">
        <v>1021</v>
      </c>
      <c r="E756" t="str">
        <f t="shared" si="123"/>
        <v>C07C</v>
      </c>
    </row>
    <row r="757" spans="3:5" x14ac:dyDescent="0.25">
      <c r="C757" s="12" t="s">
        <v>622</v>
      </c>
      <c r="D757" s="12" t="s">
        <v>1466</v>
      </c>
      <c r="E757" t="str">
        <f t="shared" si="123"/>
        <v>C07C</v>
      </c>
    </row>
    <row r="758" spans="3:5" x14ac:dyDescent="0.25">
      <c r="C758" s="12" t="str">
        <f t="shared" ref="C758:C763" si="133">C757</f>
        <v>CN104496743</v>
      </c>
      <c r="D758" s="12" t="s">
        <v>2666</v>
      </c>
      <c r="E758" t="str">
        <f t="shared" si="123"/>
        <v>C07C</v>
      </c>
    </row>
    <row r="759" spans="3:5" x14ac:dyDescent="0.25">
      <c r="C759" s="12" t="str">
        <f t="shared" si="133"/>
        <v>CN104496743</v>
      </c>
      <c r="D759" s="12" t="s">
        <v>2581</v>
      </c>
      <c r="E759" t="str">
        <f t="shared" si="123"/>
        <v>C07C</v>
      </c>
    </row>
    <row r="760" spans="3:5" x14ac:dyDescent="0.25">
      <c r="C760" s="12" t="str">
        <f t="shared" si="133"/>
        <v>CN104496743</v>
      </c>
      <c r="D760" s="12" t="s">
        <v>2566</v>
      </c>
      <c r="E760" t="str">
        <f t="shared" si="123"/>
        <v>C07C</v>
      </c>
    </row>
    <row r="761" spans="3:5" x14ac:dyDescent="0.25">
      <c r="C761" s="12" t="str">
        <f t="shared" si="133"/>
        <v>CN104496743</v>
      </c>
      <c r="D761" s="12" t="s">
        <v>2613</v>
      </c>
      <c r="E761" t="str">
        <f t="shared" si="123"/>
        <v>C07C</v>
      </c>
    </row>
    <row r="762" spans="3:5" x14ac:dyDescent="0.25">
      <c r="C762" s="12" t="str">
        <f t="shared" si="133"/>
        <v>CN104496743</v>
      </c>
      <c r="D762" s="12" t="s">
        <v>2567</v>
      </c>
      <c r="E762" t="str">
        <f t="shared" si="123"/>
        <v>C07C</v>
      </c>
    </row>
    <row r="763" spans="3:5" x14ac:dyDescent="0.25">
      <c r="C763" s="12" t="str">
        <f t="shared" si="133"/>
        <v>CN104496743</v>
      </c>
      <c r="D763" s="12" t="s">
        <v>1021</v>
      </c>
      <c r="E763" t="str">
        <f t="shared" si="123"/>
        <v>C07C</v>
      </c>
    </row>
    <row r="764" spans="3:5" x14ac:dyDescent="0.25">
      <c r="C764" s="12" t="s">
        <v>629</v>
      </c>
      <c r="D764" s="12" t="s">
        <v>2563</v>
      </c>
      <c r="E764" t="str">
        <f t="shared" si="123"/>
        <v>B01J</v>
      </c>
    </row>
    <row r="765" spans="3:5" x14ac:dyDescent="0.25">
      <c r="C765" s="12" t="str">
        <f t="shared" ref="C765:C771" si="134">C764</f>
        <v>RU2544241</v>
      </c>
      <c r="D765" s="12" t="s">
        <v>2699</v>
      </c>
      <c r="E765" t="str">
        <f t="shared" si="123"/>
        <v>C01B</v>
      </c>
    </row>
    <row r="766" spans="3:5" x14ac:dyDescent="0.25">
      <c r="C766" s="12" t="str">
        <f t="shared" si="134"/>
        <v>RU2544241</v>
      </c>
      <c r="D766" s="12" t="s">
        <v>1466</v>
      </c>
      <c r="E766" t="str">
        <f t="shared" si="123"/>
        <v>C07C</v>
      </c>
    </row>
    <row r="767" spans="3:5" x14ac:dyDescent="0.25">
      <c r="C767" s="12" t="str">
        <f t="shared" si="134"/>
        <v>RU2544241</v>
      </c>
      <c r="D767" s="12" t="s">
        <v>2666</v>
      </c>
      <c r="E767" t="str">
        <f t="shared" si="123"/>
        <v>C07C</v>
      </c>
    </row>
    <row r="768" spans="3:5" x14ac:dyDescent="0.25">
      <c r="C768" s="12" t="str">
        <f t="shared" si="134"/>
        <v>RU2544241</v>
      </c>
      <c r="D768" s="12" t="s">
        <v>2573</v>
      </c>
      <c r="E768" t="str">
        <f t="shared" si="123"/>
        <v>C07C</v>
      </c>
    </row>
    <row r="769" spans="3:5" x14ac:dyDescent="0.25">
      <c r="C769" s="12" t="str">
        <f t="shared" si="134"/>
        <v>RU2544241</v>
      </c>
      <c r="D769" s="12" t="s">
        <v>2564</v>
      </c>
      <c r="E769" t="str">
        <f t="shared" si="123"/>
        <v>C07C</v>
      </c>
    </row>
    <row r="770" spans="3:5" x14ac:dyDescent="0.25">
      <c r="C770" s="12" t="str">
        <f t="shared" si="134"/>
        <v>RU2544241</v>
      </c>
      <c r="D770" s="12" t="s">
        <v>2565</v>
      </c>
      <c r="E770" t="str">
        <f t="shared" si="123"/>
        <v>C07C</v>
      </c>
    </row>
    <row r="771" spans="3:5" x14ac:dyDescent="0.25">
      <c r="C771" s="12" t="str">
        <f t="shared" si="134"/>
        <v>RU2544241</v>
      </c>
      <c r="D771" s="12" t="s">
        <v>225</v>
      </c>
      <c r="E771" t="str">
        <f t="shared" si="123"/>
        <v>C10G</v>
      </c>
    </row>
    <row r="772" spans="3:5" x14ac:dyDescent="0.25">
      <c r="C772" s="12" t="s">
        <v>635</v>
      </c>
      <c r="D772" s="12" t="s">
        <v>2641</v>
      </c>
      <c r="E772" t="str">
        <f t="shared" si="123"/>
        <v>C07C</v>
      </c>
    </row>
    <row r="773" spans="3:5" x14ac:dyDescent="0.25">
      <c r="C773" s="12" t="str">
        <f t="shared" ref="C773:C775" si="135">C772</f>
        <v>CN104447157</v>
      </c>
      <c r="D773" s="12" t="s">
        <v>2613</v>
      </c>
      <c r="E773" t="str">
        <f t="shared" ref="E773:E836" si="136">LEFT(D773,4)</f>
        <v>C07C</v>
      </c>
    </row>
    <row r="774" spans="3:5" x14ac:dyDescent="0.25">
      <c r="C774" s="12" t="str">
        <f t="shared" si="135"/>
        <v>CN104447157</v>
      </c>
      <c r="D774" s="12" t="s">
        <v>2567</v>
      </c>
      <c r="E774" t="str">
        <f t="shared" si="136"/>
        <v>C07C</v>
      </c>
    </row>
    <row r="775" spans="3:5" x14ac:dyDescent="0.25">
      <c r="C775" s="12" t="str">
        <f t="shared" si="135"/>
        <v>CN104447157</v>
      </c>
      <c r="D775" s="12" t="s">
        <v>1021</v>
      </c>
      <c r="E775" t="str">
        <f t="shared" si="136"/>
        <v>C07C</v>
      </c>
    </row>
    <row r="776" spans="3:5" x14ac:dyDescent="0.25">
      <c r="C776" s="12" t="s">
        <v>639</v>
      </c>
      <c r="D776" s="12" t="s">
        <v>2558</v>
      </c>
      <c r="E776" t="str">
        <f t="shared" si="136"/>
        <v>B01J</v>
      </c>
    </row>
    <row r="777" spans="3:5" x14ac:dyDescent="0.25">
      <c r="C777" s="12" t="str">
        <f t="shared" ref="C777:C781" si="137">C776</f>
        <v>CN104437596</v>
      </c>
      <c r="D777" s="12" t="s">
        <v>1466</v>
      </c>
      <c r="E777" t="str">
        <f t="shared" si="136"/>
        <v>C07C</v>
      </c>
    </row>
    <row r="778" spans="3:5" x14ac:dyDescent="0.25">
      <c r="C778" s="12" t="str">
        <f t="shared" si="137"/>
        <v>CN104437596</v>
      </c>
      <c r="D778" s="12" t="s">
        <v>2566</v>
      </c>
      <c r="E778" t="str">
        <f t="shared" si="136"/>
        <v>C07C</v>
      </c>
    </row>
    <row r="779" spans="3:5" x14ac:dyDescent="0.25">
      <c r="C779" s="12" t="str">
        <f t="shared" si="137"/>
        <v>CN104437596</v>
      </c>
      <c r="D779" s="12" t="s">
        <v>2613</v>
      </c>
      <c r="E779" t="str">
        <f t="shared" si="136"/>
        <v>C07C</v>
      </c>
    </row>
    <row r="780" spans="3:5" x14ac:dyDescent="0.25">
      <c r="C780" s="12" t="str">
        <f t="shared" si="137"/>
        <v>CN104437596</v>
      </c>
      <c r="D780" s="12" t="s">
        <v>2567</v>
      </c>
      <c r="E780" t="str">
        <f t="shared" si="136"/>
        <v>C07C</v>
      </c>
    </row>
    <row r="781" spans="3:5" x14ac:dyDescent="0.25">
      <c r="C781" s="12" t="str">
        <f t="shared" si="137"/>
        <v>CN104437596</v>
      </c>
      <c r="D781" s="12" t="s">
        <v>1021</v>
      </c>
      <c r="E781" t="str">
        <f t="shared" si="136"/>
        <v>C07C</v>
      </c>
    </row>
    <row r="782" spans="3:5" x14ac:dyDescent="0.25">
      <c r="C782" s="12" t="s">
        <v>644</v>
      </c>
      <c r="D782" s="12" t="s">
        <v>2558</v>
      </c>
      <c r="E782" t="str">
        <f t="shared" si="136"/>
        <v>B01J</v>
      </c>
    </row>
    <row r="783" spans="3:5" x14ac:dyDescent="0.25">
      <c r="C783" s="12" t="str">
        <f t="shared" ref="C783:C787" si="138">C782</f>
        <v>CN104437595</v>
      </c>
      <c r="D783" s="12" t="s">
        <v>1466</v>
      </c>
      <c r="E783" t="str">
        <f t="shared" si="136"/>
        <v>C07C</v>
      </c>
    </row>
    <row r="784" spans="3:5" x14ac:dyDescent="0.25">
      <c r="C784" s="12" t="str">
        <f t="shared" si="138"/>
        <v>CN104437595</v>
      </c>
      <c r="D784" s="12" t="s">
        <v>2566</v>
      </c>
      <c r="E784" t="str">
        <f t="shared" si="136"/>
        <v>C07C</v>
      </c>
    </row>
    <row r="785" spans="3:5" x14ac:dyDescent="0.25">
      <c r="C785" s="12" t="str">
        <f t="shared" si="138"/>
        <v>CN104437595</v>
      </c>
      <c r="D785" s="12" t="s">
        <v>2613</v>
      </c>
      <c r="E785" t="str">
        <f t="shared" si="136"/>
        <v>C07C</v>
      </c>
    </row>
    <row r="786" spans="3:5" x14ac:dyDescent="0.25">
      <c r="C786" s="12" t="str">
        <f t="shared" si="138"/>
        <v>CN104437595</v>
      </c>
      <c r="D786" s="12" t="s">
        <v>2567</v>
      </c>
      <c r="E786" t="str">
        <f t="shared" si="136"/>
        <v>C07C</v>
      </c>
    </row>
    <row r="787" spans="3:5" x14ac:dyDescent="0.25">
      <c r="C787" s="12" t="str">
        <f t="shared" si="138"/>
        <v>CN104437595</v>
      </c>
      <c r="D787" s="12" t="s">
        <v>1021</v>
      </c>
      <c r="E787" t="str">
        <f t="shared" si="136"/>
        <v>C07C</v>
      </c>
    </row>
    <row r="788" spans="3:5" x14ac:dyDescent="0.25">
      <c r="C788" s="12" t="s">
        <v>648</v>
      </c>
      <c r="D788" s="12" t="s">
        <v>2700</v>
      </c>
      <c r="E788" t="str">
        <f t="shared" si="136"/>
        <v>B01J</v>
      </c>
    </row>
    <row r="789" spans="3:5" x14ac:dyDescent="0.25">
      <c r="C789" s="12" t="str">
        <f t="shared" ref="C789:C803" si="139">C788</f>
        <v>RU2544017</v>
      </c>
      <c r="D789" s="12" t="s">
        <v>2537</v>
      </c>
      <c r="E789" t="str">
        <f t="shared" si="136"/>
        <v>B01J</v>
      </c>
    </row>
    <row r="790" spans="3:5" x14ac:dyDescent="0.25">
      <c r="C790" s="12" t="str">
        <f t="shared" si="139"/>
        <v>RU2544017</v>
      </c>
      <c r="D790" s="12" t="s">
        <v>2639</v>
      </c>
      <c r="E790" t="str">
        <f t="shared" si="136"/>
        <v>B01J</v>
      </c>
    </row>
    <row r="791" spans="3:5" x14ac:dyDescent="0.25">
      <c r="C791" s="12" t="str">
        <f t="shared" si="139"/>
        <v>RU2544017</v>
      </c>
      <c r="D791" s="12" t="s">
        <v>2701</v>
      </c>
      <c r="E791" t="str">
        <f t="shared" si="136"/>
        <v>B01J</v>
      </c>
    </row>
    <row r="792" spans="3:5" x14ac:dyDescent="0.25">
      <c r="C792" s="12" t="str">
        <f t="shared" si="139"/>
        <v>RU2544017</v>
      </c>
      <c r="D792" s="12" t="s">
        <v>2538</v>
      </c>
      <c r="E792" t="str">
        <f t="shared" si="136"/>
        <v>B01J</v>
      </c>
    </row>
    <row r="793" spans="3:5" x14ac:dyDescent="0.25">
      <c r="C793" s="12" t="str">
        <f t="shared" si="139"/>
        <v>RU2544017</v>
      </c>
      <c r="D793" s="12" t="s">
        <v>2571</v>
      </c>
      <c r="E793" t="str">
        <f t="shared" si="136"/>
        <v>B01J</v>
      </c>
    </row>
    <row r="794" spans="3:5" x14ac:dyDescent="0.25">
      <c r="C794" s="12" t="str">
        <f t="shared" si="139"/>
        <v>RU2544017</v>
      </c>
      <c r="D794" s="12" t="s">
        <v>2702</v>
      </c>
      <c r="E794" t="str">
        <f t="shared" si="136"/>
        <v>B01J</v>
      </c>
    </row>
    <row r="795" spans="3:5" x14ac:dyDescent="0.25">
      <c r="C795" s="12" t="str">
        <f t="shared" si="139"/>
        <v>RU2544017</v>
      </c>
      <c r="D795" s="12" t="s">
        <v>2558</v>
      </c>
      <c r="E795" t="str">
        <f t="shared" si="136"/>
        <v>B01J</v>
      </c>
    </row>
    <row r="796" spans="3:5" x14ac:dyDescent="0.25">
      <c r="C796" s="12" t="str">
        <f t="shared" si="139"/>
        <v>RU2544017</v>
      </c>
      <c r="D796" s="12" t="s">
        <v>1739</v>
      </c>
      <c r="E796" t="str">
        <f t="shared" si="136"/>
        <v>B01J</v>
      </c>
    </row>
    <row r="797" spans="3:5" x14ac:dyDescent="0.25">
      <c r="C797" s="12" t="str">
        <f t="shared" si="139"/>
        <v>RU2544017</v>
      </c>
      <c r="D797" s="12" t="s">
        <v>2542</v>
      </c>
      <c r="E797" t="str">
        <f t="shared" si="136"/>
        <v>B01J</v>
      </c>
    </row>
    <row r="798" spans="3:5" x14ac:dyDescent="0.25">
      <c r="C798" s="12" t="str">
        <f t="shared" si="139"/>
        <v>RU2544017</v>
      </c>
      <c r="D798" s="12" t="s">
        <v>2545</v>
      </c>
      <c r="E798" t="str">
        <f t="shared" si="136"/>
        <v>B01J</v>
      </c>
    </row>
    <row r="799" spans="3:5" x14ac:dyDescent="0.25">
      <c r="C799" s="12" t="str">
        <f t="shared" si="139"/>
        <v>RU2544017</v>
      </c>
      <c r="D799" s="12" t="s">
        <v>2646</v>
      </c>
      <c r="E799" t="str">
        <f t="shared" si="136"/>
        <v>B01J</v>
      </c>
    </row>
    <row r="800" spans="3:5" x14ac:dyDescent="0.25">
      <c r="C800" s="12" t="str">
        <f t="shared" si="139"/>
        <v>RU2544017</v>
      </c>
      <c r="D800" s="12" t="s">
        <v>2703</v>
      </c>
      <c r="E800" t="str">
        <f t="shared" si="136"/>
        <v>C01C</v>
      </c>
    </row>
    <row r="801" spans="3:5" x14ac:dyDescent="0.25">
      <c r="C801" s="12" t="str">
        <f t="shared" si="139"/>
        <v>RU2544017</v>
      </c>
      <c r="D801" s="12" t="s">
        <v>1498</v>
      </c>
      <c r="E801" t="str">
        <f t="shared" si="136"/>
        <v>C07C</v>
      </c>
    </row>
    <row r="802" spans="3:5" x14ac:dyDescent="0.25">
      <c r="C802" s="12" t="str">
        <f t="shared" si="139"/>
        <v>RU2544017</v>
      </c>
      <c r="D802" s="12" t="s">
        <v>1420</v>
      </c>
      <c r="E802" t="str">
        <f t="shared" si="136"/>
        <v>C10G</v>
      </c>
    </row>
    <row r="803" spans="3:5" x14ac:dyDescent="0.25">
      <c r="C803" s="12" t="str">
        <f t="shared" si="139"/>
        <v>RU2544017</v>
      </c>
      <c r="D803" s="12" t="s">
        <v>54</v>
      </c>
      <c r="E803" t="str">
        <f t="shared" si="136"/>
        <v>C10G</v>
      </c>
    </row>
    <row r="804" spans="3:5" x14ac:dyDescent="0.25">
      <c r="C804" s="12" t="s">
        <v>654</v>
      </c>
      <c r="D804" s="12" t="s">
        <v>2704</v>
      </c>
      <c r="E804" t="str">
        <f t="shared" si="136"/>
        <v>B01J</v>
      </c>
    </row>
    <row r="805" spans="3:5" x14ac:dyDescent="0.25">
      <c r="C805" s="12" t="str">
        <f t="shared" ref="C805:C810" si="140">C804</f>
        <v>CN104342198</v>
      </c>
      <c r="D805" s="12" t="s">
        <v>2558</v>
      </c>
      <c r="E805" t="str">
        <f t="shared" si="136"/>
        <v>B01J</v>
      </c>
    </row>
    <row r="806" spans="3:5" x14ac:dyDescent="0.25">
      <c r="C806" s="12" t="str">
        <f t="shared" si="140"/>
        <v>CN104342198</v>
      </c>
      <c r="D806" s="12" t="s">
        <v>1940</v>
      </c>
      <c r="E806" t="str">
        <f t="shared" si="136"/>
        <v>B01J</v>
      </c>
    </row>
    <row r="807" spans="3:5" x14ac:dyDescent="0.25">
      <c r="C807" s="12" t="str">
        <f t="shared" si="140"/>
        <v>CN104342198</v>
      </c>
      <c r="D807" s="12" t="s">
        <v>2705</v>
      </c>
      <c r="E807" t="str">
        <f t="shared" si="136"/>
        <v>C07C</v>
      </c>
    </row>
    <row r="808" spans="3:5" x14ac:dyDescent="0.25">
      <c r="C808" s="12" t="str">
        <f t="shared" si="140"/>
        <v>CN104342198</v>
      </c>
      <c r="D808" s="12" t="s">
        <v>2566</v>
      </c>
      <c r="E808" t="str">
        <f t="shared" si="136"/>
        <v>C07C</v>
      </c>
    </row>
    <row r="809" spans="3:5" x14ac:dyDescent="0.25">
      <c r="C809" s="12" t="str">
        <f t="shared" si="140"/>
        <v>CN104342198</v>
      </c>
      <c r="D809" s="12" t="s">
        <v>2624</v>
      </c>
      <c r="E809" t="str">
        <f t="shared" si="136"/>
        <v>C07C</v>
      </c>
    </row>
    <row r="810" spans="3:5" x14ac:dyDescent="0.25">
      <c r="C810" s="12" t="str">
        <f t="shared" si="140"/>
        <v>CN104342198</v>
      </c>
      <c r="D810" s="12" t="s">
        <v>2706</v>
      </c>
      <c r="E810" t="str">
        <f t="shared" si="136"/>
        <v>C10G</v>
      </c>
    </row>
    <row r="811" spans="3:5" x14ac:dyDescent="0.25">
      <c r="C811" s="12" t="s">
        <v>659</v>
      </c>
      <c r="D811" s="12" t="s">
        <v>1466</v>
      </c>
      <c r="E811" t="str">
        <f t="shared" si="136"/>
        <v>C07C</v>
      </c>
    </row>
    <row r="812" spans="3:5" x14ac:dyDescent="0.25">
      <c r="C812" s="12" t="str">
        <f t="shared" ref="C812:C816" si="141">C811</f>
        <v>CN104250183</v>
      </c>
      <c r="D812" s="12" t="s">
        <v>2582</v>
      </c>
      <c r="E812" t="str">
        <f t="shared" si="136"/>
        <v>C07C</v>
      </c>
    </row>
    <row r="813" spans="3:5" x14ac:dyDescent="0.25">
      <c r="C813" s="12" t="str">
        <f t="shared" si="141"/>
        <v>CN104250183</v>
      </c>
      <c r="D813" s="12" t="s">
        <v>2583</v>
      </c>
      <c r="E813" t="str">
        <f t="shared" si="136"/>
        <v>C07C</v>
      </c>
    </row>
    <row r="814" spans="3:5" x14ac:dyDescent="0.25">
      <c r="C814" s="12" t="str">
        <f t="shared" si="141"/>
        <v>CN104250183</v>
      </c>
      <c r="D814" s="12" t="s">
        <v>2613</v>
      </c>
      <c r="E814" t="str">
        <f t="shared" si="136"/>
        <v>C07C</v>
      </c>
    </row>
    <row r="815" spans="3:5" x14ac:dyDescent="0.25">
      <c r="C815" s="12" t="str">
        <f t="shared" si="141"/>
        <v>CN104250183</v>
      </c>
      <c r="D815" s="12" t="s">
        <v>2567</v>
      </c>
      <c r="E815" t="str">
        <f t="shared" si="136"/>
        <v>C07C</v>
      </c>
    </row>
    <row r="816" spans="3:5" x14ac:dyDescent="0.25">
      <c r="C816" s="12" t="str">
        <f t="shared" si="141"/>
        <v>CN104250183</v>
      </c>
      <c r="D816" s="12" t="s">
        <v>1021</v>
      </c>
      <c r="E816" t="str">
        <f t="shared" si="136"/>
        <v>C07C</v>
      </c>
    </row>
    <row r="817" spans="3:5" ht="30" x14ac:dyDescent="0.25">
      <c r="C817" s="12" t="s">
        <v>665</v>
      </c>
      <c r="D817" s="12" t="s">
        <v>2045</v>
      </c>
      <c r="E817" t="str">
        <f t="shared" si="136"/>
        <v>B01J</v>
      </c>
    </row>
    <row r="818" spans="3:5" ht="30" x14ac:dyDescent="0.25">
      <c r="C818" s="12" t="str">
        <f t="shared" ref="C818:C839" si="142">C817</f>
        <v>WO2015001004</v>
      </c>
      <c r="D818" s="12" t="s">
        <v>2558</v>
      </c>
      <c r="E818" t="str">
        <f t="shared" si="136"/>
        <v>B01J</v>
      </c>
    </row>
    <row r="819" spans="3:5" ht="30" x14ac:dyDescent="0.25">
      <c r="C819" s="12" t="str">
        <f t="shared" si="142"/>
        <v>WO2015001004</v>
      </c>
      <c r="D819" s="12" t="s">
        <v>1739</v>
      </c>
      <c r="E819" t="str">
        <f t="shared" si="136"/>
        <v>B01J</v>
      </c>
    </row>
    <row r="820" spans="3:5" ht="30" x14ac:dyDescent="0.25">
      <c r="C820" s="12" t="str">
        <f t="shared" si="142"/>
        <v>WO2015001004</v>
      </c>
      <c r="D820" s="12" t="s">
        <v>2542</v>
      </c>
      <c r="E820" t="str">
        <f t="shared" si="136"/>
        <v>B01J</v>
      </c>
    </row>
    <row r="821" spans="3:5" ht="30" x14ac:dyDescent="0.25">
      <c r="C821" s="12" t="str">
        <f t="shared" si="142"/>
        <v>WO2015001004</v>
      </c>
      <c r="D821" s="12" t="s">
        <v>2543</v>
      </c>
      <c r="E821" t="str">
        <f t="shared" si="136"/>
        <v>B01J</v>
      </c>
    </row>
    <row r="822" spans="3:5" ht="30" x14ac:dyDescent="0.25">
      <c r="C822" s="12" t="str">
        <f t="shared" si="142"/>
        <v>WO2015001004</v>
      </c>
      <c r="D822" s="12" t="s">
        <v>2580</v>
      </c>
      <c r="E822" t="str">
        <f t="shared" si="136"/>
        <v>B01J</v>
      </c>
    </row>
    <row r="823" spans="3:5" ht="30" x14ac:dyDescent="0.25">
      <c r="C823" s="12" t="str">
        <f t="shared" si="142"/>
        <v>WO2015001004</v>
      </c>
      <c r="D823" s="12" t="s">
        <v>2633</v>
      </c>
      <c r="E823" t="str">
        <f t="shared" si="136"/>
        <v>B01J</v>
      </c>
    </row>
    <row r="824" spans="3:5" ht="30" x14ac:dyDescent="0.25">
      <c r="C824" s="12" t="str">
        <f t="shared" si="142"/>
        <v>WO2015001004</v>
      </c>
      <c r="D824" s="12" t="s">
        <v>2544</v>
      </c>
      <c r="E824" t="str">
        <f t="shared" si="136"/>
        <v>B01J</v>
      </c>
    </row>
    <row r="825" spans="3:5" ht="30" x14ac:dyDescent="0.25">
      <c r="C825" s="12" t="str">
        <f t="shared" si="142"/>
        <v>WO2015001004</v>
      </c>
      <c r="D825" s="12" t="s">
        <v>2545</v>
      </c>
      <c r="E825" t="str">
        <f t="shared" si="136"/>
        <v>B01J</v>
      </c>
    </row>
    <row r="826" spans="3:5" ht="30" x14ac:dyDescent="0.25">
      <c r="C826" s="12" t="str">
        <f t="shared" si="142"/>
        <v>WO2015001004</v>
      </c>
      <c r="D826" s="12" t="s">
        <v>2546</v>
      </c>
      <c r="E826" t="str">
        <f t="shared" si="136"/>
        <v>B01J</v>
      </c>
    </row>
    <row r="827" spans="3:5" ht="30" x14ac:dyDescent="0.25">
      <c r="C827" s="12" t="str">
        <f t="shared" si="142"/>
        <v>WO2015001004</v>
      </c>
      <c r="D827" s="12" t="s">
        <v>2635</v>
      </c>
      <c r="E827" t="str">
        <f t="shared" si="136"/>
        <v>B01J</v>
      </c>
    </row>
    <row r="828" spans="3:5" ht="30" x14ac:dyDescent="0.25">
      <c r="C828" s="12" t="str">
        <f t="shared" si="142"/>
        <v>WO2015001004</v>
      </c>
      <c r="D828" s="12" t="s">
        <v>2707</v>
      </c>
      <c r="E828" t="str">
        <f t="shared" si="136"/>
        <v>C07C</v>
      </c>
    </row>
    <row r="829" spans="3:5" ht="30" x14ac:dyDescent="0.25">
      <c r="C829" s="12" t="str">
        <f t="shared" si="142"/>
        <v>WO2015001004</v>
      </c>
      <c r="D829" s="12" t="s">
        <v>2697</v>
      </c>
      <c r="E829" t="str">
        <f t="shared" si="136"/>
        <v>C07C</v>
      </c>
    </row>
    <row r="830" spans="3:5" ht="30" x14ac:dyDescent="0.25">
      <c r="C830" s="12" t="str">
        <f t="shared" si="142"/>
        <v>WO2015001004</v>
      </c>
      <c r="D830" s="12" t="s">
        <v>2708</v>
      </c>
      <c r="E830" t="str">
        <f t="shared" si="136"/>
        <v>C07C</v>
      </c>
    </row>
    <row r="831" spans="3:5" ht="30" x14ac:dyDescent="0.25">
      <c r="C831" s="12" t="str">
        <f t="shared" si="142"/>
        <v>WO2015001004</v>
      </c>
      <c r="D831" s="12" t="s">
        <v>2709</v>
      </c>
      <c r="E831" t="str">
        <f t="shared" si="136"/>
        <v>C07C</v>
      </c>
    </row>
    <row r="832" spans="3:5" ht="30" x14ac:dyDescent="0.25">
      <c r="C832" s="12" t="str">
        <f t="shared" si="142"/>
        <v>WO2015001004</v>
      </c>
      <c r="D832" s="12" t="s">
        <v>2710</v>
      </c>
      <c r="E832" t="str">
        <f t="shared" si="136"/>
        <v>C10G</v>
      </c>
    </row>
    <row r="833" spans="3:5" ht="30" x14ac:dyDescent="0.25">
      <c r="C833" s="12" t="str">
        <f t="shared" si="142"/>
        <v>WO2015001004</v>
      </c>
      <c r="D833" s="12" t="s">
        <v>225</v>
      </c>
      <c r="E833" t="str">
        <f t="shared" si="136"/>
        <v>C10G</v>
      </c>
    </row>
    <row r="834" spans="3:5" ht="30" x14ac:dyDescent="0.25">
      <c r="C834" s="12" t="str">
        <f t="shared" si="142"/>
        <v>WO2015001004</v>
      </c>
      <c r="D834" s="12" t="s">
        <v>2669</v>
      </c>
      <c r="E834" t="str">
        <f t="shared" si="136"/>
        <v>C10G</v>
      </c>
    </row>
    <row r="835" spans="3:5" ht="30" x14ac:dyDescent="0.25">
      <c r="C835" s="12" t="str">
        <f t="shared" si="142"/>
        <v>WO2015001004</v>
      </c>
      <c r="D835" s="12" t="s">
        <v>2629</v>
      </c>
      <c r="E835" t="str">
        <f t="shared" si="136"/>
        <v>C10G</v>
      </c>
    </row>
    <row r="836" spans="3:5" ht="30" x14ac:dyDescent="0.25">
      <c r="C836" s="12" t="str">
        <f t="shared" si="142"/>
        <v>WO2015001004</v>
      </c>
      <c r="D836" s="12" t="s">
        <v>54</v>
      </c>
      <c r="E836" t="str">
        <f t="shared" si="136"/>
        <v>C10G</v>
      </c>
    </row>
    <row r="837" spans="3:5" ht="30" x14ac:dyDescent="0.25">
      <c r="C837" s="12" t="str">
        <f t="shared" si="142"/>
        <v>WO2015001004</v>
      </c>
      <c r="D837" s="12" t="s">
        <v>2602</v>
      </c>
      <c r="E837" t="str">
        <f t="shared" ref="E837:E900" si="143">LEFT(D837,4)</f>
        <v>C10G</v>
      </c>
    </row>
    <row r="838" spans="3:5" ht="30" x14ac:dyDescent="0.25">
      <c r="C838" s="12" t="str">
        <f t="shared" si="142"/>
        <v>WO2015001004</v>
      </c>
      <c r="D838" s="12" t="s">
        <v>2711</v>
      </c>
      <c r="E838" t="str">
        <f t="shared" si="143"/>
        <v>C10G</v>
      </c>
    </row>
    <row r="839" spans="3:5" ht="30" x14ac:dyDescent="0.25">
      <c r="C839" s="12" t="str">
        <f t="shared" si="142"/>
        <v>WO2015001004</v>
      </c>
      <c r="D839" s="12" t="s">
        <v>1437</v>
      </c>
      <c r="E839" t="str">
        <f t="shared" si="143"/>
        <v>C10G</v>
      </c>
    </row>
    <row r="840" spans="3:5" x14ac:dyDescent="0.25">
      <c r="C840" s="12" t="s">
        <v>672</v>
      </c>
      <c r="D840" s="12" t="s">
        <v>2712</v>
      </c>
      <c r="E840" t="str">
        <f t="shared" si="143"/>
        <v>B01J</v>
      </c>
    </row>
    <row r="841" spans="3:5" x14ac:dyDescent="0.25">
      <c r="C841" s="12" t="str">
        <f>C840</f>
        <v>CN104174427</v>
      </c>
      <c r="D841" s="12" t="s">
        <v>54</v>
      </c>
      <c r="E841" t="str">
        <f t="shared" si="143"/>
        <v>C10G</v>
      </c>
    </row>
    <row r="842" spans="3:5" x14ac:dyDescent="0.25">
      <c r="C842" s="12" t="s">
        <v>676</v>
      </c>
      <c r="D842" s="12" t="s">
        <v>225</v>
      </c>
      <c r="E842" t="str">
        <f t="shared" si="143"/>
        <v>C10G</v>
      </c>
    </row>
    <row r="843" spans="3:5" x14ac:dyDescent="0.25">
      <c r="C843" s="12" t="s">
        <v>681</v>
      </c>
      <c r="D843" s="12" t="s">
        <v>2558</v>
      </c>
      <c r="E843" t="str">
        <f t="shared" si="143"/>
        <v>B01J</v>
      </c>
    </row>
    <row r="844" spans="3:5" x14ac:dyDescent="0.25">
      <c r="C844" s="12" t="str">
        <f t="shared" ref="C844:C847" si="144">C843</f>
        <v>CN104107708</v>
      </c>
      <c r="D844" s="12" t="s">
        <v>2563</v>
      </c>
      <c r="E844" t="str">
        <f t="shared" si="143"/>
        <v>B01J</v>
      </c>
    </row>
    <row r="845" spans="3:5" x14ac:dyDescent="0.25">
      <c r="C845" s="12" t="str">
        <f t="shared" si="144"/>
        <v>CN104107708</v>
      </c>
      <c r="D845" s="12" t="s">
        <v>1466</v>
      </c>
      <c r="E845" t="str">
        <f t="shared" si="143"/>
        <v>C07C</v>
      </c>
    </row>
    <row r="846" spans="3:5" x14ac:dyDescent="0.25">
      <c r="C846" s="12" t="str">
        <f t="shared" si="144"/>
        <v>CN104107708</v>
      </c>
      <c r="D846" s="12" t="s">
        <v>2583</v>
      </c>
      <c r="E846" t="str">
        <f t="shared" si="143"/>
        <v>C07C</v>
      </c>
    </row>
    <row r="847" spans="3:5" x14ac:dyDescent="0.25">
      <c r="C847" s="12" t="str">
        <f t="shared" si="144"/>
        <v>CN104107708</v>
      </c>
      <c r="D847" s="12" t="s">
        <v>2566</v>
      </c>
      <c r="E847" t="str">
        <f t="shared" si="143"/>
        <v>C07C</v>
      </c>
    </row>
    <row r="848" spans="3:5" ht="30" x14ac:dyDescent="0.25">
      <c r="C848" s="12" t="s">
        <v>687</v>
      </c>
      <c r="D848" s="12" t="s">
        <v>2549</v>
      </c>
      <c r="E848" t="str">
        <f t="shared" si="143"/>
        <v>B01J</v>
      </c>
    </row>
    <row r="849" spans="3:5" ht="30" x14ac:dyDescent="0.25">
      <c r="C849" s="12" t="str">
        <f t="shared" ref="C849:C871" si="145">C848</f>
        <v>US20140256010</v>
      </c>
      <c r="D849" s="12" t="s">
        <v>2702</v>
      </c>
      <c r="E849" t="str">
        <f t="shared" si="143"/>
        <v>B01J</v>
      </c>
    </row>
    <row r="850" spans="3:5" ht="30" x14ac:dyDescent="0.25">
      <c r="C850" s="12" t="str">
        <f t="shared" si="145"/>
        <v>US20140256010</v>
      </c>
      <c r="D850" s="12" t="s">
        <v>2713</v>
      </c>
      <c r="E850" t="str">
        <f t="shared" si="143"/>
        <v>B01J</v>
      </c>
    </row>
    <row r="851" spans="3:5" ht="30" x14ac:dyDescent="0.25">
      <c r="C851" s="12" t="str">
        <f t="shared" si="145"/>
        <v>US20140256010</v>
      </c>
      <c r="D851" s="12" t="s">
        <v>2704</v>
      </c>
      <c r="E851" t="str">
        <f t="shared" si="143"/>
        <v>B01J</v>
      </c>
    </row>
    <row r="852" spans="3:5" ht="30" x14ac:dyDescent="0.25">
      <c r="C852" s="12" t="str">
        <f t="shared" si="145"/>
        <v>US20140256010</v>
      </c>
      <c r="D852" s="12" t="s">
        <v>2558</v>
      </c>
      <c r="E852" t="str">
        <f t="shared" si="143"/>
        <v>B01J</v>
      </c>
    </row>
    <row r="853" spans="3:5" ht="30" x14ac:dyDescent="0.25">
      <c r="C853" s="12" t="str">
        <f t="shared" si="145"/>
        <v>US20140256010</v>
      </c>
      <c r="D853" s="12" t="s">
        <v>2563</v>
      </c>
      <c r="E853" t="str">
        <f t="shared" si="143"/>
        <v>B01J</v>
      </c>
    </row>
    <row r="854" spans="3:5" ht="30" x14ac:dyDescent="0.25">
      <c r="C854" s="12" t="str">
        <f t="shared" si="145"/>
        <v>US20140256010</v>
      </c>
      <c r="D854" s="12" t="s">
        <v>2574</v>
      </c>
      <c r="E854" t="str">
        <f t="shared" si="143"/>
        <v>B01J</v>
      </c>
    </row>
    <row r="855" spans="3:5" ht="30" x14ac:dyDescent="0.25">
      <c r="C855" s="12" t="str">
        <f t="shared" si="145"/>
        <v>US20140256010</v>
      </c>
      <c r="D855" s="12" t="s">
        <v>1940</v>
      </c>
      <c r="E855" t="str">
        <f t="shared" si="143"/>
        <v>B01J</v>
      </c>
    </row>
    <row r="856" spans="3:5" ht="30" x14ac:dyDescent="0.25">
      <c r="C856" s="12" t="str">
        <f t="shared" si="145"/>
        <v>US20140256010</v>
      </c>
      <c r="D856" s="12" t="s">
        <v>2623</v>
      </c>
      <c r="E856" t="str">
        <f t="shared" si="143"/>
        <v>B01J</v>
      </c>
    </row>
    <row r="857" spans="3:5" ht="30" x14ac:dyDescent="0.25">
      <c r="C857" s="12" t="str">
        <f t="shared" si="145"/>
        <v>US20140256010</v>
      </c>
      <c r="D857" s="12" t="s">
        <v>2698</v>
      </c>
      <c r="E857" t="str">
        <f t="shared" si="143"/>
        <v>B01J</v>
      </c>
    </row>
    <row r="858" spans="3:5" ht="30" x14ac:dyDescent="0.25">
      <c r="C858" s="12" t="str">
        <f t="shared" si="145"/>
        <v>US20140256010</v>
      </c>
      <c r="D858" s="12" t="s">
        <v>1739</v>
      </c>
      <c r="E858" t="str">
        <f t="shared" si="143"/>
        <v>B01J</v>
      </c>
    </row>
    <row r="859" spans="3:5" ht="30" x14ac:dyDescent="0.25">
      <c r="C859" s="12" t="str">
        <f t="shared" si="145"/>
        <v>US20140256010</v>
      </c>
      <c r="D859" s="12" t="s">
        <v>2542</v>
      </c>
      <c r="E859" t="str">
        <f t="shared" si="143"/>
        <v>B01J</v>
      </c>
    </row>
    <row r="860" spans="3:5" ht="30" x14ac:dyDescent="0.25">
      <c r="C860" s="12" t="str">
        <f t="shared" si="145"/>
        <v>US20140256010</v>
      </c>
      <c r="D860" s="12" t="s">
        <v>2551</v>
      </c>
      <c r="E860" t="str">
        <f t="shared" si="143"/>
        <v>C07C</v>
      </c>
    </row>
    <row r="861" spans="3:5" ht="30" x14ac:dyDescent="0.25">
      <c r="C861" s="12" t="str">
        <f t="shared" si="145"/>
        <v>US20140256010</v>
      </c>
      <c r="D861" s="12" t="s">
        <v>1466</v>
      </c>
      <c r="E861" t="str">
        <f t="shared" si="143"/>
        <v>C07C</v>
      </c>
    </row>
    <row r="862" spans="3:5" ht="30" x14ac:dyDescent="0.25">
      <c r="C862" s="12" t="str">
        <f t="shared" si="145"/>
        <v>US20140256010</v>
      </c>
      <c r="D862" s="12" t="s">
        <v>2714</v>
      </c>
      <c r="E862" t="str">
        <f t="shared" si="143"/>
        <v>C07C</v>
      </c>
    </row>
    <row r="863" spans="3:5" ht="30" x14ac:dyDescent="0.25">
      <c r="C863" s="12" t="str">
        <f t="shared" si="145"/>
        <v>US20140256010</v>
      </c>
      <c r="D863" s="12" t="s">
        <v>1997</v>
      </c>
      <c r="E863" t="str">
        <f t="shared" si="143"/>
        <v>C07C</v>
      </c>
    </row>
    <row r="864" spans="3:5" ht="30" x14ac:dyDescent="0.25">
      <c r="C864" s="12" t="str">
        <f t="shared" si="145"/>
        <v>US20140256010</v>
      </c>
      <c r="D864" s="12" t="s">
        <v>1426</v>
      </c>
      <c r="E864" t="str">
        <f t="shared" si="143"/>
        <v>C07C</v>
      </c>
    </row>
    <row r="865" spans="3:5" ht="30" x14ac:dyDescent="0.25">
      <c r="C865" s="12" t="str">
        <f t="shared" si="145"/>
        <v>US20140256010</v>
      </c>
      <c r="D865" s="12" t="s">
        <v>1759</v>
      </c>
      <c r="E865" t="str">
        <f t="shared" si="143"/>
        <v>C07C</v>
      </c>
    </row>
    <row r="866" spans="3:5" ht="30" x14ac:dyDescent="0.25">
      <c r="C866" s="12" t="str">
        <f t="shared" si="145"/>
        <v>US20140256010</v>
      </c>
      <c r="D866" s="12" t="s">
        <v>2715</v>
      </c>
      <c r="E866" t="str">
        <f t="shared" si="143"/>
        <v>C07C</v>
      </c>
    </row>
    <row r="867" spans="3:5" ht="30" x14ac:dyDescent="0.25">
      <c r="C867" s="12" t="str">
        <f t="shared" si="145"/>
        <v>US20140256010</v>
      </c>
      <c r="D867" s="12" t="s">
        <v>1498</v>
      </c>
      <c r="E867" t="str">
        <f t="shared" si="143"/>
        <v>C07C</v>
      </c>
    </row>
    <row r="868" spans="3:5" ht="30" x14ac:dyDescent="0.25">
      <c r="C868" s="12" t="str">
        <f t="shared" si="145"/>
        <v>US20140256010</v>
      </c>
      <c r="D868" s="12" t="s">
        <v>2552</v>
      </c>
      <c r="E868" t="str">
        <f t="shared" si="143"/>
        <v>C10G</v>
      </c>
    </row>
    <row r="869" spans="3:5" ht="30" x14ac:dyDescent="0.25">
      <c r="C869" s="12" t="str">
        <f t="shared" si="145"/>
        <v>US20140256010</v>
      </c>
      <c r="D869" s="12" t="s">
        <v>225</v>
      </c>
      <c r="E869" t="str">
        <f t="shared" si="143"/>
        <v>C10G</v>
      </c>
    </row>
    <row r="870" spans="3:5" ht="30" x14ac:dyDescent="0.25">
      <c r="C870" s="12" t="str">
        <f t="shared" si="145"/>
        <v>US20140256010</v>
      </c>
      <c r="D870" s="12" t="s">
        <v>54</v>
      </c>
      <c r="E870" t="str">
        <f t="shared" si="143"/>
        <v>C10G</v>
      </c>
    </row>
    <row r="871" spans="3:5" ht="30" x14ac:dyDescent="0.25">
      <c r="C871" s="12" t="str">
        <f t="shared" si="145"/>
        <v>US20140256010</v>
      </c>
      <c r="D871" s="12" t="s">
        <v>2716</v>
      </c>
      <c r="E871" t="str">
        <f t="shared" si="143"/>
        <v>C12P</v>
      </c>
    </row>
    <row r="872" spans="3:5" x14ac:dyDescent="0.25">
      <c r="C872" s="12" t="s">
        <v>694</v>
      </c>
      <c r="D872" s="12" t="s">
        <v>1466</v>
      </c>
      <c r="E872" t="str">
        <f t="shared" si="143"/>
        <v>C07C</v>
      </c>
    </row>
    <row r="873" spans="3:5" x14ac:dyDescent="0.25">
      <c r="C873" s="12" t="str">
        <f t="shared" ref="C873:C875" si="146">C872</f>
        <v>CN103864565</v>
      </c>
      <c r="D873" s="12" t="s">
        <v>2679</v>
      </c>
      <c r="E873" t="str">
        <f t="shared" si="143"/>
        <v>C07C</v>
      </c>
    </row>
    <row r="874" spans="3:5" x14ac:dyDescent="0.25">
      <c r="C874" s="12" t="str">
        <f t="shared" si="146"/>
        <v>CN103864565</v>
      </c>
      <c r="D874" s="12" t="s">
        <v>2705</v>
      </c>
      <c r="E874" t="str">
        <f t="shared" si="143"/>
        <v>C07C</v>
      </c>
    </row>
    <row r="875" spans="3:5" x14ac:dyDescent="0.25">
      <c r="C875" s="12" t="str">
        <f t="shared" si="146"/>
        <v>CN103864565</v>
      </c>
      <c r="D875" s="12" t="s">
        <v>1021</v>
      </c>
      <c r="E875" t="str">
        <f t="shared" si="143"/>
        <v>C07C</v>
      </c>
    </row>
    <row r="876" spans="3:5" x14ac:dyDescent="0.25">
      <c r="C876" s="12" t="s">
        <v>700</v>
      </c>
      <c r="D876" s="12" t="s">
        <v>2558</v>
      </c>
      <c r="E876" t="str">
        <f t="shared" si="143"/>
        <v>B01J</v>
      </c>
    </row>
    <row r="877" spans="3:5" x14ac:dyDescent="0.25">
      <c r="C877" s="12" t="str">
        <f t="shared" ref="C877:C880" si="147">C876</f>
        <v>CN103694078</v>
      </c>
      <c r="D877" s="12" t="s">
        <v>1498</v>
      </c>
      <c r="E877" t="str">
        <f t="shared" si="143"/>
        <v>C07C</v>
      </c>
    </row>
    <row r="878" spans="3:5" x14ac:dyDescent="0.25">
      <c r="C878" s="12" t="str">
        <f t="shared" si="147"/>
        <v>CN103694078</v>
      </c>
      <c r="D878" s="12" t="s">
        <v>2613</v>
      </c>
      <c r="E878" t="str">
        <f t="shared" si="143"/>
        <v>C07C</v>
      </c>
    </row>
    <row r="879" spans="3:5" x14ac:dyDescent="0.25">
      <c r="C879" s="12" t="str">
        <f t="shared" si="147"/>
        <v>CN103694078</v>
      </c>
      <c r="D879" s="12" t="s">
        <v>2567</v>
      </c>
      <c r="E879" t="str">
        <f t="shared" si="143"/>
        <v>C07C</v>
      </c>
    </row>
    <row r="880" spans="3:5" x14ac:dyDescent="0.25">
      <c r="C880" s="12" t="str">
        <f t="shared" si="147"/>
        <v>CN103694078</v>
      </c>
      <c r="D880" s="12" t="s">
        <v>1021</v>
      </c>
      <c r="E880" t="str">
        <f t="shared" si="143"/>
        <v>C07C</v>
      </c>
    </row>
    <row r="881" spans="3:5" x14ac:dyDescent="0.25">
      <c r="C881" s="12" t="s">
        <v>705</v>
      </c>
      <c r="D881" s="12" t="s">
        <v>522</v>
      </c>
      <c r="E881" t="str">
        <f t="shared" si="143"/>
        <v>C10G</v>
      </c>
    </row>
    <row r="882" spans="3:5" x14ac:dyDescent="0.25">
      <c r="C882" s="12" t="s">
        <v>709</v>
      </c>
      <c r="D882" s="12" t="s">
        <v>1466</v>
      </c>
      <c r="E882" t="str">
        <f t="shared" si="143"/>
        <v>C07C</v>
      </c>
    </row>
    <row r="883" spans="3:5" x14ac:dyDescent="0.25">
      <c r="C883" s="12" t="str">
        <f t="shared" ref="C883:C886" si="148">C882</f>
        <v>CN103755514</v>
      </c>
      <c r="D883" s="12" t="s">
        <v>2679</v>
      </c>
      <c r="E883" t="str">
        <f t="shared" si="143"/>
        <v>C07C</v>
      </c>
    </row>
    <row r="884" spans="3:5" x14ac:dyDescent="0.25">
      <c r="C884" s="12" t="str">
        <f t="shared" si="148"/>
        <v>CN103755514</v>
      </c>
      <c r="D884" s="12" t="s">
        <v>2705</v>
      </c>
      <c r="E884" t="str">
        <f t="shared" si="143"/>
        <v>C07C</v>
      </c>
    </row>
    <row r="885" spans="3:5" x14ac:dyDescent="0.25">
      <c r="C885" s="12" t="str">
        <f t="shared" si="148"/>
        <v>CN103755514</v>
      </c>
      <c r="D885" s="12" t="s">
        <v>2613</v>
      </c>
      <c r="E885" t="str">
        <f t="shared" si="143"/>
        <v>C07C</v>
      </c>
    </row>
    <row r="886" spans="3:5" x14ac:dyDescent="0.25">
      <c r="C886" s="12" t="str">
        <f t="shared" si="148"/>
        <v>CN103755514</v>
      </c>
      <c r="D886" s="12" t="s">
        <v>1021</v>
      </c>
      <c r="E886" t="str">
        <f t="shared" si="143"/>
        <v>C07C</v>
      </c>
    </row>
    <row r="887" spans="3:5" x14ac:dyDescent="0.25">
      <c r="C887" s="12" t="s">
        <v>714</v>
      </c>
      <c r="D887" s="12" t="s">
        <v>2563</v>
      </c>
      <c r="E887" t="str">
        <f t="shared" si="143"/>
        <v>B01J</v>
      </c>
    </row>
    <row r="888" spans="3:5" x14ac:dyDescent="0.25">
      <c r="C888" s="12" t="str">
        <f t="shared" ref="C888:C891" si="149">C887</f>
        <v>CN103464193</v>
      </c>
      <c r="D888" s="12" t="s">
        <v>2574</v>
      </c>
      <c r="E888" t="str">
        <f t="shared" si="143"/>
        <v>B01J</v>
      </c>
    </row>
    <row r="889" spans="3:5" x14ac:dyDescent="0.25">
      <c r="C889" s="12" t="str">
        <f t="shared" si="149"/>
        <v>CN103464193</v>
      </c>
      <c r="D889" s="12" t="s">
        <v>1466</v>
      </c>
      <c r="E889" t="str">
        <f t="shared" si="143"/>
        <v>C07C</v>
      </c>
    </row>
    <row r="890" spans="3:5" x14ac:dyDescent="0.25">
      <c r="C890" s="12" t="str">
        <f t="shared" si="149"/>
        <v>CN103464193</v>
      </c>
      <c r="D890" s="12" t="s">
        <v>2680</v>
      </c>
      <c r="E890" t="str">
        <f t="shared" si="143"/>
        <v>C07C</v>
      </c>
    </row>
    <row r="891" spans="3:5" x14ac:dyDescent="0.25">
      <c r="C891" s="12" t="str">
        <f t="shared" si="149"/>
        <v>CN103464193</v>
      </c>
      <c r="D891" s="12" t="s">
        <v>2573</v>
      </c>
      <c r="E891" t="str">
        <f t="shared" si="143"/>
        <v>C07C</v>
      </c>
    </row>
    <row r="892" spans="3:5" x14ac:dyDescent="0.25">
      <c r="C892" s="12" t="s">
        <v>719</v>
      </c>
      <c r="D892" s="12" t="s">
        <v>2558</v>
      </c>
      <c r="E892" t="str">
        <f t="shared" si="143"/>
        <v>B01J</v>
      </c>
    </row>
    <row r="893" spans="3:5" x14ac:dyDescent="0.25">
      <c r="C893" s="12" t="str">
        <f t="shared" ref="C893:C898" si="150">C892</f>
        <v>CN103394366</v>
      </c>
      <c r="D893" s="12" t="s">
        <v>2563</v>
      </c>
      <c r="E893" t="str">
        <f t="shared" si="143"/>
        <v>B01J</v>
      </c>
    </row>
    <row r="894" spans="3:5" x14ac:dyDescent="0.25">
      <c r="C894" s="12" t="str">
        <f t="shared" si="150"/>
        <v>CN103394366</v>
      </c>
      <c r="D894" s="12" t="s">
        <v>2574</v>
      </c>
      <c r="E894" t="str">
        <f t="shared" si="143"/>
        <v>B01J</v>
      </c>
    </row>
    <row r="895" spans="3:5" x14ac:dyDescent="0.25">
      <c r="C895" s="12" t="str">
        <f t="shared" si="150"/>
        <v>CN103394366</v>
      </c>
      <c r="D895" s="12" t="s">
        <v>1466</v>
      </c>
      <c r="E895" t="str">
        <f t="shared" si="143"/>
        <v>C07C</v>
      </c>
    </row>
    <row r="896" spans="3:5" x14ac:dyDescent="0.25">
      <c r="C896" s="12" t="str">
        <f t="shared" si="150"/>
        <v>CN103394366</v>
      </c>
      <c r="D896" s="12" t="s">
        <v>2666</v>
      </c>
      <c r="E896" t="str">
        <f t="shared" si="143"/>
        <v>C07C</v>
      </c>
    </row>
    <row r="897" spans="3:5" x14ac:dyDescent="0.25">
      <c r="C897" s="12" t="str">
        <f t="shared" si="150"/>
        <v>CN103394366</v>
      </c>
      <c r="D897" s="12" t="s">
        <v>2717</v>
      </c>
      <c r="E897" t="str">
        <f t="shared" si="143"/>
        <v>C07C</v>
      </c>
    </row>
    <row r="898" spans="3:5" x14ac:dyDescent="0.25">
      <c r="C898" s="12" t="str">
        <f t="shared" si="150"/>
        <v>CN103394366</v>
      </c>
      <c r="D898" s="12" t="s">
        <v>2573</v>
      </c>
      <c r="E898" t="str">
        <f t="shared" si="143"/>
        <v>C07C</v>
      </c>
    </row>
    <row r="899" spans="3:5" x14ac:dyDescent="0.25">
      <c r="C899" s="12" t="s">
        <v>723</v>
      </c>
      <c r="D899" s="12" t="s">
        <v>2558</v>
      </c>
      <c r="E899" t="str">
        <f t="shared" si="143"/>
        <v>B01J</v>
      </c>
    </row>
    <row r="900" spans="3:5" x14ac:dyDescent="0.25">
      <c r="C900" s="12" t="str">
        <f t="shared" ref="C900:C903" si="151">C899</f>
        <v>CN103007985</v>
      </c>
      <c r="D900" s="12" t="s">
        <v>2563</v>
      </c>
      <c r="E900" t="str">
        <f t="shared" si="143"/>
        <v>B01J</v>
      </c>
    </row>
    <row r="901" spans="3:5" x14ac:dyDescent="0.25">
      <c r="C901" s="12" t="str">
        <f t="shared" si="151"/>
        <v>CN103007985</v>
      </c>
      <c r="D901" s="12" t="s">
        <v>2574</v>
      </c>
      <c r="E901" t="str">
        <f t="shared" ref="E901:E964" si="152">LEFT(D901,4)</f>
        <v>B01J</v>
      </c>
    </row>
    <row r="902" spans="3:5" x14ac:dyDescent="0.25">
      <c r="C902" s="12" t="str">
        <f t="shared" si="151"/>
        <v>CN103007985</v>
      </c>
      <c r="D902" s="12" t="s">
        <v>1466</v>
      </c>
      <c r="E902" t="str">
        <f t="shared" si="152"/>
        <v>C07C</v>
      </c>
    </row>
    <row r="903" spans="3:5" x14ac:dyDescent="0.25">
      <c r="C903" s="12" t="str">
        <f t="shared" si="151"/>
        <v>CN103007985</v>
      </c>
      <c r="D903" s="12" t="s">
        <v>2566</v>
      </c>
      <c r="E903" t="str">
        <f t="shared" si="152"/>
        <v>C07C</v>
      </c>
    </row>
    <row r="904" spans="3:5" ht="30" x14ac:dyDescent="0.25">
      <c r="C904" s="12" t="s">
        <v>729</v>
      </c>
      <c r="D904" s="12" t="s">
        <v>2558</v>
      </c>
      <c r="E904" t="str">
        <f t="shared" si="152"/>
        <v>B01J</v>
      </c>
    </row>
    <row r="905" spans="3:5" ht="30" x14ac:dyDescent="0.25">
      <c r="C905" s="12" t="str">
        <f t="shared" ref="C905:C908" si="153">C904</f>
        <v>US20130158323</v>
      </c>
      <c r="D905" s="12" t="s">
        <v>2718</v>
      </c>
      <c r="E905" t="str">
        <f t="shared" si="152"/>
        <v>B01J</v>
      </c>
    </row>
    <row r="906" spans="3:5" ht="30" x14ac:dyDescent="0.25">
      <c r="C906" s="12" t="str">
        <f t="shared" si="153"/>
        <v>US20130158323</v>
      </c>
      <c r="D906" s="12" t="s">
        <v>2544</v>
      </c>
      <c r="E906" t="str">
        <f t="shared" si="152"/>
        <v>B01J</v>
      </c>
    </row>
    <row r="907" spans="3:5" ht="30" x14ac:dyDescent="0.25">
      <c r="C907" s="12" t="str">
        <f t="shared" si="153"/>
        <v>US20130158323</v>
      </c>
      <c r="D907" s="12" t="s">
        <v>1466</v>
      </c>
      <c r="E907" t="str">
        <f t="shared" si="152"/>
        <v>C07C</v>
      </c>
    </row>
    <row r="908" spans="3:5" ht="30" x14ac:dyDescent="0.25">
      <c r="C908" s="12" t="str">
        <f t="shared" si="153"/>
        <v>US20130158323</v>
      </c>
      <c r="D908" s="12" t="s">
        <v>2566</v>
      </c>
      <c r="E908" t="str">
        <f t="shared" si="152"/>
        <v>C07C</v>
      </c>
    </row>
    <row r="909" spans="3:5" x14ac:dyDescent="0.25">
      <c r="C909" s="12" t="s">
        <v>737</v>
      </c>
      <c r="D909" s="12" t="s">
        <v>2719</v>
      </c>
      <c r="E909" t="str">
        <f t="shared" si="152"/>
        <v>B01D</v>
      </c>
    </row>
    <row r="910" spans="3:5" x14ac:dyDescent="0.25">
      <c r="C910" s="12" t="str">
        <f t="shared" ref="C910:C946" si="154">C909</f>
        <v>CA2858408</v>
      </c>
      <c r="D910" s="12" t="s">
        <v>2720</v>
      </c>
      <c r="E910" t="str">
        <f t="shared" si="152"/>
        <v>B01J</v>
      </c>
    </row>
    <row r="911" spans="3:5" x14ac:dyDescent="0.25">
      <c r="C911" s="12" t="str">
        <f t="shared" si="154"/>
        <v>CA2858408</v>
      </c>
      <c r="D911" s="12" t="s">
        <v>2702</v>
      </c>
      <c r="E911" t="str">
        <f t="shared" si="152"/>
        <v>B01J</v>
      </c>
    </row>
    <row r="912" spans="3:5" x14ac:dyDescent="0.25">
      <c r="C912" s="12" t="str">
        <f t="shared" si="154"/>
        <v>CA2858408</v>
      </c>
      <c r="D912" s="12" t="s">
        <v>1940</v>
      </c>
      <c r="E912" t="str">
        <f t="shared" si="152"/>
        <v>B01J</v>
      </c>
    </row>
    <row r="913" spans="3:5" x14ac:dyDescent="0.25">
      <c r="C913" s="12" t="str">
        <f t="shared" si="154"/>
        <v>CA2858408</v>
      </c>
      <c r="D913" s="12" t="s">
        <v>1739</v>
      </c>
      <c r="E913" t="str">
        <f t="shared" si="152"/>
        <v>B01J</v>
      </c>
    </row>
    <row r="914" spans="3:5" x14ac:dyDescent="0.25">
      <c r="C914" s="12" t="str">
        <f t="shared" si="154"/>
        <v>CA2858408</v>
      </c>
      <c r="D914" s="12" t="s">
        <v>2721</v>
      </c>
      <c r="E914" t="str">
        <f t="shared" si="152"/>
        <v>B01J</v>
      </c>
    </row>
    <row r="915" spans="3:5" x14ac:dyDescent="0.25">
      <c r="C915" s="12" t="str">
        <f t="shared" si="154"/>
        <v>CA2858408</v>
      </c>
      <c r="D915" s="12" t="s">
        <v>2718</v>
      </c>
      <c r="E915" t="str">
        <f t="shared" si="152"/>
        <v>B01J</v>
      </c>
    </row>
    <row r="916" spans="3:5" x14ac:dyDescent="0.25">
      <c r="C916" s="12" t="str">
        <f t="shared" si="154"/>
        <v>CA2858408</v>
      </c>
      <c r="D916" s="12" t="s">
        <v>2722</v>
      </c>
      <c r="E916" t="str">
        <f t="shared" si="152"/>
        <v>B01J</v>
      </c>
    </row>
    <row r="917" spans="3:5" x14ac:dyDescent="0.25">
      <c r="C917" s="12" t="str">
        <f t="shared" si="154"/>
        <v>CA2858408</v>
      </c>
      <c r="D917" s="12" t="s">
        <v>2542</v>
      </c>
      <c r="E917" t="str">
        <f t="shared" si="152"/>
        <v>B01J</v>
      </c>
    </row>
    <row r="918" spans="3:5" x14ac:dyDescent="0.25">
      <c r="C918" s="12" t="str">
        <f t="shared" si="154"/>
        <v>CA2858408</v>
      </c>
      <c r="D918" s="12" t="s">
        <v>2723</v>
      </c>
      <c r="E918" t="str">
        <f t="shared" si="152"/>
        <v>B01J</v>
      </c>
    </row>
    <row r="919" spans="3:5" x14ac:dyDescent="0.25">
      <c r="C919" s="12" t="str">
        <f t="shared" si="154"/>
        <v>CA2858408</v>
      </c>
      <c r="D919" s="12" t="s">
        <v>1794</v>
      </c>
      <c r="E919" t="str">
        <f t="shared" si="152"/>
        <v>C01B</v>
      </c>
    </row>
    <row r="920" spans="3:5" x14ac:dyDescent="0.25">
      <c r="C920" s="12" t="str">
        <f t="shared" si="154"/>
        <v>CA2858408</v>
      </c>
      <c r="D920" s="12" t="s">
        <v>1757</v>
      </c>
      <c r="E920" t="str">
        <f t="shared" si="152"/>
        <v>C01B</v>
      </c>
    </row>
    <row r="921" spans="3:5" x14ac:dyDescent="0.25">
      <c r="C921" s="12" t="str">
        <f t="shared" si="154"/>
        <v>CA2858408</v>
      </c>
      <c r="D921" s="12" t="s">
        <v>2593</v>
      </c>
      <c r="E921" t="str">
        <f t="shared" si="152"/>
        <v>C01B</v>
      </c>
    </row>
    <row r="922" spans="3:5" x14ac:dyDescent="0.25">
      <c r="C922" s="12" t="str">
        <f t="shared" si="154"/>
        <v>CA2858408</v>
      </c>
      <c r="D922" s="12" t="s">
        <v>2724</v>
      </c>
      <c r="E922" t="str">
        <f t="shared" si="152"/>
        <v>C01B</v>
      </c>
    </row>
    <row r="923" spans="3:5" x14ac:dyDescent="0.25">
      <c r="C923" s="12" t="str">
        <f t="shared" si="154"/>
        <v>CA2858408</v>
      </c>
      <c r="D923" s="12" t="s">
        <v>2707</v>
      </c>
      <c r="E923" t="str">
        <f t="shared" si="152"/>
        <v>C07C</v>
      </c>
    </row>
    <row r="924" spans="3:5" x14ac:dyDescent="0.25">
      <c r="C924" s="12" t="str">
        <f t="shared" si="154"/>
        <v>CA2858408</v>
      </c>
      <c r="D924" s="12" t="s">
        <v>2725</v>
      </c>
      <c r="E924" t="str">
        <f t="shared" si="152"/>
        <v>C07C</v>
      </c>
    </row>
    <row r="925" spans="3:5" x14ac:dyDescent="0.25">
      <c r="C925" s="12" t="str">
        <f t="shared" si="154"/>
        <v>CA2858408</v>
      </c>
      <c r="D925" s="12" t="s">
        <v>2726</v>
      </c>
      <c r="E925" t="str">
        <f t="shared" si="152"/>
        <v>C07C</v>
      </c>
    </row>
    <row r="926" spans="3:5" x14ac:dyDescent="0.25">
      <c r="C926" s="12" t="str">
        <f t="shared" si="154"/>
        <v>CA2858408</v>
      </c>
      <c r="D926" s="12" t="s">
        <v>2727</v>
      </c>
      <c r="E926" t="str">
        <f t="shared" si="152"/>
        <v>C07C</v>
      </c>
    </row>
    <row r="927" spans="3:5" x14ac:dyDescent="0.25">
      <c r="C927" s="12" t="str">
        <f t="shared" si="154"/>
        <v>CA2858408</v>
      </c>
      <c r="D927" s="12" t="s">
        <v>1759</v>
      </c>
      <c r="E927" t="str">
        <f t="shared" si="152"/>
        <v>C07C</v>
      </c>
    </row>
    <row r="928" spans="3:5" x14ac:dyDescent="0.25">
      <c r="C928" s="12" t="str">
        <f t="shared" si="154"/>
        <v>CA2858408</v>
      </c>
      <c r="D928" s="12" t="s">
        <v>2666</v>
      </c>
      <c r="E928" t="str">
        <f t="shared" si="152"/>
        <v>C07C</v>
      </c>
    </row>
    <row r="929" spans="3:5" x14ac:dyDescent="0.25">
      <c r="C929" s="12" t="str">
        <f t="shared" si="154"/>
        <v>CA2858408</v>
      </c>
      <c r="D929" s="12" t="s">
        <v>2728</v>
      </c>
      <c r="E929" t="str">
        <f t="shared" si="152"/>
        <v>C07C</v>
      </c>
    </row>
    <row r="930" spans="3:5" x14ac:dyDescent="0.25">
      <c r="C930" s="12" t="str">
        <f t="shared" si="154"/>
        <v>CA2858408</v>
      </c>
      <c r="D930" s="12" t="s">
        <v>2729</v>
      </c>
      <c r="E930" t="str">
        <f t="shared" si="152"/>
        <v>C07C</v>
      </c>
    </row>
    <row r="931" spans="3:5" x14ac:dyDescent="0.25">
      <c r="C931" s="12" t="str">
        <f t="shared" si="154"/>
        <v>CA2858408</v>
      </c>
      <c r="D931" s="12" t="s">
        <v>2730</v>
      </c>
      <c r="E931" t="str">
        <f t="shared" si="152"/>
        <v>C07C</v>
      </c>
    </row>
    <row r="932" spans="3:5" x14ac:dyDescent="0.25">
      <c r="C932" s="12" t="str">
        <f t="shared" si="154"/>
        <v>CA2858408</v>
      </c>
      <c r="D932" s="12" t="s">
        <v>2679</v>
      </c>
      <c r="E932" t="str">
        <f t="shared" si="152"/>
        <v>C07C</v>
      </c>
    </row>
    <row r="933" spans="3:5" x14ac:dyDescent="0.25">
      <c r="C933" s="12" t="str">
        <f t="shared" si="154"/>
        <v>CA2858408</v>
      </c>
      <c r="D933" s="12" t="s">
        <v>2705</v>
      </c>
      <c r="E933" t="str">
        <f t="shared" si="152"/>
        <v>C07C</v>
      </c>
    </row>
    <row r="934" spans="3:5" x14ac:dyDescent="0.25">
      <c r="C934" s="12" t="str">
        <f t="shared" si="154"/>
        <v>CA2858408</v>
      </c>
      <c r="D934" s="12" t="s">
        <v>2731</v>
      </c>
      <c r="E934" t="str">
        <f t="shared" si="152"/>
        <v>C07C</v>
      </c>
    </row>
    <row r="935" spans="3:5" x14ac:dyDescent="0.25">
      <c r="C935" s="12" t="str">
        <f t="shared" si="154"/>
        <v>CA2858408</v>
      </c>
      <c r="D935" s="12" t="s">
        <v>2732</v>
      </c>
      <c r="E935" t="str">
        <f t="shared" si="152"/>
        <v>C07C</v>
      </c>
    </row>
    <row r="936" spans="3:5" x14ac:dyDescent="0.25">
      <c r="C936" s="12" t="str">
        <f t="shared" si="154"/>
        <v>CA2858408</v>
      </c>
      <c r="D936" s="12" t="s">
        <v>2575</v>
      </c>
      <c r="E936" t="str">
        <f t="shared" si="152"/>
        <v>C07C</v>
      </c>
    </row>
    <row r="937" spans="3:5" x14ac:dyDescent="0.25">
      <c r="C937" s="12" t="str">
        <f t="shared" si="154"/>
        <v>CA2858408</v>
      </c>
      <c r="D937" s="12" t="s">
        <v>2566</v>
      </c>
      <c r="E937" t="str">
        <f t="shared" si="152"/>
        <v>C07C</v>
      </c>
    </row>
    <row r="938" spans="3:5" x14ac:dyDescent="0.25">
      <c r="C938" s="12" t="str">
        <f t="shared" si="154"/>
        <v>CA2858408</v>
      </c>
      <c r="D938" s="12" t="s">
        <v>2656</v>
      </c>
      <c r="E938" t="str">
        <f t="shared" si="152"/>
        <v>C07C</v>
      </c>
    </row>
    <row r="939" spans="3:5" x14ac:dyDescent="0.25">
      <c r="C939" s="12" t="str">
        <f t="shared" si="154"/>
        <v>CA2858408</v>
      </c>
      <c r="D939" s="12" t="s">
        <v>1021</v>
      </c>
      <c r="E939" t="str">
        <f t="shared" si="152"/>
        <v>C07C</v>
      </c>
    </row>
    <row r="940" spans="3:5" x14ac:dyDescent="0.25">
      <c r="C940" s="12" t="str">
        <f t="shared" si="154"/>
        <v>CA2858408</v>
      </c>
      <c r="D940" s="12" t="s">
        <v>2733</v>
      </c>
      <c r="E940" t="str">
        <f t="shared" si="152"/>
        <v>C10G</v>
      </c>
    </row>
    <row r="941" spans="3:5" x14ac:dyDescent="0.25">
      <c r="C941" s="12" t="str">
        <f t="shared" si="154"/>
        <v>CA2858408</v>
      </c>
      <c r="D941" s="12" t="s">
        <v>2734</v>
      </c>
      <c r="E941" t="str">
        <f t="shared" si="152"/>
        <v>C10G</v>
      </c>
    </row>
    <row r="942" spans="3:5" x14ac:dyDescent="0.25">
      <c r="C942" s="12" t="str">
        <f t="shared" si="154"/>
        <v>CA2858408</v>
      </c>
      <c r="D942" s="12" t="s">
        <v>1420</v>
      </c>
      <c r="E942" t="str">
        <f t="shared" si="152"/>
        <v>C10G</v>
      </c>
    </row>
    <row r="943" spans="3:5" x14ac:dyDescent="0.25">
      <c r="C943" s="12" t="str">
        <f t="shared" si="154"/>
        <v>CA2858408</v>
      </c>
      <c r="D943" s="12" t="s">
        <v>54</v>
      </c>
      <c r="E943" t="str">
        <f t="shared" si="152"/>
        <v>C10G</v>
      </c>
    </row>
    <row r="944" spans="3:5" x14ac:dyDescent="0.25">
      <c r="C944" s="12" t="str">
        <f t="shared" si="154"/>
        <v>CA2858408</v>
      </c>
      <c r="D944" s="12" t="s">
        <v>2735</v>
      </c>
      <c r="E944" t="str">
        <f t="shared" si="152"/>
        <v>C10G</v>
      </c>
    </row>
    <row r="945" spans="3:5" x14ac:dyDescent="0.25">
      <c r="C945" s="12" t="str">
        <f t="shared" si="154"/>
        <v>CA2858408</v>
      </c>
      <c r="D945" s="12" t="s">
        <v>2736</v>
      </c>
      <c r="E945" t="str">
        <f t="shared" si="152"/>
        <v>C10G</v>
      </c>
    </row>
    <row r="946" spans="3:5" x14ac:dyDescent="0.25">
      <c r="C946" s="12" t="str">
        <f t="shared" si="154"/>
        <v>CA2858408</v>
      </c>
      <c r="D946" s="12" t="s">
        <v>2694</v>
      </c>
      <c r="E946" t="str">
        <f t="shared" si="152"/>
        <v>C10G</v>
      </c>
    </row>
    <row r="947" spans="3:5" x14ac:dyDescent="0.25">
      <c r="C947" s="12" t="s">
        <v>745</v>
      </c>
      <c r="D947" s="12" t="s">
        <v>2737</v>
      </c>
      <c r="E947" t="str">
        <f t="shared" si="152"/>
        <v>C01B</v>
      </c>
    </row>
    <row r="948" spans="3:5" x14ac:dyDescent="0.25">
      <c r="C948" s="12" t="str">
        <f t="shared" ref="C948:C964" si="155">C947</f>
        <v>US08569558</v>
      </c>
      <c r="D948" s="12" t="s">
        <v>2628</v>
      </c>
      <c r="E948" t="str">
        <f t="shared" si="152"/>
        <v>C01B</v>
      </c>
    </row>
    <row r="949" spans="3:5" x14ac:dyDescent="0.25">
      <c r="C949" s="12" t="str">
        <f t="shared" si="155"/>
        <v>US08569558</v>
      </c>
      <c r="D949" s="12" t="s">
        <v>2707</v>
      </c>
      <c r="E949" t="str">
        <f t="shared" si="152"/>
        <v>C07C</v>
      </c>
    </row>
    <row r="950" spans="3:5" x14ac:dyDescent="0.25">
      <c r="C950" s="12" t="str">
        <f t="shared" si="155"/>
        <v>US08569558</v>
      </c>
      <c r="D950" s="12" t="s">
        <v>2714</v>
      </c>
      <c r="E950" t="str">
        <f t="shared" si="152"/>
        <v>C07C</v>
      </c>
    </row>
    <row r="951" spans="3:5" x14ac:dyDescent="0.25">
      <c r="C951" s="12" t="str">
        <f t="shared" si="155"/>
        <v>US08569558</v>
      </c>
      <c r="D951" s="12" t="s">
        <v>2726</v>
      </c>
      <c r="E951" t="str">
        <f t="shared" si="152"/>
        <v>C07C</v>
      </c>
    </row>
    <row r="952" spans="3:5" x14ac:dyDescent="0.25">
      <c r="C952" s="12" t="str">
        <f t="shared" si="155"/>
        <v>US08569558</v>
      </c>
      <c r="D952" s="12" t="s">
        <v>2727</v>
      </c>
      <c r="E952" t="str">
        <f t="shared" si="152"/>
        <v>C07C</v>
      </c>
    </row>
    <row r="953" spans="3:5" x14ac:dyDescent="0.25">
      <c r="C953" s="12" t="str">
        <f t="shared" si="155"/>
        <v>US08569558</v>
      </c>
      <c r="D953" s="12" t="s">
        <v>1759</v>
      </c>
      <c r="E953" t="str">
        <f t="shared" si="152"/>
        <v>C07C</v>
      </c>
    </row>
    <row r="954" spans="3:5" x14ac:dyDescent="0.25">
      <c r="C954" s="12" t="str">
        <f t="shared" si="155"/>
        <v>US08569558</v>
      </c>
      <c r="D954" s="12" t="s">
        <v>2728</v>
      </c>
      <c r="E954" t="str">
        <f t="shared" si="152"/>
        <v>C07C</v>
      </c>
    </row>
    <row r="955" spans="3:5" x14ac:dyDescent="0.25">
      <c r="C955" s="12" t="str">
        <f t="shared" si="155"/>
        <v>US08569558</v>
      </c>
      <c r="D955" s="12" t="s">
        <v>2729</v>
      </c>
      <c r="E955" t="str">
        <f t="shared" si="152"/>
        <v>C07C</v>
      </c>
    </row>
    <row r="956" spans="3:5" x14ac:dyDescent="0.25">
      <c r="C956" s="12" t="str">
        <f t="shared" si="155"/>
        <v>US08569558</v>
      </c>
      <c r="D956" s="12" t="s">
        <v>2730</v>
      </c>
      <c r="E956" t="str">
        <f t="shared" si="152"/>
        <v>C07C</v>
      </c>
    </row>
    <row r="957" spans="3:5" x14ac:dyDescent="0.25">
      <c r="C957" s="12" t="str">
        <f t="shared" si="155"/>
        <v>US08569558</v>
      </c>
      <c r="D957" s="12" t="s">
        <v>2705</v>
      </c>
      <c r="E957" t="str">
        <f t="shared" si="152"/>
        <v>C07C</v>
      </c>
    </row>
    <row r="958" spans="3:5" x14ac:dyDescent="0.25">
      <c r="C958" s="12" t="str">
        <f t="shared" si="155"/>
        <v>US08569558</v>
      </c>
      <c r="D958" s="12" t="s">
        <v>2733</v>
      </c>
      <c r="E958" t="str">
        <f t="shared" si="152"/>
        <v>C10G</v>
      </c>
    </row>
    <row r="959" spans="3:5" x14ac:dyDescent="0.25">
      <c r="C959" s="12" t="str">
        <f t="shared" si="155"/>
        <v>US08569558</v>
      </c>
      <c r="D959" s="12" t="s">
        <v>2629</v>
      </c>
      <c r="E959" t="str">
        <f t="shared" si="152"/>
        <v>C10G</v>
      </c>
    </row>
    <row r="960" spans="3:5" x14ac:dyDescent="0.25">
      <c r="C960" s="12" t="str">
        <f t="shared" si="155"/>
        <v>US08569558</v>
      </c>
      <c r="D960" s="12" t="s">
        <v>2734</v>
      </c>
      <c r="E960" t="str">
        <f t="shared" si="152"/>
        <v>C10G</v>
      </c>
    </row>
    <row r="961" spans="3:5" x14ac:dyDescent="0.25">
      <c r="C961" s="12" t="str">
        <f t="shared" si="155"/>
        <v>US08569558</v>
      </c>
      <c r="D961" s="12" t="s">
        <v>1420</v>
      </c>
      <c r="E961" t="str">
        <f t="shared" si="152"/>
        <v>C10G</v>
      </c>
    </row>
    <row r="962" spans="3:5" x14ac:dyDescent="0.25">
      <c r="C962" s="12" t="str">
        <f t="shared" si="155"/>
        <v>US08569558</v>
      </c>
      <c r="D962" s="12" t="s">
        <v>2735</v>
      </c>
      <c r="E962" t="str">
        <f t="shared" si="152"/>
        <v>C10G</v>
      </c>
    </row>
    <row r="963" spans="3:5" x14ac:dyDescent="0.25">
      <c r="C963" s="12" t="str">
        <f t="shared" si="155"/>
        <v>US08569558</v>
      </c>
      <c r="D963" s="12" t="s">
        <v>2736</v>
      </c>
      <c r="E963" t="str">
        <f t="shared" si="152"/>
        <v>C10G</v>
      </c>
    </row>
    <row r="964" spans="3:5" x14ac:dyDescent="0.25">
      <c r="C964" s="12" t="str">
        <f t="shared" si="155"/>
        <v>US08569558</v>
      </c>
      <c r="D964" s="12" t="s">
        <v>2694</v>
      </c>
      <c r="E964" t="str">
        <f t="shared" si="152"/>
        <v>C10G</v>
      </c>
    </row>
    <row r="965" spans="3:5" x14ac:dyDescent="0.25">
      <c r="C965" s="12" t="s">
        <v>751</v>
      </c>
      <c r="D965" s="12" t="s">
        <v>2737</v>
      </c>
      <c r="E965" t="str">
        <f t="shared" ref="E965:E1028" si="156">LEFT(D965,4)</f>
        <v>C01B</v>
      </c>
    </row>
    <row r="966" spans="3:5" x14ac:dyDescent="0.25">
      <c r="C966" s="12" t="str">
        <f t="shared" ref="C966:C983" si="157">C965</f>
        <v>US08569557</v>
      </c>
      <c r="D966" s="12" t="s">
        <v>2628</v>
      </c>
      <c r="E966" t="str">
        <f t="shared" si="156"/>
        <v>C01B</v>
      </c>
    </row>
    <row r="967" spans="3:5" x14ac:dyDescent="0.25">
      <c r="C967" s="12" t="str">
        <f t="shared" si="157"/>
        <v>US08569557</v>
      </c>
      <c r="D967" s="12" t="s">
        <v>2707</v>
      </c>
      <c r="E967" t="str">
        <f t="shared" si="156"/>
        <v>C07C</v>
      </c>
    </row>
    <row r="968" spans="3:5" x14ac:dyDescent="0.25">
      <c r="C968" s="12" t="str">
        <f t="shared" si="157"/>
        <v>US08569557</v>
      </c>
      <c r="D968" s="12" t="s">
        <v>2714</v>
      </c>
      <c r="E968" t="str">
        <f t="shared" si="156"/>
        <v>C07C</v>
      </c>
    </row>
    <row r="969" spans="3:5" x14ac:dyDescent="0.25">
      <c r="C969" s="12" t="str">
        <f t="shared" si="157"/>
        <v>US08569557</v>
      </c>
      <c r="D969" s="12" t="s">
        <v>2726</v>
      </c>
      <c r="E969" t="str">
        <f t="shared" si="156"/>
        <v>C07C</v>
      </c>
    </row>
    <row r="970" spans="3:5" x14ac:dyDescent="0.25">
      <c r="C970" s="12" t="str">
        <f t="shared" si="157"/>
        <v>US08569557</v>
      </c>
      <c r="D970" s="12" t="s">
        <v>2727</v>
      </c>
      <c r="E970" t="str">
        <f t="shared" si="156"/>
        <v>C07C</v>
      </c>
    </row>
    <row r="971" spans="3:5" x14ac:dyDescent="0.25">
      <c r="C971" s="12" t="str">
        <f t="shared" si="157"/>
        <v>US08569557</v>
      </c>
      <c r="D971" s="12" t="s">
        <v>1759</v>
      </c>
      <c r="E971" t="str">
        <f t="shared" si="156"/>
        <v>C07C</v>
      </c>
    </row>
    <row r="972" spans="3:5" x14ac:dyDescent="0.25">
      <c r="C972" s="12" t="str">
        <f t="shared" si="157"/>
        <v>US08569557</v>
      </c>
      <c r="D972" s="12" t="s">
        <v>2728</v>
      </c>
      <c r="E972" t="str">
        <f t="shared" si="156"/>
        <v>C07C</v>
      </c>
    </row>
    <row r="973" spans="3:5" x14ac:dyDescent="0.25">
      <c r="C973" s="12" t="str">
        <f t="shared" si="157"/>
        <v>US08569557</v>
      </c>
      <c r="D973" s="12" t="s">
        <v>2729</v>
      </c>
      <c r="E973" t="str">
        <f t="shared" si="156"/>
        <v>C07C</v>
      </c>
    </row>
    <row r="974" spans="3:5" x14ac:dyDescent="0.25">
      <c r="C974" s="12" t="str">
        <f t="shared" si="157"/>
        <v>US08569557</v>
      </c>
      <c r="D974" s="12" t="s">
        <v>2730</v>
      </c>
      <c r="E974" t="str">
        <f t="shared" si="156"/>
        <v>C07C</v>
      </c>
    </row>
    <row r="975" spans="3:5" x14ac:dyDescent="0.25">
      <c r="C975" s="12" t="str">
        <f t="shared" si="157"/>
        <v>US08569557</v>
      </c>
      <c r="D975" s="12" t="s">
        <v>2705</v>
      </c>
      <c r="E975" t="str">
        <f t="shared" si="156"/>
        <v>C07C</v>
      </c>
    </row>
    <row r="976" spans="3:5" x14ac:dyDescent="0.25">
      <c r="C976" s="12" t="str">
        <f t="shared" si="157"/>
        <v>US08569557</v>
      </c>
      <c r="D976" s="12" t="s">
        <v>2733</v>
      </c>
      <c r="E976" t="str">
        <f t="shared" si="156"/>
        <v>C10G</v>
      </c>
    </row>
    <row r="977" spans="3:5" x14ac:dyDescent="0.25">
      <c r="C977" s="12" t="str">
        <f t="shared" si="157"/>
        <v>US08569557</v>
      </c>
      <c r="D977" s="12" t="s">
        <v>2629</v>
      </c>
      <c r="E977" t="str">
        <f t="shared" si="156"/>
        <v>C10G</v>
      </c>
    </row>
    <row r="978" spans="3:5" x14ac:dyDescent="0.25">
      <c r="C978" s="12" t="str">
        <f t="shared" si="157"/>
        <v>US08569557</v>
      </c>
      <c r="D978" s="12" t="s">
        <v>2734</v>
      </c>
      <c r="E978" t="str">
        <f t="shared" si="156"/>
        <v>C10G</v>
      </c>
    </row>
    <row r="979" spans="3:5" x14ac:dyDescent="0.25">
      <c r="C979" s="12" t="str">
        <f t="shared" si="157"/>
        <v>US08569557</v>
      </c>
      <c r="D979" s="12" t="s">
        <v>1420</v>
      </c>
      <c r="E979" t="str">
        <f t="shared" si="156"/>
        <v>C10G</v>
      </c>
    </row>
    <row r="980" spans="3:5" x14ac:dyDescent="0.25">
      <c r="C980" s="12" t="str">
        <f t="shared" si="157"/>
        <v>US08569557</v>
      </c>
      <c r="D980" s="12" t="s">
        <v>2735</v>
      </c>
      <c r="E980" t="str">
        <f t="shared" si="156"/>
        <v>C10G</v>
      </c>
    </row>
    <row r="981" spans="3:5" x14ac:dyDescent="0.25">
      <c r="C981" s="12" t="str">
        <f t="shared" si="157"/>
        <v>US08569557</v>
      </c>
      <c r="D981" s="12" t="s">
        <v>2711</v>
      </c>
      <c r="E981" t="str">
        <f t="shared" si="156"/>
        <v>C10G</v>
      </c>
    </row>
    <row r="982" spans="3:5" x14ac:dyDescent="0.25">
      <c r="C982" s="12" t="str">
        <f t="shared" si="157"/>
        <v>US08569557</v>
      </c>
      <c r="D982" s="12" t="s">
        <v>2736</v>
      </c>
      <c r="E982" t="str">
        <f t="shared" si="156"/>
        <v>C10G</v>
      </c>
    </row>
    <row r="983" spans="3:5" x14ac:dyDescent="0.25">
      <c r="C983" s="12" t="str">
        <f t="shared" si="157"/>
        <v>US08569557</v>
      </c>
      <c r="D983" s="12" t="s">
        <v>2694</v>
      </c>
      <c r="E983" t="str">
        <f t="shared" si="156"/>
        <v>C10G</v>
      </c>
    </row>
    <row r="984" spans="3:5" x14ac:dyDescent="0.25">
      <c r="C984" s="12" t="s">
        <v>756</v>
      </c>
      <c r="D984" s="12" t="s">
        <v>2558</v>
      </c>
      <c r="E984" t="str">
        <f t="shared" si="156"/>
        <v>B01J</v>
      </c>
    </row>
    <row r="985" spans="3:5" x14ac:dyDescent="0.25">
      <c r="C985" s="12" t="str">
        <f t="shared" ref="C985:C991" si="158">C984</f>
        <v>CN103664440</v>
      </c>
      <c r="D985" s="12" t="s">
        <v>2563</v>
      </c>
      <c r="E985" t="str">
        <f t="shared" si="156"/>
        <v>B01J</v>
      </c>
    </row>
    <row r="986" spans="3:5" x14ac:dyDescent="0.25">
      <c r="C986" s="12" t="str">
        <f t="shared" si="158"/>
        <v>CN103664440</v>
      </c>
      <c r="D986" s="12" t="s">
        <v>2574</v>
      </c>
      <c r="E986" t="str">
        <f t="shared" si="156"/>
        <v>B01J</v>
      </c>
    </row>
    <row r="987" spans="3:5" x14ac:dyDescent="0.25">
      <c r="C987" s="12" t="str">
        <f t="shared" si="158"/>
        <v>CN103664440</v>
      </c>
      <c r="D987" s="12" t="s">
        <v>1466</v>
      </c>
      <c r="E987" t="str">
        <f t="shared" si="156"/>
        <v>C07C</v>
      </c>
    </row>
    <row r="988" spans="3:5" x14ac:dyDescent="0.25">
      <c r="C988" s="12" t="str">
        <f t="shared" si="158"/>
        <v>CN103664440</v>
      </c>
      <c r="D988" s="12" t="s">
        <v>2573</v>
      </c>
      <c r="E988" t="str">
        <f t="shared" si="156"/>
        <v>C07C</v>
      </c>
    </row>
    <row r="989" spans="3:5" x14ac:dyDescent="0.25">
      <c r="C989" s="12" t="str">
        <f t="shared" si="158"/>
        <v>CN103664440</v>
      </c>
      <c r="D989" s="12" t="s">
        <v>2613</v>
      </c>
      <c r="E989" t="str">
        <f t="shared" si="156"/>
        <v>C07C</v>
      </c>
    </row>
    <row r="990" spans="3:5" x14ac:dyDescent="0.25">
      <c r="C990" s="12" t="str">
        <f t="shared" si="158"/>
        <v>CN103664440</v>
      </c>
      <c r="D990" s="12" t="s">
        <v>2567</v>
      </c>
      <c r="E990" t="str">
        <f t="shared" si="156"/>
        <v>C07C</v>
      </c>
    </row>
    <row r="991" spans="3:5" x14ac:dyDescent="0.25">
      <c r="C991" s="12" t="str">
        <f t="shared" si="158"/>
        <v>CN103664440</v>
      </c>
      <c r="D991" s="12" t="s">
        <v>1021</v>
      </c>
      <c r="E991" t="str">
        <f t="shared" si="156"/>
        <v>C07C</v>
      </c>
    </row>
    <row r="992" spans="3:5" x14ac:dyDescent="0.25">
      <c r="C992" s="12" t="s">
        <v>760</v>
      </c>
      <c r="D992" s="12" t="s">
        <v>1466</v>
      </c>
      <c r="E992" t="str">
        <f t="shared" si="156"/>
        <v>C07C</v>
      </c>
    </row>
    <row r="993" spans="3:5" x14ac:dyDescent="0.25">
      <c r="C993" s="12" t="str">
        <f t="shared" ref="C993:C996" si="159">C992</f>
        <v>CN102775261</v>
      </c>
      <c r="D993" s="12" t="s">
        <v>2738</v>
      </c>
      <c r="E993" t="str">
        <f t="shared" si="156"/>
        <v>C07C</v>
      </c>
    </row>
    <row r="994" spans="3:5" x14ac:dyDescent="0.25">
      <c r="C994" s="12" t="str">
        <f t="shared" si="159"/>
        <v>CN102775261</v>
      </c>
      <c r="D994" s="12" t="s">
        <v>2581</v>
      </c>
      <c r="E994" t="str">
        <f t="shared" si="156"/>
        <v>C07C</v>
      </c>
    </row>
    <row r="995" spans="3:5" x14ac:dyDescent="0.25">
      <c r="C995" s="12" t="str">
        <f t="shared" si="159"/>
        <v>CN102775261</v>
      </c>
      <c r="D995" s="12" t="s">
        <v>2573</v>
      </c>
      <c r="E995" t="str">
        <f t="shared" si="156"/>
        <v>C07C</v>
      </c>
    </row>
    <row r="996" spans="3:5" x14ac:dyDescent="0.25">
      <c r="C996" s="12" t="str">
        <f t="shared" si="159"/>
        <v>CN102775261</v>
      </c>
      <c r="D996" s="12" t="s">
        <v>225</v>
      </c>
      <c r="E996" t="str">
        <f t="shared" si="156"/>
        <v>C10G</v>
      </c>
    </row>
    <row r="997" spans="3:5" ht="30" x14ac:dyDescent="0.25">
      <c r="C997" s="12" t="s">
        <v>767</v>
      </c>
      <c r="D997" s="12" t="s">
        <v>2549</v>
      </c>
      <c r="E997" t="str">
        <f t="shared" si="156"/>
        <v>B01J</v>
      </c>
    </row>
    <row r="998" spans="3:5" ht="30" x14ac:dyDescent="0.25">
      <c r="C998" s="12" t="str">
        <f t="shared" ref="C998:C1015" si="160">C997</f>
        <v>US20140018592</v>
      </c>
      <c r="D998" s="12" t="s">
        <v>2558</v>
      </c>
      <c r="E998" t="str">
        <f t="shared" si="156"/>
        <v>B01J</v>
      </c>
    </row>
    <row r="999" spans="3:5" ht="30" x14ac:dyDescent="0.25">
      <c r="C999" s="12" t="str">
        <f t="shared" si="160"/>
        <v>US20140018592</v>
      </c>
      <c r="D999" s="12" t="s">
        <v>2673</v>
      </c>
      <c r="E999" t="str">
        <f t="shared" si="156"/>
        <v>B01J</v>
      </c>
    </row>
    <row r="1000" spans="3:5" ht="30" x14ac:dyDescent="0.25">
      <c r="C1000" s="12" t="str">
        <f t="shared" si="160"/>
        <v>US20140018592</v>
      </c>
      <c r="D1000" s="12" t="s">
        <v>2563</v>
      </c>
      <c r="E1000" t="str">
        <f t="shared" si="156"/>
        <v>B01J</v>
      </c>
    </row>
    <row r="1001" spans="3:5" ht="30" x14ac:dyDescent="0.25">
      <c r="C1001" s="12" t="str">
        <f t="shared" si="160"/>
        <v>US20140018592</v>
      </c>
      <c r="D1001" s="12" t="s">
        <v>2574</v>
      </c>
      <c r="E1001" t="str">
        <f t="shared" si="156"/>
        <v>B01J</v>
      </c>
    </row>
    <row r="1002" spans="3:5" ht="30" x14ac:dyDescent="0.25">
      <c r="C1002" s="12" t="str">
        <f t="shared" si="160"/>
        <v>US20140018592</v>
      </c>
      <c r="D1002" s="12" t="s">
        <v>2580</v>
      </c>
      <c r="E1002" t="str">
        <f t="shared" si="156"/>
        <v>B01J</v>
      </c>
    </row>
    <row r="1003" spans="3:5" ht="30" x14ac:dyDescent="0.25">
      <c r="C1003" s="12" t="str">
        <f t="shared" si="160"/>
        <v>US20140018592</v>
      </c>
      <c r="D1003" s="12" t="s">
        <v>2633</v>
      </c>
      <c r="E1003" t="str">
        <f t="shared" si="156"/>
        <v>B01J</v>
      </c>
    </row>
    <row r="1004" spans="3:5" ht="30" x14ac:dyDescent="0.25">
      <c r="C1004" s="12" t="str">
        <f t="shared" si="160"/>
        <v>US20140018592</v>
      </c>
      <c r="D1004" s="12" t="s">
        <v>2739</v>
      </c>
      <c r="E1004" t="str">
        <f t="shared" si="156"/>
        <v>B01J</v>
      </c>
    </row>
    <row r="1005" spans="3:5" ht="30" x14ac:dyDescent="0.25">
      <c r="C1005" s="12" t="str">
        <f t="shared" si="160"/>
        <v>US20140018592</v>
      </c>
      <c r="D1005" s="12" t="s">
        <v>2545</v>
      </c>
      <c r="E1005" t="str">
        <f t="shared" si="156"/>
        <v>B01J</v>
      </c>
    </row>
    <row r="1006" spans="3:5" ht="30" x14ac:dyDescent="0.25">
      <c r="C1006" s="12" t="str">
        <f t="shared" si="160"/>
        <v>US20140018592</v>
      </c>
      <c r="D1006" s="12" t="s">
        <v>2647</v>
      </c>
      <c r="E1006" t="str">
        <f t="shared" si="156"/>
        <v>C01B</v>
      </c>
    </row>
    <row r="1007" spans="3:5" ht="30" x14ac:dyDescent="0.25">
      <c r="C1007" s="12" t="str">
        <f t="shared" si="160"/>
        <v>US20140018592</v>
      </c>
      <c r="D1007" s="12" t="s">
        <v>2551</v>
      </c>
      <c r="E1007" t="str">
        <f t="shared" si="156"/>
        <v>C07C</v>
      </c>
    </row>
    <row r="1008" spans="3:5" ht="30" x14ac:dyDescent="0.25">
      <c r="C1008" s="12" t="str">
        <f t="shared" si="160"/>
        <v>US20140018592</v>
      </c>
      <c r="D1008" s="12" t="s">
        <v>1466</v>
      </c>
      <c r="E1008" t="str">
        <f t="shared" si="156"/>
        <v>C07C</v>
      </c>
    </row>
    <row r="1009" spans="3:5" ht="30" x14ac:dyDescent="0.25">
      <c r="C1009" s="12" t="str">
        <f t="shared" si="160"/>
        <v>US20140018592</v>
      </c>
      <c r="D1009" s="12" t="s">
        <v>2714</v>
      </c>
      <c r="E1009" t="str">
        <f t="shared" si="156"/>
        <v>C07C</v>
      </c>
    </row>
    <row r="1010" spans="3:5" ht="30" x14ac:dyDescent="0.25">
      <c r="C1010" s="12" t="str">
        <f t="shared" si="160"/>
        <v>US20140018592</v>
      </c>
      <c r="D1010" s="12" t="s">
        <v>1759</v>
      </c>
      <c r="E1010" t="str">
        <f t="shared" si="156"/>
        <v>C07C</v>
      </c>
    </row>
    <row r="1011" spans="3:5" ht="30" x14ac:dyDescent="0.25">
      <c r="C1011" s="12" t="str">
        <f t="shared" si="160"/>
        <v>US20140018592</v>
      </c>
      <c r="D1011" s="12" t="s">
        <v>2566</v>
      </c>
      <c r="E1011" t="str">
        <f t="shared" si="156"/>
        <v>C07C</v>
      </c>
    </row>
    <row r="1012" spans="3:5" ht="30" x14ac:dyDescent="0.25">
      <c r="C1012" s="12" t="str">
        <f t="shared" si="160"/>
        <v>US20140018592</v>
      </c>
      <c r="D1012" s="12" t="s">
        <v>2613</v>
      </c>
      <c r="E1012" t="str">
        <f t="shared" si="156"/>
        <v>C07C</v>
      </c>
    </row>
    <row r="1013" spans="3:5" ht="30" x14ac:dyDescent="0.25">
      <c r="C1013" s="12" t="str">
        <f t="shared" si="160"/>
        <v>US20140018592</v>
      </c>
      <c r="D1013" s="12" t="s">
        <v>2567</v>
      </c>
      <c r="E1013" t="str">
        <f t="shared" si="156"/>
        <v>C07C</v>
      </c>
    </row>
    <row r="1014" spans="3:5" ht="30" x14ac:dyDescent="0.25">
      <c r="C1014" s="12" t="str">
        <f t="shared" si="160"/>
        <v>US20140018592</v>
      </c>
      <c r="D1014" s="12" t="s">
        <v>1021</v>
      </c>
      <c r="E1014" t="str">
        <f t="shared" si="156"/>
        <v>C07C</v>
      </c>
    </row>
    <row r="1015" spans="3:5" ht="30" x14ac:dyDescent="0.25">
      <c r="C1015" s="12" t="str">
        <f t="shared" si="160"/>
        <v>US20140018592</v>
      </c>
      <c r="D1015" s="12" t="s">
        <v>225</v>
      </c>
      <c r="E1015" t="str">
        <f t="shared" si="156"/>
        <v>C10G</v>
      </c>
    </row>
    <row r="1016" spans="3:5" ht="30" x14ac:dyDescent="0.25">
      <c r="C1016" s="12" t="s">
        <v>775</v>
      </c>
      <c r="D1016" s="12" t="s">
        <v>2640</v>
      </c>
      <c r="E1016" t="str">
        <f t="shared" si="156"/>
        <v>C07B</v>
      </c>
    </row>
    <row r="1017" spans="3:5" ht="30" x14ac:dyDescent="0.25">
      <c r="C1017" s="12" t="str">
        <f t="shared" ref="C1017:C1026" si="161">C1016</f>
        <v>WO2012108926</v>
      </c>
      <c r="D1017" s="12" t="s">
        <v>1426</v>
      </c>
      <c r="E1017" t="str">
        <f t="shared" si="156"/>
        <v>C07C</v>
      </c>
    </row>
    <row r="1018" spans="3:5" ht="30" x14ac:dyDescent="0.25">
      <c r="C1018" s="12" t="str">
        <f t="shared" si="161"/>
        <v>WO2012108926</v>
      </c>
      <c r="D1018" s="12" t="s">
        <v>1759</v>
      </c>
      <c r="E1018" t="str">
        <f t="shared" si="156"/>
        <v>C07C</v>
      </c>
    </row>
    <row r="1019" spans="3:5" ht="30" x14ac:dyDescent="0.25">
      <c r="C1019" s="12" t="str">
        <f t="shared" si="161"/>
        <v>WO2012108926</v>
      </c>
      <c r="D1019" s="12" t="s">
        <v>2740</v>
      </c>
      <c r="E1019" t="str">
        <f t="shared" si="156"/>
        <v>C07C</v>
      </c>
    </row>
    <row r="1020" spans="3:5" ht="30" x14ac:dyDescent="0.25">
      <c r="C1020" s="12" t="str">
        <f t="shared" si="161"/>
        <v>WO2012108926</v>
      </c>
      <c r="D1020" s="12" t="s">
        <v>2741</v>
      </c>
      <c r="E1020" t="str">
        <f t="shared" si="156"/>
        <v>C10G</v>
      </c>
    </row>
    <row r="1021" spans="3:5" ht="30" x14ac:dyDescent="0.25">
      <c r="C1021" s="12" t="str">
        <f t="shared" si="161"/>
        <v>WO2012108926</v>
      </c>
      <c r="D1021" s="12" t="s">
        <v>2553</v>
      </c>
      <c r="E1021" t="str">
        <f t="shared" si="156"/>
        <v>C10G</v>
      </c>
    </row>
    <row r="1022" spans="3:5" ht="30" x14ac:dyDescent="0.25">
      <c r="C1022" s="12" t="str">
        <f t="shared" si="161"/>
        <v>WO2012108926</v>
      </c>
      <c r="D1022" s="12" t="s">
        <v>54</v>
      </c>
      <c r="E1022" t="str">
        <f t="shared" si="156"/>
        <v>C10G</v>
      </c>
    </row>
    <row r="1023" spans="3:5" ht="30" x14ac:dyDescent="0.25">
      <c r="C1023" s="12" t="str">
        <f t="shared" si="161"/>
        <v>WO2012108926</v>
      </c>
      <c r="D1023" s="12" t="s">
        <v>1437</v>
      </c>
      <c r="E1023" t="str">
        <f t="shared" si="156"/>
        <v>C10G</v>
      </c>
    </row>
    <row r="1024" spans="3:5" ht="30" x14ac:dyDescent="0.25">
      <c r="C1024" s="12" t="str">
        <f t="shared" si="161"/>
        <v>WO2012108926</v>
      </c>
      <c r="D1024" s="12" t="s">
        <v>2742</v>
      </c>
      <c r="E1024" t="str">
        <f t="shared" si="156"/>
        <v>C10G</v>
      </c>
    </row>
    <row r="1025" spans="3:5" ht="30" x14ac:dyDescent="0.25">
      <c r="C1025" s="12" t="str">
        <f t="shared" si="161"/>
        <v>WO2012108926</v>
      </c>
      <c r="D1025" s="12" t="s">
        <v>2696</v>
      </c>
      <c r="E1025" t="str">
        <f t="shared" si="156"/>
        <v>C10G</v>
      </c>
    </row>
    <row r="1026" spans="3:5" ht="30" x14ac:dyDescent="0.25">
      <c r="C1026" s="12" t="str">
        <f t="shared" si="161"/>
        <v>WO2012108926</v>
      </c>
      <c r="D1026" s="12" t="s">
        <v>2743</v>
      </c>
      <c r="E1026" t="str">
        <f t="shared" si="156"/>
        <v>C10G</v>
      </c>
    </row>
    <row r="1027" spans="3:5" x14ac:dyDescent="0.25">
      <c r="C1027" s="12" t="s">
        <v>782</v>
      </c>
      <c r="D1027" s="12" t="s">
        <v>2558</v>
      </c>
      <c r="E1027" t="str">
        <f t="shared" si="156"/>
        <v>B01J</v>
      </c>
    </row>
    <row r="1028" spans="3:5" x14ac:dyDescent="0.25">
      <c r="C1028" s="12" t="str">
        <f t="shared" ref="C1028:C1029" si="162">C1027</f>
        <v>CN103058807</v>
      </c>
      <c r="D1028" s="12" t="s">
        <v>1466</v>
      </c>
      <c r="E1028" t="str">
        <f t="shared" si="156"/>
        <v>C07C</v>
      </c>
    </row>
    <row r="1029" spans="3:5" x14ac:dyDescent="0.25">
      <c r="C1029" s="12" t="str">
        <f t="shared" si="162"/>
        <v>CN103058807</v>
      </c>
      <c r="D1029" s="12" t="s">
        <v>2566</v>
      </c>
      <c r="E1029" t="str">
        <f t="shared" ref="E1029:E1092" si="163">LEFT(D1029,4)</f>
        <v>C07C</v>
      </c>
    </row>
    <row r="1030" spans="3:5" x14ac:dyDescent="0.25">
      <c r="C1030" s="12" t="s">
        <v>786</v>
      </c>
      <c r="D1030" s="12" t="s">
        <v>2558</v>
      </c>
      <c r="E1030" t="str">
        <f t="shared" si="163"/>
        <v>B01J</v>
      </c>
    </row>
    <row r="1031" spans="3:5" x14ac:dyDescent="0.25">
      <c r="C1031" s="12" t="str">
        <f t="shared" ref="C1031:C1034" si="164">C1030</f>
        <v>CN103055928</v>
      </c>
      <c r="D1031" s="12" t="s">
        <v>1466</v>
      </c>
      <c r="E1031" t="str">
        <f t="shared" si="163"/>
        <v>C07C</v>
      </c>
    </row>
    <row r="1032" spans="3:5" x14ac:dyDescent="0.25">
      <c r="C1032" s="12" t="str">
        <f t="shared" si="164"/>
        <v>CN103055928</v>
      </c>
      <c r="D1032" s="12" t="s">
        <v>2613</v>
      </c>
      <c r="E1032" t="str">
        <f t="shared" si="163"/>
        <v>C07C</v>
      </c>
    </row>
    <row r="1033" spans="3:5" x14ac:dyDescent="0.25">
      <c r="C1033" s="12" t="str">
        <f t="shared" si="164"/>
        <v>CN103055928</v>
      </c>
      <c r="D1033" s="12" t="s">
        <v>2567</v>
      </c>
      <c r="E1033" t="str">
        <f t="shared" si="163"/>
        <v>C07C</v>
      </c>
    </row>
    <row r="1034" spans="3:5" x14ac:dyDescent="0.25">
      <c r="C1034" s="12" t="str">
        <f t="shared" si="164"/>
        <v>CN103055928</v>
      </c>
      <c r="D1034" s="12" t="s">
        <v>1021</v>
      </c>
      <c r="E1034" t="str">
        <f t="shared" si="163"/>
        <v>C07C</v>
      </c>
    </row>
    <row r="1035" spans="3:5" x14ac:dyDescent="0.25">
      <c r="C1035" s="12" t="s">
        <v>789</v>
      </c>
      <c r="D1035" s="12" t="s">
        <v>1466</v>
      </c>
      <c r="E1035" t="str">
        <f t="shared" si="163"/>
        <v>C07C</v>
      </c>
    </row>
    <row r="1036" spans="3:5" x14ac:dyDescent="0.25">
      <c r="C1036" s="12" t="str">
        <f t="shared" ref="C1036:C1040" si="165">C1035</f>
        <v>CN103030497</v>
      </c>
      <c r="D1036" s="12" t="s">
        <v>2738</v>
      </c>
      <c r="E1036" t="str">
        <f t="shared" si="163"/>
        <v>C07C</v>
      </c>
    </row>
    <row r="1037" spans="3:5" x14ac:dyDescent="0.25">
      <c r="C1037" s="12" t="str">
        <f t="shared" si="165"/>
        <v>CN103030497</v>
      </c>
      <c r="D1037" s="12" t="s">
        <v>1498</v>
      </c>
      <c r="E1037" t="str">
        <f t="shared" si="163"/>
        <v>C07C</v>
      </c>
    </row>
    <row r="1038" spans="3:5" x14ac:dyDescent="0.25">
      <c r="C1038" s="12" t="str">
        <f t="shared" si="165"/>
        <v>CN103030497</v>
      </c>
      <c r="D1038" s="12" t="s">
        <v>2709</v>
      </c>
      <c r="E1038" t="str">
        <f t="shared" si="163"/>
        <v>C07C</v>
      </c>
    </row>
    <row r="1039" spans="3:5" x14ac:dyDescent="0.25">
      <c r="C1039" s="12" t="str">
        <f t="shared" si="165"/>
        <v>CN103030497</v>
      </c>
      <c r="D1039" s="12" t="s">
        <v>2583</v>
      </c>
      <c r="E1039" t="str">
        <f t="shared" si="163"/>
        <v>C07C</v>
      </c>
    </row>
    <row r="1040" spans="3:5" x14ac:dyDescent="0.25">
      <c r="C1040" s="12" t="str">
        <f t="shared" si="165"/>
        <v>CN103030497</v>
      </c>
      <c r="D1040" s="12" t="s">
        <v>2566</v>
      </c>
      <c r="E1040" t="str">
        <f t="shared" si="163"/>
        <v>C07C</v>
      </c>
    </row>
    <row r="1041" spans="3:5" x14ac:dyDescent="0.25">
      <c r="C1041" s="12" t="s">
        <v>794</v>
      </c>
      <c r="D1041" s="12" t="s">
        <v>2558</v>
      </c>
      <c r="E1041" t="str">
        <f t="shared" si="163"/>
        <v>B01J</v>
      </c>
    </row>
    <row r="1042" spans="3:5" x14ac:dyDescent="0.25">
      <c r="C1042" s="12" t="str">
        <f t="shared" ref="C1042:C1047" si="166">C1041</f>
        <v>CN102910647</v>
      </c>
      <c r="D1042" s="12" t="s">
        <v>2673</v>
      </c>
      <c r="E1042" t="str">
        <f t="shared" si="163"/>
        <v>B01J</v>
      </c>
    </row>
    <row r="1043" spans="3:5" x14ac:dyDescent="0.25">
      <c r="C1043" s="12" t="str">
        <f t="shared" si="166"/>
        <v>CN102910647</v>
      </c>
      <c r="D1043" s="12" t="s">
        <v>2563</v>
      </c>
      <c r="E1043" t="str">
        <f t="shared" si="163"/>
        <v>B01J</v>
      </c>
    </row>
    <row r="1044" spans="3:5" x14ac:dyDescent="0.25">
      <c r="C1044" s="12" t="str">
        <f t="shared" si="166"/>
        <v>CN102910647</v>
      </c>
      <c r="D1044" s="12" t="s">
        <v>2574</v>
      </c>
      <c r="E1044" t="str">
        <f t="shared" si="163"/>
        <v>B01J</v>
      </c>
    </row>
    <row r="1045" spans="3:5" x14ac:dyDescent="0.25">
      <c r="C1045" s="12" t="str">
        <f t="shared" si="166"/>
        <v>CN102910647</v>
      </c>
      <c r="D1045" s="12" t="s">
        <v>2657</v>
      </c>
      <c r="E1045" t="str">
        <f t="shared" si="163"/>
        <v>C01B</v>
      </c>
    </row>
    <row r="1046" spans="3:5" x14ac:dyDescent="0.25">
      <c r="C1046" s="12" t="str">
        <f t="shared" si="166"/>
        <v>CN102910647</v>
      </c>
      <c r="D1046" s="12" t="s">
        <v>1466</v>
      </c>
      <c r="E1046" t="str">
        <f t="shared" si="163"/>
        <v>C07C</v>
      </c>
    </row>
    <row r="1047" spans="3:5" x14ac:dyDescent="0.25">
      <c r="C1047" s="12" t="str">
        <f t="shared" si="166"/>
        <v>CN102910647</v>
      </c>
      <c r="D1047" s="12" t="s">
        <v>1021</v>
      </c>
      <c r="E1047" t="str">
        <f t="shared" si="163"/>
        <v>C07C</v>
      </c>
    </row>
    <row r="1048" spans="3:5" x14ac:dyDescent="0.25">
      <c r="C1048" s="12" t="s">
        <v>799</v>
      </c>
      <c r="D1048" s="12" t="s">
        <v>225</v>
      </c>
      <c r="E1048" t="str">
        <f t="shared" si="163"/>
        <v>C10G</v>
      </c>
    </row>
    <row r="1049" spans="3:5" x14ac:dyDescent="0.25">
      <c r="C1049" s="12" t="str">
        <f t="shared" ref="C1049:C1052" si="167">C1048</f>
        <v>CN102746877</v>
      </c>
      <c r="D1049" s="12" t="s">
        <v>2744</v>
      </c>
      <c r="E1049" t="str">
        <f t="shared" si="163"/>
        <v>C10G</v>
      </c>
    </row>
    <row r="1050" spans="3:5" x14ac:dyDescent="0.25">
      <c r="C1050" s="12" t="str">
        <f t="shared" si="167"/>
        <v>CN102746877</v>
      </c>
      <c r="D1050" s="12" t="s">
        <v>1420</v>
      </c>
      <c r="E1050" t="str">
        <f t="shared" si="163"/>
        <v>C10G</v>
      </c>
    </row>
    <row r="1051" spans="3:5" x14ac:dyDescent="0.25">
      <c r="C1051" s="12" t="str">
        <f t="shared" si="167"/>
        <v>CN102746877</v>
      </c>
      <c r="D1051" s="12" t="s">
        <v>54</v>
      </c>
      <c r="E1051" t="str">
        <f t="shared" si="163"/>
        <v>C10G</v>
      </c>
    </row>
    <row r="1052" spans="3:5" x14ac:dyDescent="0.25">
      <c r="C1052" s="12" t="str">
        <f t="shared" si="167"/>
        <v>CN102746877</v>
      </c>
      <c r="D1052" s="12" t="s">
        <v>1437</v>
      </c>
      <c r="E1052" t="str">
        <f t="shared" si="163"/>
        <v>C10G</v>
      </c>
    </row>
    <row r="1053" spans="3:5" x14ac:dyDescent="0.25">
      <c r="C1053" s="12" t="s">
        <v>804</v>
      </c>
      <c r="D1053" s="12" t="s">
        <v>225</v>
      </c>
      <c r="E1053" t="str">
        <f t="shared" si="163"/>
        <v>C10G</v>
      </c>
    </row>
    <row r="1054" spans="3:5" x14ac:dyDescent="0.25">
      <c r="C1054" s="12" t="str">
        <f t="shared" ref="C1054:C1055" si="168">C1053</f>
        <v>CN102746875</v>
      </c>
      <c r="D1054" s="12" t="s">
        <v>2744</v>
      </c>
      <c r="E1054" t="str">
        <f t="shared" si="163"/>
        <v>C10G</v>
      </c>
    </row>
    <row r="1055" spans="3:5" x14ac:dyDescent="0.25">
      <c r="C1055" s="12" t="str">
        <f t="shared" si="168"/>
        <v>CN102746875</v>
      </c>
      <c r="D1055" s="12" t="s">
        <v>1420</v>
      </c>
      <c r="E1055" t="str">
        <f t="shared" si="163"/>
        <v>C10G</v>
      </c>
    </row>
    <row r="1056" spans="3:5" ht="30" x14ac:dyDescent="0.25">
      <c r="C1056" s="12" t="s">
        <v>809</v>
      </c>
      <c r="D1056" s="12" t="s">
        <v>1759</v>
      </c>
      <c r="E1056" t="str">
        <f t="shared" si="163"/>
        <v>C07C</v>
      </c>
    </row>
    <row r="1057" spans="3:5" ht="30" x14ac:dyDescent="0.25">
      <c r="C1057" s="12" t="str">
        <f t="shared" ref="C1057:C1061" si="169">C1056</f>
        <v>WO2012108861</v>
      </c>
      <c r="D1057" s="12" t="s">
        <v>2740</v>
      </c>
      <c r="E1057" t="str">
        <f t="shared" si="163"/>
        <v>C07C</v>
      </c>
    </row>
    <row r="1058" spans="3:5" ht="30" x14ac:dyDescent="0.25">
      <c r="C1058" s="12" t="str">
        <f t="shared" si="169"/>
        <v>WO2012108861</v>
      </c>
      <c r="D1058" s="12" t="s">
        <v>2553</v>
      </c>
      <c r="E1058" t="str">
        <f t="shared" si="163"/>
        <v>C10G</v>
      </c>
    </row>
    <row r="1059" spans="3:5" ht="30" x14ac:dyDescent="0.25">
      <c r="C1059" s="12" t="str">
        <f t="shared" si="169"/>
        <v>WO2012108861</v>
      </c>
      <c r="D1059" s="12" t="s">
        <v>54</v>
      </c>
      <c r="E1059" t="str">
        <f t="shared" si="163"/>
        <v>C10G</v>
      </c>
    </row>
    <row r="1060" spans="3:5" ht="30" x14ac:dyDescent="0.25">
      <c r="C1060" s="12" t="str">
        <f t="shared" si="169"/>
        <v>WO2012108861</v>
      </c>
      <c r="D1060" s="12" t="s">
        <v>1437</v>
      </c>
      <c r="E1060" t="str">
        <f t="shared" si="163"/>
        <v>C10G</v>
      </c>
    </row>
    <row r="1061" spans="3:5" ht="30" x14ac:dyDescent="0.25">
      <c r="C1061" s="12" t="str">
        <f t="shared" si="169"/>
        <v>WO2012108861</v>
      </c>
      <c r="D1061" s="12" t="s">
        <v>2556</v>
      </c>
      <c r="E1061" t="str">
        <f t="shared" si="163"/>
        <v>C10L</v>
      </c>
    </row>
    <row r="1062" spans="3:5" x14ac:dyDescent="0.25">
      <c r="C1062" s="12" t="s">
        <v>815</v>
      </c>
      <c r="D1062" s="12" t="s">
        <v>2574</v>
      </c>
      <c r="E1062" t="str">
        <f t="shared" si="163"/>
        <v>B01J</v>
      </c>
    </row>
    <row r="1063" spans="3:5" x14ac:dyDescent="0.25">
      <c r="C1063" s="12" t="str">
        <f t="shared" ref="C1063:C1065" si="170">C1062</f>
        <v>CN102126915</v>
      </c>
      <c r="D1063" s="12" t="s">
        <v>1466</v>
      </c>
      <c r="E1063" t="str">
        <f t="shared" si="163"/>
        <v>C07C</v>
      </c>
    </row>
    <row r="1064" spans="3:5" x14ac:dyDescent="0.25">
      <c r="C1064" s="12" t="str">
        <f t="shared" si="170"/>
        <v>CN102126915</v>
      </c>
      <c r="D1064" s="12" t="s">
        <v>2582</v>
      </c>
      <c r="E1064" t="str">
        <f t="shared" si="163"/>
        <v>C07C</v>
      </c>
    </row>
    <row r="1065" spans="3:5" x14ac:dyDescent="0.25">
      <c r="C1065" s="12" t="str">
        <f t="shared" si="170"/>
        <v>CN102126915</v>
      </c>
      <c r="D1065" s="12" t="s">
        <v>1021</v>
      </c>
      <c r="E1065" t="str">
        <f t="shared" si="163"/>
        <v>C07C</v>
      </c>
    </row>
    <row r="1066" spans="3:5" x14ac:dyDescent="0.25">
      <c r="C1066" s="12" t="s">
        <v>821</v>
      </c>
      <c r="D1066" s="12" t="s">
        <v>2549</v>
      </c>
      <c r="E1066" t="str">
        <f t="shared" si="163"/>
        <v>B01J</v>
      </c>
    </row>
    <row r="1067" spans="3:5" x14ac:dyDescent="0.25">
      <c r="C1067" s="12" t="str">
        <f t="shared" ref="C1067:C1084" si="171">C1066</f>
        <v>CN102531821</v>
      </c>
      <c r="D1067" s="12" t="s">
        <v>2558</v>
      </c>
      <c r="E1067" t="str">
        <f t="shared" si="163"/>
        <v>B01J</v>
      </c>
    </row>
    <row r="1068" spans="3:5" x14ac:dyDescent="0.25">
      <c r="C1068" s="12" t="str">
        <f t="shared" si="171"/>
        <v>CN102531821</v>
      </c>
      <c r="D1068" s="12" t="s">
        <v>2633</v>
      </c>
      <c r="E1068" t="str">
        <f t="shared" si="163"/>
        <v>B01J</v>
      </c>
    </row>
    <row r="1069" spans="3:5" x14ac:dyDescent="0.25">
      <c r="C1069" s="12" t="str">
        <f t="shared" si="171"/>
        <v>CN102531821</v>
      </c>
      <c r="D1069" s="12" t="s">
        <v>2551</v>
      </c>
      <c r="E1069" t="str">
        <f t="shared" si="163"/>
        <v>C07C</v>
      </c>
    </row>
    <row r="1070" spans="3:5" x14ac:dyDescent="0.25">
      <c r="C1070" s="12" t="str">
        <f t="shared" si="171"/>
        <v>CN102531821</v>
      </c>
      <c r="D1070" s="12" t="s">
        <v>1466</v>
      </c>
      <c r="E1070" t="str">
        <f t="shared" si="163"/>
        <v>C07C</v>
      </c>
    </row>
    <row r="1071" spans="3:5" x14ac:dyDescent="0.25">
      <c r="C1071" s="12" t="str">
        <f t="shared" si="171"/>
        <v>CN102531821</v>
      </c>
      <c r="D1071" s="12" t="s">
        <v>2745</v>
      </c>
      <c r="E1071" t="str">
        <f t="shared" si="163"/>
        <v>C07C</v>
      </c>
    </row>
    <row r="1072" spans="3:5" x14ac:dyDescent="0.25">
      <c r="C1072" s="12" t="str">
        <f t="shared" si="171"/>
        <v>CN102531821</v>
      </c>
      <c r="D1072" s="12" t="s">
        <v>2614</v>
      </c>
      <c r="E1072" t="str">
        <f t="shared" si="163"/>
        <v>C07C</v>
      </c>
    </row>
    <row r="1073" spans="3:5" x14ac:dyDescent="0.25">
      <c r="C1073" s="12" t="str">
        <f t="shared" si="171"/>
        <v>CN102531821</v>
      </c>
      <c r="D1073" s="12" t="s">
        <v>2581</v>
      </c>
      <c r="E1073" t="str">
        <f t="shared" si="163"/>
        <v>C07C</v>
      </c>
    </row>
    <row r="1074" spans="3:5" x14ac:dyDescent="0.25">
      <c r="C1074" s="12" t="str">
        <f t="shared" si="171"/>
        <v>CN102531821</v>
      </c>
      <c r="D1074" s="12" t="s">
        <v>2582</v>
      </c>
      <c r="E1074" t="str">
        <f t="shared" si="163"/>
        <v>C07C</v>
      </c>
    </row>
    <row r="1075" spans="3:5" x14ac:dyDescent="0.25">
      <c r="C1075" s="12" t="str">
        <f t="shared" si="171"/>
        <v>CN102531821</v>
      </c>
      <c r="D1075" s="12" t="s">
        <v>2583</v>
      </c>
      <c r="E1075" t="str">
        <f t="shared" si="163"/>
        <v>C07C</v>
      </c>
    </row>
    <row r="1076" spans="3:5" x14ac:dyDescent="0.25">
      <c r="C1076" s="12" t="str">
        <f t="shared" si="171"/>
        <v>CN102531821</v>
      </c>
      <c r="D1076" s="12" t="s">
        <v>2584</v>
      </c>
      <c r="E1076" t="str">
        <f t="shared" si="163"/>
        <v>C07C</v>
      </c>
    </row>
    <row r="1077" spans="3:5" x14ac:dyDescent="0.25">
      <c r="C1077" s="12" t="str">
        <f t="shared" si="171"/>
        <v>CN102531821</v>
      </c>
      <c r="D1077" s="12" t="s">
        <v>2613</v>
      </c>
      <c r="E1077" t="str">
        <f t="shared" si="163"/>
        <v>C07C</v>
      </c>
    </row>
    <row r="1078" spans="3:5" x14ac:dyDescent="0.25">
      <c r="C1078" s="12" t="str">
        <f t="shared" si="171"/>
        <v>CN102531821</v>
      </c>
      <c r="D1078" s="12" t="s">
        <v>2567</v>
      </c>
      <c r="E1078" t="str">
        <f t="shared" si="163"/>
        <v>C07C</v>
      </c>
    </row>
    <row r="1079" spans="3:5" x14ac:dyDescent="0.25">
      <c r="C1079" s="12" t="str">
        <f t="shared" si="171"/>
        <v>CN102531821</v>
      </c>
      <c r="D1079" s="12" t="s">
        <v>1021</v>
      </c>
      <c r="E1079" t="str">
        <f t="shared" si="163"/>
        <v>C07C</v>
      </c>
    </row>
    <row r="1080" spans="3:5" x14ac:dyDescent="0.25">
      <c r="C1080" s="12" t="str">
        <f t="shared" si="171"/>
        <v>CN102531821</v>
      </c>
      <c r="D1080" s="12" t="s">
        <v>2552</v>
      </c>
      <c r="E1080" t="str">
        <f t="shared" si="163"/>
        <v>C10G</v>
      </c>
    </row>
    <row r="1081" spans="3:5" x14ac:dyDescent="0.25">
      <c r="C1081" s="12" t="str">
        <f t="shared" si="171"/>
        <v>CN102531821</v>
      </c>
      <c r="D1081" s="12" t="s">
        <v>225</v>
      </c>
      <c r="E1081" t="str">
        <f t="shared" si="163"/>
        <v>C10G</v>
      </c>
    </row>
    <row r="1082" spans="3:5" x14ac:dyDescent="0.25">
      <c r="C1082" s="12" t="str">
        <f t="shared" si="171"/>
        <v>CN102531821</v>
      </c>
      <c r="D1082" s="12" t="s">
        <v>2629</v>
      </c>
      <c r="E1082" t="str">
        <f t="shared" si="163"/>
        <v>C10G</v>
      </c>
    </row>
    <row r="1083" spans="3:5" x14ac:dyDescent="0.25">
      <c r="C1083" s="12" t="str">
        <f t="shared" si="171"/>
        <v>CN102531821</v>
      </c>
      <c r="D1083" s="12" t="s">
        <v>2746</v>
      </c>
      <c r="E1083" t="str">
        <f t="shared" si="163"/>
        <v>C10G</v>
      </c>
    </row>
    <row r="1084" spans="3:5" x14ac:dyDescent="0.25">
      <c r="C1084" s="12" t="str">
        <f t="shared" si="171"/>
        <v>CN102531821</v>
      </c>
      <c r="D1084" s="12" t="s">
        <v>2671</v>
      </c>
      <c r="E1084" t="str">
        <f t="shared" si="163"/>
        <v>C10G</v>
      </c>
    </row>
    <row r="1085" spans="3:5" x14ac:dyDescent="0.25">
      <c r="C1085" s="12" t="s">
        <v>829</v>
      </c>
      <c r="D1085" s="12" t="s">
        <v>2558</v>
      </c>
      <c r="E1085" t="str">
        <f t="shared" si="163"/>
        <v>B01J</v>
      </c>
    </row>
    <row r="1086" spans="3:5" x14ac:dyDescent="0.25">
      <c r="C1086" s="12" t="str">
        <f t="shared" ref="C1086:C1087" si="172">C1085</f>
        <v>CN101954291</v>
      </c>
      <c r="D1086" s="12" t="s">
        <v>2680</v>
      </c>
      <c r="E1086" t="str">
        <f t="shared" si="163"/>
        <v>C07C</v>
      </c>
    </row>
    <row r="1087" spans="3:5" x14ac:dyDescent="0.25">
      <c r="C1087" s="12" t="str">
        <f t="shared" si="172"/>
        <v>CN101954291</v>
      </c>
      <c r="D1087" s="12" t="s">
        <v>2566</v>
      </c>
      <c r="E1087" t="str">
        <f t="shared" si="163"/>
        <v>C07C</v>
      </c>
    </row>
    <row r="1088" spans="3:5" x14ac:dyDescent="0.25">
      <c r="C1088" s="12" t="s">
        <v>835</v>
      </c>
      <c r="D1088" s="12" t="s">
        <v>1739</v>
      </c>
      <c r="E1088" t="str">
        <f t="shared" si="163"/>
        <v>B01J</v>
      </c>
    </row>
    <row r="1089" spans="3:5" x14ac:dyDescent="0.25">
      <c r="C1089" s="12" t="str">
        <f t="shared" ref="C1089:C1093" si="173">C1088</f>
        <v>CN102371177</v>
      </c>
      <c r="D1089" s="12" t="s">
        <v>1466</v>
      </c>
      <c r="E1089" t="str">
        <f t="shared" si="163"/>
        <v>C07C</v>
      </c>
    </row>
    <row r="1090" spans="3:5" x14ac:dyDescent="0.25">
      <c r="C1090" s="12" t="str">
        <f t="shared" si="173"/>
        <v>CN102371177</v>
      </c>
      <c r="D1090" s="12" t="s">
        <v>2573</v>
      </c>
      <c r="E1090" t="str">
        <f t="shared" si="163"/>
        <v>C07C</v>
      </c>
    </row>
    <row r="1091" spans="3:5" x14ac:dyDescent="0.25">
      <c r="C1091" s="12" t="str">
        <f t="shared" si="173"/>
        <v>CN102371177</v>
      </c>
      <c r="D1091" s="12" t="s">
        <v>2613</v>
      </c>
      <c r="E1091" t="str">
        <f t="shared" si="163"/>
        <v>C07C</v>
      </c>
    </row>
    <row r="1092" spans="3:5" x14ac:dyDescent="0.25">
      <c r="C1092" s="12" t="str">
        <f t="shared" si="173"/>
        <v>CN102371177</v>
      </c>
      <c r="D1092" s="12" t="s">
        <v>2567</v>
      </c>
      <c r="E1092" t="str">
        <f t="shared" si="163"/>
        <v>C07C</v>
      </c>
    </row>
    <row r="1093" spans="3:5" x14ac:dyDescent="0.25">
      <c r="C1093" s="12" t="str">
        <f t="shared" si="173"/>
        <v>CN102371177</v>
      </c>
      <c r="D1093" s="12" t="s">
        <v>1021</v>
      </c>
      <c r="E1093" t="str">
        <f t="shared" ref="E1093:E1156" si="174">LEFT(D1093,4)</f>
        <v>C07C</v>
      </c>
    </row>
    <row r="1094" spans="3:5" x14ac:dyDescent="0.25">
      <c r="C1094" s="12" t="s">
        <v>840</v>
      </c>
      <c r="D1094" s="12" t="s">
        <v>2558</v>
      </c>
      <c r="E1094" t="str">
        <f t="shared" si="174"/>
        <v>B01J</v>
      </c>
    </row>
    <row r="1095" spans="3:5" x14ac:dyDescent="0.25">
      <c r="C1095" s="12" t="str">
        <f t="shared" ref="C1095:C1101" si="175">C1094</f>
        <v>CN102371178</v>
      </c>
      <c r="D1095" s="12" t="s">
        <v>2563</v>
      </c>
      <c r="E1095" t="str">
        <f t="shared" si="174"/>
        <v>B01J</v>
      </c>
    </row>
    <row r="1096" spans="3:5" x14ac:dyDescent="0.25">
      <c r="C1096" s="12" t="str">
        <f t="shared" si="175"/>
        <v>CN102371178</v>
      </c>
      <c r="D1096" s="12" t="s">
        <v>1940</v>
      </c>
      <c r="E1096" t="str">
        <f t="shared" si="174"/>
        <v>B01J</v>
      </c>
    </row>
    <row r="1097" spans="3:5" x14ac:dyDescent="0.25">
      <c r="C1097" s="12" t="str">
        <f t="shared" si="175"/>
        <v>CN102371178</v>
      </c>
      <c r="D1097" s="12" t="s">
        <v>2623</v>
      </c>
      <c r="E1097" t="str">
        <f t="shared" si="174"/>
        <v>B01J</v>
      </c>
    </row>
    <row r="1098" spans="3:5" x14ac:dyDescent="0.25">
      <c r="C1098" s="12" t="str">
        <f t="shared" si="175"/>
        <v>CN102371178</v>
      </c>
      <c r="D1098" s="12" t="s">
        <v>1739</v>
      </c>
      <c r="E1098" t="str">
        <f t="shared" si="174"/>
        <v>B01J</v>
      </c>
    </row>
    <row r="1099" spans="3:5" x14ac:dyDescent="0.25">
      <c r="C1099" s="12" t="str">
        <f t="shared" si="175"/>
        <v>CN102371178</v>
      </c>
      <c r="D1099" s="12" t="s">
        <v>1466</v>
      </c>
      <c r="E1099" t="str">
        <f t="shared" si="174"/>
        <v>C07C</v>
      </c>
    </row>
    <row r="1100" spans="3:5" x14ac:dyDescent="0.25">
      <c r="C1100" s="12" t="str">
        <f t="shared" si="175"/>
        <v>CN102371178</v>
      </c>
      <c r="D1100" s="12" t="s">
        <v>2573</v>
      </c>
      <c r="E1100" t="str">
        <f t="shared" si="174"/>
        <v>C07C</v>
      </c>
    </row>
    <row r="1101" spans="3:5" x14ac:dyDescent="0.25">
      <c r="C1101" s="12" t="str">
        <f t="shared" si="175"/>
        <v>CN102371178</v>
      </c>
      <c r="D1101" s="12" t="s">
        <v>2566</v>
      </c>
      <c r="E1101" t="str">
        <f t="shared" si="174"/>
        <v>C07C</v>
      </c>
    </row>
    <row r="1102" spans="3:5" x14ac:dyDescent="0.25">
      <c r="C1102" s="12" t="s">
        <v>844</v>
      </c>
      <c r="D1102" s="12" t="s">
        <v>1739</v>
      </c>
      <c r="E1102" t="str">
        <f t="shared" si="174"/>
        <v>B01J</v>
      </c>
    </row>
    <row r="1103" spans="3:5" x14ac:dyDescent="0.25">
      <c r="C1103" s="12" t="str">
        <f t="shared" ref="C1103:C1104" si="176">C1102</f>
        <v>CN102371176</v>
      </c>
      <c r="D1103" s="12" t="s">
        <v>2680</v>
      </c>
      <c r="E1103" t="str">
        <f t="shared" si="174"/>
        <v>C07C</v>
      </c>
    </row>
    <row r="1104" spans="3:5" x14ac:dyDescent="0.25">
      <c r="C1104" s="12" t="str">
        <f t="shared" si="176"/>
        <v>CN102371176</v>
      </c>
      <c r="D1104" s="12" t="s">
        <v>2573</v>
      </c>
      <c r="E1104" t="str">
        <f t="shared" si="174"/>
        <v>C07C</v>
      </c>
    </row>
    <row r="1105" spans="3:5" x14ac:dyDescent="0.25">
      <c r="C1105" s="12" t="s">
        <v>847</v>
      </c>
      <c r="D1105" s="12" t="s">
        <v>1739</v>
      </c>
      <c r="E1105" t="str">
        <f t="shared" si="174"/>
        <v>B01J</v>
      </c>
    </row>
    <row r="1106" spans="3:5" x14ac:dyDescent="0.25">
      <c r="C1106" s="12" t="str">
        <f t="shared" ref="C1106:C1107" si="177">C1105</f>
        <v>CN102372550</v>
      </c>
      <c r="D1106" s="12" t="s">
        <v>2680</v>
      </c>
      <c r="E1106" t="str">
        <f t="shared" si="174"/>
        <v>C07C</v>
      </c>
    </row>
    <row r="1107" spans="3:5" x14ac:dyDescent="0.25">
      <c r="C1107" s="12" t="str">
        <f t="shared" si="177"/>
        <v>CN102372550</v>
      </c>
      <c r="D1107" s="12" t="s">
        <v>2573</v>
      </c>
      <c r="E1107" t="str">
        <f t="shared" si="174"/>
        <v>C07C</v>
      </c>
    </row>
    <row r="1108" spans="3:5" x14ac:dyDescent="0.25">
      <c r="C1108" s="12" t="s">
        <v>850</v>
      </c>
      <c r="D1108" s="12" t="s">
        <v>2558</v>
      </c>
      <c r="E1108" t="str">
        <f t="shared" si="174"/>
        <v>B01J</v>
      </c>
    </row>
    <row r="1109" spans="3:5" x14ac:dyDescent="0.25">
      <c r="C1109" s="12" t="str">
        <f t="shared" ref="C1109:C1115" si="178">C1108</f>
        <v>CN102372536</v>
      </c>
      <c r="D1109" s="12" t="s">
        <v>1940</v>
      </c>
      <c r="E1109" t="str">
        <f t="shared" si="174"/>
        <v>B01J</v>
      </c>
    </row>
    <row r="1110" spans="3:5" x14ac:dyDescent="0.25">
      <c r="C1110" s="12" t="str">
        <f t="shared" si="178"/>
        <v>CN102372536</v>
      </c>
      <c r="D1110" s="12" t="s">
        <v>1739</v>
      </c>
      <c r="E1110" t="str">
        <f t="shared" si="174"/>
        <v>B01J</v>
      </c>
    </row>
    <row r="1111" spans="3:5" x14ac:dyDescent="0.25">
      <c r="C1111" s="12" t="str">
        <f t="shared" si="178"/>
        <v>CN102372536</v>
      </c>
      <c r="D1111" s="12" t="s">
        <v>1466</v>
      </c>
      <c r="E1111" t="str">
        <f t="shared" si="174"/>
        <v>C07C</v>
      </c>
    </row>
    <row r="1112" spans="3:5" x14ac:dyDescent="0.25">
      <c r="C1112" s="12" t="str">
        <f t="shared" si="178"/>
        <v>CN102372536</v>
      </c>
      <c r="D1112" s="12" t="s">
        <v>2573</v>
      </c>
      <c r="E1112" t="str">
        <f t="shared" si="174"/>
        <v>C07C</v>
      </c>
    </row>
    <row r="1113" spans="3:5" x14ac:dyDescent="0.25">
      <c r="C1113" s="12" t="str">
        <f t="shared" si="178"/>
        <v>CN102372536</v>
      </c>
      <c r="D1113" s="12" t="s">
        <v>2613</v>
      </c>
      <c r="E1113" t="str">
        <f t="shared" si="174"/>
        <v>C07C</v>
      </c>
    </row>
    <row r="1114" spans="3:5" x14ac:dyDescent="0.25">
      <c r="C1114" s="12" t="str">
        <f t="shared" si="178"/>
        <v>CN102372536</v>
      </c>
      <c r="D1114" s="12" t="s">
        <v>2567</v>
      </c>
      <c r="E1114" t="str">
        <f t="shared" si="174"/>
        <v>C07C</v>
      </c>
    </row>
    <row r="1115" spans="3:5" x14ac:dyDescent="0.25">
      <c r="C1115" s="12" t="str">
        <f t="shared" si="178"/>
        <v>CN102372536</v>
      </c>
      <c r="D1115" s="12" t="s">
        <v>1021</v>
      </c>
      <c r="E1115" t="str">
        <f t="shared" si="174"/>
        <v>C07C</v>
      </c>
    </row>
    <row r="1116" spans="3:5" x14ac:dyDescent="0.25">
      <c r="C1116" s="12" t="s">
        <v>854</v>
      </c>
      <c r="D1116" s="12" t="s">
        <v>1739</v>
      </c>
      <c r="E1116" t="str">
        <f t="shared" si="174"/>
        <v>B01J</v>
      </c>
    </row>
    <row r="1117" spans="3:5" x14ac:dyDescent="0.25">
      <c r="C1117" s="12" t="str">
        <f t="shared" ref="C1117:C1121" si="179">C1116</f>
        <v>CN102372535</v>
      </c>
      <c r="D1117" s="12" t="s">
        <v>1466</v>
      </c>
      <c r="E1117" t="str">
        <f t="shared" si="174"/>
        <v>C07C</v>
      </c>
    </row>
    <row r="1118" spans="3:5" x14ac:dyDescent="0.25">
      <c r="C1118" s="12" t="str">
        <f t="shared" si="179"/>
        <v>CN102372535</v>
      </c>
      <c r="D1118" s="12" t="s">
        <v>2573</v>
      </c>
      <c r="E1118" t="str">
        <f t="shared" si="174"/>
        <v>C07C</v>
      </c>
    </row>
    <row r="1119" spans="3:5" x14ac:dyDescent="0.25">
      <c r="C1119" s="12" t="str">
        <f t="shared" si="179"/>
        <v>CN102372535</v>
      </c>
      <c r="D1119" s="12" t="s">
        <v>2613</v>
      </c>
      <c r="E1119" t="str">
        <f t="shared" si="174"/>
        <v>C07C</v>
      </c>
    </row>
    <row r="1120" spans="3:5" x14ac:dyDescent="0.25">
      <c r="C1120" s="12" t="str">
        <f t="shared" si="179"/>
        <v>CN102372535</v>
      </c>
      <c r="D1120" s="12" t="s">
        <v>2567</v>
      </c>
      <c r="E1120" t="str">
        <f t="shared" si="174"/>
        <v>C07C</v>
      </c>
    </row>
    <row r="1121" spans="3:5" x14ac:dyDescent="0.25">
      <c r="C1121" s="12" t="str">
        <f t="shared" si="179"/>
        <v>CN102372535</v>
      </c>
      <c r="D1121" s="12" t="s">
        <v>1021</v>
      </c>
      <c r="E1121" t="str">
        <f t="shared" si="174"/>
        <v>C07C</v>
      </c>
    </row>
    <row r="1122" spans="3:5" x14ac:dyDescent="0.25">
      <c r="C1122" s="12" t="s">
        <v>856</v>
      </c>
      <c r="D1122" s="12" t="s">
        <v>2558</v>
      </c>
      <c r="E1122" t="str">
        <f t="shared" si="174"/>
        <v>B01J</v>
      </c>
    </row>
    <row r="1123" spans="3:5" x14ac:dyDescent="0.25">
      <c r="C1123" s="12" t="str">
        <f t="shared" ref="C1123:C1128" si="180">C1122</f>
        <v>CN102372537</v>
      </c>
      <c r="D1123" s="12" t="s">
        <v>1940</v>
      </c>
      <c r="E1123" t="str">
        <f t="shared" si="174"/>
        <v>B01J</v>
      </c>
    </row>
    <row r="1124" spans="3:5" x14ac:dyDescent="0.25">
      <c r="C1124" s="12" t="str">
        <f t="shared" si="180"/>
        <v>CN102372537</v>
      </c>
      <c r="D1124" s="12" t="s">
        <v>1739</v>
      </c>
      <c r="E1124" t="str">
        <f t="shared" si="174"/>
        <v>B01J</v>
      </c>
    </row>
    <row r="1125" spans="3:5" x14ac:dyDescent="0.25">
      <c r="C1125" s="12" t="str">
        <f t="shared" si="180"/>
        <v>CN102372537</v>
      </c>
      <c r="D1125" s="12" t="s">
        <v>1466</v>
      </c>
      <c r="E1125" t="str">
        <f t="shared" si="174"/>
        <v>C07C</v>
      </c>
    </row>
    <row r="1126" spans="3:5" x14ac:dyDescent="0.25">
      <c r="C1126" s="12" t="str">
        <f t="shared" si="180"/>
        <v>CN102372537</v>
      </c>
      <c r="D1126" s="12" t="s">
        <v>2738</v>
      </c>
      <c r="E1126" t="str">
        <f t="shared" si="174"/>
        <v>C07C</v>
      </c>
    </row>
    <row r="1127" spans="3:5" x14ac:dyDescent="0.25">
      <c r="C1127" s="12" t="str">
        <f t="shared" si="180"/>
        <v>CN102372537</v>
      </c>
      <c r="D1127" s="12" t="s">
        <v>2583</v>
      </c>
      <c r="E1127" t="str">
        <f t="shared" si="174"/>
        <v>C07C</v>
      </c>
    </row>
    <row r="1128" spans="3:5" x14ac:dyDescent="0.25">
      <c r="C1128" s="12" t="str">
        <f t="shared" si="180"/>
        <v>CN102372537</v>
      </c>
      <c r="D1128" s="12" t="s">
        <v>2566</v>
      </c>
      <c r="E1128" t="str">
        <f t="shared" si="174"/>
        <v>C07C</v>
      </c>
    </row>
    <row r="1129" spans="3:5" ht="30" x14ac:dyDescent="0.25">
      <c r="C1129" s="12" t="s">
        <v>861</v>
      </c>
      <c r="D1129" s="12" t="s">
        <v>1471</v>
      </c>
      <c r="E1129" t="str">
        <f t="shared" si="174"/>
        <v>B01J</v>
      </c>
    </row>
    <row r="1130" spans="3:5" ht="30" x14ac:dyDescent="0.25">
      <c r="C1130" s="12" t="str">
        <f t="shared" ref="C1130:C1141" si="181">C1129</f>
        <v>US20110036756</v>
      </c>
      <c r="D1130" s="12" t="s">
        <v>2747</v>
      </c>
      <c r="E1130" t="str">
        <f t="shared" si="174"/>
        <v>B01J</v>
      </c>
    </row>
    <row r="1131" spans="3:5" ht="30" x14ac:dyDescent="0.25">
      <c r="C1131" s="12" t="str">
        <f t="shared" si="181"/>
        <v>US20110036756</v>
      </c>
      <c r="D1131" s="12" t="s">
        <v>2712</v>
      </c>
      <c r="E1131" t="str">
        <f t="shared" si="174"/>
        <v>B01J</v>
      </c>
    </row>
    <row r="1132" spans="3:5" ht="30" x14ac:dyDescent="0.25">
      <c r="C1132" s="12" t="str">
        <f t="shared" si="181"/>
        <v>US20110036756</v>
      </c>
      <c r="D1132" s="12" t="s">
        <v>2713</v>
      </c>
      <c r="E1132" t="str">
        <f t="shared" si="174"/>
        <v>B01J</v>
      </c>
    </row>
    <row r="1133" spans="3:5" ht="30" x14ac:dyDescent="0.25">
      <c r="C1133" s="12" t="str">
        <f t="shared" si="181"/>
        <v>US20110036756</v>
      </c>
      <c r="D1133" s="12" t="s">
        <v>2748</v>
      </c>
      <c r="E1133" t="str">
        <f t="shared" si="174"/>
        <v>B01J</v>
      </c>
    </row>
    <row r="1134" spans="3:5" ht="30" x14ac:dyDescent="0.25">
      <c r="C1134" s="12" t="str">
        <f t="shared" si="181"/>
        <v>US20110036756</v>
      </c>
      <c r="D1134" s="12" t="s">
        <v>2749</v>
      </c>
      <c r="E1134" t="str">
        <f t="shared" si="174"/>
        <v>B01J</v>
      </c>
    </row>
    <row r="1135" spans="3:5" ht="30" x14ac:dyDescent="0.25">
      <c r="C1135" s="12" t="str">
        <f t="shared" si="181"/>
        <v>US20110036756</v>
      </c>
      <c r="D1135" s="12" t="s">
        <v>2574</v>
      </c>
      <c r="E1135" t="str">
        <f t="shared" si="174"/>
        <v>B01J</v>
      </c>
    </row>
    <row r="1136" spans="3:5" ht="30" x14ac:dyDescent="0.25">
      <c r="C1136" s="12" t="str">
        <f t="shared" si="181"/>
        <v>US20110036756</v>
      </c>
      <c r="D1136" s="12" t="s">
        <v>2698</v>
      </c>
      <c r="E1136" t="str">
        <f t="shared" si="174"/>
        <v>B01J</v>
      </c>
    </row>
    <row r="1137" spans="3:5" ht="30" x14ac:dyDescent="0.25">
      <c r="C1137" s="12" t="str">
        <f t="shared" si="181"/>
        <v>US20110036756</v>
      </c>
      <c r="D1137" s="12" t="s">
        <v>2544</v>
      </c>
      <c r="E1137" t="str">
        <f t="shared" si="174"/>
        <v>B01J</v>
      </c>
    </row>
    <row r="1138" spans="3:5" ht="30" x14ac:dyDescent="0.25">
      <c r="C1138" s="12" t="str">
        <f t="shared" si="181"/>
        <v>US20110036756</v>
      </c>
      <c r="D1138" s="12" t="s">
        <v>2569</v>
      </c>
      <c r="E1138" t="str">
        <f t="shared" si="174"/>
        <v>C07C</v>
      </c>
    </row>
    <row r="1139" spans="3:5" ht="30" x14ac:dyDescent="0.25">
      <c r="C1139" s="12" t="str">
        <f t="shared" si="181"/>
        <v>US20110036756</v>
      </c>
      <c r="D1139" s="12" t="s">
        <v>2570</v>
      </c>
      <c r="E1139" t="str">
        <f t="shared" si="174"/>
        <v>C10G</v>
      </c>
    </row>
    <row r="1140" spans="3:5" ht="30" x14ac:dyDescent="0.25">
      <c r="C1140" s="12" t="str">
        <f t="shared" si="181"/>
        <v>US20110036756</v>
      </c>
      <c r="D1140" s="12" t="s">
        <v>2750</v>
      </c>
      <c r="E1140" t="str">
        <f t="shared" si="174"/>
        <v>C10L</v>
      </c>
    </row>
    <row r="1141" spans="3:5" ht="30" x14ac:dyDescent="0.25">
      <c r="C1141" s="12" t="str">
        <f t="shared" si="181"/>
        <v>US20110036756</v>
      </c>
      <c r="D1141" s="12" t="s">
        <v>2751</v>
      </c>
      <c r="E1141" t="str">
        <f t="shared" si="174"/>
        <v>C10L</v>
      </c>
    </row>
    <row r="1142" spans="3:5" x14ac:dyDescent="0.25">
      <c r="C1142" s="12" t="s">
        <v>867</v>
      </c>
      <c r="D1142" s="12" t="s">
        <v>2536</v>
      </c>
      <c r="E1142" t="str">
        <f t="shared" si="174"/>
        <v>B01J</v>
      </c>
    </row>
    <row r="1143" spans="3:5" x14ac:dyDescent="0.25">
      <c r="C1143" s="12" t="str">
        <f t="shared" ref="C1143:C1147" si="182">C1142</f>
        <v>RU2429910</v>
      </c>
      <c r="D1143" s="12" t="s">
        <v>2571</v>
      </c>
      <c r="E1143" t="str">
        <f t="shared" si="174"/>
        <v>B01J</v>
      </c>
    </row>
    <row r="1144" spans="3:5" x14ac:dyDescent="0.25">
      <c r="C1144" s="12" t="str">
        <f t="shared" si="182"/>
        <v>RU2429910</v>
      </c>
      <c r="D1144" s="12" t="s">
        <v>2558</v>
      </c>
      <c r="E1144" t="str">
        <f t="shared" si="174"/>
        <v>B01J</v>
      </c>
    </row>
    <row r="1145" spans="3:5" x14ac:dyDescent="0.25">
      <c r="C1145" s="12" t="str">
        <f t="shared" si="182"/>
        <v>RU2429910</v>
      </c>
      <c r="D1145" s="12" t="s">
        <v>1739</v>
      </c>
      <c r="E1145" t="str">
        <f t="shared" si="174"/>
        <v>B01J</v>
      </c>
    </row>
    <row r="1146" spans="3:5" x14ac:dyDescent="0.25">
      <c r="C1146" s="12" t="str">
        <f t="shared" si="182"/>
        <v>RU2429910</v>
      </c>
      <c r="D1146" s="12" t="s">
        <v>1466</v>
      </c>
      <c r="E1146" t="str">
        <f t="shared" si="174"/>
        <v>C07C</v>
      </c>
    </row>
    <row r="1147" spans="3:5" x14ac:dyDescent="0.25">
      <c r="C1147" s="12" t="str">
        <f t="shared" si="182"/>
        <v>RU2429910</v>
      </c>
      <c r="D1147" s="12" t="s">
        <v>54</v>
      </c>
      <c r="E1147" t="str">
        <f t="shared" si="174"/>
        <v>C10G</v>
      </c>
    </row>
    <row r="1148" spans="3:5" x14ac:dyDescent="0.25">
      <c r="C1148" s="12" t="s">
        <v>871</v>
      </c>
      <c r="D1148" s="12" t="s">
        <v>2737</v>
      </c>
      <c r="E1148" t="str">
        <f t="shared" si="174"/>
        <v>C01B</v>
      </c>
    </row>
    <row r="1149" spans="3:5" x14ac:dyDescent="0.25">
      <c r="C1149" s="12" t="str">
        <f t="shared" ref="C1149:C1158" si="183">C1148</f>
        <v>CN101823929</v>
      </c>
      <c r="D1149" s="12" t="s">
        <v>2752</v>
      </c>
      <c r="E1149" t="str">
        <f t="shared" si="174"/>
        <v>C01B</v>
      </c>
    </row>
    <row r="1150" spans="3:5" x14ac:dyDescent="0.25">
      <c r="C1150" s="12" t="str">
        <f t="shared" si="183"/>
        <v>CN101823929</v>
      </c>
      <c r="D1150" s="12" t="s">
        <v>1466</v>
      </c>
      <c r="E1150" t="str">
        <f t="shared" si="174"/>
        <v>C07C</v>
      </c>
    </row>
    <row r="1151" spans="3:5" x14ac:dyDescent="0.25">
      <c r="C1151" s="12" t="str">
        <f t="shared" si="183"/>
        <v>CN101823929</v>
      </c>
      <c r="D1151" s="12" t="s">
        <v>2738</v>
      </c>
      <c r="E1151" t="str">
        <f t="shared" si="174"/>
        <v>C07C</v>
      </c>
    </row>
    <row r="1152" spans="3:5" x14ac:dyDescent="0.25">
      <c r="C1152" s="12" t="str">
        <f t="shared" si="183"/>
        <v>CN101823929</v>
      </c>
      <c r="D1152" s="12" t="s">
        <v>2705</v>
      </c>
      <c r="E1152" t="str">
        <f t="shared" si="174"/>
        <v>C07C</v>
      </c>
    </row>
    <row r="1153" spans="3:5" x14ac:dyDescent="0.25">
      <c r="C1153" s="12" t="str">
        <f t="shared" si="183"/>
        <v>CN101823929</v>
      </c>
      <c r="D1153" s="12" t="s">
        <v>2753</v>
      </c>
      <c r="E1153" t="str">
        <f t="shared" si="174"/>
        <v>C07C</v>
      </c>
    </row>
    <row r="1154" spans="3:5" x14ac:dyDescent="0.25">
      <c r="C1154" s="12" t="str">
        <f t="shared" si="183"/>
        <v>CN101823929</v>
      </c>
      <c r="D1154" s="12" t="s">
        <v>2575</v>
      </c>
      <c r="E1154" t="str">
        <f t="shared" si="174"/>
        <v>C07C</v>
      </c>
    </row>
    <row r="1155" spans="3:5" x14ac:dyDescent="0.25">
      <c r="C1155" s="12" t="str">
        <f t="shared" si="183"/>
        <v>CN101823929</v>
      </c>
      <c r="D1155" s="12" t="s">
        <v>2573</v>
      </c>
      <c r="E1155" t="str">
        <f t="shared" si="174"/>
        <v>C07C</v>
      </c>
    </row>
    <row r="1156" spans="3:5" x14ac:dyDescent="0.25">
      <c r="C1156" s="12" t="str">
        <f t="shared" si="183"/>
        <v>CN101823929</v>
      </c>
      <c r="D1156" s="12" t="s">
        <v>2613</v>
      </c>
      <c r="E1156" t="str">
        <f t="shared" si="174"/>
        <v>C07C</v>
      </c>
    </row>
    <row r="1157" spans="3:5" x14ac:dyDescent="0.25">
      <c r="C1157" s="12" t="str">
        <f t="shared" si="183"/>
        <v>CN101823929</v>
      </c>
      <c r="D1157" s="12" t="s">
        <v>2567</v>
      </c>
      <c r="E1157" t="str">
        <f t="shared" ref="E1157:E1220" si="184">LEFT(D1157,4)</f>
        <v>C07C</v>
      </c>
    </row>
    <row r="1158" spans="3:5" x14ac:dyDescent="0.25">
      <c r="C1158" s="12" t="str">
        <f t="shared" si="183"/>
        <v>CN101823929</v>
      </c>
      <c r="D1158" s="12" t="s">
        <v>2624</v>
      </c>
      <c r="E1158" t="str">
        <f t="shared" si="184"/>
        <v>C07C</v>
      </c>
    </row>
    <row r="1159" spans="3:5" x14ac:dyDescent="0.25">
      <c r="C1159" s="12" t="s">
        <v>876</v>
      </c>
      <c r="D1159" s="12" t="s">
        <v>1739</v>
      </c>
      <c r="E1159" t="str">
        <f t="shared" si="184"/>
        <v>B01J</v>
      </c>
    </row>
    <row r="1160" spans="3:5" x14ac:dyDescent="0.25">
      <c r="C1160" s="12" t="str">
        <f t="shared" ref="C1160:C1161" si="185">C1159</f>
        <v>CN102218341</v>
      </c>
      <c r="D1160" s="12" t="s">
        <v>2754</v>
      </c>
      <c r="E1160" t="str">
        <f t="shared" si="184"/>
        <v>B01J</v>
      </c>
    </row>
    <row r="1161" spans="3:5" x14ac:dyDescent="0.25">
      <c r="C1161" s="12" t="str">
        <f t="shared" si="185"/>
        <v>CN102218341</v>
      </c>
      <c r="D1161" s="12" t="s">
        <v>54</v>
      </c>
      <c r="E1161" t="str">
        <f t="shared" si="184"/>
        <v>C10G</v>
      </c>
    </row>
    <row r="1162" spans="3:5" x14ac:dyDescent="0.25">
      <c r="C1162" s="12" t="s">
        <v>881</v>
      </c>
      <c r="D1162" s="12" t="s">
        <v>1466</v>
      </c>
      <c r="E1162" t="str">
        <f t="shared" si="184"/>
        <v>C07C</v>
      </c>
    </row>
    <row r="1163" spans="3:5" x14ac:dyDescent="0.25">
      <c r="C1163" s="12" t="str">
        <f t="shared" ref="C1163:C1165" si="186">C1162</f>
        <v>CN102199446</v>
      </c>
      <c r="D1163" s="12" t="s">
        <v>2573</v>
      </c>
      <c r="E1163" t="str">
        <f t="shared" si="184"/>
        <v>C07C</v>
      </c>
    </row>
    <row r="1164" spans="3:5" x14ac:dyDescent="0.25">
      <c r="C1164" s="12" t="str">
        <f t="shared" si="186"/>
        <v>CN102199446</v>
      </c>
      <c r="D1164" s="12" t="s">
        <v>225</v>
      </c>
      <c r="E1164" t="str">
        <f t="shared" si="184"/>
        <v>C10G</v>
      </c>
    </row>
    <row r="1165" spans="3:5" x14ac:dyDescent="0.25">
      <c r="C1165" s="12" t="str">
        <f t="shared" si="186"/>
        <v>CN102199446</v>
      </c>
      <c r="D1165" s="12" t="s">
        <v>54</v>
      </c>
      <c r="E1165" t="str">
        <f t="shared" si="184"/>
        <v>C10G</v>
      </c>
    </row>
    <row r="1166" spans="3:5" x14ac:dyDescent="0.25">
      <c r="C1166" s="12" t="s">
        <v>887</v>
      </c>
      <c r="D1166" s="12" t="s">
        <v>2558</v>
      </c>
      <c r="E1166" t="str">
        <f t="shared" si="184"/>
        <v>B01J</v>
      </c>
    </row>
    <row r="1167" spans="3:5" x14ac:dyDescent="0.25">
      <c r="C1167" s="12" t="str">
        <f t="shared" ref="C1167:C1175" si="187">C1166</f>
        <v>CN101607858</v>
      </c>
      <c r="D1167" s="12" t="s">
        <v>2574</v>
      </c>
      <c r="E1167" t="str">
        <f t="shared" si="184"/>
        <v>B01J</v>
      </c>
    </row>
    <row r="1168" spans="3:5" x14ac:dyDescent="0.25">
      <c r="C1168" s="12" t="str">
        <f t="shared" si="187"/>
        <v>CN101607858</v>
      </c>
      <c r="D1168" s="12" t="s">
        <v>2627</v>
      </c>
      <c r="E1168" t="str">
        <f t="shared" si="184"/>
        <v>B01J</v>
      </c>
    </row>
    <row r="1169" spans="3:5" x14ac:dyDescent="0.25">
      <c r="C1169" s="12" t="str">
        <f t="shared" si="187"/>
        <v>CN101607858</v>
      </c>
      <c r="D1169" s="12" t="s">
        <v>2677</v>
      </c>
      <c r="E1169" t="str">
        <f t="shared" si="184"/>
        <v>B01J</v>
      </c>
    </row>
    <row r="1170" spans="3:5" x14ac:dyDescent="0.25">
      <c r="C1170" s="12" t="str">
        <f t="shared" si="187"/>
        <v>CN101607858</v>
      </c>
      <c r="D1170" s="12" t="s">
        <v>2755</v>
      </c>
      <c r="E1170" t="str">
        <f t="shared" si="184"/>
        <v>B01J</v>
      </c>
    </row>
    <row r="1171" spans="3:5" x14ac:dyDescent="0.25">
      <c r="C1171" s="12" t="str">
        <f t="shared" si="187"/>
        <v>CN101607858</v>
      </c>
      <c r="D1171" s="12" t="s">
        <v>2756</v>
      </c>
      <c r="E1171" t="str">
        <f t="shared" si="184"/>
        <v>B01J</v>
      </c>
    </row>
    <row r="1172" spans="3:5" x14ac:dyDescent="0.25">
      <c r="C1172" s="12" t="str">
        <f t="shared" si="187"/>
        <v>CN101607858</v>
      </c>
      <c r="D1172" s="12" t="s">
        <v>1466</v>
      </c>
      <c r="E1172" t="str">
        <f t="shared" si="184"/>
        <v>C07C</v>
      </c>
    </row>
    <row r="1173" spans="3:5" x14ac:dyDescent="0.25">
      <c r="C1173" s="12" t="str">
        <f t="shared" si="187"/>
        <v>CN101607858</v>
      </c>
      <c r="D1173" s="12" t="s">
        <v>2738</v>
      </c>
      <c r="E1173" t="str">
        <f t="shared" si="184"/>
        <v>C07C</v>
      </c>
    </row>
    <row r="1174" spans="3:5" x14ac:dyDescent="0.25">
      <c r="C1174" s="12" t="str">
        <f t="shared" si="187"/>
        <v>CN101607858</v>
      </c>
      <c r="D1174" s="12" t="s">
        <v>2583</v>
      </c>
      <c r="E1174" t="str">
        <f t="shared" si="184"/>
        <v>C07C</v>
      </c>
    </row>
    <row r="1175" spans="3:5" x14ac:dyDescent="0.25">
      <c r="C1175" s="12" t="str">
        <f t="shared" si="187"/>
        <v>CN101607858</v>
      </c>
      <c r="D1175" s="12" t="s">
        <v>2566</v>
      </c>
      <c r="E1175" t="str">
        <f t="shared" si="184"/>
        <v>C07C</v>
      </c>
    </row>
    <row r="1176" spans="3:5" x14ac:dyDescent="0.25">
      <c r="C1176" s="12" t="s">
        <v>895</v>
      </c>
      <c r="D1176" s="12" t="s">
        <v>2702</v>
      </c>
      <c r="E1176" t="str">
        <f t="shared" si="184"/>
        <v>B01J</v>
      </c>
    </row>
    <row r="1177" spans="3:5" x14ac:dyDescent="0.25">
      <c r="C1177" s="12" t="str">
        <f t="shared" ref="C1177:C1179" si="188">C1176</f>
        <v>JP2010208948</v>
      </c>
      <c r="D1177" s="12" t="s">
        <v>2640</v>
      </c>
      <c r="E1177" t="str">
        <f t="shared" si="184"/>
        <v>C07B</v>
      </c>
    </row>
    <row r="1178" spans="3:5" x14ac:dyDescent="0.25">
      <c r="C1178" s="12" t="str">
        <f t="shared" si="188"/>
        <v>JP2010208948</v>
      </c>
      <c r="D1178" s="12" t="s">
        <v>1466</v>
      </c>
      <c r="E1178" t="str">
        <f t="shared" si="184"/>
        <v>C07C</v>
      </c>
    </row>
    <row r="1179" spans="3:5" x14ac:dyDescent="0.25">
      <c r="C1179" s="12" t="str">
        <f t="shared" si="188"/>
        <v>JP2010208948</v>
      </c>
      <c r="D1179" s="12" t="s">
        <v>1021</v>
      </c>
      <c r="E1179" t="str">
        <f t="shared" si="184"/>
        <v>C07C</v>
      </c>
    </row>
    <row r="1180" spans="3:5" ht="30" x14ac:dyDescent="0.25">
      <c r="C1180" s="12" t="s">
        <v>902</v>
      </c>
      <c r="D1180" s="12" t="s">
        <v>1759</v>
      </c>
      <c r="E1180" t="str">
        <f t="shared" si="184"/>
        <v>C07C</v>
      </c>
    </row>
    <row r="1181" spans="3:5" ht="30" x14ac:dyDescent="0.25">
      <c r="C1181" s="12" t="str">
        <f t="shared" ref="C1181:C1182" si="189">C1180</f>
        <v>US20090211943</v>
      </c>
      <c r="D1181" s="12" t="s">
        <v>522</v>
      </c>
      <c r="E1181" t="str">
        <f t="shared" si="184"/>
        <v>C10G</v>
      </c>
    </row>
    <row r="1182" spans="3:5" ht="30" x14ac:dyDescent="0.25">
      <c r="C1182" s="12" t="str">
        <f t="shared" si="189"/>
        <v>US20090211943</v>
      </c>
      <c r="D1182" s="12" t="s">
        <v>2757</v>
      </c>
      <c r="E1182" t="str">
        <f t="shared" si="184"/>
        <v>C10G</v>
      </c>
    </row>
    <row r="1183" spans="3:5" x14ac:dyDescent="0.25">
      <c r="C1183" s="12" t="s">
        <v>911</v>
      </c>
      <c r="D1183" s="12" t="s">
        <v>2700</v>
      </c>
      <c r="E1183" t="str">
        <f t="shared" si="184"/>
        <v>B01J</v>
      </c>
    </row>
    <row r="1184" spans="3:5" x14ac:dyDescent="0.25">
      <c r="C1184" s="12" t="str">
        <f t="shared" ref="C1184:C1189" si="190">C1183</f>
        <v>RU2009101606</v>
      </c>
      <c r="D1184" s="12" t="s">
        <v>2537</v>
      </c>
      <c r="E1184" t="str">
        <f t="shared" si="184"/>
        <v>B01J</v>
      </c>
    </row>
    <row r="1185" spans="3:5" x14ac:dyDescent="0.25">
      <c r="C1185" s="12" t="str">
        <f t="shared" si="190"/>
        <v>RU2009101606</v>
      </c>
      <c r="D1185" s="12" t="s">
        <v>2563</v>
      </c>
      <c r="E1185" t="str">
        <f t="shared" si="184"/>
        <v>B01J</v>
      </c>
    </row>
    <row r="1186" spans="3:5" x14ac:dyDescent="0.25">
      <c r="C1186" s="12" t="str">
        <f t="shared" si="190"/>
        <v>RU2009101606</v>
      </c>
      <c r="D1186" s="12" t="s">
        <v>2574</v>
      </c>
      <c r="E1186" t="str">
        <f t="shared" si="184"/>
        <v>B01J</v>
      </c>
    </row>
    <row r="1187" spans="3:5" x14ac:dyDescent="0.25">
      <c r="C1187" s="12" t="str">
        <f t="shared" si="190"/>
        <v>RU2009101606</v>
      </c>
      <c r="D1187" s="12" t="s">
        <v>2633</v>
      </c>
      <c r="E1187" t="str">
        <f t="shared" si="184"/>
        <v>B01J</v>
      </c>
    </row>
    <row r="1188" spans="3:5" x14ac:dyDescent="0.25">
      <c r="C1188" s="12" t="str">
        <f t="shared" si="190"/>
        <v>RU2009101606</v>
      </c>
      <c r="D1188" s="12" t="s">
        <v>1466</v>
      </c>
      <c r="E1188" t="str">
        <f t="shared" si="184"/>
        <v>C07C</v>
      </c>
    </row>
    <row r="1189" spans="3:5" x14ac:dyDescent="0.25">
      <c r="C1189" s="12" t="str">
        <f t="shared" si="190"/>
        <v>RU2009101606</v>
      </c>
      <c r="D1189" s="12" t="s">
        <v>54</v>
      </c>
      <c r="E1189" t="str">
        <f t="shared" si="184"/>
        <v>C10G</v>
      </c>
    </row>
    <row r="1190" spans="3:5" ht="30" x14ac:dyDescent="0.25">
      <c r="C1190" s="12" t="s">
        <v>917</v>
      </c>
      <c r="D1190" s="12" t="s">
        <v>2045</v>
      </c>
      <c r="E1190" t="str">
        <f t="shared" si="184"/>
        <v>B01J</v>
      </c>
    </row>
    <row r="1191" spans="3:5" ht="30" x14ac:dyDescent="0.25">
      <c r="C1191" s="12" t="str">
        <f t="shared" ref="C1191:C1222" si="191">C1190</f>
        <v>WO2009055216</v>
      </c>
      <c r="D1191" s="12" t="s">
        <v>2590</v>
      </c>
      <c r="E1191" t="str">
        <f t="shared" si="184"/>
        <v>B01J</v>
      </c>
    </row>
    <row r="1192" spans="3:5" ht="30" x14ac:dyDescent="0.25">
      <c r="C1192" s="12" t="str">
        <f t="shared" si="191"/>
        <v>WO2009055216</v>
      </c>
      <c r="D1192" s="12" t="s">
        <v>2702</v>
      </c>
      <c r="E1192" t="str">
        <f t="shared" si="184"/>
        <v>B01J</v>
      </c>
    </row>
    <row r="1193" spans="3:5" ht="30" x14ac:dyDescent="0.25">
      <c r="C1193" s="12" t="str">
        <f t="shared" si="191"/>
        <v>WO2009055216</v>
      </c>
      <c r="D1193" s="12" t="s">
        <v>2713</v>
      </c>
      <c r="E1193" t="str">
        <f t="shared" si="184"/>
        <v>B01J</v>
      </c>
    </row>
    <row r="1194" spans="3:5" ht="30" x14ac:dyDescent="0.25">
      <c r="C1194" s="12" t="str">
        <f t="shared" si="191"/>
        <v>WO2009055216</v>
      </c>
      <c r="D1194" s="12" t="s">
        <v>2704</v>
      </c>
      <c r="E1194" t="str">
        <f t="shared" si="184"/>
        <v>B01J</v>
      </c>
    </row>
    <row r="1195" spans="3:5" ht="30" x14ac:dyDescent="0.25">
      <c r="C1195" s="12" t="str">
        <f t="shared" si="191"/>
        <v>WO2009055216</v>
      </c>
      <c r="D1195" s="12" t="s">
        <v>2558</v>
      </c>
      <c r="E1195" t="str">
        <f t="shared" si="184"/>
        <v>B01J</v>
      </c>
    </row>
    <row r="1196" spans="3:5" ht="30" x14ac:dyDescent="0.25">
      <c r="C1196" s="12" t="str">
        <f t="shared" si="191"/>
        <v>WO2009055216</v>
      </c>
      <c r="D1196" s="12" t="s">
        <v>2758</v>
      </c>
      <c r="E1196" t="str">
        <f t="shared" si="184"/>
        <v>B01J</v>
      </c>
    </row>
    <row r="1197" spans="3:5" ht="30" x14ac:dyDescent="0.25">
      <c r="C1197" s="12" t="str">
        <f t="shared" si="191"/>
        <v>WO2009055216</v>
      </c>
      <c r="D1197" s="12" t="s">
        <v>1940</v>
      </c>
      <c r="E1197" t="str">
        <f t="shared" si="184"/>
        <v>B01J</v>
      </c>
    </row>
    <row r="1198" spans="3:5" ht="30" x14ac:dyDescent="0.25">
      <c r="C1198" s="12" t="str">
        <f t="shared" si="191"/>
        <v>WO2009055216</v>
      </c>
      <c r="D1198" s="12" t="s">
        <v>1739</v>
      </c>
      <c r="E1198" t="str">
        <f t="shared" si="184"/>
        <v>B01J</v>
      </c>
    </row>
    <row r="1199" spans="3:5" ht="30" x14ac:dyDescent="0.25">
      <c r="C1199" s="12" t="str">
        <f t="shared" si="191"/>
        <v>WO2009055216</v>
      </c>
      <c r="D1199" s="12" t="s">
        <v>2542</v>
      </c>
      <c r="E1199" t="str">
        <f t="shared" si="184"/>
        <v>B01J</v>
      </c>
    </row>
    <row r="1200" spans="3:5" ht="30" x14ac:dyDescent="0.25">
      <c r="C1200" s="12" t="str">
        <f t="shared" si="191"/>
        <v>WO2009055216</v>
      </c>
      <c r="D1200" s="12" t="s">
        <v>2580</v>
      </c>
      <c r="E1200" t="str">
        <f t="shared" si="184"/>
        <v>B01J</v>
      </c>
    </row>
    <row r="1201" spans="3:5" ht="30" x14ac:dyDescent="0.25">
      <c r="C1201" s="12" t="str">
        <f t="shared" si="191"/>
        <v>WO2009055216</v>
      </c>
      <c r="D1201" s="12" t="s">
        <v>2633</v>
      </c>
      <c r="E1201" t="str">
        <f t="shared" si="184"/>
        <v>B01J</v>
      </c>
    </row>
    <row r="1202" spans="3:5" ht="30" x14ac:dyDescent="0.25">
      <c r="C1202" s="12" t="str">
        <f t="shared" si="191"/>
        <v>WO2009055216</v>
      </c>
      <c r="D1202" s="12" t="s">
        <v>2759</v>
      </c>
      <c r="E1202" t="str">
        <f t="shared" si="184"/>
        <v>C01B</v>
      </c>
    </row>
    <row r="1203" spans="3:5" ht="30" x14ac:dyDescent="0.25">
      <c r="C1203" s="12" t="str">
        <f t="shared" si="191"/>
        <v>WO2009055216</v>
      </c>
      <c r="D1203" s="12" t="s">
        <v>2760</v>
      </c>
      <c r="E1203" t="str">
        <f t="shared" si="184"/>
        <v>C01B</v>
      </c>
    </row>
    <row r="1204" spans="3:5" ht="30" x14ac:dyDescent="0.25">
      <c r="C1204" s="12" t="str">
        <f t="shared" si="191"/>
        <v>WO2009055216</v>
      </c>
      <c r="D1204" s="12" t="s">
        <v>1974</v>
      </c>
      <c r="E1204" t="str">
        <f t="shared" si="184"/>
        <v>C01B</v>
      </c>
    </row>
    <row r="1205" spans="3:5" ht="30" x14ac:dyDescent="0.25">
      <c r="C1205" s="12" t="str">
        <f t="shared" si="191"/>
        <v>WO2009055216</v>
      </c>
      <c r="D1205" s="12" t="s">
        <v>1794</v>
      </c>
      <c r="E1205" t="str">
        <f t="shared" si="184"/>
        <v>C01B</v>
      </c>
    </row>
    <row r="1206" spans="3:5" ht="30" x14ac:dyDescent="0.25">
      <c r="C1206" s="12" t="str">
        <f t="shared" si="191"/>
        <v>WO2009055216</v>
      </c>
      <c r="D1206" s="12" t="s">
        <v>2761</v>
      </c>
      <c r="E1206" t="str">
        <f t="shared" si="184"/>
        <v>C01B</v>
      </c>
    </row>
    <row r="1207" spans="3:5" ht="30" x14ac:dyDescent="0.25">
      <c r="C1207" s="12" t="str">
        <f t="shared" si="191"/>
        <v>WO2009055216</v>
      </c>
      <c r="D1207" s="12" t="s">
        <v>2658</v>
      </c>
      <c r="E1207" t="str">
        <f t="shared" si="184"/>
        <v>C01B</v>
      </c>
    </row>
    <row r="1208" spans="3:5" ht="30" x14ac:dyDescent="0.25">
      <c r="C1208" s="12" t="str">
        <f t="shared" si="191"/>
        <v>WO2009055216</v>
      </c>
      <c r="D1208" s="12" t="s">
        <v>2620</v>
      </c>
      <c r="E1208" t="str">
        <f t="shared" si="184"/>
        <v>C01B</v>
      </c>
    </row>
    <row r="1209" spans="3:5" ht="30" x14ac:dyDescent="0.25">
      <c r="C1209" s="12" t="str">
        <f t="shared" si="191"/>
        <v>WO2009055216</v>
      </c>
      <c r="D1209" s="12" t="s">
        <v>2647</v>
      </c>
      <c r="E1209" t="str">
        <f t="shared" si="184"/>
        <v>C01B</v>
      </c>
    </row>
    <row r="1210" spans="3:5" ht="30" x14ac:dyDescent="0.25">
      <c r="C1210" s="12" t="str">
        <f t="shared" si="191"/>
        <v>WO2009055216</v>
      </c>
      <c r="D1210" s="12" t="s">
        <v>2762</v>
      </c>
      <c r="E1210" t="str">
        <f t="shared" si="184"/>
        <v>C01B</v>
      </c>
    </row>
    <row r="1211" spans="3:5" ht="30" x14ac:dyDescent="0.25">
      <c r="C1211" s="12" t="str">
        <f t="shared" si="191"/>
        <v>WO2009055216</v>
      </c>
      <c r="D1211" s="12" t="s">
        <v>2763</v>
      </c>
      <c r="E1211" t="str">
        <f t="shared" si="184"/>
        <v>C01B</v>
      </c>
    </row>
    <row r="1212" spans="3:5" ht="30" x14ac:dyDescent="0.25">
      <c r="C1212" s="12" t="str">
        <f t="shared" si="191"/>
        <v>WO2009055216</v>
      </c>
      <c r="D1212" s="12" t="s">
        <v>2593</v>
      </c>
      <c r="E1212" t="str">
        <f t="shared" si="184"/>
        <v>C01B</v>
      </c>
    </row>
    <row r="1213" spans="3:5" ht="30" x14ac:dyDescent="0.25">
      <c r="C1213" s="12" t="str">
        <f t="shared" si="191"/>
        <v>WO2009055216</v>
      </c>
      <c r="D1213" s="12" t="s">
        <v>2724</v>
      </c>
      <c r="E1213" t="str">
        <f t="shared" si="184"/>
        <v>C01B</v>
      </c>
    </row>
    <row r="1214" spans="3:5" ht="30" x14ac:dyDescent="0.25">
      <c r="C1214" s="12" t="str">
        <f t="shared" si="191"/>
        <v>WO2009055216</v>
      </c>
      <c r="D1214" s="12" t="s">
        <v>2764</v>
      </c>
      <c r="E1214" t="str">
        <f t="shared" si="184"/>
        <v>C09B</v>
      </c>
    </row>
    <row r="1215" spans="3:5" ht="30" x14ac:dyDescent="0.25">
      <c r="C1215" s="12" t="str">
        <f t="shared" si="191"/>
        <v>WO2009055216</v>
      </c>
      <c r="D1215" s="12" t="s">
        <v>2629</v>
      </c>
      <c r="E1215" t="str">
        <f t="shared" si="184"/>
        <v>C10G</v>
      </c>
    </row>
    <row r="1216" spans="3:5" ht="30" x14ac:dyDescent="0.25">
      <c r="C1216" s="12" t="str">
        <f t="shared" si="191"/>
        <v>WO2009055216</v>
      </c>
      <c r="D1216" s="12" t="s">
        <v>2765</v>
      </c>
      <c r="E1216" t="str">
        <f t="shared" si="184"/>
        <v>C10G</v>
      </c>
    </row>
    <row r="1217" spans="3:5" ht="30" x14ac:dyDescent="0.25">
      <c r="C1217" s="12" t="str">
        <f t="shared" si="191"/>
        <v>WO2009055216</v>
      </c>
      <c r="D1217" s="12" t="s">
        <v>2553</v>
      </c>
      <c r="E1217" t="str">
        <f t="shared" si="184"/>
        <v>C10G</v>
      </c>
    </row>
    <row r="1218" spans="3:5" ht="30" x14ac:dyDescent="0.25">
      <c r="C1218" s="12" t="str">
        <f t="shared" si="191"/>
        <v>WO2009055216</v>
      </c>
      <c r="D1218" s="12" t="s">
        <v>2735</v>
      </c>
      <c r="E1218" t="str">
        <f t="shared" si="184"/>
        <v>C10G</v>
      </c>
    </row>
    <row r="1219" spans="3:5" ht="30" x14ac:dyDescent="0.25">
      <c r="C1219" s="12" t="str">
        <f t="shared" si="191"/>
        <v>WO2009055216</v>
      </c>
      <c r="D1219" s="12" t="s">
        <v>2766</v>
      </c>
      <c r="E1219" t="str">
        <f t="shared" si="184"/>
        <v>C10G</v>
      </c>
    </row>
    <row r="1220" spans="3:5" ht="30" x14ac:dyDescent="0.25">
      <c r="C1220" s="12" t="str">
        <f t="shared" si="191"/>
        <v>WO2009055216</v>
      </c>
      <c r="D1220" s="12" t="s">
        <v>2767</v>
      </c>
      <c r="E1220" t="str">
        <f t="shared" si="184"/>
        <v>C10G</v>
      </c>
    </row>
    <row r="1221" spans="3:5" ht="30" x14ac:dyDescent="0.25">
      <c r="C1221" s="12" t="str">
        <f t="shared" si="191"/>
        <v>WO2009055216</v>
      </c>
      <c r="D1221" s="12" t="s">
        <v>2711</v>
      </c>
      <c r="E1221" t="str">
        <f t="shared" ref="E1221:E1284" si="192">LEFT(D1221,4)</f>
        <v>C10G</v>
      </c>
    </row>
    <row r="1222" spans="3:5" ht="30" x14ac:dyDescent="0.25">
      <c r="C1222" s="12" t="str">
        <f t="shared" si="191"/>
        <v>WO2009055216</v>
      </c>
      <c r="D1222" s="12" t="s">
        <v>1437</v>
      </c>
      <c r="E1222" t="str">
        <f t="shared" si="192"/>
        <v>C10G</v>
      </c>
    </row>
    <row r="1223" spans="3:5" x14ac:dyDescent="0.25">
      <c r="C1223" s="12" t="s">
        <v>924</v>
      </c>
      <c r="D1223" s="12" t="s">
        <v>2674</v>
      </c>
      <c r="E1223" t="str">
        <f t="shared" si="192"/>
        <v>B01J</v>
      </c>
    </row>
    <row r="1224" spans="3:5" x14ac:dyDescent="0.25">
      <c r="C1224" s="12" t="str">
        <f t="shared" ref="C1224:C1227" si="193">C1223</f>
        <v>CN101244969</v>
      </c>
      <c r="D1224" s="12" t="s">
        <v>2768</v>
      </c>
      <c r="E1224" t="str">
        <f t="shared" si="192"/>
        <v>B01J</v>
      </c>
    </row>
    <row r="1225" spans="3:5" x14ac:dyDescent="0.25">
      <c r="C1225" s="12" t="str">
        <f t="shared" si="193"/>
        <v>CN101244969</v>
      </c>
      <c r="D1225" s="12" t="s">
        <v>1466</v>
      </c>
      <c r="E1225" t="str">
        <f t="shared" si="192"/>
        <v>C07C</v>
      </c>
    </row>
    <row r="1226" spans="3:5" x14ac:dyDescent="0.25">
      <c r="C1226" s="12" t="str">
        <f t="shared" si="193"/>
        <v>CN101244969</v>
      </c>
      <c r="D1226" s="12" t="s">
        <v>2738</v>
      </c>
      <c r="E1226" t="str">
        <f t="shared" si="192"/>
        <v>C07C</v>
      </c>
    </row>
    <row r="1227" spans="3:5" x14ac:dyDescent="0.25">
      <c r="C1227" s="12" t="str">
        <f t="shared" si="193"/>
        <v>CN101244969</v>
      </c>
      <c r="D1227" s="12" t="s">
        <v>2566</v>
      </c>
      <c r="E1227" t="str">
        <f t="shared" si="192"/>
        <v>C07C</v>
      </c>
    </row>
    <row r="1228" spans="3:5" ht="30" x14ac:dyDescent="0.25">
      <c r="C1228" s="12" t="s">
        <v>930</v>
      </c>
      <c r="D1228" s="12" t="s">
        <v>1940</v>
      </c>
      <c r="E1228" t="str">
        <f t="shared" si="192"/>
        <v>B01J</v>
      </c>
    </row>
    <row r="1229" spans="3:5" ht="30" x14ac:dyDescent="0.25">
      <c r="C1229" s="12" t="str">
        <f t="shared" ref="C1229:C1242" si="194">C1228</f>
        <v>US20080027256</v>
      </c>
      <c r="D1229" s="12" t="s">
        <v>2769</v>
      </c>
      <c r="E1229" t="str">
        <f t="shared" si="192"/>
        <v>B01J</v>
      </c>
    </row>
    <row r="1230" spans="3:5" ht="30" x14ac:dyDescent="0.25">
      <c r="C1230" s="12" t="str">
        <f t="shared" si="194"/>
        <v>US20080027256</v>
      </c>
      <c r="D1230" s="12" t="s">
        <v>2593</v>
      </c>
      <c r="E1230" t="str">
        <f t="shared" si="192"/>
        <v>C01B</v>
      </c>
    </row>
    <row r="1231" spans="3:5" ht="30" x14ac:dyDescent="0.25">
      <c r="C1231" s="12" t="str">
        <f t="shared" si="194"/>
        <v>US20080027256</v>
      </c>
      <c r="D1231" s="12" t="s">
        <v>2724</v>
      </c>
      <c r="E1231" t="str">
        <f t="shared" si="192"/>
        <v>C01B</v>
      </c>
    </row>
    <row r="1232" spans="3:5" ht="30" x14ac:dyDescent="0.25">
      <c r="C1232" s="12" t="str">
        <f t="shared" si="194"/>
        <v>US20080027256</v>
      </c>
      <c r="D1232" s="12" t="s">
        <v>2640</v>
      </c>
      <c r="E1232" t="str">
        <f t="shared" si="192"/>
        <v>C07B</v>
      </c>
    </row>
    <row r="1233" spans="3:5" ht="30" x14ac:dyDescent="0.25">
      <c r="C1233" s="12" t="str">
        <f t="shared" si="194"/>
        <v>US20080027256</v>
      </c>
      <c r="D1233" s="12" t="s">
        <v>1759</v>
      </c>
      <c r="E1233" t="str">
        <f t="shared" si="192"/>
        <v>C07C</v>
      </c>
    </row>
    <row r="1234" spans="3:5" ht="30" x14ac:dyDescent="0.25">
      <c r="C1234" s="12" t="str">
        <f t="shared" si="194"/>
        <v>US20080027256</v>
      </c>
      <c r="D1234" s="12" t="s">
        <v>1498</v>
      </c>
      <c r="E1234" t="str">
        <f t="shared" si="192"/>
        <v>C07C</v>
      </c>
    </row>
    <row r="1235" spans="3:5" ht="30" x14ac:dyDescent="0.25">
      <c r="C1235" s="12" t="str">
        <f t="shared" si="194"/>
        <v>US20080027256</v>
      </c>
      <c r="D1235" s="12" t="s">
        <v>2614</v>
      </c>
      <c r="E1235" t="str">
        <f t="shared" si="192"/>
        <v>C07C</v>
      </c>
    </row>
    <row r="1236" spans="3:5" ht="30" x14ac:dyDescent="0.25">
      <c r="C1236" s="12" t="str">
        <f t="shared" si="194"/>
        <v>US20080027256</v>
      </c>
      <c r="D1236" s="12" t="s">
        <v>2770</v>
      </c>
      <c r="E1236" t="str">
        <f t="shared" si="192"/>
        <v>C07C</v>
      </c>
    </row>
    <row r="1237" spans="3:5" ht="30" x14ac:dyDescent="0.25">
      <c r="C1237" s="12" t="str">
        <f t="shared" si="194"/>
        <v>US20080027256</v>
      </c>
      <c r="D1237" s="12" t="s">
        <v>2771</v>
      </c>
      <c r="E1237" t="str">
        <f t="shared" si="192"/>
        <v>C07C</v>
      </c>
    </row>
    <row r="1238" spans="3:5" ht="30" x14ac:dyDescent="0.25">
      <c r="C1238" s="12" t="str">
        <f t="shared" si="194"/>
        <v>US20080027256</v>
      </c>
      <c r="D1238" s="12" t="s">
        <v>2661</v>
      </c>
      <c r="E1238" t="str">
        <f t="shared" si="192"/>
        <v>C07C</v>
      </c>
    </row>
    <row r="1239" spans="3:5" ht="30" x14ac:dyDescent="0.25">
      <c r="C1239" s="12" t="str">
        <f t="shared" si="194"/>
        <v>US20080027256</v>
      </c>
      <c r="D1239" s="12" t="s">
        <v>2772</v>
      </c>
      <c r="E1239" t="str">
        <f t="shared" si="192"/>
        <v>C07C</v>
      </c>
    </row>
    <row r="1240" spans="3:5" ht="30" x14ac:dyDescent="0.25">
      <c r="C1240" s="12" t="str">
        <f t="shared" si="194"/>
        <v>US20080027256</v>
      </c>
      <c r="D1240" s="12" t="s">
        <v>2732</v>
      </c>
      <c r="E1240" t="str">
        <f t="shared" si="192"/>
        <v>C07C</v>
      </c>
    </row>
    <row r="1241" spans="3:5" ht="30" x14ac:dyDescent="0.25">
      <c r="C1241" s="12" t="str">
        <f t="shared" si="194"/>
        <v>US20080027256</v>
      </c>
      <c r="D1241" s="12" t="s">
        <v>2740</v>
      </c>
      <c r="E1241" t="str">
        <f t="shared" si="192"/>
        <v>C07C</v>
      </c>
    </row>
    <row r="1242" spans="3:5" ht="30" x14ac:dyDescent="0.25">
      <c r="C1242" s="12" t="str">
        <f t="shared" si="194"/>
        <v>US20080027256</v>
      </c>
      <c r="D1242" s="12" t="s">
        <v>54</v>
      </c>
      <c r="E1242" t="str">
        <f t="shared" si="192"/>
        <v>C10G</v>
      </c>
    </row>
    <row r="1243" spans="3:5" ht="30" x14ac:dyDescent="0.25">
      <c r="C1243" s="12" t="s">
        <v>938</v>
      </c>
      <c r="D1243" s="12" t="s">
        <v>2590</v>
      </c>
      <c r="E1243" t="str">
        <f t="shared" si="192"/>
        <v>B01J</v>
      </c>
    </row>
    <row r="1244" spans="3:5" ht="30" x14ac:dyDescent="0.25">
      <c r="C1244" s="12" t="str">
        <f t="shared" ref="C1244:C1262" si="195">C1243</f>
        <v>US20080027259</v>
      </c>
      <c r="D1244" s="12" t="s">
        <v>2702</v>
      </c>
      <c r="E1244" t="str">
        <f t="shared" si="192"/>
        <v>B01J</v>
      </c>
    </row>
    <row r="1245" spans="3:5" ht="30" x14ac:dyDescent="0.25">
      <c r="C1245" s="12" t="str">
        <f t="shared" si="195"/>
        <v>US20080027259</v>
      </c>
      <c r="D1245" s="12" t="s">
        <v>1940</v>
      </c>
      <c r="E1245" t="str">
        <f t="shared" si="192"/>
        <v>B01J</v>
      </c>
    </row>
    <row r="1246" spans="3:5" ht="30" x14ac:dyDescent="0.25">
      <c r="C1246" s="12" t="str">
        <f t="shared" si="195"/>
        <v>US20080027259</v>
      </c>
      <c r="D1246" s="12" t="s">
        <v>2769</v>
      </c>
      <c r="E1246" t="str">
        <f t="shared" si="192"/>
        <v>B01J</v>
      </c>
    </row>
    <row r="1247" spans="3:5" ht="30" x14ac:dyDescent="0.25">
      <c r="C1247" s="12" t="str">
        <f t="shared" si="195"/>
        <v>US20080027259</v>
      </c>
      <c r="D1247" s="12" t="s">
        <v>1974</v>
      </c>
      <c r="E1247" t="str">
        <f t="shared" si="192"/>
        <v>C01B</v>
      </c>
    </row>
    <row r="1248" spans="3:5" ht="30" x14ac:dyDescent="0.25">
      <c r="C1248" s="12" t="str">
        <f t="shared" si="195"/>
        <v>US20080027259</v>
      </c>
      <c r="D1248" s="12" t="s">
        <v>2593</v>
      </c>
      <c r="E1248" t="str">
        <f t="shared" si="192"/>
        <v>C01B</v>
      </c>
    </row>
    <row r="1249" spans="3:5" ht="30" x14ac:dyDescent="0.25">
      <c r="C1249" s="12" t="str">
        <f t="shared" si="195"/>
        <v>US20080027259</v>
      </c>
      <c r="D1249" s="12" t="s">
        <v>2724</v>
      </c>
      <c r="E1249" t="str">
        <f t="shared" si="192"/>
        <v>C01B</v>
      </c>
    </row>
    <row r="1250" spans="3:5" ht="30" x14ac:dyDescent="0.25">
      <c r="C1250" s="12" t="str">
        <f t="shared" si="195"/>
        <v>US20080027259</v>
      </c>
      <c r="D1250" s="12" t="s">
        <v>1759</v>
      </c>
      <c r="E1250" t="str">
        <f t="shared" si="192"/>
        <v>C07C</v>
      </c>
    </row>
    <row r="1251" spans="3:5" ht="30" x14ac:dyDescent="0.25">
      <c r="C1251" s="12" t="str">
        <f t="shared" si="195"/>
        <v>US20080027259</v>
      </c>
      <c r="D1251" s="12" t="s">
        <v>1498</v>
      </c>
      <c r="E1251" t="str">
        <f t="shared" si="192"/>
        <v>C07C</v>
      </c>
    </row>
    <row r="1252" spans="3:5" ht="30" x14ac:dyDescent="0.25">
      <c r="C1252" s="12" t="str">
        <f t="shared" si="195"/>
        <v>US20080027259</v>
      </c>
      <c r="D1252" s="12" t="s">
        <v>2614</v>
      </c>
      <c r="E1252" t="str">
        <f t="shared" si="192"/>
        <v>C07C</v>
      </c>
    </row>
    <row r="1253" spans="3:5" ht="30" x14ac:dyDescent="0.25">
      <c r="C1253" s="12" t="str">
        <f t="shared" si="195"/>
        <v>US20080027259</v>
      </c>
      <c r="D1253" s="12" t="s">
        <v>2770</v>
      </c>
      <c r="E1253" t="str">
        <f t="shared" si="192"/>
        <v>C07C</v>
      </c>
    </row>
    <row r="1254" spans="3:5" ht="30" x14ac:dyDescent="0.25">
      <c r="C1254" s="12" t="str">
        <f t="shared" si="195"/>
        <v>US20080027259</v>
      </c>
      <c r="D1254" s="12" t="s">
        <v>2771</v>
      </c>
      <c r="E1254" t="str">
        <f t="shared" si="192"/>
        <v>C07C</v>
      </c>
    </row>
    <row r="1255" spans="3:5" ht="30" x14ac:dyDescent="0.25">
      <c r="C1255" s="12" t="str">
        <f t="shared" si="195"/>
        <v>US20080027259</v>
      </c>
      <c r="D1255" s="12" t="s">
        <v>2661</v>
      </c>
      <c r="E1255" t="str">
        <f t="shared" si="192"/>
        <v>C07C</v>
      </c>
    </row>
    <row r="1256" spans="3:5" ht="30" x14ac:dyDescent="0.25">
      <c r="C1256" s="12" t="str">
        <f t="shared" si="195"/>
        <v>US20080027259</v>
      </c>
      <c r="D1256" s="12" t="s">
        <v>2772</v>
      </c>
      <c r="E1256" t="str">
        <f t="shared" si="192"/>
        <v>C07C</v>
      </c>
    </row>
    <row r="1257" spans="3:5" ht="30" x14ac:dyDescent="0.25">
      <c r="C1257" s="12" t="str">
        <f t="shared" si="195"/>
        <v>US20080027259</v>
      </c>
      <c r="D1257" s="12" t="s">
        <v>2732</v>
      </c>
      <c r="E1257" t="str">
        <f t="shared" si="192"/>
        <v>C07C</v>
      </c>
    </row>
    <row r="1258" spans="3:5" ht="30" x14ac:dyDescent="0.25">
      <c r="C1258" s="12" t="str">
        <f t="shared" si="195"/>
        <v>US20080027259</v>
      </c>
      <c r="D1258" s="12" t="s">
        <v>2629</v>
      </c>
      <c r="E1258" t="str">
        <f t="shared" si="192"/>
        <v>C10G</v>
      </c>
    </row>
    <row r="1259" spans="3:5" ht="30" x14ac:dyDescent="0.25">
      <c r="C1259" s="12" t="str">
        <f t="shared" si="195"/>
        <v>US20080027259</v>
      </c>
      <c r="D1259" s="12" t="s">
        <v>2765</v>
      </c>
      <c r="E1259" t="str">
        <f t="shared" si="192"/>
        <v>C10G</v>
      </c>
    </row>
    <row r="1260" spans="3:5" ht="30" x14ac:dyDescent="0.25">
      <c r="C1260" s="12" t="str">
        <f t="shared" si="195"/>
        <v>US20080027259</v>
      </c>
      <c r="D1260" s="12" t="s">
        <v>54</v>
      </c>
      <c r="E1260" t="str">
        <f t="shared" si="192"/>
        <v>C10G</v>
      </c>
    </row>
    <row r="1261" spans="3:5" ht="30" x14ac:dyDescent="0.25">
      <c r="C1261" s="12" t="str">
        <f t="shared" si="195"/>
        <v>US20080027259</v>
      </c>
      <c r="D1261" s="12" t="s">
        <v>2711</v>
      </c>
      <c r="E1261" t="str">
        <f t="shared" si="192"/>
        <v>C10G</v>
      </c>
    </row>
    <row r="1262" spans="3:5" ht="30" x14ac:dyDescent="0.25">
      <c r="C1262" s="12" t="str">
        <f t="shared" si="195"/>
        <v>US20080027259</v>
      </c>
      <c r="D1262" s="12" t="s">
        <v>2773</v>
      </c>
      <c r="E1262" t="str">
        <f t="shared" si="192"/>
        <v>C10G</v>
      </c>
    </row>
    <row r="1263" spans="3:5" ht="30" x14ac:dyDescent="0.25">
      <c r="C1263" s="12" t="s">
        <v>944</v>
      </c>
      <c r="D1263" s="12" t="s">
        <v>2774</v>
      </c>
      <c r="E1263" t="str">
        <f t="shared" si="192"/>
        <v>B01D</v>
      </c>
    </row>
    <row r="1264" spans="3:5" ht="30" x14ac:dyDescent="0.25">
      <c r="C1264" s="12" t="str">
        <f t="shared" ref="C1264:C1297" si="196">C1263</f>
        <v>US20070284284</v>
      </c>
      <c r="D1264" s="12" t="s">
        <v>2775</v>
      </c>
      <c r="E1264" t="str">
        <f t="shared" si="192"/>
        <v>B01J</v>
      </c>
    </row>
    <row r="1265" spans="3:5" ht="30" x14ac:dyDescent="0.25">
      <c r="C1265" s="12" t="str">
        <f t="shared" si="196"/>
        <v>US20070284284</v>
      </c>
      <c r="D1265" s="12" t="s">
        <v>1940</v>
      </c>
      <c r="E1265" t="str">
        <f t="shared" si="192"/>
        <v>B01J</v>
      </c>
    </row>
    <row r="1266" spans="3:5" ht="30" x14ac:dyDescent="0.25">
      <c r="C1266" s="12" t="str">
        <f t="shared" si="196"/>
        <v>US20070284284</v>
      </c>
      <c r="D1266" s="12" t="s">
        <v>2760</v>
      </c>
      <c r="E1266" t="str">
        <f t="shared" si="192"/>
        <v>C01B</v>
      </c>
    </row>
    <row r="1267" spans="3:5" ht="30" x14ac:dyDescent="0.25">
      <c r="C1267" s="12" t="str">
        <f t="shared" si="196"/>
        <v>US20070284284</v>
      </c>
      <c r="D1267" s="12" t="s">
        <v>1974</v>
      </c>
      <c r="E1267" t="str">
        <f t="shared" si="192"/>
        <v>C01B</v>
      </c>
    </row>
    <row r="1268" spans="3:5" ht="30" x14ac:dyDescent="0.25">
      <c r="C1268" s="12" t="str">
        <f t="shared" si="196"/>
        <v>US20070284284</v>
      </c>
      <c r="D1268" s="12" t="s">
        <v>2593</v>
      </c>
      <c r="E1268" t="str">
        <f t="shared" si="192"/>
        <v>C01B</v>
      </c>
    </row>
    <row r="1269" spans="3:5" ht="30" x14ac:dyDescent="0.25">
      <c r="C1269" s="12" t="str">
        <f t="shared" si="196"/>
        <v>US20070284284</v>
      </c>
      <c r="D1269" s="12" t="s">
        <v>2724</v>
      </c>
      <c r="E1269" t="str">
        <f t="shared" si="192"/>
        <v>C01B</v>
      </c>
    </row>
    <row r="1270" spans="3:5" ht="30" x14ac:dyDescent="0.25">
      <c r="C1270" s="12" t="str">
        <f t="shared" si="196"/>
        <v>US20070284284</v>
      </c>
      <c r="D1270" s="12" t="s">
        <v>2776</v>
      </c>
      <c r="E1270" t="str">
        <f t="shared" si="192"/>
        <v>C01F</v>
      </c>
    </row>
    <row r="1271" spans="3:5" ht="30" x14ac:dyDescent="0.25">
      <c r="C1271" s="12" t="str">
        <f t="shared" si="196"/>
        <v>US20070284284</v>
      </c>
      <c r="D1271" s="12" t="s">
        <v>2640</v>
      </c>
      <c r="E1271" t="str">
        <f t="shared" si="192"/>
        <v>C07B</v>
      </c>
    </row>
    <row r="1272" spans="3:5" ht="30" x14ac:dyDescent="0.25">
      <c r="C1272" s="12" t="str">
        <f t="shared" si="196"/>
        <v>US20070284284</v>
      </c>
      <c r="D1272" s="12" t="s">
        <v>2707</v>
      </c>
      <c r="E1272" t="str">
        <f t="shared" si="192"/>
        <v>C07C</v>
      </c>
    </row>
    <row r="1273" spans="3:5" ht="30" x14ac:dyDescent="0.25">
      <c r="C1273" s="12" t="str">
        <f t="shared" si="196"/>
        <v>US20070284284</v>
      </c>
      <c r="D1273" s="12" t="s">
        <v>1466</v>
      </c>
      <c r="E1273" t="str">
        <f t="shared" si="192"/>
        <v>C07C</v>
      </c>
    </row>
    <row r="1274" spans="3:5" ht="30" x14ac:dyDescent="0.25">
      <c r="C1274" s="12" t="str">
        <f t="shared" si="196"/>
        <v>US20070284284</v>
      </c>
      <c r="D1274" s="12" t="s">
        <v>1759</v>
      </c>
      <c r="E1274" t="str">
        <f t="shared" si="192"/>
        <v>C07C</v>
      </c>
    </row>
    <row r="1275" spans="3:5" ht="30" x14ac:dyDescent="0.25">
      <c r="C1275" s="12" t="str">
        <f t="shared" si="196"/>
        <v>US20070284284</v>
      </c>
      <c r="D1275" s="12" t="s">
        <v>2666</v>
      </c>
      <c r="E1275" t="str">
        <f t="shared" si="192"/>
        <v>C07C</v>
      </c>
    </row>
    <row r="1276" spans="3:5" ht="30" x14ac:dyDescent="0.25">
      <c r="C1276" s="12" t="str">
        <f t="shared" si="196"/>
        <v>US20070284284</v>
      </c>
      <c r="D1276" s="12" t="s">
        <v>1966</v>
      </c>
      <c r="E1276" t="str">
        <f t="shared" si="192"/>
        <v>C07C</v>
      </c>
    </row>
    <row r="1277" spans="3:5" ht="30" x14ac:dyDescent="0.25">
      <c r="C1277" s="12" t="str">
        <f t="shared" si="196"/>
        <v>US20070284284</v>
      </c>
      <c r="D1277" s="12" t="s">
        <v>2679</v>
      </c>
      <c r="E1277" t="str">
        <f t="shared" si="192"/>
        <v>C07C</v>
      </c>
    </row>
    <row r="1278" spans="3:5" ht="30" x14ac:dyDescent="0.25">
      <c r="C1278" s="12" t="str">
        <f t="shared" si="196"/>
        <v>US20070284284</v>
      </c>
      <c r="D1278" s="12" t="s">
        <v>2705</v>
      </c>
      <c r="E1278" t="str">
        <f t="shared" si="192"/>
        <v>C07C</v>
      </c>
    </row>
    <row r="1279" spans="3:5" ht="30" x14ac:dyDescent="0.25">
      <c r="C1279" s="12" t="str">
        <f t="shared" si="196"/>
        <v>US20070284284</v>
      </c>
      <c r="D1279" s="12" t="s">
        <v>2777</v>
      </c>
      <c r="E1279" t="str">
        <f t="shared" si="192"/>
        <v>C07C</v>
      </c>
    </row>
    <row r="1280" spans="3:5" ht="30" x14ac:dyDescent="0.25">
      <c r="C1280" s="12" t="str">
        <f t="shared" si="196"/>
        <v>US20070284284</v>
      </c>
      <c r="D1280" s="12" t="s">
        <v>2581</v>
      </c>
      <c r="E1280" t="str">
        <f t="shared" si="192"/>
        <v>C07C</v>
      </c>
    </row>
    <row r="1281" spans="3:5" ht="30" x14ac:dyDescent="0.25">
      <c r="C1281" s="12" t="str">
        <f t="shared" si="196"/>
        <v>US20070284284</v>
      </c>
      <c r="D1281" s="12" t="s">
        <v>2582</v>
      </c>
      <c r="E1281" t="str">
        <f t="shared" si="192"/>
        <v>C07C</v>
      </c>
    </row>
    <row r="1282" spans="3:5" ht="30" x14ac:dyDescent="0.25">
      <c r="C1282" s="12" t="str">
        <f t="shared" si="196"/>
        <v>US20070284284</v>
      </c>
      <c r="D1282" s="12" t="s">
        <v>2583</v>
      </c>
      <c r="E1282" t="str">
        <f t="shared" si="192"/>
        <v>C07C</v>
      </c>
    </row>
    <row r="1283" spans="3:5" ht="30" x14ac:dyDescent="0.25">
      <c r="C1283" s="12" t="str">
        <f t="shared" si="196"/>
        <v>US20070284284</v>
      </c>
      <c r="D1283" s="12" t="s">
        <v>2584</v>
      </c>
      <c r="E1283" t="str">
        <f t="shared" si="192"/>
        <v>C07C</v>
      </c>
    </row>
    <row r="1284" spans="3:5" ht="30" x14ac:dyDescent="0.25">
      <c r="C1284" s="12" t="str">
        <f t="shared" si="196"/>
        <v>US20070284284</v>
      </c>
      <c r="D1284" s="12" t="s">
        <v>2566</v>
      </c>
      <c r="E1284" t="str">
        <f t="shared" si="192"/>
        <v>C07C</v>
      </c>
    </row>
    <row r="1285" spans="3:5" ht="30" x14ac:dyDescent="0.25">
      <c r="C1285" s="12" t="str">
        <f t="shared" si="196"/>
        <v>US20070284284</v>
      </c>
      <c r="D1285" s="12" t="s">
        <v>2656</v>
      </c>
      <c r="E1285" t="str">
        <f t="shared" ref="E1285:E1348" si="197">LEFT(D1285,4)</f>
        <v>C07C</v>
      </c>
    </row>
    <row r="1286" spans="3:5" ht="30" x14ac:dyDescent="0.25">
      <c r="C1286" s="12" t="str">
        <f t="shared" si="196"/>
        <v>US20070284284</v>
      </c>
      <c r="D1286" s="12" t="s">
        <v>2778</v>
      </c>
      <c r="E1286" t="str">
        <f t="shared" si="197"/>
        <v>C07C</v>
      </c>
    </row>
    <row r="1287" spans="3:5" ht="30" x14ac:dyDescent="0.25">
      <c r="C1287" s="12" t="str">
        <f t="shared" si="196"/>
        <v>US20070284284</v>
      </c>
      <c r="D1287" s="12" t="s">
        <v>2779</v>
      </c>
      <c r="E1287" t="str">
        <f t="shared" si="197"/>
        <v>C07C</v>
      </c>
    </row>
    <row r="1288" spans="3:5" ht="30" x14ac:dyDescent="0.25">
      <c r="C1288" s="12" t="str">
        <f t="shared" si="196"/>
        <v>US20070284284</v>
      </c>
      <c r="D1288" s="12" t="s">
        <v>2780</v>
      </c>
      <c r="E1288" t="str">
        <f t="shared" si="197"/>
        <v>C07C</v>
      </c>
    </row>
    <row r="1289" spans="3:5" ht="30" x14ac:dyDescent="0.25">
      <c r="C1289" s="12" t="str">
        <f t="shared" si="196"/>
        <v>US20070284284</v>
      </c>
      <c r="D1289" s="12" t="s">
        <v>2781</v>
      </c>
      <c r="E1289" t="str">
        <f t="shared" si="197"/>
        <v>C08F</v>
      </c>
    </row>
    <row r="1290" spans="3:5" ht="30" x14ac:dyDescent="0.25">
      <c r="C1290" s="12" t="str">
        <f t="shared" si="196"/>
        <v>US20070284284</v>
      </c>
      <c r="D1290" s="12" t="s">
        <v>2782</v>
      </c>
      <c r="E1290" t="str">
        <f t="shared" si="197"/>
        <v>C08F</v>
      </c>
    </row>
    <row r="1291" spans="3:5" ht="30" x14ac:dyDescent="0.25">
      <c r="C1291" s="12" t="str">
        <f t="shared" si="196"/>
        <v>US20070284284</v>
      </c>
      <c r="D1291" s="12" t="s">
        <v>2629</v>
      </c>
      <c r="E1291" t="str">
        <f t="shared" si="197"/>
        <v>C10G</v>
      </c>
    </row>
    <row r="1292" spans="3:5" ht="30" x14ac:dyDescent="0.25">
      <c r="C1292" s="12" t="str">
        <f t="shared" si="196"/>
        <v>US20070284284</v>
      </c>
      <c r="D1292" s="12" t="s">
        <v>1420</v>
      </c>
      <c r="E1292" t="str">
        <f t="shared" si="197"/>
        <v>C10G</v>
      </c>
    </row>
    <row r="1293" spans="3:5" ht="30" x14ac:dyDescent="0.25">
      <c r="C1293" s="12" t="str">
        <f t="shared" si="196"/>
        <v>US20070284284</v>
      </c>
      <c r="D1293" s="12" t="s">
        <v>1958</v>
      </c>
      <c r="E1293" t="str">
        <f t="shared" si="197"/>
        <v>C10G</v>
      </c>
    </row>
    <row r="1294" spans="3:5" ht="30" x14ac:dyDescent="0.25">
      <c r="C1294" s="12" t="str">
        <f t="shared" si="196"/>
        <v>US20070284284</v>
      </c>
      <c r="D1294" s="12" t="s">
        <v>2767</v>
      </c>
      <c r="E1294" t="str">
        <f t="shared" si="197"/>
        <v>C10G</v>
      </c>
    </row>
    <row r="1295" spans="3:5" ht="30" x14ac:dyDescent="0.25">
      <c r="C1295" s="12" t="str">
        <f t="shared" si="196"/>
        <v>US20070284284</v>
      </c>
      <c r="D1295" s="12" t="s">
        <v>2711</v>
      </c>
      <c r="E1295" t="str">
        <f t="shared" si="197"/>
        <v>C10G</v>
      </c>
    </row>
    <row r="1296" spans="3:5" ht="30" x14ac:dyDescent="0.25">
      <c r="C1296" s="12" t="str">
        <f t="shared" si="196"/>
        <v>US20070284284</v>
      </c>
      <c r="D1296" s="12" t="s">
        <v>2783</v>
      </c>
      <c r="E1296" t="str">
        <f t="shared" si="197"/>
        <v>C10G</v>
      </c>
    </row>
    <row r="1297" spans="3:5" ht="30" x14ac:dyDescent="0.25">
      <c r="C1297" s="12" t="str">
        <f t="shared" si="196"/>
        <v>US20070284284</v>
      </c>
      <c r="D1297" s="12" t="s">
        <v>2784</v>
      </c>
      <c r="E1297" t="str">
        <f t="shared" si="197"/>
        <v>C10G</v>
      </c>
    </row>
    <row r="1298" spans="3:5" x14ac:dyDescent="0.25">
      <c r="C1298" s="12" t="s">
        <v>952</v>
      </c>
      <c r="D1298" s="12" t="s">
        <v>2785</v>
      </c>
      <c r="E1298" t="str">
        <f t="shared" si="197"/>
        <v>B01J</v>
      </c>
    </row>
    <row r="1299" spans="3:5" x14ac:dyDescent="0.25">
      <c r="C1299" s="12" t="str">
        <f t="shared" ref="C1299:C1303" si="198">C1298</f>
        <v>JP2008127542</v>
      </c>
      <c r="D1299" s="12" t="s">
        <v>2748</v>
      </c>
      <c r="E1299" t="str">
        <f t="shared" si="197"/>
        <v>B01J</v>
      </c>
    </row>
    <row r="1300" spans="3:5" x14ac:dyDescent="0.25">
      <c r="C1300" s="12" t="str">
        <f t="shared" si="198"/>
        <v>JP2008127542</v>
      </c>
      <c r="D1300" s="12" t="s">
        <v>2749</v>
      </c>
      <c r="E1300" t="str">
        <f t="shared" si="197"/>
        <v>B01J</v>
      </c>
    </row>
    <row r="1301" spans="3:5" x14ac:dyDescent="0.25">
      <c r="C1301" s="12" t="str">
        <f t="shared" si="198"/>
        <v>JP2008127542</v>
      </c>
      <c r="D1301" s="12" t="s">
        <v>2698</v>
      </c>
      <c r="E1301" t="str">
        <f t="shared" si="197"/>
        <v>B01J</v>
      </c>
    </row>
    <row r="1302" spans="3:5" x14ac:dyDescent="0.25">
      <c r="C1302" s="12" t="str">
        <f t="shared" si="198"/>
        <v>JP2008127542</v>
      </c>
      <c r="D1302" s="12" t="s">
        <v>54</v>
      </c>
      <c r="E1302" t="str">
        <f t="shared" si="197"/>
        <v>C10G</v>
      </c>
    </row>
    <row r="1303" spans="3:5" x14ac:dyDescent="0.25">
      <c r="C1303" s="12" t="str">
        <f t="shared" si="198"/>
        <v>JP2008127542</v>
      </c>
      <c r="D1303" s="12" t="s">
        <v>2556</v>
      </c>
      <c r="E1303" t="str">
        <f t="shared" si="197"/>
        <v>C10L</v>
      </c>
    </row>
    <row r="1304" spans="3:5" x14ac:dyDescent="0.25">
      <c r="C1304" s="12" t="s">
        <v>959</v>
      </c>
      <c r="D1304" s="12" t="s">
        <v>2668</v>
      </c>
      <c r="E1304" t="str">
        <f t="shared" si="197"/>
        <v>B01J</v>
      </c>
    </row>
    <row r="1305" spans="3:5" x14ac:dyDescent="0.25">
      <c r="C1305" s="12" t="str">
        <f t="shared" ref="C1305:C1317" si="199">C1304</f>
        <v>JP2008056593</v>
      </c>
      <c r="D1305" s="12" t="s">
        <v>2558</v>
      </c>
      <c r="E1305" t="str">
        <f t="shared" si="197"/>
        <v>B01J</v>
      </c>
    </row>
    <row r="1306" spans="3:5" x14ac:dyDescent="0.25">
      <c r="C1306" s="12" t="str">
        <f t="shared" si="199"/>
        <v>JP2008056593</v>
      </c>
      <c r="D1306" s="12" t="s">
        <v>1940</v>
      </c>
      <c r="E1306" t="str">
        <f t="shared" si="197"/>
        <v>B01J</v>
      </c>
    </row>
    <row r="1307" spans="3:5" x14ac:dyDescent="0.25">
      <c r="C1307" s="12" t="str">
        <f t="shared" si="199"/>
        <v>JP2008056593</v>
      </c>
      <c r="D1307" s="12" t="s">
        <v>2640</v>
      </c>
      <c r="E1307" t="str">
        <f t="shared" si="197"/>
        <v>C07B</v>
      </c>
    </row>
    <row r="1308" spans="3:5" x14ac:dyDescent="0.25">
      <c r="C1308" s="12" t="str">
        <f t="shared" si="199"/>
        <v>JP2008056593</v>
      </c>
      <c r="D1308" s="12" t="s">
        <v>1466</v>
      </c>
      <c r="E1308" t="str">
        <f t="shared" si="197"/>
        <v>C07C</v>
      </c>
    </row>
    <row r="1309" spans="3:5" x14ac:dyDescent="0.25">
      <c r="C1309" s="12" t="str">
        <f t="shared" si="199"/>
        <v>JP2008056593</v>
      </c>
      <c r="D1309" s="12" t="s">
        <v>1997</v>
      </c>
      <c r="E1309" t="str">
        <f t="shared" si="197"/>
        <v>C07C</v>
      </c>
    </row>
    <row r="1310" spans="3:5" x14ac:dyDescent="0.25">
      <c r="C1310" s="12" t="str">
        <f t="shared" si="199"/>
        <v>JP2008056593</v>
      </c>
      <c r="D1310" s="12" t="s">
        <v>1498</v>
      </c>
      <c r="E1310" t="str">
        <f t="shared" si="197"/>
        <v>C07C</v>
      </c>
    </row>
    <row r="1311" spans="3:5" x14ac:dyDescent="0.25">
      <c r="C1311" s="12" t="str">
        <f t="shared" si="199"/>
        <v>JP2008056593</v>
      </c>
      <c r="D1311" s="12" t="s">
        <v>1966</v>
      </c>
      <c r="E1311" t="str">
        <f t="shared" si="197"/>
        <v>C07C</v>
      </c>
    </row>
    <row r="1312" spans="3:5" x14ac:dyDescent="0.25">
      <c r="C1312" s="12" t="str">
        <f t="shared" si="199"/>
        <v>JP2008056593</v>
      </c>
      <c r="D1312" s="12" t="s">
        <v>2786</v>
      </c>
      <c r="E1312" t="str">
        <f t="shared" si="197"/>
        <v>C07C</v>
      </c>
    </row>
    <row r="1313" spans="3:5" x14ac:dyDescent="0.25">
      <c r="C1313" s="12" t="str">
        <f t="shared" si="199"/>
        <v>JP2008056593</v>
      </c>
      <c r="D1313" s="12" t="s">
        <v>2614</v>
      </c>
      <c r="E1313" t="str">
        <f t="shared" si="197"/>
        <v>C07C</v>
      </c>
    </row>
    <row r="1314" spans="3:5" x14ac:dyDescent="0.25">
      <c r="C1314" s="12" t="str">
        <f t="shared" si="199"/>
        <v>JP2008056593</v>
      </c>
      <c r="D1314" s="12" t="s">
        <v>2787</v>
      </c>
      <c r="E1314" t="str">
        <f t="shared" si="197"/>
        <v>C07C</v>
      </c>
    </row>
    <row r="1315" spans="3:5" x14ac:dyDescent="0.25">
      <c r="C1315" s="12" t="str">
        <f t="shared" si="199"/>
        <v>JP2008056593</v>
      </c>
      <c r="D1315" s="12" t="s">
        <v>2788</v>
      </c>
      <c r="E1315" t="str">
        <f t="shared" si="197"/>
        <v>C07C</v>
      </c>
    </row>
    <row r="1316" spans="3:5" x14ac:dyDescent="0.25">
      <c r="C1316" s="12" t="str">
        <f t="shared" si="199"/>
        <v>JP2008056593</v>
      </c>
      <c r="D1316" s="12" t="s">
        <v>2583</v>
      </c>
      <c r="E1316" t="str">
        <f t="shared" si="197"/>
        <v>C07C</v>
      </c>
    </row>
    <row r="1317" spans="3:5" x14ac:dyDescent="0.25">
      <c r="C1317" s="12" t="str">
        <f t="shared" si="199"/>
        <v>JP2008056593</v>
      </c>
      <c r="D1317" s="12" t="s">
        <v>225</v>
      </c>
      <c r="E1317" t="str">
        <f t="shared" si="197"/>
        <v>C10G</v>
      </c>
    </row>
    <row r="1318" spans="3:5" x14ac:dyDescent="0.25">
      <c r="C1318" s="12" t="s">
        <v>965</v>
      </c>
      <c r="D1318" s="12" t="s">
        <v>2563</v>
      </c>
      <c r="E1318" t="str">
        <f t="shared" si="197"/>
        <v>B01J</v>
      </c>
    </row>
    <row r="1319" spans="3:5" x14ac:dyDescent="0.25">
      <c r="C1319" s="12" t="str">
        <f>C1318</f>
        <v>RU2284343</v>
      </c>
      <c r="D1319" s="12" t="s">
        <v>54</v>
      </c>
      <c r="E1319" t="str">
        <f t="shared" si="197"/>
        <v>C10G</v>
      </c>
    </row>
    <row r="1320" spans="3:5" x14ac:dyDescent="0.25">
      <c r="C1320" s="12" t="s">
        <v>971</v>
      </c>
      <c r="D1320" s="12" t="s">
        <v>2712</v>
      </c>
      <c r="E1320" t="str">
        <f t="shared" si="197"/>
        <v>B01J</v>
      </c>
    </row>
    <row r="1321" spans="3:5" x14ac:dyDescent="0.25">
      <c r="C1321" s="12" t="str">
        <f t="shared" ref="C1321:C1331" si="200">C1320</f>
        <v>RU2004135451</v>
      </c>
      <c r="D1321" s="12" t="s">
        <v>2789</v>
      </c>
      <c r="E1321" t="str">
        <f t="shared" si="197"/>
        <v>B01J</v>
      </c>
    </row>
    <row r="1322" spans="3:5" x14ac:dyDescent="0.25">
      <c r="C1322" s="12" t="str">
        <f t="shared" si="200"/>
        <v>RU2004135451</v>
      </c>
      <c r="D1322" s="12" t="s">
        <v>2558</v>
      </c>
      <c r="E1322" t="str">
        <f t="shared" si="197"/>
        <v>B01J</v>
      </c>
    </row>
    <row r="1323" spans="3:5" x14ac:dyDescent="0.25">
      <c r="C1323" s="12" t="str">
        <f t="shared" si="200"/>
        <v>RU2004135451</v>
      </c>
      <c r="D1323" s="12" t="s">
        <v>2574</v>
      </c>
      <c r="E1323" t="str">
        <f t="shared" si="197"/>
        <v>B01J</v>
      </c>
    </row>
    <row r="1324" spans="3:5" x14ac:dyDescent="0.25">
      <c r="C1324" s="12" t="str">
        <f t="shared" si="200"/>
        <v>RU2004135451</v>
      </c>
      <c r="D1324" s="12" t="s">
        <v>2790</v>
      </c>
      <c r="E1324" t="str">
        <f t="shared" si="197"/>
        <v>B01J</v>
      </c>
    </row>
    <row r="1325" spans="3:5" x14ac:dyDescent="0.25">
      <c r="C1325" s="12" t="str">
        <f t="shared" si="200"/>
        <v>RU2004135451</v>
      </c>
      <c r="D1325" s="12" t="s">
        <v>2577</v>
      </c>
      <c r="E1325" t="str">
        <f t="shared" si="197"/>
        <v>B01J</v>
      </c>
    </row>
    <row r="1326" spans="3:5" x14ac:dyDescent="0.25">
      <c r="C1326" s="12" t="str">
        <f t="shared" si="200"/>
        <v>RU2004135451</v>
      </c>
      <c r="D1326" s="12" t="s">
        <v>2721</v>
      </c>
      <c r="E1326" t="str">
        <f t="shared" si="197"/>
        <v>B01J</v>
      </c>
    </row>
    <row r="1327" spans="3:5" x14ac:dyDescent="0.25">
      <c r="C1327" s="12" t="str">
        <f t="shared" si="200"/>
        <v>RU2004135451</v>
      </c>
      <c r="D1327" s="12" t="s">
        <v>2718</v>
      </c>
      <c r="E1327" t="str">
        <f t="shared" si="197"/>
        <v>B01J</v>
      </c>
    </row>
    <row r="1328" spans="3:5" x14ac:dyDescent="0.25">
      <c r="C1328" s="12" t="str">
        <f t="shared" si="200"/>
        <v>RU2004135451</v>
      </c>
      <c r="D1328" s="12" t="s">
        <v>2722</v>
      </c>
      <c r="E1328" t="str">
        <f t="shared" si="197"/>
        <v>B01J</v>
      </c>
    </row>
    <row r="1329" spans="3:5" x14ac:dyDescent="0.25">
      <c r="C1329" s="12" t="str">
        <f t="shared" si="200"/>
        <v>RU2004135451</v>
      </c>
      <c r="D1329" s="12" t="s">
        <v>54</v>
      </c>
      <c r="E1329" t="str">
        <f t="shared" si="197"/>
        <v>C10G</v>
      </c>
    </row>
    <row r="1330" spans="3:5" x14ac:dyDescent="0.25">
      <c r="C1330" s="12" t="str">
        <f t="shared" si="200"/>
        <v>RU2004135451</v>
      </c>
      <c r="D1330" s="12" t="s">
        <v>2595</v>
      </c>
      <c r="E1330" t="str">
        <f t="shared" si="197"/>
        <v>C10G</v>
      </c>
    </row>
    <row r="1331" spans="3:5" x14ac:dyDescent="0.25">
      <c r="C1331" s="12" t="str">
        <f t="shared" si="200"/>
        <v>RU2004135451</v>
      </c>
      <c r="D1331" s="12" t="s">
        <v>2791</v>
      </c>
      <c r="E1331" t="str">
        <f t="shared" si="197"/>
        <v>C10G</v>
      </c>
    </row>
    <row r="1332" spans="3:5" x14ac:dyDescent="0.25">
      <c r="C1332" s="12" t="s">
        <v>976</v>
      </c>
      <c r="D1332" s="12" t="s">
        <v>2558</v>
      </c>
      <c r="E1332" t="str">
        <f t="shared" si="197"/>
        <v>B01J</v>
      </c>
    </row>
    <row r="1333" spans="3:5" x14ac:dyDescent="0.25">
      <c r="C1333" s="12" t="str">
        <f t="shared" ref="C1333:C1335" si="201">C1332</f>
        <v>RU2238298</v>
      </c>
      <c r="D1333" s="12" t="s">
        <v>2533</v>
      </c>
      <c r="E1333" t="str">
        <f t="shared" si="197"/>
        <v>C07C</v>
      </c>
    </row>
    <row r="1334" spans="3:5" x14ac:dyDescent="0.25">
      <c r="C1334" s="12" t="str">
        <f t="shared" si="201"/>
        <v>RU2238298</v>
      </c>
      <c r="D1334" s="12" t="s">
        <v>54</v>
      </c>
      <c r="E1334" t="str">
        <f t="shared" si="197"/>
        <v>C10G</v>
      </c>
    </row>
    <row r="1335" spans="3:5" x14ac:dyDescent="0.25">
      <c r="C1335" s="12" t="str">
        <f t="shared" si="201"/>
        <v>RU2238298</v>
      </c>
      <c r="D1335" s="12" t="s">
        <v>1437</v>
      </c>
      <c r="E1335" t="str">
        <f t="shared" si="197"/>
        <v>C10G</v>
      </c>
    </row>
    <row r="1336" spans="3:5" x14ac:dyDescent="0.25">
      <c r="C1336" s="12" t="s">
        <v>980</v>
      </c>
      <c r="D1336" s="12" t="s">
        <v>2534</v>
      </c>
      <c r="E1336" t="str">
        <f t="shared" si="197"/>
        <v>C07C</v>
      </c>
    </row>
    <row r="1337" spans="3:5" x14ac:dyDescent="0.25">
      <c r="C1337" s="12" t="str">
        <f>C1336</f>
        <v>RU2209811</v>
      </c>
      <c r="D1337" s="12" t="s">
        <v>2792</v>
      </c>
      <c r="E1337" t="str">
        <f t="shared" si="197"/>
        <v>C07C</v>
      </c>
    </row>
    <row r="1338" spans="3:5" x14ac:dyDescent="0.25">
      <c r="C1338" s="12" t="s">
        <v>985</v>
      </c>
      <c r="D1338" s="12" t="s">
        <v>1466</v>
      </c>
      <c r="E1338" t="str">
        <f t="shared" si="197"/>
        <v>C07C</v>
      </c>
    </row>
    <row r="1339" spans="3:5" x14ac:dyDescent="0.25">
      <c r="C1339" s="12" t="str">
        <f t="shared" ref="C1339:C1341" si="202">C1338</f>
        <v>WO200232837</v>
      </c>
      <c r="D1339" s="12" t="s">
        <v>1498</v>
      </c>
      <c r="E1339" t="str">
        <f t="shared" si="197"/>
        <v>C07C</v>
      </c>
    </row>
    <row r="1340" spans="3:5" x14ac:dyDescent="0.25">
      <c r="C1340" s="12" t="str">
        <f t="shared" si="202"/>
        <v>WO200232837</v>
      </c>
      <c r="D1340" s="12" t="s">
        <v>2656</v>
      </c>
      <c r="E1340" t="str">
        <f t="shared" si="197"/>
        <v>C07C</v>
      </c>
    </row>
    <row r="1341" spans="3:5" x14ac:dyDescent="0.25">
      <c r="C1341" s="12" t="str">
        <f t="shared" si="202"/>
        <v>WO200232837</v>
      </c>
      <c r="D1341" s="12" t="s">
        <v>1021</v>
      </c>
      <c r="E1341" t="str">
        <f t="shared" si="197"/>
        <v>C07C</v>
      </c>
    </row>
    <row r="1342" spans="3:5" x14ac:dyDescent="0.25">
      <c r="C1342" s="12" t="s">
        <v>990</v>
      </c>
      <c r="D1342" s="12" t="s">
        <v>2563</v>
      </c>
      <c r="E1342" t="str">
        <f t="shared" si="197"/>
        <v>B01J</v>
      </c>
    </row>
    <row r="1343" spans="3:5" x14ac:dyDescent="0.25">
      <c r="C1343" s="12" t="str">
        <f>C1342</f>
        <v>RU2208624</v>
      </c>
      <c r="D1343" s="12" t="s">
        <v>54</v>
      </c>
      <c r="E1343" t="str">
        <f t="shared" si="197"/>
        <v>C10G</v>
      </c>
    </row>
    <row r="1344" spans="3:5" x14ac:dyDescent="0.25">
      <c r="C1344" s="12" t="s">
        <v>996</v>
      </c>
      <c r="D1344" s="12" t="s">
        <v>1466</v>
      </c>
      <c r="E1344" t="str">
        <f t="shared" si="197"/>
        <v>C07C</v>
      </c>
    </row>
    <row r="1345" spans="3:5" x14ac:dyDescent="0.25">
      <c r="C1345" s="12" t="str">
        <f t="shared" ref="C1345:C1347" si="203">C1344</f>
        <v>WO200177046</v>
      </c>
      <c r="D1345" s="12" t="s">
        <v>1498</v>
      </c>
      <c r="E1345" t="str">
        <f t="shared" si="197"/>
        <v>C07C</v>
      </c>
    </row>
    <row r="1346" spans="3:5" x14ac:dyDescent="0.25">
      <c r="C1346" s="12" t="str">
        <f t="shared" si="203"/>
        <v>WO200177046</v>
      </c>
      <c r="D1346" s="12" t="s">
        <v>2656</v>
      </c>
      <c r="E1346" t="str">
        <f t="shared" si="197"/>
        <v>C07C</v>
      </c>
    </row>
    <row r="1347" spans="3:5" x14ac:dyDescent="0.25">
      <c r="C1347" s="12" t="str">
        <f t="shared" si="203"/>
        <v>WO200177046</v>
      </c>
      <c r="D1347" s="12" t="s">
        <v>1021</v>
      </c>
      <c r="E1347" t="str">
        <f t="shared" si="197"/>
        <v>C07C</v>
      </c>
    </row>
    <row r="1348" spans="3:5" x14ac:dyDescent="0.25">
      <c r="C1348" s="12" t="s">
        <v>1001</v>
      </c>
      <c r="D1348" s="12" t="s">
        <v>54</v>
      </c>
      <c r="E1348" t="str">
        <f t="shared" si="197"/>
        <v>C10G</v>
      </c>
    </row>
    <row r="1349" spans="3:5" x14ac:dyDescent="0.25">
      <c r="C1349" s="12" t="s">
        <v>1006</v>
      </c>
      <c r="D1349" s="12" t="s">
        <v>1940</v>
      </c>
      <c r="E1349" t="str">
        <f t="shared" ref="E1349:E1412" si="204">LEFT(D1349,4)</f>
        <v>B01J</v>
      </c>
    </row>
    <row r="1350" spans="3:5" x14ac:dyDescent="0.25">
      <c r="C1350" s="12" t="str">
        <f t="shared" ref="C1350:C1351" si="205">C1349</f>
        <v>NO973534</v>
      </c>
      <c r="D1350" s="12" t="s">
        <v>2629</v>
      </c>
      <c r="E1350" t="str">
        <f t="shared" si="204"/>
        <v>C10G</v>
      </c>
    </row>
    <row r="1351" spans="3:5" x14ac:dyDescent="0.25">
      <c r="C1351" s="12" t="str">
        <f t="shared" si="205"/>
        <v>NO973534</v>
      </c>
      <c r="D1351" s="12" t="s">
        <v>54</v>
      </c>
      <c r="E1351" t="str">
        <f t="shared" si="204"/>
        <v>C10G</v>
      </c>
    </row>
    <row r="1352" spans="3:5" x14ac:dyDescent="0.25">
      <c r="C1352" s="12" t="s">
        <v>1014</v>
      </c>
      <c r="D1352" s="12" t="s">
        <v>54</v>
      </c>
      <c r="E1352" t="str">
        <f t="shared" si="204"/>
        <v>C10G</v>
      </c>
    </row>
    <row r="1353" spans="3:5" x14ac:dyDescent="0.25">
      <c r="C1353" s="12" t="s">
        <v>1018</v>
      </c>
      <c r="D1353" s="12" t="s">
        <v>1021</v>
      </c>
      <c r="E1353" t="str">
        <f t="shared" si="204"/>
        <v>C07C</v>
      </c>
    </row>
    <row r="1354" spans="3:5" x14ac:dyDescent="0.25">
      <c r="C1354" s="12" t="s">
        <v>1024</v>
      </c>
      <c r="D1354" s="12" t="s">
        <v>2793</v>
      </c>
      <c r="E1354" t="str">
        <f t="shared" si="204"/>
        <v>B01J</v>
      </c>
    </row>
    <row r="1355" spans="3:5" x14ac:dyDescent="0.25">
      <c r="C1355" s="12" t="str">
        <f t="shared" ref="C1355:C1360" si="206">C1354</f>
        <v>US05880051</v>
      </c>
      <c r="D1355" s="12" t="s">
        <v>2702</v>
      </c>
      <c r="E1355" t="str">
        <f t="shared" si="204"/>
        <v>B01J</v>
      </c>
    </row>
    <row r="1356" spans="3:5" x14ac:dyDescent="0.25">
      <c r="C1356" s="12" t="str">
        <f t="shared" si="206"/>
        <v>US05880051</v>
      </c>
      <c r="D1356" s="12" t="s">
        <v>2794</v>
      </c>
      <c r="E1356" t="str">
        <f t="shared" si="204"/>
        <v>B01J</v>
      </c>
    </row>
    <row r="1357" spans="3:5" x14ac:dyDescent="0.25">
      <c r="C1357" s="12" t="str">
        <f t="shared" si="206"/>
        <v>US05880051</v>
      </c>
      <c r="D1357" s="12" t="s">
        <v>2790</v>
      </c>
      <c r="E1357" t="str">
        <f t="shared" si="204"/>
        <v>B01J</v>
      </c>
    </row>
    <row r="1358" spans="3:5" x14ac:dyDescent="0.25">
      <c r="C1358" s="12" t="str">
        <f t="shared" si="206"/>
        <v>US05880051</v>
      </c>
      <c r="D1358" s="12" t="s">
        <v>2795</v>
      </c>
      <c r="E1358" t="str">
        <f t="shared" si="204"/>
        <v>B01J</v>
      </c>
    </row>
    <row r="1359" spans="3:5" x14ac:dyDescent="0.25">
      <c r="C1359" s="12" t="str">
        <f t="shared" si="206"/>
        <v>US05880051</v>
      </c>
      <c r="D1359" s="12" t="s">
        <v>2542</v>
      </c>
      <c r="E1359" t="str">
        <f t="shared" si="204"/>
        <v>B01J</v>
      </c>
    </row>
    <row r="1360" spans="3:5" x14ac:dyDescent="0.25">
      <c r="C1360" s="12" t="str">
        <f t="shared" si="206"/>
        <v>US05880051</v>
      </c>
      <c r="D1360" s="12" t="s">
        <v>54</v>
      </c>
      <c r="E1360" t="str">
        <f t="shared" si="204"/>
        <v>C10G</v>
      </c>
    </row>
    <row r="1361" spans="3:5" x14ac:dyDescent="0.25">
      <c r="C1361" s="12" t="s">
        <v>1030</v>
      </c>
      <c r="D1361" s="12" t="s">
        <v>1420</v>
      </c>
      <c r="E1361" t="str">
        <f t="shared" si="204"/>
        <v>C10G</v>
      </c>
    </row>
    <row r="1362" spans="3:5" x14ac:dyDescent="0.25">
      <c r="C1362" s="12" t="str">
        <f t="shared" ref="C1362:C1365" si="207">C1361</f>
        <v>US05683573</v>
      </c>
      <c r="D1362" s="12" t="s">
        <v>54</v>
      </c>
      <c r="E1362" t="str">
        <f t="shared" si="204"/>
        <v>C10G</v>
      </c>
    </row>
    <row r="1363" spans="3:5" x14ac:dyDescent="0.25">
      <c r="C1363" s="12" t="str">
        <f t="shared" si="207"/>
        <v>US05683573</v>
      </c>
      <c r="D1363" s="12" t="s">
        <v>2796</v>
      </c>
      <c r="E1363" t="str">
        <f t="shared" si="204"/>
        <v>C10G</v>
      </c>
    </row>
    <row r="1364" spans="3:5" x14ac:dyDescent="0.25">
      <c r="C1364" s="12" t="str">
        <f t="shared" si="207"/>
        <v>US05683573</v>
      </c>
      <c r="D1364" s="12" t="s">
        <v>2773</v>
      </c>
      <c r="E1364" t="str">
        <f t="shared" si="204"/>
        <v>C10G</v>
      </c>
    </row>
    <row r="1365" spans="3:5" x14ac:dyDescent="0.25">
      <c r="C1365" s="12" t="str">
        <f t="shared" si="207"/>
        <v>US05683573</v>
      </c>
      <c r="D1365" s="12" t="s">
        <v>540</v>
      </c>
      <c r="E1365" t="str">
        <f t="shared" si="204"/>
        <v>C10G</v>
      </c>
    </row>
    <row r="1366" spans="3:5" x14ac:dyDescent="0.25">
      <c r="C1366" s="12" t="s">
        <v>1034</v>
      </c>
      <c r="D1366" s="12" t="s">
        <v>2668</v>
      </c>
      <c r="E1366" t="str">
        <f t="shared" si="204"/>
        <v>B01J</v>
      </c>
    </row>
    <row r="1367" spans="3:5" x14ac:dyDescent="0.25">
      <c r="C1367" s="12" t="str">
        <f t="shared" ref="C1367:C1369" si="208">C1366</f>
        <v>RU2098173</v>
      </c>
      <c r="D1367" s="12" t="s">
        <v>2533</v>
      </c>
      <c r="E1367" t="str">
        <f t="shared" si="204"/>
        <v>C07C</v>
      </c>
    </row>
    <row r="1368" spans="3:5" x14ac:dyDescent="0.25">
      <c r="C1368" s="12" t="str">
        <f t="shared" si="208"/>
        <v>RU2098173</v>
      </c>
      <c r="D1368" s="12" t="s">
        <v>225</v>
      </c>
      <c r="E1368" t="str">
        <f t="shared" si="204"/>
        <v>C10G</v>
      </c>
    </row>
    <row r="1369" spans="3:5" x14ac:dyDescent="0.25">
      <c r="C1369" s="12" t="str">
        <f t="shared" si="208"/>
        <v>RU2098173</v>
      </c>
      <c r="D1369" s="12" t="s">
        <v>522</v>
      </c>
      <c r="E1369" t="str">
        <f t="shared" si="204"/>
        <v>C10G</v>
      </c>
    </row>
    <row r="1370" spans="3:5" x14ac:dyDescent="0.25">
      <c r="C1370" s="12" t="s">
        <v>1038</v>
      </c>
      <c r="D1370" s="12" t="s">
        <v>54</v>
      </c>
      <c r="E1370" t="str">
        <f t="shared" si="204"/>
        <v>C10G</v>
      </c>
    </row>
    <row r="1371" spans="3:5" x14ac:dyDescent="0.25">
      <c r="C1371" s="12" t="s">
        <v>1041</v>
      </c>
      <c r="D1371" s="12" t="s">
        <v>2590</v>
      </c>
      <c r="E1371" t="str">
        <f t="shared" si="204"/>
        <v>B01J</v>
      </c>
    </row>
    <row r="1372" spans="3:5" x14ac:dyDescent="0.25">
      <c r="C1372" s="12" t="str">
        <f t="shared" ref="C1372:C1385" si="209">C1371</f>
        <v>US05641393</v>
      </c>
      <c r="D1372" s="12" t="s">
        <v>1940</v>
      </c>
      <c r="E1372" t="str">
        <f t="shared" si="204"/>
        <v>B01J</v>
      </c>
    </row>
    <row r="1373" spans="3:5" x14ac:dyDescent="0.25">
      <c r="C1373" s="12" t="str">
        <f t="shared" si="209"/>
        <v>US05641393</v>
      </c>
      <c r="D1373" s="12" t="s">
        <v>2797</v>
      </c>
      <c r="E1373" t="str">
        <f t="shared" si="204"/>
        <v>C01B</v>
      </c>
    </row>
    <row r="1374" spans="3:5" x14ac:dyDescent="0.25">
      <c r="C1374" s="12" t="str">
        <f t="shared" si="209"/>
        <v>US05641393</v>
      </c>
      <c r="D1374" s="12" t="s">
        <v>2798</v>
      </c>
      <c r="E1374" t="str">
        <f t="shared" si="204"/>
        <v>C01B</v>
      </c>
    </row>
    <row r="1375" spans="3:5" x14ac:dyDescent="0.25">
      <c r="C1375" s="12" t="str">
        <f t="shared" si="209"/>
        <v>US05641393</v>
      </c>
      <c r="D1375" s="12" t="s">
        <v>2799</v>
      </c>
      <c r="E1375" t="str">
        <f t="shared" si="204"/>
        <v>C01B</v>
      </c>
    </row>
    <row r="1376" spans="3:5" x14ac:dyDescent="0.25">
      <c r="C1376" s="12" t="str">
        <f t="shared" si="209"/>
        <v>US05641393</v>
      </c>
      <c r="D1376" s="12" t="s">
        <v>2724</v>
      </c>
      <c r="E1376" t="str">
        <f t="shared" si="204"/>
        <v>C01B</v>
      </c>
    </row>
    <row r="1377" spans="3:5" x14ac:dyDescent="0.25">
      <c r="C1377" s="12" t="str">
        <f t="shared" si="209"/>
        <v>US05641393</v>
      </c>
      <c r="D1377" s="12" t="s">
        <v>1466</v>
      </c>
      <c r="E1377" t="str">
        <f t="shared" si="204"/>
        <v>C07C</v>
      </c>
    </row>
    <row r="1378" spans="3:5" x14ac:dyDescent="0.25">
      <c r="C1378" s="12" t="str">
        <f t="shared" si="209"/>
        <v>US05641393</v>
      </c>
      <c r="D1378" s="12" t="s">
        <v>2738</v>
      </c>
      <c r="E1378" t="str">
        <f t="shared" si="204"/>
        <v>C07C</v>
      </c>
    </row>
    <row r="1379" spans="3:5" x14ac:dyDescent="0.25">
      <c r="C1379" s="12" t="str">
        <f t="shared" si="209"/>
        <v>US05641393</v>
      </c>
      <c r="D1379" s="12" t="s">
        <v>1759</v>
      </c>
      <c r="E1379" t="str">
        <f t="shared" si="204"/>
        <v>C07C</v>
      </c>
    </row>
    <row r="1380" spans="3:5" x14ac:dyDescent="0.25">
      <c r="C1380" s="12" t="str">
        <f t="shared" si="209"/>
        <v>US05641393</v>
      </c>
      <c r="D1380" s="12" t="s">
        <v>2730</v>
      </c>
      <c r="E1380" t="str">
        <f t="shared" si="204"/>
        <v>C07C</v>
      </c>
    </row>
    <row r="1381" spans="3:5" x14ac:dyDescent="0.25">
      <c r="C1381" s="12" t="str">
        <f t="shared" si="209"/>
        <v>US05641393</v>
      </c>
      <c r="D1381" s="12" t="s">
        <v>2679</v>
      </c>
      <c r="E1381" t="str">
        <f t="shared" si="204"/>
        <v>C07C</v>
      </c>
    </row>
    <row r="1382" spans="3:5" x14ac:dyDescent="0.25">
      <c r="C1382" s="12" t="str">
        <f t="shared" si="209"/>
        <v>US05641393</v>
      </c>
      <c r="D1382" s="12" t="s">
        <v>2705</v>
      </c>
      <c r="E1382" t="str">
        <f t="shared" si="204"/>
        <v>C07C</v>
      </c>
    </row>
    <row r="1383" spans="3:5" x14ac:dyDescent="0.25">
      <c r="C1383" s="12" t="str">
        <f t="shared" si="209"/>
        <v>US05641393</v>
      </c>
      <c r="D1383" s="12" t="s">
        <v>2629</v>
      </c>
      <c r="E1383" t="str">
        <f t="shared" si="204"/>
        <v>C10G</v>
      </c>
    </row>
    <row r="1384" spans="3:5" x14ac:dyDescent="0.25">
      <c r="C1384" s="12" t="str">
        <f t="shared" si="209"/>
        <v>US05641393</v>
      </c>
      <c r="D1384" s="12" t="s">
        <v>54</v>
      </c>
      <c r="E1384" t="str">
        <f t="shared" si="204"/>
        <v>C10G</v>
      </c>
    </row>
    <row r="1385" spans="3:5" x14ac:dyDescent="0.25">
      <c r="C1385" s="12" t="str">
        <f t="shared" si="209"/>
        <v>US05641393</v>
      </c>
      <c r="D1385" s="12" t="s">
        <v>2773</v>
      </c>
      <c r="E1385" t="str">
        <f t="shared" si="204"/>
        <v>C10G</v>
      </c>
    </row>
    <row r="1386" spans="3:5" x14ac:dyDescent="0.25">
      <c r="C1386" s="12" t="s">
        <v>1047</v>
      </c>
      <c r="D1386" s="12" t="s">
        <v>2702</v>
      </c>
      <c r="E1386" t="str">
        <f t="shared" si="204"/>
        <v>B01J</v>
      </c>
    </row>
    <row r="1387" spans="3:5" x14ac:dyDescent="0.25">
      <c r="C1387" s="12" t="str">
        <f t="shared" ref="C1387:C1398" si="210">C1386</f>
        <v>US05578195</v>
      </c>
      <c r="D1387" s="12" t="s">
        <v>2713</v>
      </c>
      <c r="E1387" t="str">
        <f t="shared" si="204"/>
        <v>B01J</v>
      </c>
    </row>
    <row r="1388" spans="3:5" x14ac:dyDescent="0.25">
      <c r="C1388" s="12" t="str">
        <f t="shared" si="210"/>
        <v>US05578195</v>
      </c>
      <c r="D1388" s="12" t="s">
        <v>1940</v>
      </c>
      <c r="E1388" t="str">
        <f t="shared" si="204"/>
        <v>B01J</v>
      </c>
    </row>
    <row r="1389" spans="3:5" x14ac:dyDescent="0.25">
      <c r="C1389" s="12" t="str">
        <f t="shared" si="210"/>
        <v>US05578195</v>
      </c>
      <c r="D1389" s="12" t="s">
        <v>2698</v>
      </c>
      <c r="E1389" t="str">
        <f t="shared" si="204"/>
        <v>B01J</v>
      </c>
    </row>
    <row r="1390" spans="3:5" x14ac:dyDescent="0.25">
      <c r="C1390" s="12" t="str">
        <f t="shared" si="210"/>
        <v>US05578195</v>
      </c>
      <c r="D1390" s="12" t="s">
        <v>2620</v>
      </c>
      <c r="E1390" t="str">
        <f t="shared" si="204"/>
        <v>C01B</v>
      </c>
    </row>
    <row r="1391" spans="3:5" x14ac:dyDescent="0.25">
      <c r="C1391" s="12" t="str">
        <f t="shared" si="210"/>
        <v>US05578195</v>
      </c>
      <c r="D1391" s="12" t="s">
        <v>1466</v>
      </c>
      <c r="E1391" t="str">
        <f t="shared" si="204"/>
        <v>C07C</v>
      </c>
    </row>
    <row r="1392" spans="3:5" x14ac:dyDescent="0.25">
      <c r="C1392" s="12" t="str">
        <f t="shared" si="210"/>
        <v>US05578195</v>
      </c>
      <c r="D1392" s="12" t="s">
        <v>2738</v>
      </c>
      <c r="E1392" t="str">
        <f t="shared" si="204"/>
        <v>C07C</v>
      </c>
    </row>
    <row r="1393" spans="3:5" x14ac:dyDescent="0.25">
      <c r="C1393" s="12" t="str">
        <f t="shared" si="210"/>
        <v>US05578195</v>
      </c>
      <c r="D1393" s="12" t="s">
        <v>1759</v>
      </c>
      <c r="E1393" t="str">
        <f t="shared" si="204"/>
        <v>C07C</v>
      </c>
    </row>
    <row r="1394" spans="3:5" x14ac:dyDescent="0.25">
      <c r="C1394" s="12" t="str">
        <f t="shared" si="210"/>
        <v>US05578195</v>
      </c>
      <c r="D1394" s="12" t="s">
        <v>1498</v>
      </c>
      <c r="E1394" t="str">
        <f t="shared" si="204"/>
        <v>C07C</v>
      </c>
    </row>
    <row r="1395" spans="3:5" x14ac:dyDescent="0.25">
      <c r="C1395" s="12" t="str">
        <f t="shared" si="210"/>
        <v>US05578195</v>
      </c>
      <c r="D1395" s="12" t="s">
        <v>2679</v>
      </c>
      <c r="E1395" t="str">
        <f t="shared" si="204"/>
        <v>C07C</v>
      </c>
    </row>
    <row r="1396" spans="3:5" x14ac:dyDescent="0.25">
      <c r="C1396" s="12" t="str">
        <f t="shared" si="210"/>
        <v>US05578195</v>
      </c>
      <c r="D1396" s="12" t="s">
        <v>2629</v>
      </c>
      <c r="E1396" t="str">
        <f t="shared" si="204"/>
        <v>C10G</v>
      </c>
    </row>
    <row r="1397" spans="3:5" x14ac:dyDescent="0.25">
      <c r="C1397" s="12" t="str">
        <f t="shared" si="210"/>
        <v>US05578195</v>
      </c>
      <c r="D1397" s="12" t="s">
        <v>54</v>
      </c>
      <c r="E1397" t="str">
        <f t="shared" si="204"/>
        <v>C10G</v>
      </c>
    </row>
    <row r="1398" spans="3:5" x14ac:dyDescent="0.25">
      <c r="C1398" s="12" t="str">
        <f t="shared" si="210"/>
        <v>US05578195</v>
      </c>
      <c r="D1398" s="12" t="s">
        <v>2767</v>
      </c>
      <c r="E1398" t="str">
        <f t="shared" si="204"/>
        <v>C10G</v>
      </c>
    </row>
    <row r="1399" spans="3:5" x14ac:dyDescent="0.25">
      <c r="C1399" s="12" t="s">
        <v>1055</v>
      </c>
      <c r="D1399" s="12" t="s">
        <v>54</v>
      </c>
      <c r="E1399" t="str">
        <f t="shared" si="204"/>
        <v>C10G</v>
      </c>
    </row>
    <row r="1400" spans="3:5" x14ac:dyDescent="0.25">
      <c r="C1400" s="12" t="s">
        <v>1060</v>
      </c>
      <c r="D1400" s="12" t="s">
        <v>2045</v>
      </c>
      <c r="E1400" t="str">
        <f t="shared" si="204"/>
        <v>B01J</v>
      </c>
    </row>
    <row r="1401" spans="3:5" x14ac:dyDescent="0.25">
      <c r="C1401" s="12" t="str">
        <f t="shared" ref="C1401:C1416" si="211">C1400</f>
        <v>WO9601688</v>
      </c>
      <c r="D1401" s="12" t="s">
        <v>2590</v>
      </c>
      <c r="E1401" t="str">
        <f t="shared" si="204"/>
        <v>B01J</v>
      </c>
    </row>
    <row r="1402" spans="3:5" x14ac:dyDescent="0.25">
      <c r="C1402" s="12" t="str">
        <f t="shared" si="211"/>
        <v>WO9601688</v>
      </c>
      <c r="D1402" s="12" t="s">
        <v>2702</v>
      </c>
      <c r="E1402" t="str">
        <f t="shared" si="204"/>
        <v>B01J</v>
      </c>
    </row>
    <row r="1403" spans="3:5" x14ac:dyDescent="0.25">
      <c r="C1403" s="12" t="str">
        <f t="shared" si="211"/>
        <v>WO9601688</v>
      </c>
      <c r="D1403" s="12" t="s">
        <v>1940</v>
      </c>
      <c r="E1403" t="str">
        <f t="shared" si="204"/>
        <v>B01J</v>
      </c>
    </row>
    <row r="1404" spans="3:5" x14ac:dyDescent="0.25">
      <c r="C1404" s="12" t="str">
        <f t="shared" si="211"/>
        <v>WO9601688</v>
      </c>
      <c r="D1404" s="12" t="s">
        <v>2724</v>
      </c>
      <c r="E1404" t="str">
        <f t="shared" si="204"/>
        <v>C01B</v>
      </c>
    </row>
    <row r="1405" spans="3:5" x14ac:dyDescent="0.25">
      <c r="C1405" s="12" t="str">
        <f t="shared" si="211"/>
        <v>WO9601688</v>
      </c>
      <c r="D1405" s="12" t="s">
        <v>1759</v>
      </c>
      <c r="E1405" t="str">
        <f t="shared" si="204"/>
        <v>C07C</v>
      </c>
    </row>
    <row r="1406" spans="3:5" x14ac:dyDescent="0.25">
      <c r="C1406" s="12" t="str">
        <f t="shared" si="211"/>
        <v>WO9601688</v>
      </c>
      <c r="D1406" s="12" t="s">
        <v>2730</v>
      </c>
      <c r="E1406" t="str">
        <f t="shared" si="204"/>
        <v>C07C</v>
      </c>
    </row>
    <row r="1407" spans="3:5" x14ac:dyDescent="0.25">
      <c r="C1407" s="12" t="str">
        <f t="shared" si="211"/>
        <v>WO9601688</v>
      </c>
      <c r="D1407" s="12" t="s">
        <v>2679</v>
      </c>
      <c r="E1407" t="str">
        <f t="shared" si="204"/>
        <v>C07C</v>
      </c>
    </row>
    <row r="1408" spans="3:5" x14ac:dyDescent="0.25">
      <c r="C1408" s="12" t="str">
        <f t="shared" si="211"/>
        <v>WO9601688</v>
      </c>
      <c r="D1408" s="12" t="s">
        <v>2661</v>
      </c>
      <c r="E1408" t="str">
        <f t="shared" si="204"/>
        <v>C07C</v>
      </c>
    </row>
    <row r="1409" spans="3:5" x14ac:dyDescent="0.25">
      <c r="C1409" s="12" t="str">
        <f t="shared" si="211"/>
        <v>WO9601688</v>
      </c>
      <c r="D1409" s="12" t="s">
        <v>2705</v>
      </c>
      <c r="E1409" t="str">
        <f t="shared" si="204"/>
        <v>C07C</v>
      </c>
    </row>
    <row r="1410" spans="3:5" x14ac:dyDescent="0.25">
      <c r="C1410" s="12" t="str">
        <f t="shared" si="211"/>
        <v>WO9601688</v>
      </c>
      <c r="D1410" s="12" t="s">
        <v>2566</v>
      </c>
      <c r="E1410" t="str">
        <f t="shared" si="204"/>
        <v>C07C</v>
      </c>
    </row>
    <row r="1411" spans="3:5" x14ac:dyDescent="0.25">
      <c r="C1411" s="12" t="str">
        <f t="shared" si="211"/>
        <v>WO9601688</v>
      </c>
      <c r="D1411" s="12" t="s">
        <v>225</v>
      </c>
      <c r="E1411" t="str">
        <f t="shared" si="204"/>
        <v>C10G</v>
      </c>
    </row>
    <row r="1412" spans="3:5" x14ac:dyDescent="0.25">
      <c r="C1412" s="12" t="str">
        <f t="shared" si="211"/>
        <v>WO9601688</v>
      </c>
      <c r="D1412" s="12" t="s">
        <v>2553</v>
      </c>
      <c r="E1412" t="str">
        <f t="shared" si="204"/>
        <v>C10G</v>
      </c>
    </row>
    <row r="1413" spans="3:5" x14ac:dyDescent="0.25">
      <c r="C1413" s="12" t="str">
        <f t="shared" si="211"/>
        <v>WO9601688</v>
      </c>
      <c r="D1413" s="12" t="s">
        <v>2767</v>
      </c>
      <c r="E1413" t="str">
        <f t="shared" ref="E1413:E1476" si="212">LEFT(D1413,4)</f>
        <v>C10G</v>
      </c>
    </row>
    <row r="1414" spans="3:5" x14ac:dyDescent="0.25">
      <c r="C1414" s="12" t="str">
        <f t="shared" si="211"/>
        <v>WO9601688</v>
      </c>
      <c r="D1414" s="12" t="s">
        <v>2711</v>
      </c>
      <c r="E1414" t="str">
        <f t="shared" si="212"/>
        <v>C10G</v>
      </c>
    </row>
    <row r="1415" spans="3:5" x14ac:dyDescent="0.25">
      <c r="C1415" s="12" t="str">
        <f t="shared" si="211"/>
        <v>WO9601688</v>
      </c>
      <c r="D1415" s="12" t="s">
        <v>2736</v>
      </c>
      <c r="E1415" t="str">
        <f t="shared" si="212"/>
        <v>C10G</v>
      </c>
    </row>
    <row r="1416" spans="3:5" x14ac:dyDescent="0.25">
      <c r="C1416" s="12" t="str">
        <f t="shared" si="211"/>
        <v>WO9601688</v>
      </c>
      <c r="D1416" s="12" t="s">
        <v>2800</v>
      </c>
      <c r="E1416" t="str">
        <f t="shared" si="212"/>
        <v>C10G</v>
      </c>
    </row>
    <row r="1417" spans="3:5" x14ac:dyDescent="0.25">
      <c r="C1417" s="12" t="s">
        <v>1068</v>
      </c>
      <c r="D1417" s="12" t="s">
        <v>2720</v>
      </c>
      <c r="E1417" t="str">
        <f t="shared" si="212"/>
        <v>B01J</v>
      </c>
    </row>
    <row r="1418" spans="3:5" x14ac:dyDescent="0.25">
      <c r="C1418" s="12" t="str">
        <f t="shared" ref="C1418:C1441" si="213">C1417</f>
        <v>WO9408899</v>
      </c>
      <c r="D1418" s="12" t="s">
        <v>2801</v>
      </c>
      <c r="E1418" t="str">
        <f t="shared" si="212"/>
        <v>B01J</v>
      </c>
    </row>
    <row r="1419" spans="3:5" x14ac:dyDescent="0.25">
      <c r="C1419" s="12" t="str">
        <f t="shared" si="213"/>
        <v>WO9408899</v>
      </c>
      <c r="D1419" s="12" t="s">
        <v>2590</v>
      </c>
      <c r="E1419" t="str">
        <f t="shared" si="212"/>
        <v>B01J</v>
      </c>
    </row>
    <row r="1420" spans="3:5" x14ac:dyDescent="0.25">
      <c r="C1420" s="12" t="str">
        <f t="shared" si="213"/>
        <v>WO9408899</v>
      </c>
      <c r="D1420" s="12" t="s">
        <v>1940</v>
      </c>
      <c r="E1420" t="str">
        <f t="shared" si="212"/>
        <v>B01J</v>
      </c>
    </row>
    <row r="1421" spans="3:5" x14ac:dyDescent="0.25">
      <c r="C1421" s="12" t="str">
        <f t="shared" si="213"/>
        <v>WO9408899</v>
      </c>
      <c r="D1421" s="12" t="s">
        <v>2721</v>
      </c>
      <c r="E1421" t="str">
        <f t="shared" si="212"/>
        <v>B01J</v>
      </c>
    </row>
    <row r="1422" spans="3:5" x14ac:dyDescent="0.25">
      <c r="C1422" s="12" t="str">
        <f t="shared" si="213"/>
        <v>WO9408899</v>
      </c>
      <c r="D1422" s="12" t="s">
        <v>2718</v>
      </c>
      <c r="E1422" t="str">
        <f t="shared" si="212"/>
        <v>B01J</v>
      </c>
    </row>
    <row r="1423" spans="3:5" x14ac:dyDescent="0.25">
      <c r="C1423" s="12" t="str">
        <f t="shared" si="213"/>
        <v>WO9408899</v>
      </c>
      <c r="D1423" s="12" t="s">
        <v>2722</v>
      </c>
      <c r="E1423" t="str">
        <f t="shared" si="212"/>
        <v>B01J</v>
      </c>
    </row>
    <row r="1424" spans="3:5" x14ac:dyDescent="0.25">
      <c r="C1424" s="12" t="str">
        <f t="shared" si="213"/>
        <v>WO9408899</v>
      </c>
      <c r="D1424" s="12" t="s">
        <v>2578</v>
      </c>
      <c r="E1424" t="str">
        <f t="shared" si="212"/>
        <v>B01J</v>
      </c>
    </row>
    <row r="1425" spans="3:5" x14ac:dyDescent="0.25">
      <c r="C1425" s="12" t="str">
        <f t="shared" si="213"/>
        <v>WO9408899</v>
      </c>
      <c r="D1425" s="12" t="s">
        <v>2056</v>
      </c>
      <c r="E1425" t="str">
        <f t="shared" si="212"/>
        <v>C01B</v>
      </c>
    </row>
    <row r="1426" spans="3:5" x14ac:dyDescent="0.25">
      <c r="C1426" s="12" t="str">
        <f t="shared" si="213"/>
        <v>WO9408899</v>
      </c>
      <c r="D1426" s="12" t="s">
        <v>2798</v>
      </c>
      <c r="E1426" t="str">
        <f t="shared" si="212"/>
        <v>C01B</v>
      </c>
    </row>
    <row r="1427" spans="3:5" x14ac:dyDescent="0.25">
      <c r="C1427" s="12" t="str">
        <f t="shared" si="213"/>
        <v>WO9408899</v>
      </c>
      <c r="D1427" s="12" t="s">
        <v>1757</v>
      </c>
      <c r="E1427" t="str">
        <f t="shared" si="212"/>
        <v>C01B</v>
      </c>
    </row>
    <row r="1428" spans="3:5" x14ac:dyDescent="0.25">
      <c r="C1428" s="12" t="str">
        <f t="shared" si="213"/>
        <v>WO9408899</v>
      </c>
      <c r="D1428" s="12" t="s">
        <v>2802</v>
      </c>
      <c r="E1428" t="str">
        <f t="shared" si="212"/>
        <v>C01B</v>
      </c>
    </row>
    <row r="1429" spans="3:5" x14ac:dyDescent="0.25">
      <c r="C1429" s="12" t="str">
        <f t="shared" si="213"/>
        <v>WO9408899</v>
      </c>
      <c r="D1429" s="12" t="s">
        <v>2799</v>
      </c>
      <c r="E1429" t="str">
        <f t="shared" si="212"/>
        <v>C01B</v>
      </c>
    </row>
    <row r="1430" spans="3:5" x14ac:dyDescent="0.25">
      <c r="C1430" s="12" t="str">
        <f t="shared" si="213"/>
        <v>WO9408899</v>
      </c>
      <c r="D1430" s="12" t="s">
        <v>2593</v>
      </c>
      <c r="E1430" t="str">
        <f t="shared" si="212"/>
        <v>C01B</v>
      </c>
    </row>
    <row r="1431" spans="3:5" x14ac:dyDescent="0.25">
      <c r="C1431" s="12" t="str">
        <f t="shared" si="213"/>
        <v>WO9408899</v>
      </c>
      <c r="D1431" s="12" t="s">
        <v>2724</v>
      </c>
      <c r="E1431" t="str">
        <f t="shared" si="212"/>
        <v>C01B</v>
      </c>
    </row>
    <row r="1432" spans="3:5" x14ac:dyDescent="0.25">
      <c r="C1432" s="12" t="str">
        <f t="shared" si="213"/>
        <v>WO9408899</v>
      </c>
      <c r="D1432" s="12" t="s">
        <v>2640</v>
      </c>
      <c r="E1432" t="str">
        <f t="shared" si="212"/>
        <v>C07B</v>
      </c>
    </row>
    <row r="1433" spans="3:5" x14ac:dyDescent="0.25">
      <c r="C1433" s="12" t="str">
        <f t="shared" si="213"/>
        <v>WO9408899</v>
      </c>
      <c r="D1433" s="12" t="s">
        <v>1466</v>
      </c>
      <c r="E1433" t="str">
        <f t="shared" si="212"/>
        <v>C07C</v>
      </c>
    </row>
    <row r="1434" spans="3:5" x14ac:dyDescent="0.25">
      <c r="C1434" s="12" t="str">
        <f t="shared" si="213"/>
        <v>WO9408899</v>
      </c>
      <c r="D1434" s="12" t="s">
        <v>1759</v>
      </c>
      <c r="E1434" t="str">
        <f t="shared" si="212"/>
        <v>C07C</v>
      </c>
    </row>
    <row r="1435" spans="3:5" x14ac:dyDescent="0.25">
      <c r="C1435" s="12" t="str">
        <f t="shared" si="213"/>
        <v>WO9408899</v>
      </c>
      <c r="D1435" s="12" t="s">
        <v>2679</v>
      </c>
      <c r="E1435" t="str">
        <f t="shared" si="212"/>
        <v>C07C</v>
      </c>
    </row>
    <row r="1436" spans="3:5" x14ac:dyDescent="0.25">
      <c r="C1436" s="12" t="str">
        <f t="shared" si="213"/>
        <v>WO9408899</v>
      </c>
      <c r="D1436" s="12" t="s">
        <v>2562</v>
      </c>
      <c r="E1436" t="str">
        <f t="shared" si="212"/>
        <v>C07C</v>
      </c>
    </row>
    <row r="1437" spans="3:5" x14ac:dyDescent="0.25">
      <c r="C1437" s="12" t="str">
        <f t="shared" si="213"/>
        <v>WO9408899</v>
      </c>
      <c r="D1437" s="12" t="s">
        <v>2566</v>
      </c>
      <c r="E1437" t="str">
        <f t="shared" si="212"/>
        <v>C07C</v>
      </c>
    </row>
    <row r="1438" spans="3:5" x14ac:dyDescent="0.25">
      <c r="C1438" s="12" t="str">
        <f t="shared" si="213"/>
        <v>WO9408899</v>
      </c>
      <c r="D1438" s="12" t="s">
        <v>54</v>
      </c>
      <c r="E1438" t="str">
        <f t="shared" si="212"/>
        <v>C10G</v>
      </c>
    </row>
    <row r="1439" spans="3:5" x14ac:dyDescent="0.25">
      <c r="C1439" s="12" t="str">
        <f t="shared" si="213"/>
        <v>WO9408899</v>
      </c>
      <c r="D1439" s="12" t="s">
        <v>2767</v>
      </c>
      <c r="E1439" t="str">
        <f t="shared" si="212"/>
        <v>C10G</v>
      </c>
    </row>
    <row r="1440" spans="3:5" x14ac:dyDescent="0.25">
      <c r="C1440" s="12" t="str">
        <f t="shared" si="213"/>
        <v>WO9408899</v>
      </c>
      <c r="D1440" s="12" t="s">
        <v>2711</v>
      </c>
      <c r="E1440" t="str">
        <f t="shared" si="212"/>
        <v>C10G</v>
      </c>
    </row>
    <row r="1441" spans="3:5" x14ac:dyDescent="0.25">
      <c r="C1441" s="12" t="str">
        <f t="shared" si="213"/>
        <v>WO9408899</v>
      </c>
      <c r="D1441" s="12" t="s">
        <v>2736</v>
      </c>
      <c r="E1441" t="str">
        <f t="shared" si="212"/>
        <v>C10G</v>
      </c>
    </row>
    <row r="1442" spans="3:5" x14ac:dyDescent="0.25">
      <c r="C1442" s="12" t="s">
        <v>1076</v>
      </c>
      <c r="D1442" s="12" t="s">
        <v>2537</v>
      </c>
      <c r="E1442" t="str">
        <f t="shared" si="212"/>
        <v>B01J</v>
      </c>
    </row>
    <row r="1443" spans="3:5" x14ac:dyDescent="0.25">
      <c r="C1443" s="12" t="str">
        <f t="shared" ref="C1443:C1444" si="214">C1442</f>
        <v>RU2019290</v>
      </c>
      <c r="D1443" s="12" t="s">
        <v>2578</v>
      </c>
      <c r="E1443" t="str">
        <f t="shared" si="212"/>
        <v>B01J</v>
      </c>
    </row>
    <row r="1444" spans="3:5" x14ac:dyDescent="0.25">
      <c r="C1444" s="12" t="str">
        <f t="shared" si="214"/>
        <v>RU2019290</v>
      </c>
      <c r="D1444" s="12" t="s">
        <v>54</v>
      </c>
      <c r="E1444" t="str">
        <f t="shared" si="212"/>
        <v>C10G</v>
      </c>
    </row>
    <row r="1445" spans="3:5" x14ac:dyDescent="0.25">
      <c r="C1445" s="12" t="s">
        <v>1081</v>
      </c>
      <c r="D1445" s="12" t="s">
        <v>2590</v>
      </c>
      <c r="E1445" t="str">
        <f t="shared" si="212"/>
        <v>B01J</v>
      </c>
    </row>
    <row r="1446" spans="3:5" x14ac:dyDescent="0.25">
      <c r="C1446" s="12" t="str">
        <f t="shared" ref="C1446:C1456" si="215">C1445</f>
        <v>US05202014</v>
      </c>
      <c r="D1446" s="12" t="s">
        <v>1940</v>
      </c>
      <c r="E1446" t="str">
        <f t="shared" si="212"/>
        <v>B01J</v>
      </c>
    </row>
    <row r="1447" spans="3:5" x14ac:dyDescent="0.25">
      <c r="C1447" s="12" t="str">
        <f t="shared" si="215"/>
        <v>US05202014</v>
      </c>
      <c r="D1447" s="12" t="s">
        <v>2622</v>
      </c>
      <c r="E1447" t="str">
        <f t="shared" si="212"/>
        <v>B01J</v>
      </c>
    </row>
    <row r="1448" spans="3:5" x14ac:dyDescent="0.25">
      <c r="C1448" s="12" t="str">
        <f t="shared" si="215"/>
        <v>US05202014</v>
      </c>
      <c r="D1448" s="12" t="s">
        <v>2623</v>
      </c>
      <c r="E1448" t="str">
        <f t="shared" si="212"/>
        <v>B01J</v>
      </c>
    </row>
    <row r="1449" spans="3:5" x14ac:dyDescent="0.25">
      <c r="C1449" s="12" t="str">
        <f t="shared" si="215"/>
        <v>US05202014</v>
      </c>
      <c r="D1449" s="12" t="s">
        <v>2692</v>
      </c>
      <c r="E1449" t="str">
        <f t="shared" si="212"/>
        <v>C01B</v>
      </c>
    </row>
    <row r="1450" spans="3:5" x14ac:dyDescent="0.25">
      <c r="C1450" s="12" t="str">
        <f t="shared" si="215"/>
        <v>US05202014</v>
      </c>
      <c r="D1450" s="12" t="s">
        <v>2724</v>
      </c>
      <c r="E1450" t="str">
        <f t="shared" si="212"/>
        <v>C01B</v>
      </c>
    </row>
    <row r="1451" spans="3:5" x14ac:dyDescent="0.25">
      <c r="C1451" s="12" t="str">
        <f t="shared" si="215"/>
        <v>US05202014</v>
      </c>
      <c r="D1451" s="12" t="s">
        <v>1759</v>
      </c>
      <c r="E1451" t="str">
        <f t="shared" si="212"/>
        <v>C07C</v>
      </c>
    </row>
    <row r="1452" spans="3:5" x14ac:dyDescent="0.25">
      <c r="C1452" s="12" t="str">
        <f t="shared" si="215"/>
        <v>US05202014</v>
      </c>
      <c r="D1452" s="12" t="s">
        <v>2679</v>
      </c>
      <c r="E1452" t="str">
        <f t="shared" si="212"/>
        <v>C07C</v>
      </c>
    </row>
    <row r="1453" spans="3:5" x14ac:dyDescent="0.25">
      <c r="C1453" s="12" t="str">
        <f t="shared" si="215"/>
        <v>US05202014</v>
      </c>
      <c r="D1453" s="12" t="s">
        <v>2629</v>
      </c>
      <c r="E1453" t="str">
        <f t="shared" si="212"/>
        <v>C10G</v>
      </c>
    </row>
    <row r="1454" spans="3:5" x14ac:dyDescent="0.25">
      <c r="C1454" s="12" t="str">
        <f t="shared" si="215"/>
        <v>US05202014</v>
      </c>
      <c r="D1454" s="12" t="s">
        <v>2553</v>
      </c>
      <c r="E1454" t="str">
        <f t="shared" si="212"/>
        <v>C10G</v>
      </c>
    </row>
    <row r="1455" spans="3:5" x14ac:dyDescent="0.25">
      <c r="C1455" s="12" t="str">
        <f t="shared" si="215"/>
        <v>US05202014</v>
      </c>
      <c r="D1455" s="12" t="s">
        <v>54</v>
      </c>
      <c r="E1455" t="str">
        <f t="shared" si="212"/>
        <v>C10G</v>
      </c>
    </row>
    <row r="1456" spans="3:5" x14ac:dyDescent="0.25">
      <c r="C1456" s="12" t="str">
        <f t="shared" si="215"/>
        <v>US05202014</v>
      </c>
      <c r="D1456" s="12" t="s">
        <v>2767</v>
      </c>
      <c r="E1456" t="str">
        <f t="shared" si="212"/>
        <v>C10G</v>
      </c>
    </row>
    <row r="1457" spans="3:5" x14ac:dyDescent="0.25">
      <c r="C1457" s="12" t="s">
        <v>1086</v>
      </c>
      <c r="D1457" s="12" t="s">
        <v>2534</v>
      </c>
      <c r="E1457" t="str">
        <f t="shared" si="212"/>
        <v>C07C</v>
      </c>
    </row>
    <row r="1458" spans="3:5" x14ac:dyDescent="0.25">
      <c r="C1458" s="12" t="str">
        <f t="shared" ref="C1458:C1460" si="216">C1457</f>
        <v>US05095159</v>
      </c>
      <c r="D1458" s="12" t="s">
        <v>225</v>
      </c>
      <c r="E1458" t="str">
        <f t="shared" si="212"/>
        <v>C10G</v>
      </c>
    </row>
    <row r="1459" spans="3:5" x14ac:dyDescent="0.25">
      <c r="C1459" s="12" t="str">
        <f t="shared" si="216"/>
        <v>US05095159</v>
      </c>
      <c r="D1459" s="12" t="s">
        <v>54</v>
      </c>
      <c r="E1459" t="str">
        <f t="shared" si="212"/>
        <v>C10G</v>
      </c>
    </row>
    <row r="1460" spans="3:5" x14ac:dyDescent="0.25">
      <c r="C1460" s="12" t="str">
        <f t="shared" si="216"/>
        <v>US05095159</v>
      </c>
      <c r="D1460" s="12" t="s">
        <v>2556</v>
      </c>
      <c r="E1460" t="str">
        <f t="shared" si="212"/>
        <v>C10L</v>
      </c>
    </row>
    <row r="1461" spans="3:5" x14ac:dyDescent="0.25">
      <c r="C1461" s="12" t="s">
        <v>1092</v>
      </c>
      <c r="D1461" s="12" t="s">
        <v>2590</v>
      </c>
      <c r="E1461" t="str">
        <f t="shared" si="212"/>
        <v>B01J</v>
      </c>
    </row>
    <row r="1462" spans="3:5" x14ac:dyDescent="0.25">
      <c r="C1462" s="12" t="str">
        <f t="shared" ref="C1462:C1477" si="217">C1461</f>
        <v>CA2062799</v>
      </c>
      <c r="D1462" s="12" t="s">
        <v>1940</v>
      </c>
      <c r="E1462" t="str">
        <f t="shared" si="212"/>
        <v>B01J</v>
      </c>
    </row>
    <row r="1463" spans="3:5" x14ac:dyDescent="0.25">
      <c r="C1463" s="12" t="str">
        <f t="shared" si="217"/>
        <v>CA2062799</v>
      </c>
      <c r="D1463" s="12" t="s">
        <v>2721</v>
      </c>
      <c r="E1463" t="str">
        <f t="shared" si="212"/>
        <v>B01J</v>
      </c>
    </row>
    <row r="1464" spans="3:5" x14ac:dyDescent="0.25">
      <c r="C1464" s="12" t="str">
        <f t="shared" si="217"/>
        <v>CA2062799</v>
      </c>
      <c r="D1464" s="12" t="s">
        <v>2718</v>
      </c>
      <c r="E1464" t="str">
        <f t="shared" si="212"/>
        <v>B01J</v>
      </c>
    </row>
    <row r="1465" spans="3:5" x14ac:dyDescent="0.25">
      <c r="C1465" s="12" t="str">
        <f t="shared" si="217"/>
        <v>CA2062799</v>
      </c>
      <c r="D1465" s="12" t="s">
        <v>2073</v>
      </c>
      <c r="E1465" t="str">
        <f t="shared" si="212"/>
        <v>C01B</v>
      </c>
    </row>
    <row r="1466" spans="3:5" x14ac:dyDescent="0.25">
      <c r="C1466" s="12" t="str">
        <f t="shared" si="217"/>
        <v>CA2062799</v>
      </c>
      <c r="D1466" s="12" t="s">
        <v>2803</v>
      </c>
      <c r="E1466" t="str">
        <f t="shared" si="212"/>
        <v>C01B</v>
      </c>
    </row>
    <row r="1467" spans="3:5" x14ac:dyDescent="0.25">
      <c r="C1467" s="12" t="str">
        <f t="shared" si="217"/>
        <v>CA2062799</v>
      </c>
      <c r="D1467" s="12" t="s">
        <v>2804</v>
      </c>
      <c r="E1467" t="str">
        <f t="shared" si="212"/>
        <v>C01B</v>
      </c>
    </row>
    <row r="1468" spans="3:5" x14ac:dyDescent="0.25">
      <c r="C1468" s="12" t="str">
        <f t="shared" si="217"/>
        <v>CA2062799</v>
      </c>
      <c r="D1468" s="12" t="s">
        <v>2805</v>
      </c>
      <c r="E1468" t="str">
        <f t="shared" si="212"/>
        <v>C01B</v>
      </c>
    </row>
    <row r="1469" spans="3:5" x14ac:dyDescent="0.25">
      <c r="C1469" s="12" t="str">
        <f t="shared" si="217"/>
        <v>CA2062799</v>
      </c>
      <c r="D1469" s="12" t="s">
        <v>2806</v>
      </c>
      <c r="E1469" t="str">
        <f t="shared" si="212"/>
        <v>C01B</v>
      </c>
    </row>
    <row r="1470" spans="3:5" x14ac:dyDescent="0.25">
      <c r="C1470" s="12" t="str">
        <f t="shared" si="217"/>
        <v>CA2062799</v>
      </c>
      <c r="D1470" s="12" t="s">
        <v>1757</v>
      </c>
      <c r="E1470" t="str">
        <f t="shared" si="212"/>
        <v>C01B</v>
      </c>
    </row>
    <row r="1471" spans="3:5" x14ac:dyDescent="0.25">
      <c r="C1471" s="12" t="str">
        <f t="shared" si="217"/>
        <v>CA2062799</v>
      </c>
      <c r="D1471" s="12" t="s">
        <v>2799</v>
      </c>
      <c r="E1471" t="str">
        <f t="shared" si="212"/>
        <v>C01B</v>
      </c>
    </row>
    <row r="1472" spans="3:5" x14ac:dyDescent="0.25">
      <c r="C1472" s="12" t="str">
        <f t="shared" si="217"/>
        <v>CA2062799</v>
      </c>
      <c r="D1472" s="12" t="s">
        <v>2640</v>
      </c>
      <c r="E1472" t="str">
        <f t="shared" si="212"/>
        <v>C07B</v>
      </c>
    </row>
    <row r="1473" spans="3:5" x14ac:dyDescent="0.25">
      <c r="C1473" s="12" t="str">
        <f t="shared" si="217"/>
        <v>CA2062799</v>
      </c>
      <c r="D1473" s="12" t="s">
        <v>2533</v>
      </c>
      <c r="E1473" t="str">
        <f t="shared" si="212"/>
        <v>C07C</v>
      </c>
    </row>
    <row r="1474" spans="3:5" x14ac:dyDescent="0.25">
      <c r="C1474" s="12" t="str">
        <f t="shared" si="217"/>
        <v>CA2062799</v>
      </c>
      <c r="D1474" s="12" t="s">
        <v>1759</v>
      </c>
      <c r="E1474" t="str">
        <f t="shared" si="212"/>
        <v>C07C</v>
      </c>
    </row>
    <row r="1475" spans="3:5" x14ac:dyDescent="0.25">
      <c r="C1475" s="12" t="str">
        <f t="shared" si="217"/>
        <v>CA2062799</v>
      </c>
      <c r="D1475" s="12" t="s">
        <v>2679</v>
      </c>
      <c r="E1475" t="str">
        <f t="shared" si="212"/>
        <v>C07C</v>
      </c>
    </row>
    <row r="1476" spans="3:5" x14ac:dyDescent="0.25">
      <c r="C1476" s="12" t="str">
        <f t="shared" si="217"/>
        <v>CA2062799</v>
      </c>
      <c r="D1476" s="12" t="s">
        <v>2705</v>
      </c>
      <c r="E1476" t="str">
        <f t="shared" si="212"/>
        <v>C07C</v>
      </c>
    </row>
    <row r="1477" spans="3:5" x14ac:dyDescent="0.25">
      <c r="C1477" s="12" t="str">
        <f t="shared" si="217"/>
        <v>CA2062799</v>
      </c>
      <c r="D1477" s="12" t="s">
        <v>2807</v>
      </c>
      <c r="E1477" t="str">
        <f t="shared" ref="E1477:E1540" si="218">LEFT(D1477,4)</f>
        <v>C07C</v>
      </c>
    </row>
    <row r="1478" spans="3:5" x14ac:dyDescent="0.25">
      <c r="C1478" s="12" t="s">
        <v>1099</v>
      </c>
      <c r="D1478" s="12" t="s">
        <v>2590</v>
      </c>
      <c r="E1478" t="str">
        <f t="shared" si="218"/>
        <v>B01J</v>
      </c>
    </row>
    <row r="1479" spans="3:5" x14ac:dyDescent="0.25">
      <c r="C1479" s="12" t="str">
        <f t="shared" ref="C1479:C1501" si="219">C1478</f>
        <v>GB9013916</v>
      </c>
      <c r="D1479" s="12" t="s">
        <v>1940</v>
      </c>
      <c r="E1479" t="str">
        <f t="shared" si="218"/>
        <v>B01J</v>
      </c>
    </row>
    <row r="1480" spans="3:5" x14ac:dyDescent="0.25">
      <c r="C1480" s="12" t="str">
        <f t="shared" si="219"/>
        <v>GB9013916</v>
      </c>
      <c r="D1480" s="12" t="s">
        <v>1739</v>
      </c>
      <c r="E1480" t="str">
        <f t="shared" si="218"/>
        <v>B01J</v>
      </c>
    </row>
    <row r="1481" spans="3:5" x14ac:dyDescent="0.25">
      <c r="C1481" s="12" t="str">
        <f t="shared" si="219"/>
        <v>GB9013916</v>
      </c>
      <c r="D1481" s="12" t="s">
        <v>2721</v>
      </c>
      <c r="E1481" t="str">
        <f t="shared" si="218"/>
        <v>B01J</v>
      </c>
    </row>
    <row r="1482" spans="3:5" x14ac:dyDescent="0.25">
      <c r="C1482" s="12" t="str">
        <f t="shared" si="219"/>
        <v>GB9013916</v>
      </c>
      <c r="D1482" s="12" t="s">
        <v>2718</v>
      </c>
      <c r="E1482" t="str">
        <f t="shared" si="218"/>
        <v>B01J</v>
      </c>
    </row>
    <row r="1483" spans="3:5" x14ac:dyDescent="0.25">
      <c r="C1483" s="12" t="str">
        <f t="shared" si="219"/>
        <v>GB9013916</v>
      </c>
      <c r="D1483" s="12" t="s">
        <v>2722</v>
      </c>
      <c r="E1483" t="str">
        <f t="shared" si="218"/>
        <v>B01J</v>
      </c>
    </row>
    <row r="1484" spans="3:5" x14ac:dyDescent="0.25">
      <c r="C1484" s="12" t="str">
        <f t="shared" si="219"/>
        <v>GB9013916</v>
      </c>
      <c r="D1484" s="12" t="s">
        <v>2578</v>
      </c>
      <c r="E1484" t="str">
        <f t="shared" si="218"/>
        <v>B01J</v>
      </c>
    </row>
    <row r="1485" spans="3:5" x14ac:dyDescent="0.25">
      <c r="C1485" s="12" t="str">
        <f t="shared" si="219"/>
        <v>GB9013916</v>
      </c>
      <c r="D1485" s="12" t="s">
        <v>2633</v>
      </c>
      <c r="E1485" t="str">
        <f t="shared" si="218"/>
        <v>B01J</v>
      </c>
    </row>
    <row r="1486" spans="3:5" x14ac:dyDescent="0.25">
      <c r="C1486" s="12" t="str">
        <f t="shared" si="219"/>
        <v>GB9013916</v>
      </c>
      <c r="D1486" s="12" t="s">
        <v>1757</v>
      </c>
      <c r="E1486" t="str">
        <f t="shared" si="218"/>
        <v>C01B</v>
      </c>
    </row>
    <row r="1487" spans="3:5" x14ac:dyDescent="0.25">
      <c r="C1487" s="12" t="str">
        <f t="shared" si="219"/>
        <v>GB9013916</v>
      </c>
      <c r="D1487" s="12" t="s">
        <v>2802</v>
      </c>
      <c r="E1487" t="str">
        <f t="shared" si="218"/>
        <v>C01B</v>
      </c>
    </row>
    <row r="1488" spans="3:5" x14ac:dyDescent="0.25">
      <c r="C1488" s="12" t="str">
        <f t="shared" si="219"/>
        <v>GB9013916</v>
      </c>
      <c r="D1488" s="12" t="s">
        <v>2808</v>
      </c>
      <c r="E1488" t="str">
        <f t="shared" si="218"/>
        <v>C01B</v>
      </c>
    </row>
    <row r="1489" spans="3:5" x14ac:dyDescent="0.25">
      <c r="C1489" s="12" t="str">
        <f t="shared" si="219"/>
        <v>GB9013916</v>
      </c>
      <c r="D1489" s="12" t="s">
        <v>2724</v>
      </c>
      <c r="E1489" t="str">
        <f t="shared" si="218"/>
        <v>C01B</v>
      </c>
    </row>
    <row r="1490" spans="3:5" x14ac:dyDescent="0.25">
      <c r="C1490" s="12" t="str">
        <f t="shared" si="219"/>
        <v>GB9013916</v>
      </c>
      <c r="D1490" s="12" t="s">
        <v>2640</v>
      </c>
      <c r="E1490" t="str">
        <f t="shared" si="218"/>
        <v>C07B</v>
      </c>
    </row>
    <row r="1491" spans="3:5" x14ac:dyDescent="0.25">
      <c r="C1491" s="12" t="str">
        <f t="shared" si="219"/>
        <v>GB9013916</v>
      </c>
      <c r="D1491" s="12" t="s">
        <v>2738</v>
      </c>
      <c r="E1491" t="str">
        <f t="shared" si="218"/>
        <v>C07C</v>
      </c>
    </row>
    <row r="1492" spans="3:5" x14ac:dyDescent="0.25">
      <c r="C1492" s="12" t="str">
        <f t="shared" si="219"/>
        <v>GB9013916</v>
      </c>
      <c r="D1492" s="12" t="s">
        <v>1759</v>
      </c>
      <c r="E1492" t="str">
        <f t="shared" si="218"/>
        <v>C07C</v>
      </c>
    </row>
    <row r="1493" spans="3:5" x14ac:dyDescent="0.25">
      <c r="C1493" s="12" t="str">
        <f t="shared" si="219"/>
        <v>GB9013916</v>
      </c>
      <c r="D1493" s="12" t="s">
        <v>1498</v>
      </c>
      <c r="E1493" t="str">
        <f t="shared" si="218"/>
        <v>C07C</v>
      </c>
    </row>
    <row r="1494" spans="3:5" x14ac:dyDescent="0.25">
      <c r="C1494" s="12" t="str">
        <f t="shared" si="219"/>
        <v>GB9013916</v>
      </c>
      <c r="D1494" s="12" t="s">
        <v>2614</v>
      </c>
      <c r="E1494" t="str">
        <f t="shared" si="218"/>
        <v>C07C</v>
      </c>
    </row>
    <row r="1495" spans="3:5" x14ac:dyDescent="0.25">
      <c r="C1495" s="12" t="str">
        <f t="shared" si="219"/>
        <v>GB9013916</v>
      </c>
      <c r="D1495" s="12" t="s">
        <v>2708</v>
      </c>
      <c r="E1495" t="str">
        <f t="shared" si="218"/>
        <v>C07C</v>
      </c>
    </row>
    <row r="1496" spans="3:5" x14ac:dyDescent="0.25">
      <c r="C1496" s="12" t="str">
        <f t="shared" si="219"/>
        <v>GB9013916</v>
      </c>
      <c r="D1496" s="12" t="s">
        <v>2730</v>
      </c>
      <c r="E1496" t="str">
        <f t="shared" si="218"/>
        <v>C07C</v>
      </c>
    </row>
    <row r="1497" spans="3:5" x14ac:dyDescent="0.25">
      <c r="C1497" s="12" t="str">
        <f t="shared" si="219"/>
        <v>GB9013916</v>
      </c>
      <c r="D1497" s="12" t="s">
        <v>2679</v>
      </c>
      <c r="E1497" t="str">
        <f t="shared" si="218"/>
        <v>C07C</v>
      </c>
    </row>
    <row r="1498" spans="3:5" x14ac:dyDescent="0.25">
      <c r="C1498" s="12" t="str">
        <f t="shared" si="219"/>
        <v>GB9013916</v>
      </c>
      <c r="D1498" s="12" t="s">
        <v>2705</v>
      </c>
      <c r="E1498" t="str">
        <f t="shared" si="218"/>
        <v>C07C</v>
      </c>
    </row>
    <row r="1499" spans="3:5" x14ac:dyDescent="0.25">
      <c r="C1499" s="12" t="str">
        <f t="shared" si="219"/>
        <v>GB9013916</v>
      </c>
      <c r="D1499" s="12" t="s">
        <v>2629</v>
      </c>
      <c r="E1499" t="str">
        <f t="shared" si="218"/>
        <v>C10G</v>
      </c>
    </row>
    <row r="1500" spans="3:5" x14ac:dyDescent="0.25">
      <c r="C1500" s="12" t="str">
        <f t="shared" si="219"/>
        <v>GB9013916</v>
      </c>
      <c r="D1500" s="12" t="s">
        <v>54</v>
      </c>
      <c r="E1500" t="str">
        <f t="shared" si="218"/>
        <v>C10G</v>
      </c>
    </row>
    <row r="1501" spans="3:5" x14ac:dyDescent="0.25">
      <c r="C1501" s="12" t="str">
        <f t="shared" si="219"/>
        <v>GB9013916</v>
      </c>
      <c r="D1501" s="12" t="s">
        <v>2711</v>
      </c>
      <c r="E1501" t="str">
        <f t="shared" si="218"/>
        <v>C10G</v>
      </c>
    </row>
    <row r="1502" spans="3:5" x14ac:dyDescent="0.25">
      <c r="C1502" s="12" t="s">
        <v>1108</v>
      </c>
      <c r="D1502" s="12" t="s">
        <v>1940</v>
      </c>
      <c r="E1502" t="str">
        <f t="shared" si="218"/>
        <v>B01J</v>
      </c>
    </row>
    <row r="1503" spans="3:5" x14ac:dyDescent="0.25">
      <c r="C1503" s="12" t="str">
        <f t="shared" ref="C1503:C1526" si="220">C1502</f>
        <v>GB9013859</v>
      </c>
      <c r="D1503" s="12" t="s">
        <v>2769</v>
      </c>
      <c r="E1503" t="str">
        <f t="shared" si="218"/>
        <v>B01J</v>
      </c>
    </row>
    <row r="1504" spans="3:5" x14ac:dyDescent="0.25">
      <c r="C1504" s="12" t="str">
        <f t="shared" si="220"/>
        <v>GB9013859</v>
      </c>
      <c r="D1504" s="12" t="s">
        <v>2622</v>
      </c>
      <c r="E1504" t="str">
        <f t="shared" si="218"/>
        <v>B01J</v>
      </c>
    </row>
    <row r="1505" spans="3:5" x14ac:dyDescent="0.25">
      <c r="C1505" s="12" t="str">
        <f t="shared" si="220"/>
        <v>GB9013859</v>
      </c>
      <c r="D1505" s="12" t="s">
        <v>1794</v>
      </c>
      <c r="E1505" t="str">
        <f t="shared" si="218"/>
        <v>C01B</v>
      </c>
    </row>
    <row r="1506" spans="3:5" x14ac:dyDescent="0.25">
      <c r="C1506" s="12" t="str">
        <f t="shared" si="220"/>
        <v>GB9013859</v>
      </c>
      <c r="D1506" s="12" t="s">
        <v>2802</v>
      </c>
      <c r="E1506" t="str">
        <f t="shared" si="218"/>
        <v>C01B</v>
      </c>
    </row>
    <row r="1507" spans="3:5" x14ac:dyDescent="0.25">
      <c r="C1507" s="12" t="str">
        <f t="shared" si="220"/>
        <v>GB9013859</v>
      </c>
      <c r="D1507" s="12" t="s">
        <v>2724</v>
      </c>
      <c r="E1507" t="str">
        <f t="shared" si="218"/>
        <v>C01B</v>
      </c>
    </row>
    <row r="1508" spans="3:5" x14ac:dyDescent="0.25">
      <c r="C1508" s="12" t="str">
        <f t="shared" si="220"/>
        <v>GB9013859</v>
      </c>
      <c r="D1508" s="12" t="s">
        <v>2640</v>
      </c>
      <c r="E1508" t="str">
        <f t="shared" si="218"/>
        <v>C07B</v>
      </c>
    </row>
    <row r="1509" spans="3:5" x14ac:dyDescent="0.25">
      <c r="C1509" s="12" t="str">
        <f t="shared" si="220"/>
        <v>GB9013859</v>
      </c>
      <c r="D1509" s="12" t="s">
        <v>1759</v>
      </c>
      <c r="E1509" t="str">
        <f t="shared" si="218"/>
        <v>C07C</v>
      </c>
    </row>
    <row r="1510" spans="3:5" x14ac:dyDescent="0.25">
      <c r="C1510" s="12" t="str">
        <f t="shared" si="220"/>
        <v>GB9013859</v>
      </c>
      <c r="D1510" s="12" t="s">
        <v>2666</v>
      </c>
      <c r="E1510" t="str">
        <f t="shared" si="218"/>
        <v>C07C</v>
      </c>
    </row>
    <row r="1511" spans="3:5" x14ac:dyDescent="0.25">
      <c r="C1511" s="12" t="str">
        <f t="shared" si="220"/>
        <v>GB9013859</v>
      </c>
      <c r="D1511" s="12" t="s">
        <v>1498</v>
      </c>
      <c r="E1511" t="str">
        <f t="shared" si="218"/>
        <v>C07C</v>
      </c>
    </row>
    <row r="1512" spans="3:5" x14ac:dyDescent="0.25">
      <c r="C1512" s="12" t="str">
        <f t="shared" si="220"/>
        <v>GB9013859</v>
      </c>
      <c r="D1512" s="12" t="s">
        <v>2614</v>
      </c>
      <c r="E1512" t="str">
        <f t="shared" si="218"/>
        <v>C07C</v>
      </c>
    </row>
    <row r="1513" spans="3:5" x14ac:dyDescent="0.25">
      <c r="C1513" s="12" t="str">
        <f t="shared" si="220"/>
        <v>GB9013859</v>
      </c>
      <c r="D1513" s="12" t="s">
        <v>2708</v>
      </c>
      <c r="E1513" t="str">
        <f t="shared" si="218"/>
        <v>C07C</v>
      </c>
    </row>
    <row r="1514" spans="3:5" x14ac:dyDescent="0.25">
      <c r="C1514" s="12" t="str">
        <f t="shared" si="220"/>
        <v>GB9013859</v>
      </c>
      <c r="D1514" s="12" t="s">
        <v>2730</v>
      </c>
      <c r="E1514" t="str">
        <f t="shared" si="218"/>
        <v>C07C</v>
      </c>
    </row>
    <row r="1515" spans="3:5" x14ac:dyDescent="0.25">
      <c r="C1515" s="12" t="str">
        <f t="shared" si="220"/>
        <v>GB9013859</v>
      </c>
      <c r="D1515" s="12" t="s">
        <v>2679</v>
      </c>
      <c r="E1515" t="str">
        <f t="shared" si="218"/>
        <v>C07C</v>
      </c>
    </row>
    <row r="1516" spans="3:5" x14ac:dyDescent="0.25">
      <c r="C1516" s="12" t="str">
        <f t="shared" si="220"/>
        <v>GB9013859</v>
      </c>
      <c r="D1516" s="12" t="s">
        <v>2705</v>
      </c>
      <c r="E1516" t="str">
        <f t="shared" si="218"/>
        <v>C07C</v>
      </c>
    </row>
    <row r="1517" spans="3:5" x14ac:dyDescent="0.25">
      <c r="C1517" s="12" t="str">
        <f t="shared" si="220"/>
        <v>GB9013859</v>
      </c>
      <c r="D1517" s="12" t="s">
        <v>2809</v>
      </c>
      <c r="E1517" t="str">
        <f t="shared" si="218"/>
        <v>C07C</v>
      </c>
    </row>
    <row r="1518" spans="3:5" x14ac:dyDescent="0.25">
      <c r="C1518" s="12" t="str">
        <f t="shared" si="220"/>
        <v>GB9013859</v>
      </c>
      <c r="D1518" s="12" t="s">
        <v>2656</v>
      </c>
      <c r="E1518" t="str">
        <f t="shared" si="218"/>
        <v>C07C</v>
      </c>
    </row>
    <row r="1519" spans="3:5" x14ac:dyDescent="0.25">
      <c r="C1519" s="12" t="str">
        <f t="shared" si="220"/>
        <v>GB9013859</v>
      </c>
      <c r="D1519" s="12" t="s">
        <v>1021</v>
      </c>
      <c r="E1519" t="str">
        <f t="shared" si="218"/>
        <v>C07C</v>
      </c>
    </row>
    <row r="1520" spans="3:5" x14ac:dyDescent="0.25">
      <c r="C1520" s="12" t="str">
        <f t="shared" si="220"/>
        <v>GB9013859</v>
      </c>
      <c r="D1520" s="12" t="s">
        <v>2778</v>
      </c>
      <c r="E1520" t="str">
        <f t="shared" si="218"/>
        <v>C07C</v>
      </c>
    </row>
    <row r="1521" spans="3:5" x14ac:dyDescent="0.25">
      <c r="C1521" s="12" t="str">
        <f t="shared" si="220"/>
        <v>GB9013859</v>
      </c>
      <c r="D1521" s="12" t="s">
        <v>2779</v>
      </c>
      <c r="E1521" t="str">
        <f t="shared" si="218"/>
        <v>C07C</v>
      </c>
    </row>
    <row r="1522" spans="3:5" x14ac:dyDescent="0.25">
      <c r="C1522" s="12" t="str">
        <f t="shared" si="220"/>
        <v>GB9013859</v>
      </c>
      <c r="D1522" s="12" t="s">
        <v>2629</v>
      </c>
      <c r="E1522" t="str">
        <f t="shared" si="218"/>
        <v>C10G</v>
      </c>
    </row>
    <row r="1523" spans="3:5" x14ac:dyDescent="0.25">
      <c r="C1523" s="12" t="str">
        <f t="shared" si="220"/>
        <v>GB9013859</v>
      </c>
      <c r="D1523" s="12" t="s">
        <v>54</v>
      </c>
      <c r="E1523" t="str">
        <f t="shared" si="218"/>
        <v>C10G</v>
      </c>
    </row>
    <row r="1524" spans="3:5" x14ac:dyDescent="0.25">
      <c r="C1524" s="12" t="str">
        <f t="shared" si="220"/>
        <v>GB9013859</v>
      </c>
      <c r="D1524" s="12" t="s">
        <v>2595</v>
      </c>
      <c r="E1524" t="str">
        <f t="shared" si="218"/>
        <v>C10G</v>
      </c>
    </row>
    <row r="1525" spans="3:5" x14ac:dyDescent="0.25">
      <c r="C1525" s="12" t="str">
        <f t="shared" si="220"/>
        <v>GB9013859</v>
      </c>
      <c r="D1525" s="12" t="s">
        <v>2711</v>
      </c>
      <c r="E1525" t="str">
        <f t="shared" si="218"/>
        <v>C10G</v>
      </c>
    </row>
    <row r="1526" spans="3:5" x14ac:dyDescent="0.25">
      <c r="C1526" s="12" t="str">
        <f t="shared" si="220"/>
        <v>GB9013859</v>
      </c>
      <c r="D1526" s="12" t="s">
        <v>2773</v>
      </c>
      <c r="E1526" t="str">
        <f t="shared" si="218"/>
        <v>C10G</v>
      </c>
    </row>
    <row r="1527" spans="3:5" x14ac:dyDescent="0.25">
      <c r="C1527" s="12" t="s">
        <v>1116</v>
      </c>
      <c r="D1527" s="12" t="s">
        <v>2640</v>
      </c>
      <c r="E1527" t="str">
        <f t="shared" si="218"/>
        <v>C07B</v>
      </c>
    </row>
    <row r="1528" spans="3:5" x14ac:dyDescent="0.25">
      <c r="C1528" s="12" t="str">
        <f t="shared" ref="C1528:C1533" si="221">C1527</f>
        <v>CA2031212</v>
      </c>
      <c r="D1528" s="12" t="s">
        <v>2534</v>
      </c>
      <c r="E1528" t="str">
        <f t="shared" si="218"/>
        <v>C07C</v>
      </c>
    </row>
    <row r="1529" spans="3:5" x14ac:dyDescent="0.25">
      <c r="C1529" s="12" t="str">
        <f t="shared" si="221"/>
        <v>CA2031212</v>
      </c>
      <c r="D1529" s="12" t="s">
        <v>2792</v>
      </c>
      <c r="E1529" t="str">
        <f t="shared" si="218"/>
        <v>C07C</v>
      </c>
    </row>
    <row r="1530" spans="3:5" x14ac:dyDescent="0.25">
      <c r="C1530" s="12" t="str">
        <f t="shared" si="221"/>
        <v>CA2031212</v>
      </c>
      <c r="D1530" s="12" t="s">
        <v>225</v>
      </c>
      <c r="E1530" t="str">
        <f t="shared" si="218"/>
        <v>C10G</v>
      </c>
    </row>
    <row r="1531" spans="3:5" x14ac:dyDescent="0.25">
      <c r="C1531" s="12" t="str">
        <f t="shared" si="221"/>
        <v>CA2031212</v>
      </c>
      <c r="D1531" s="12" t="s">
        <v>54</v>
      </c>
      <c r="E1531" t="str">
        <f t="shared" si="218"/>
        <v>C10G</v>
      </c>
    </row>
    <row r="1532" spans="3:5" x14ac:dyDescent="0.25">
      <c r="C1532" s="12" t="str">
        <f t="shared" si="221"/>
        <v>CA2031212</v>
      </c>
      <c r="D1532" s="12" t="s">
        <v>2535</v>
      </c>
      <c r="E1532" t="str">
        <f t="shared" si="218"/>
        <v>C10L</v>
      </c>
    </row>
    <row r="1533" spans="3:5" x14ac:dyDescent="0.25">
      <c r="C1533" s="12" t="str">
        <f t="shared" si="221"/>
        <v>CA2031212</v>
      </c>
      <c r="D1533" s="12" t="s">
        <v>2810</v>
      </c>
      <c r="E1533" t="str">
        <f t="shared" si="218"/>
        <v>C10L</v>
      </c>
    </row>
    <row r="1534" spans="3:5" x14ac:dyDescent="0.25">
      <c r="C1534" s="12" t="s">
        <v>1123</v>
      </c>
      <c r="D1534" s="12" t="s">
        <v>2640</v>
      </c>
      <c r="E1534" t="str">
        <f t="shared" si="218"/>
        <v>C07B</v>
      </c>
    </row>
    <row r="1535" spans="3:5" x14ac:dyDescent="0.25">
      <c r="C1535" s="12" t="str">
        <f t="shared" ref="C1535:C1541" si="222">C1534</f>
        <v>CA2030797</v>
      </c>
      <c r="D1535" s="12" t="s">
        <v>2534</v>
      </c>
      <c r="E1535" t="str">
        <f t="shared" si="218"/>
        <v>C07C</v>
      </c>
    </row>
    <row r="1536" spans="3:5" x14ac:dyDescent="0.25">
      <c r="C1536" s="12" t="str">
        <f t="shared" si="222"/>
        <v>CA2030797</v>
      </c>
      <c r="D1536" s="12" t="s">
        <v>2792</v>
      </c>
      <c r="E1536" t="str">
        <f t="shared" si="218"/>
        <v>C07C</v>
      </c>
    </row>
    <row r="1537" spans="3:5" x14ac:dyDescent="0.25">
      <c r="C1537" s="12" t="str">
        <f t="shared" si="222"/>
        <v>CA2030797</v>
      </c>
      <c r="D1537" s="12" t="s">
        <v>225</v>
      </c>
      <c r="E1537" t="str">
        <f t="shared" si="218"/>
        <v>C10G</v>
      </c>
    </row>
    <row r="1538" spans="3:5" x14ac:dyDescent="0.25">
      <c r="C1538" s="12" t="str">
        <f t="shared" si="222"/>
        <v>CA2030797</v>
      </c>
      <c r="D1538" s="12" t="s">
        <v>54</v>
      </c>
      <c r="E1538" t="str">
        <f t="shared" si="218"/>
        <v>C10G</v>
      </c>
    </row>
    <row r="1539" spans="3:5" x14ac:dyDescent="0.25">
      <c r="C1539" s="12" t="str">
        <f t="shared" si="222"/>
        <v>CA2030797</v>
      </c>
      <c r="D1539" s="12" t="s">
        <v>2535</v>
      </c>
      <c r="E1539" t="str">
        <f t="shared" si="218"/>
        <v>C10L</v>
      </c>
    </row>
    <row r="1540" spans="3:5" x14ac:dyDescent="0.25">
      <c r="C1540" s="12" t="str">
        <f t="shared" si="222"/>
        <v>CA2030797</v>
      </c>
      <c r="D1540" s="12" t="s">
        <v>2810</v>
      </c>
      <c r="E1540" t="str">
        <f t="shared" si="218"/>
        <v>C10L</v>
      </c>
    </row>
    <row r="1541" spans="3:5" x14ac:dyDescent="0.25">
      <c r="C1541" s="12" t="str">
        <f t="shared" si="222"/>
        <v>CA2030797</v>
      </c>
      <c r="D1541" s="12" t="s">
        <v>2811</v>
      </c>
      <c r="E1541" t="str">
        <f t="shared" ref="E1541:E1604" si="223">LEFT(D1541,4)</f>
        <v>C10L</v>
      </c>
    </row>
    <row r="1542" spans="3:5" x14ac:dyDescent="0.25">
      <c r="C1542" s="12" t="s">
        <v>1129</v>
      </c>
      <c r="D1542" s="12" t="s">
        <v>2549</v>
      </c>
      <c r="E1542" t="str">
        <f t="shared" si="223"/>
        <v>B01J</v>
      </c>
    </row>
    <row r="1543" spans="3:5" x14ac:dyDescent="0.25">
      <c r="C1543" s="12" t="str">
        <f t="shared" ref="C1543:C1565" si="224">C1542</f>
        <v>CA2014666</v>
      </c>
      <c r="D1543" s="12" t="s">
        <v>2720</v>
      </c>
      <c r="E1543" t="str">
        <f t="shared" si="223"/>
        <v>B01J</v>
      </c>
    </row>
    <row r="1544" spans="3:5" x14ac:dyDescent="0.25">
      <c r="C1544" s="12" t="str">
        <f t="shared" si="224"/>
        <v>CA2014666</v>
      </c>
      <c r="D1544" s="12" t="s">
        <v>2536</v>
      </c>
      <c r="E1544" t="str">
        <f t="shared" si="223"/>
        <v>B01J</v>
      </c>
    </row>
    <row r="1545" spans="3:5" x14ac:dyDescent="0.25">
      <c r="C1545" s="12" t="str">
        <f t="shared" si="224"/>
        <v>CA2014666</v>
      </c>
      <c r="D1545" s="12" t="s">
        <v>2537</v>
      </c>
      <c r="E1545" t="str">
        <f t="shared" si="223"/>
        <v>B01J</v>
      </c>
    </row>
    <row r="1546" spans="3:5" x14ac:dyDescent="0.25">
      <c r="C1546" s="12" t="str">
        <f t="shared" si="224"/>
        <v>CA2014666</v>
      </c>
      <c r="D1546" s="12" t="s">
        <v>2590</v>
      </c>
      <c r="E1546" t="str">
        <f t="shared" si="223"/>
        <v>B01J</v>
      </c>
    </row>
    <row r="1547" spans="3:5" x14ac:dyDescent="0.25">
      <c r="C1547" s="12" t="str">
        <f t="shared" si="224"/>
        <v>CA2014666</v>
      </c>
      <c r="D1547" s="12" t="s">
        <v>2702</v>
      </c>
      <c r="E1547" t="str">
        <f t="shared" si="223"/>
        <v>B01J</v>
      </c>
    </row>
    <row r="1548" spans="3:5" x14ac:dyDescent="0.25">
      <c r="C1548" s="12" t="str">
        <f t="shared" si="224"/>
        <v>CA2014666</v>
      </c>
      <c r="D1548" s="12" t="s">
        <v>1940</v>
      </c>
      <c r="E1548" t="str">
        <f t="shared" si="223"/>
        <v>B01J</v>
      </c>
    </row>
    <row r="1549" spans="3:5" x14ac:dyDescent="0.25">
      <c r="C1549" s="12" t="str">
        <f t="shared" si="224"/>
        <v>CA2014666</v>
      </c>
      <c r="D1549" s="12" t="s">
        <v>2578</v>
      </c>
      <c r="E1549" t="str">
        <f t="shared" si="223"/>
        <v>B01J</v>
      </c>
    </row>
    <row r="1550" spans="3:5" x14ac:dyDescent="0.25">
      <c r="C1550" s="12" t="str">
        <f t="shared" si="224"/>
        <v>CA2014666</v>
      </c>
      <c r="D1550" s="12" t="s">
        <v>2812</v>
      </c>
      <c r="E1550" t="str">
        <f t="shared" si="223"/>
        <v>B01J</v>
      </c>
    </row>
    <row r="1551" spans="3:5" x14ac:dyDescent="0.25">
      <c r="C1551" s="12" t="str">
        <f t="shared" si="224"/>
        <v>CA2014666</v>
      </c>
      <c r="D1551" s="12" t="s">
        <v>2572</v>
      </c>
      <c r="E1551" t="str">
        <f t="shared" si="223"/>
        <v>C01B</v>
      </c>
    </row>
    <row r="1552" spans="3:5" x14ac:dyDescent="0.25">
      <c r="C1552" s="12" t="str">
        <f t="shared" si="224"/>
        <v>CA2014666</v>
      </c>
      <c r="D1552" s="12" t="s">
        <v>2804</v>
      </c>
      <c r="E1552" t="str">
        <f t="shared" si="223"/>
        <v>C01B</v>
      </c>
    </row>
    <row r="1553" spans="3:5" x14ac:dyDescent="0.25">
      <c r="C1553" s="12" t="str">
        <f t="shared" si="224"/>
        <v>CA2014666</v>
      </c>
      <c r="D1553" s="12" t="s">
        <v>1974</v>
      </c>
      <c r="E1553" t="str">
        <f t="shared" si="223"/>
        <v>C01B</v>
      </c>
    </row>
    <row r="1554" spans="3:5" x14ac:dyDescent="0.25">
      <c r="C1554" s="12" t="str">
        <f t="shared" si="224"/>
        <v>CA2014666</v>
      </c>
      <c r="D1554" s="12" t="s">
        <v>1794</v>
      </c>
      <c r="E1554" t="str">
        <f t="shared" si="223"/>
        <v>C01B</v>
      </c>
    </row>
    <row r="1555" spans="3:5" x14ac:dyDescent="0.25">
      <c r="C1555" s="12" t="str">
        <f t="shared" si="224"/>
        <v>CA2014666</v>
      </c>
      <c r="D1555" s="12" t="s">
        <v>2802</v>
      </c>
      <c r="E1555" t="str">
        <f t="shared" si="223"/>
        <v>C01B</v>
      </c>
    </row>
    <row r="1556" spans="3:5" x14ac:dyDescent="0.25">
      <c r="C1556" s="12" t="str">
        <f t="shared" si="224"/>
        <v>CA2014666</v>
      </c>
      <c r="D1556" s="12" t="s">
        <v>2813</v>
      </c>
      <c r="E1556" t="str">
        <f t="shared" si="223"/>
        <v>C02F</v>
      </c>
    </row>
    <row r="1557" spans="3:5" x14ac:dyDescent="0.25">
      <c r="C1557" s="12" t="str">
        <f t="shared" si="224"/>
        <v>CA2014666</v>
      </c>
      <c r="D1557" s="12" t="s">
        <v>2640</v>
      </c>
      <c r="E1557" t="str">
        <f t="shared" si="223"/>
        <v>C07B</v>
      </c>
    </row>
    <row r="1558" spans="3:5" x14ac:dyDescent="0.25">
      <c r="C1558" s="12" t="str">
        <f t="shared" si="224"/>
        <v>CA2014666</v>
      </c>
      <c r="D1558" s="12" t="s">
        <v>2814</v>
      </c>
      <c r="E1558" t="str">
        <f t="shared" si="223"/>
        <v>C07C</v>
      </c>
    </row>
    <row r="1559" spans="3:5" x14ac:dyDescent="0.25">
      <c r="C1559" s="12" t="str">
        <f t="shared" si="224"/>
        <v>CA2014666</v>
      </c>
      <c r="D1559" s="12" t="s">
        <v>2679</v>
      </c>
      <c r="E1559" t="str">
        <f t="shared" si="223"/>
        <v>C07C</v>
      </c>
    </row>
    <row r="1560" spans="3:5" x14ac:dyDescent="0.25">
      <c r="C1560" s="12" t="str">
        <f t="shared" si="224"/>
        <v>CA2014666</v>
      </c>
      <c r="D1560" s="12" t="s">
        <v>2777</v>
      </c>
      <c r="E1560" t="str">
        <f t="shared" si="223"/>
        <v>C07C</v>
      </c>
    </row>
    <row r="1561" spans="3:5" x14ac:dyDescent="0.25">
      <c r="C1561" s="12" t="str">
        <f t="shared" si="224"/>
        <v>CA2014666</v>
      </c>
      <c r="D1561" s="12" t="s">
        <v>2581</v>
      </c>
      <c r="E1561" t="str">
        <f t="shared" si="223"/>
        <v>C07C</v>
      </c>
    </row>
    <row r="1562" spans="3:5" x14ac:dyDescent="0.25">
      <c r="C1562" s="12" t="str">
        <f t="shared" si="224"/>
        <v>CA2014666</v>
      </c>
      <c r="D1562" s="12" t="s">
        <v>2552</v>
      </c>
      <c r="E1562" t="str">
        <f t="shared" si="223"/>
        <v>C10G</v>
      </c>
    </row>
    <row r="1563" spans="3:5" x14ac:dyDescent="0.25">
      <c r="C1563" s="12" t="str">
        <f t="shared" si="224"/>
        <v>CA2014666</v>
      </c>
      <c r="D1563" s="12" t="s">
        <v>2629</v>
      </c>
      <c r="E1563" t="str">
        <f t="shared" si="223"/>
        <v>C10G</v>
      </c>
    </row>
    <row r="1564" spans="3:5" x14ac:dyDescent="0.25">
      <c r="C1564" s="12" t="str">
        <f t="shared" si="224"/>
        <v>CA2014666</v>
      </c>
      <c r="D1564" s="12" t="s">
        <v>54</v>
      </c>
      <c r="E1564" t="str">
        <f t="shared" si="223"/>
        <v>C10G</v>
      </c>
    </row>
    <row r="1565" spans="3:5" x14ac:dyDescent="0.25">
      <c r="C1565" s="12" t="str">
        <f t="shared" si="224"/>
        <v>CA2014666</v>
      </c>
      <c r="D1565" s="12" t="s">
        <v>2736</v>
      </c>
      <c r="E1565" t="str">
        <f t="shared" si="223"/>
        <v>C10G</v>
      </c>
    </row>
    <row r="1566" spans="3:5" x14ac:dyDescent="0.25">
      <c r="C1566" s="12" t="s">
        <v>1137</v>
      </c>
      <c r="D1566" s="12" t="s">
        <v>522</v>
      </c>
      <c r="E1566" t="str">
        <f t="shared" si="223"/>
        <v>C10G</v>
      </c>
    </row>
    <row r="1567" spans="3:5" x14ac:dyDescent="0.25">
      <c r="C1567" s="12" t="str">
        <f t="shared" ref="C1567:C1569" si="225">C1566</f>
        <v>CA2039224</v>
      </c>
      <c r="D1567" s="12" t="s">
        <v>1437</v>
      </c>
      <c r="E1567" t="str">
        <f t="shared" si="223"/>
        <v>C10G</v>
      </c>
    </row>
    <row r="1568" spans="3:5" x14ac:dyDescent="0.25">
      <c r="C1568" s="12" t="str">
        <f t="shared" si="225"/>
        <v>CA2039224</v>
      </c>
      <c r="D1568" s="12" t="s">
        <v>2815</v>
      </c>
      <c r="E1568" t="str">
        <f t="shared" si="223"/>
        <v>C10G</v>
      </c>
    </row>
    <row r="1569" spans="3:5" x14ac:dyDescent="0.25">
      <c r="C1569" s="12" t="str">
        <f t="shared" si="225"/>
        <v>CA2039224</v>
      </c>
      <c r="D1569" s="12" t="s">
        <v>2535</v>
      </c>
      <c r="E1569" t="str">
        <f t="shared" si="223"/>
        <v>C10L</v>
      </c>
    </row>
    <row r="1570" spans="3:5" x14ac:dyDescent="0.25">
      <c r="C1570" s="12" t="s">
        <v>1145</v>
      </c>
      <c r="D1570" s="12" t="s">
        <v>2816</v>
      </c>
      <c r="E1570" t="str">
        <f t="shared" si="223"/>
        <v>C10G</v>
      </c>
    </row>
    <row r="1571" spans="3:5" x14ac:dyDescent="0.25">
      <c r="C1571" s="12" t="str">
        <f t="shared" ref="C1571:C1572" si="226">C1570</f>
        <v>US04975179</v>
      </c>
      <c r="D1571" s="12" t="s">
        <v>2817</v>
      </c>
      <c r="E1571" t="str">
        <f t="shared" si="223"/>
        <v>C10G</v>
      </c>
    </row>
    <row r="1572" spans="3:5" x14ac:dyDescent="0.25">
      <c r="C1572" s="12" t="str">
        <f t="shared" si="226"/>
        <v>US04975179</v>
      </c>
      <c r="D1572" s="12" t="s">
        <v>2556</v>
      </c>
      <c r="E1572" t="str">
        <f t="shared" si="223"/>
        <v>C10L</v>
      </c>
    </row>
    <row r="1573" spans="3:5" x14ac:dyDescent="0.25">
      <c r="C1573" s="12" t="s">
        <v>1152</v>
      </c>
      <c r="D1573" s="12" t="s">
        <v>2668</v>
      </c>
      <c r="E1573" t="str">
        <f t="shared" si="223"/>
        <v>B01J</v>
      </c>
    </row>
    <row r="1574" spans="3:5" x14ac:dyDescent="0.25">
      <c r="C1574" s="12" t="str">
        <f t="shared" ref="C1574:C1578" si="227">C1573</f>
        <v>US04981491</v>
      </c>
      <c r="D1574" s="12" t="s">
        <v>2534</v>
      </c>
      <c r="E1574" t="str">
        <f t="shared" si="223"/>
        <v>C07C</v>
      </c>
    </row>
    <row r="1575" spans="3:5" x14ac:dyDescent="0.25">
      <c r="C1575" s="12" t="str">
        <f t="shared" si="227"/>
        <v>US04981491</v>
      </c>
      <c r="D1575" s="12" t="s">
        <v>2792</v>
      </c>
      <c r="E1575" t="str">
        <f t="shared" si="223"/>
        <v>C07C</v>
      </c>
    </row>
    <row r="1576" spans="3:5" x14ac:dyDescent="0.25">
      <c r="C1576" s="12" t="str">
        <f t="shared" si="227"/>
        <v>US04981491</v>
      </c>
      <c r="D1576" s="12" t="s">
        <v>225</v>
      </c>
      <c r="E1576" t="str">
        <f t="shared" si="223"/>
        <v>C10G</v>
      </c>
    </row>
    <row r="1577" spans="3:5" x14ac:dyDescent="0.25">
      <c r="C1577" s="12" t="str">
        <f t="shared" si="227"/>
        <v>US04981491</v>
      </c>
      <c r="D1577" s="12" t="s">
        <v>2535</v>
      </c>
      <c r="E1577" t="str">
        <f t="shared" si="223"/>
        <v>C10L</v>
      </c>
    </row>
    <row r="1578" spans="3:5" x14ac:dyDescent="0.25">
      <c r="C1578" s="12" t="str">
        <f t="shared" si="227"/>
        <v>US04981491</v>
      </c>
      <c r="D1578" s="12" t="s">
        <v>2818</v>
      </c>
      <c r="E1578" t="str">
        <f t="shared" si="223"/>
        <v>C10L</v>
      </c>
    </row>
    <row r="1579" spans="3:5" x14ac:dyDescent="0.25">
      <c r="C1579" s="12" t="s">
        <v>1159</v>
      </c>
      <c r="D1579" s="12" t="s">
        <v>2819</v>
      </c>
      <c r="E1579" t="str">
        <f t="shared" si="223"/>
        <v>B01J</v>
      </c>
    </row>
    <row r="1580" spans="3:5" x14ac:dyDescent="0.25">
      <c r="C1580" s="12" t="str">
        <f t="shared" ref="C1580:C1585" si="228">C1579</f>
        <v>US05013329</v>
      </c>
      <c r="D1580" s="12" t="s">
        <v>2640</v>
      </c>
      <c r="E1580" t="str">
        <f t="shared" si="223"/>
        <v>C07B</v>
      </c>
    </row>
    <row r="1581" spans="3:5" x14ac:dyDescent="0.25">
      <c r="C1581" s="12" t="str">
        <f t="shared" si="228"/>
        <v>US05013329</v>
      </c>
      <c r="D1581" s="12" t="s">
        <v>225</v>
      </c>
      <c r="E1581" t="str">
        <f t="shared" si="223"/>
        <v>C10G</v>
      </c>
    </row>
    <row r="1582" spans="3:5" x14ac:dyDescent="0.25">
      <c r="C1582" s="12" t="str">
        <f t="shared" si="228"/>
        <v>US05013329</v>
      </c>
      <c r="D1582" s="12" t="s">
        <v>2594</v>
      </c>
      <c r="E1582" t="str">
        <f t="shared" si="223"/>
        <v>C10G</v>
      </c>
    </row>
    <row r="1583" spans="3:5" x14ac:dyDescent="0.25">
      <c r="C1583" s="12" t="str">
        <f t="shared" si="228"/>
        <v>US05013329</v>
      </c>
      <c r="D1583" s="12" t="s">
        <v>2535</v>
      </c>
      <c r="E1583" t="str">
        <f t="shared" si="223"/>
        <v>C10L</v>
      </c>
    </row>
    <row r="1584" spans="3:5" x14ac:dyDescent="0.25">
      <c r="C1584" s="12" t="str">
        <f t="shared" si="228"/>
        <v>US05013329</v>
      </c>
      <c r="D1584" s="12" t="s">
        <v>2818</v>
      </c>
      <c r="E1584" t="str">
        <f t="shared" si="223"/>
        <v>C10L</v>
      </c>
    </row>
    <row r="1585" spans="3:5" x14ac:dyDescent="0.25">
      <c r="C1585" s="12" t="str">
        <f t="shared" si="228"/>
        <v>US05013329</v>
      </c>
      <c r="D1585" s="12" t="s">
        <v>2820</v>
      </c>
      <c r="E1585" t="str">
        <f t="shared" si="223"/>
        <v>C10L</v>
      </c>
    </row>
    <row r="1586" spans="3:5" x14ac:dyDescent="0.25">
      <c r="C1586" s="12" t="s">
        <v>1166</v>
      </c>
      <c r="D1586" s="12" t="s">
        <v>2590</v>
      </c>
      <c r="E1586" t="str">
        <f t="shared" si="223"/>
        <v>B01J</v>
      </c>
    </row>
    <row r="1587" spans="3:5" x14ac:dyDescent="0.25">
      <c r="C1587" s="12" t="str">
        <f t="shared" ref="C1587:C1622" si="229">C1586</f>
        <v>GB8829923</v>
      </c>
      <c r="D1587" s="12" t="s">
        <v>2702</v>
      </c>
      <c r="E1587" t="str">
        <f t="shared" si="223"/>
        <v>B01J</v>
      </c>
    </row>
    <row r="1588" spans="3:5" x14ac:dyDescent="0.25">
      <c r="C1588" s="12" t="str">
        <f t="shared" si="229"/>
        <v>GB8829923</v>
      </c>
      <c r="D1588" s="12" t="s">
        <v>2712</v>
      </c>
      <c r="E1588" t="str">
        <f t="shared" si="223"/>
        <v>B01J</v>
      </c>
    </row>
    <row r="1589" spans="3:5" x14ac:dyDescent="0.25">
      <c r="C1589" s="12" t="str">
        <f t="shared" si="229"/>
        <v>GB8829923</v>
      </c>
      <c r="D1589" s="12" t="s">
        <v>1940</v>
      </c>
      <c r="E1589" t="str">
        <f t="shared" si="223"/>
        <v>B01J</v>
      </c>
    </row>
    <row r="1590" spans="3:5" x14ac:dyDescent="0.25">
      <c r="C1590" s="12" t="str">
        <f t="shared" si="229"/>
        <v>GB8829923</v>
      </c>
      <c r="D1590" s="12" t="s">
        <v>2622</v>
      </c>
      <c r="E1590" t="str">
        <f t="shared" si="223"/>
        <v>B01J</v>
      </c>
    </row>
    <row r="1591" spans="3:5" x14ac:dyDescent="0.25">
      <c r="C1591" s="12" t="str">
        <f t="shared" si="229"/>
        <v>GB8829923</v>
      </c>
      <c r="D1591" s="12" t="s">
        <v>2623</v>
      </c>
      <c r="E1591" t="str">
        <f t="shared" si="223"/>
        <v>B01J</v>
      </c>
    </row>
    <row r="1592" spans="3:5" x14ac:dyDescent="0.25">
      <c r="C1592" s="12" t="str">
        <f t="shared" si="229"/>
        <v>GB8829923</v>
      </c>
      <c r="D1592" s="12" t="s">
        <v>1739</v>
      </c>
      <c r="E1592" t="str">
        <f t="shared" si="223"/>
        <v>B01J</v>
      </c>
    </row>
    <row r="1593" spans="3:5" x14ac:dyDescent="0.25">
      <c r="C1593" s="12" t="str">
        <f t="shared" si="229"/>
        <v>GB8829923</v>
      </c>
      <c r="D1593" s="12" t="s">
        <v>2578</v>
      </c>
      <c r="E1593" t="str">
        <f t="shared" si="223"/>
        <v>B01J</v>
      </c>
    </row>
    <row r="1594" spans="3:5" x14ac:dyDescent="0.25">
      <c r="C1594" s="12" t="str">
        <f t="shared" si="229"/>
        <v>GB8829923</v>
      </c>
      <c r="D1594" s="12" t="s">
        <v>2804</v>
      </c>
      <c r="E1594" t="str">
        <f t="shared" si="223"/>
        <v>C01B</v>
      </c>
    </row>
    <row r="1595" spans="3:5" x14ac:dyDescent="0.25">
      <c r="C1595" s="12" t="str">
        <f t="shared" si="229"/>
        <v>GB8829923</v>
      </c>
      <c r="D1595" s="12" t="s">
        <v>1974</v>
      </c>
      <c r="E1595" t="str">
        <f t="shared" si="223"/>
        <v>C01B</v>
      </c>
    </row>
    <row r="1596" spans="3:5" x14ac:dyDescent="0.25">
      <c r="C1596" s="12" t="str">
        <f t="shared" si="229"/>
        <v>GB8829923</v>
      </c>
      <c r="D1596" s="12" t="s">
        <v>1794</v>
      </c>
      <c r="E1596" t="str">
        <f t="shared" si="223"/>
        <v>C01B</v>
      </c>
    </row>
    <row r="1597" spans="3:5" x14ac:dyDescent="0.25">
      <c r="C1597" s="12" t="str">
        <f t="shared" si="229"/>
        <v>GB8829923</v>
      </c>
      <c r="D1597" s="12" t="s">
        <v>1757</v>
      </c>
      <c r="E1597" t="str">
        <f t="shared" si="223"/>
        <v>C01B</v>
      </c>
    </row>
    <row r="1598" spans="3:5" x14ac:dyDescent="0.25">
      <c r="C1598" s="12" t="str">
        <f t="shared" si="229"/>
        <v>GB8829923</v>
      </c>
      <c r="D1598" s="12" t="s">
        <v>2821</v>
      </c>
      <c r="E1598" t="str">
        <f t="shared" si="223"/>
        <v>C01B</v>
      </c>
    </row>
    <row r="1599" spans="3:5" x14ac:dyDescent="0.25">
      <c r="C1599" s="12" t="str">
        <f t="shared" si="229"/>
        <v>GB8829923</v>
      </c>
      <c r="D1599" s="12" t="s">
        <v>2799</v>
      </c>
      <c r="E1599" t="str">
        <f t="shared" si="223"/>
        <v>C01B</v>
      </c>
    </row>
    <row r="1600" spans="3:5" x14ac:dyDescent="0.25">
      <c r="C1600" s="12" t="str">
        <f t="shared" si="229"/>
        <v>GB8829923</v>
      </c>
      <c r="D1600" s="12" t="s">
        <v>2658</v>
      </c>
      <c r="E1600" t="str">
        <f t="shared" si="223"/>
        <v>C01B</v>
      </c>
    </row>
    <row r="1601" spans="3:5" x14ac:dyDescent="0.25">
      <c r="C1601" s="12" t="str">
        <f t="shared" si="229"/>
        <v>GB8829923</v>
      </c>
      <c r="D1601" s="12" t="s">
        <v>2822</v>
      </c>
      <c r="E1601" t="str">
        <f t="shared" si="223"/>
        <v>C01B</v>
      </c>
    </row>
    <row r="1602" spans="3:5" x14ac:dyDescent="0.25">
      <c r="C1602" s="12" t="str">
        <f t="shared" si="229"/>
        <v>GB8829923</v>
      </c>
      <c r="D1602" s="12" t="s">
        <v>2593</v>
      </c>
      <c r="E1602" t="str">
        <f t="shared" si="223"/>
        <v>C01B</v>
      </c>
    </row>
    <row r="1603" spans="3:5" x14ac:dyDescent="0.25">
      <c r="C1603" s="12" t="str">
        <f t="shared" si="229"/>
        <v>GB8829923</v>
      </c>
      <c r="D1603" s="12" t="s">
        <v>2640</v>
      </c>
      <c r="E1603" t="str">
        <f t="shared" si="223"/>
        <v>C07B</v>
      </c>
    </row>
    <row r="1604" spans="3:5" x14ac:dyDescent="0.25">
      <c r="C1604" s="12" t="str">
        <f t="shared" si="229"/>
        <v>GB8829923</v>
      </c>
      <c r="D1604" s="12" t="s">
        <v>1997</v>
      </c>
      <c r="E1604" t="str">
        <f t="shared" si="223"/>
        <v>C07C</v>
      </c>
    </row>
    <row r="1605" spans="3:5" x14ac:dyDescent="0.25">
      <c r="C1605" s="12" t="str">
        <f t="shared" si="229"/>
        <v>GB8829923</v>
      </c>
      <c r="D1605" s="12" t="s">
        <v>2738</v>
      </c>
      <c r="E1605" t="str">
        <f t="shared" ref="E1605:E1668" si="230">LEFT(D1605,4)</f>
        <v>C07C</v>
      </c>
    </row>
    <row r="1606" spans="3:5" x14ac:dyDescent="0.25">
      <c r="C1606" s="12" t="str">
        <f t="shared" si="229"/>
        <v>GB8829923</v>
      </c>
      <c r="D1606" s="12" t="s">
        <v>1759</v>
      </c>
      <c r="E1606" t="str">
        <f t="shared" si="230"/>
        <v>C07C</v>
      </c>
    </row>
    <row r="1607" spans="3:5" x14ac:dyDescent="0.25">
      <c r="C1607" s="12" t="str">
        <f t="shared" si="229"/>
        <v>GB8829923</v>
      </c>
      <c r="D1607" s="12" t="s">
        <v>2678</v>
      </c>
      <c r="E1607" t="str">
        <f t="shared" si="230"/>
        <v>C07C</v>
      </c>
    </row>
    <row r="1608" spans="3:5" x14ac:dyDescent="0.25">
      <c r="C1608" s="12" t="str">
        <f t="shared" si="229"/>
        <v>GB8829923</v>
      </c>
      <c r="D1608" s="12" t="s">
        <v>2745</v>
      </c>
      <c r="E1608" t="str">
        <f t="shared" si="230"/>
        <v>C07C</v>
      </c>
    </row>
    <row r="1609" spans="3:5" x14ac:dyDescent="0.25">
      <c r="C1609" s="12" t="str">
        <f t="shared" si="229"/>
        <v>GB8829923</v>
      </c>
      <c r="D1609" s="12" t="s">
        <v>1498</v>
      </c>
      <c r="E1609" t="str">
        <f t="shared" si="230"/>
        <v>C07C</v>
      </c>
    </row>
    <row r="1610" spans="3:5" x14ac:dyDescent="0.25">
      <c r="C1610" s="12" t="str">
        <f t="shared" si="229"/>
        <v>GB8829923</v>
      </c>
      <c r="D1610" s="12" t="s">
        <v>2614</v>
      </c>
      <c r="E1610" t="str">
        <f t="shared" si="230"/>
        <v>C07C</v>
      </c>
    </row>
    <row r="1611" spans="3:5" x14ac:dyDescent="0.25">
      <c r="C1611" s="12" t="str">
        <f t="shared" si="229"/>
        <v>GB8829923</v>
      </c>
      <c r="D1611" s="12" t="s">
        <v>2708</v>
      </c>
      <c r="E1611" t="str">
        <f t="shared" si="230"/>
        <v>C07C</v>
      </c>
    </row>
    <row r="1612" spans="3:5" x14ac:dyDescent="0.25">
      <c r="C1612" s="12" t="str">
        <f t="shared" si="229"/>
        <v>GB8829923</v>
      </c>
      <c r="D1612" s="12" t="s">
        <v>2679</v>
      </c>
      <c r="E1612" t="str">
        <f t="shared" si="230"/>
        <v>C07C</v>
      </c>
    </row>
    <row r="1613" spans="3:5" x14ac:dyDescent="0.25">
      <c r="C1613" s="12" t="str">
        <f t="shared" si="229"/>
        <v>GB8829923</v>
      </c>
      <c r="D1613" s="12" t="s">
        <v>2705</v>
      </c>
      <c r="E1613" t="str">
        <f t="shared" si="230"/>
        <v>C07C</v>
      </c>
    </row>
    <row r="1614" spans="3:5" x14ac:dyDescent="0.25">
      <c r="C1614" s="12" t="str">
        <f t="shared" si="229"/>
        <v>GB8829923</v>
      </c>
      <c r="D1614" s="12" t="s">
        <v>2777</v>
      </c>
      <c r="E1614" t="str">
        <f t="shared" si="230"/>
        <v>C07C</v>
      </c>
    </row>
    <row r="1615" spans="3:5" x14ac:dyDescent="0.25">
      <c r="C1615" s="12" t="str">
        <f t="shared" si="229"/>
        <v>GB8829923</v>
      </c>
      <c r="D1615" s="12" t="s">
        <v>2581</v>
      </c>
      <c r="E1615" t="str">
        <f t="shared" si="230"/>
        <v>C07C</v>
      </c>
    </row>
    <row r="1616" spans="3:5" x14ac:dyDescent="0.25">
      <c r="C1616" s="12" t="str">
        <f t="shared" si="229"/>
        <v>GB8829923</v>
      </c>
      <c r="D1616" s="12" t="s">
        <v>2566</v>
      </c>
      <c r="E1616" t="str">
        <f t="shared" si="230"/>
        <v>C07C</v>
      </c>
    </row>
    <row r="1617" spans="3:5" x14ac:dyDescent="0.25">
      <c r="C1617" s="12" t="str">
        <f t="shared" si="229"/>
        <v>GB8829923</v>
      </c>
      <c r="D1617" s="12" t="s">
        <v>2534</v>
      </c>
      <c r="E1617" t="str">
        <f t="shared" si="230"/>
        <v>C07C</v>
      </c>
    </row>
    <row r="1618" spans="3:5" x14ac:dyDescent="0.25">
      <c r="C1618" s="12" t="str">
        <f t="shared" si="229"/>
        <v>GB8829923</v>
      </c>
      <c r="D1618" s="12" t="s">
        <v>2792</v>
      </c>
      <c r="E1618" t="str">
        <f t="shared" si="230"/>
        <v>C07C</v>
      </c>
    </row>
    <row r="1619" spans="3:5" x14ac:dyDescent="0.25">
      <c r="C1619" s="12" t="str">
        <f t="shared" si="229"/>
        <v>GB8829923</v>
      </c>
      <c r="D1619" s="12" t="s">
        <v>2779</v>
      </c>
      <c r="E1619" t="str">
        <f t="shared" si="230"/>
        <v>C07C</v>
      </c>
    </row>
    <row r="1620" spans="3:5" x14ac:dyDescent="0.25">
      <c r="C1620" s="12" t="str">
        <f t="shared" si="229"/>
        <v>GB8829923</v>
      </c>
      <c r="D1620" s="12" t="s">
        <v>2629</v>
      </c>
      <c r="E1620" t="str">
        <f t="shared" si="230"/>
        <v>C10G</v>
      </c>
    </row>
    <row r="1621" spans="3:5" x14ac:dyDescent="0.25">
      <c r="C1621" s="12" t="str">
        <f t="shared" si="229"/>
        <v>GB8829923</v>
      </c>
      <c r="D1621" s="12" t="s">
        <v>2767</v>
      </c>
      <c r="E1621" t="str">
        <f t="shared" si="230"/>
        <v>C10G</v>
      </c>
    </row>
    <row r="1622" spans="3:5" x14ac:dyDescent="0.25">
      <c r="C1622" s="12" t="str">
        <f t="shared" si="229"/>
        <v>GB8829923</v>
      </c>
      <c r="D1622" s="12" t="s">
        <v>1437</v>
      </c>
      <c r="E1622" t="str">
        <f t="shared" si="230"/>
        <v>C10G</v>
      </c>
    </row>
    <row r="1623" spans="3:5" x14ac:dyDescent="0.25">
      <c r="C1623" s="12" t="s">
        <v>1174</v>
      </c>
      <c r="D1623" s="12" t="s">
        <v>2674</v>
      </c>
      <c r="E1623" t="str">
        <f t="shared" si="230"/>
        <v>B01J</v>
      </c>
    </row>
    <row r="1624" spans="3:5" x14ac:dyDescent="0.25">
      <c r="C1624" s="12" t="str">
        <f t="shared" ref="C1624:C1628" si="231">C1623</f>
        <v>CA2005452</v>
      </c>
      <c r="D1624" s="12" t="s">
        <v>2738</v>
      </c>
      <c r="E1624" t="str">
        <f t="shared" si="230"/>
        <v>C07C</v>
      </c>
    </row>
    <row r="1625" spans="3:5" x14ac:dyDescent="0.25">
      <c r="C1625" s="12" t="str">
        <f t="shared" si="231"/>
        <v>CA2005452</v>
      </c>
      <c r="D1625" s="12" t="s">
        <v>2533</v>
      </c>
      <c r="E1625" t="str">
        <f t="shared" si="230"/>
        <v>C07C</v>
      </c>
    </row>
    <row r="1626" spans="3:5" x14ac:dyDescent="0.25">
      <c r="C1626" s="12" t="str">
        <f t="shared" si="231"/>
        <v>CA2005452</v>
      </c>
      <c r="D1626" s="12" t="s">
        <v>2823</v>
      </c>
      <c r="E1626" t="str">
        <f t="shared" si="230"/>
        <v>C10G</v>
      </c>
    </row>
    <row r="1627" spans="3:5" x14ac:dyDescent="0.25">
      <c r="C1627" s="12" t="str">
        <f t="shared" si="231"/>
        <v>CA2005452</v>
      </c>
      <c r="D1627" s="12" t="s">
        <v>1437</v>
      </c>
      <c r="E1627" t="str">
        <f t="shared" si="230"/>
        <v>C10G</v>
      </c>
    </row>
    <row r="1628" spans="3:5" x14ac:dyDescent="0.25">
      <c r="C1628" s="12" t="str">
        <f t="shared" si="231"/>
        <v>CA2005452</v>
      </c>
      <c r="D1628" s="12" t="s">
        <v>2824</v>
      </c>
      <c r="E1628" t="str">
        <f t="shared" si="230"/>
        <v>C10G</v>
      </c>
    </row>
    <row r="1629" spans="3:5" x14ac:dyDescent="0.25">
      <c r="C1629" s="12" t="s">
        <v>1181</v>
      </c>
      <c r="D1629" s="12" t="s">
        <v>1466</v>
      </c>
      <c r="E1629" t="str">
        <f t="shared" si="230"/>
        <v>C07C</v>
      </c>
    </row>
    <row r="1630" spans="3:5" x14ac:dyDescent="0.25">
      <c r="C1630" s="12" t="str">
        <f>C1629</f>
        <v>US04814535</v>
      </c>
      <c r="D1630" s="12" t="s">
        <v>225</v>
      </c>
      <c r="E1630" t="str">
        <f t="shared" si="230"/>
        <v>C10G</v>
      </c>
    </row>
    <row r="1631" spans="3:5" x14ac:dyDescent="0.25">
      <c r="C1631" s="12" t="s">
        <v>1187</v>
      </c>
      <c r="D1631" s="12" t="s">
        <v>1466</v>
      </c>
      <c r="E1631" t="str">
        <f t="shared" si="230"/>
        <v>C07C</v>
      </c>
    </row>
    <row r="1632" spans="3:5" x14ac:dyDescent="0.25">
      <c r="C1632" s="12" t="str">
        <f>C1631</f>
        <v>US04814536</v>
      </c>
      <c r="D1632" s="12" t="s">
        <v>225</v>
      </c>
      <c r="E1632" t="str">
        <f t="shared" si="230"/>
        <v>C10G</v>
      </c>
    </row>
    <row r="1633" spans="3:5" x14ac:dyDescent="0.25">
      <c r="C1633" s="12" t="s">
        <v>1191</v>
      </c>
      <c r="D1633" s="12" t="s">
        <v>225</v>
      </c>
      <c r="E1633" t="str">
        <f t="shared" si="230"/>
        <v>C10G</v>
      </c>
    </row>
    <row r="1634" spans="3:5" x14ac:dyDescent="0.25">
      <c r="C1634" s="12" t="str">
        <f t="shared" ref="C1634:C1635" si="232">C1633</f>
        <v>US04854939</v>
      </c>
      <c r="D1634" s="12" t="s">
        <v>54</v>
      </c>
      <c r="E1634" t="str">
        <f t="shared" si="230"/>
        <v>C10G</v>
      </c>
    </row>
    <row r="1635" spans="3:5" x14ac:dyDescent="0.25">
      <c r="C1635" s="12" t="str">
        <f t="shared" si="232"/>
        <v>US04854939</v>
      </c>
      <c r="D1635" s="12" t="s">
        <v>2535</v>
      </c>
      <c r="E1635" t="str">
        <f t="shared" si="230"/>
        <v>C10L</v>
      </c>
    </row>
    <row r="1636" spans="3:5" x14ac:dyDescent="0.25">
      <c r="C1636" s="12" t="s">
        <v>1196</v>
      </c>
      <c r="D1636" s="12" t="s">
        <v>1940</v>
      </c>
      <c r="E1636" t="str">
        <f t="shared" si="230"/>
        <v>B01J</v>
      </c>
    </row>
    <row r="1637" spans="3:5" x14ac:dyDescent="0.25">
      <c r="C1637" s="12" t="str">
        <f t="shared" ref="C1637:C1643" si="233">C1636</f>
        <v>US04709114</v>
      </c>
      <c r="D1637" s="12" t="s">
        <v>2724</v>
      </c>
      <c r="E1637" t="str">
        <f t="shared" si="230"/>
        <v>C01B</v>
      </c>
    </row>
    <row r="1638" spans="3:5" x14ac:dyDescent="0.25">
      <c r="C1638" s="12" t="str">
        <f t="shared" si="233"/>
        <v>US04709114</v>
      </c>
      <c r="D1638" s="12" t="s">
        <v>1466</v>
      </c>
      <c r="E1638" t="str">
        <f t="shared" si="230"/>
        <v>C07C</v>
      </c>
    </row>
    <row r="1639" spans="3:5" x14ac:dyDescent="0.25">
      <c r="C1639" s="12" t="str">
        <f t="shared" si="233"/>
        <v>US04709114</v>
      </c>
      <c r="D1639" s="12" t="s">
        <v>1759</v>
      </c>
      <c r="E1639" t="str">
        <f t="shared" si="230"/>
        <v>C07C</v>
      </c>
    </row>
    <row r="1640" spans="3:5" x14ac:dyDescent="0.25">
      <c r="C1640" s="12" t="str">
        <f t="shared" si="233"/>
        <v>US04709114</v>
      </c>
      <c r="D1640" s="12" t="s">
        <v>2679</v>
      </c>
      <c r="E1640" t="str">
        <f t="shared" si="230"/>
        <v>C07C</v>
      </c>
    </row>
    <row r="1641" spans="3:5" x14ac:dyDescent="0.25">
      <c r="C1641" s="12" t="str">
        <f t="shared" si="233"/>
        <v>US04709114</v>
      </c>
      <c r="D1641" s="12" t="s">
        <v>2705</v>
      </c>
      <c r="E1641" t="str">
        <f t="shared" si="230"/>
        <v>C07C</v>
      </c>
    </row>
    <row r="1642" spans="3:5" x14ac:dyDescent="0.25">
      <c r="C1642" s="12" t="str">
        <f t="shared" si="233"/>
        <v>US04709114</v>
      </c>
      <c r="D1642" s="12" t="s">
        <v>2581</v>
      </c>
      <c r="E1642" t="str">
        <f t="shared" si="230"/>
        <v>C07C</v>
      </c>
    </row>
    <row r="1643" spans="3:5" x14ac:dyDescent="0.25">
      <c r="C1643" s="12" t="str">
        <f t="shared" si="233"/>
        <v>US04709114</v>
      </c>
      <c r="D1643" s="12" t="s">
        <v>2566</v>
      </c>
      <c r="E1643" t="str">
        <f t="shared" si="230"/>
        <v>C07C</v>
      </c>
    </row>
    <row r="1644" spans="3:5" x14ac:dyDescent="0.25">
      <c r="C1644" s="12" t="s">
        <v>1203</v>
      </c>
      <c r="D1644" s="12" t="s">
        <v>2045</v>
      </c>
      <c r="E1644" t="str">
        <f t="shared" si="230"/>
        <v>B01J</v>
      </c>
    </row>
    <row r="1645" spans="3:5" x14ac:dyDescent="0.25">
      <c r="C1645" s="12" t="str">
        <f t="shared" ref="C1645:C1648" si="234">C1644</f>
        <v>US04590321</v>
      </c>
      <c r="D1645" s="12" t="s">
        <v>2558</v>
      </c>
      <c r="E1645" t="str">
        <f t="shared" si="230"/>
        <v>B01J</v>
      </c>
    </row>
    <row r="1646" spans="3:5" x14ac:dyDescent="0.25">
      <c r="C1646" s="12" t="str">
        <f t="shared" si="234"/>
        <v>US04590321</v>
      </c>
      <c r="D1646" s="12" t="s">
        <v>1466</v>
      </c>
      <c r="E1646" t="str">
        <f t="shared" si="230"/>
        <v>C07C</v>
      </c>
    </row>
    <row r="1647" spans="3:5" x14ac:dyDescent="0.25">
      <c r="C1647" s="12" t="str">
        <f t="shared" si="234"/>
        <v>US04590321</v>
      </c>
      <c r="D1647" s="12" t="s">
        <v>2738</v>
      </c>
      <c r="E1647" t="str">
        <f t="shared" si="230"/>
        <v>C07C</v>
      </c>
    </row>
    <row r="1648" spans="3:5" x14ac:dyDescent="0.25">
      <c r="C1648" s="12" t="str">
        <f t="shared" si="234"/>
        <v>US04590321</v>
      </c>
      <c r="D1648" s="12" t="s">
        <v>54</v>
      </c>
      <c r="E1648" t="str">
        <f t="shared" si="230"/>
        <v>C10G</v>
      </c>
    </row>
    <row r="1649" spans="3:5" x14ac:dyDescent="0.25">
      <c r="C1649" s="12" t="s">
        <v>1211</v>
      </c>
      <c r="D1649" s="12" t="s">
        <v>2722</v>
      </c>
      <c r="E1649" t="str">
        <f t="shared" si="230"/>
        <v>B01J</v>
      </c>
    </row>
    <row r="1650" spans="3:5" x14ac:dyDescent="0.25">
      <c r="C1650" s="12" t="str">
        <f t="shared" ref="C1650:C1653" si="235">C1649</f>
        <v>EP0148038</v>
      </c>
      <c r="D1650" s="12" t="s">
        <v>2692</v>
      </c>
      <c r="E1650" t="str">
        <f t="shared" si="230"/>
        <v>C01B</v>
      </c>
    </row>
    <row r="1651" spans="3:5" x14ac:dyDescent="0.25">
      <c r="C1651" s="12" t="str">
        <f t="shared" si="235"/>
        <v>EP0148038</v>
      </c>
      <c r="D1651" s="12" t="s">
        <v>2620</v>
      </c>
      <c r="E1651" t="str">
        <f t="shared" si="230"/>
        <v>C01B</v>
      </c>
    </row>
    <row r="1652" spans="3:5" x14ac:dyDescent="0.25">
      <c r="C1652" s="12" t="str">
        <f t="shared" si="235"/>
        <v>EP0148038</v>
      </c>
      <c r="D1652" s="12" t="s">
        <v>2570</v>
      </c>
      <c r="E1652" t="str">
        <f t="shared" si="230"/>
        <v>C10G</v>
      </c>
    </row>
    <row r="1653" spans="3:5" x14ac:dyDescent="0.25">
      <c r="C1653" s="12" t="str">
        <f t="shared" si="235"/>
        <v>EP0148038</v>
      </c>
      <c r="D1653" s="12" t="s">
        <v>225</v>
      </c>
      <c r="E1653" t="str">
        <f t="shared" si="230"/>
        <v>C10G</v>
      </c>
    </row>
    <row r="1654" spans="3:5" x14ac:dyDescent="0.25">
      <c r="C1654" s="12" t="s">
        <v>1219</v>
      </c>
      <c r="D1654" s="12" t="s">
        <v>2536</v>
      </c>
      <c r="E1654" t="str">
        <f t="shared" si="230"/>
        <v>B01J</v>
      </c>
    </row>
    <row r="1655" spans="3:5" x14ac:dyDescent="0.25">
      <c r="C1655" s="12" t="str">
        <f t="shared" ref="C1655:C1667" si="236">C1654</f>
        <v>AU3162484</v>
      </c>
      <c r="D1655" s="12" t="s">
        <v>2825</v>
      </c>
      <c r="E1655" t="str">
        <f t="shared" si="230"/>
        <v>B01J</v>
      </c>
    </row>
    <row r="1656" spans="3:5" x14ac:dyDescent="0.25">
      <c r="C1656" s="12" t="str">
        <f t="shared" si="236"/>
        <v>AU3162484</v>
      </c>
      <c r="D1656" s="12" t="s">
        <v>2718</v>
      </c>
      <c r="E1656" t="str">
        <f t="shared" si="230"/>
        <v>B01J</v>
      </c>
    </row>
    <row r="1657" spans="3:5" x14ac:dyDescent="0.25">
      <c r="C1657" s="12" t="str">
        <f t="shared" si="236"/>
        <v>AU3162484</v>
      </c>
      <c r="D1657" s="12" t="s">
        <v>2722</v>
      </c>
      <c r="E1657" t="str">
        <f t="shared" si="230"/>
        <v>B01J</v>
      </c>
    </row>
    <row r="1658" spans="3:5" x14ac:dyDescent="0.25">
      <c r="C1658" s="12" t="str">
        <f t="shared" si="236"/>
        <v>AU3162484</v>
      </c>
      <c r="D1658" s="12" t="s">
        <v>2640</v>
      </c>
      <c r="E1658" t="str">
        <f t="shared" si="230"/>
        <v>C07B</v>
      </c>
    </row>
    <row r="1659" spans="3:5" x14ac:dyDescent="0.25">
      <c r="C1659" s="12" t="str">
        <f t="shared" si="236"/>
        <v>AU3162484</v>
      </c>
      <c r="D1659" s="12" t="s">
        <v>2707</v>
      </c>
      <c r="E1659" t="str">
        <f t="shared" si="230"/>
        <v>C07C</v>
      </c>
    </row>
    <row r="1660" spans="3:5" x14ac:dyDescent="0.25">
      <c r="C1660" s="12" t="str">
        <f t="shared" si="236"/>
        <v>AU3162484</v>
      </c>
      <c r="D1660" s="12" t="s">
        <v>2738</v>
      </c>
      <c r="E1660" t="str">
        <f t="shared" si="230"/>
        <v>C07C</v>
      </c>
    </row>
    <row r="1661" spans="3:5" x14ac:dyDescent="0.25">
      <c r="C1661" s="12" t="str">
        <f t="shared" si="236"/>
        <v>AU3162484</v>
      </c>
      <c r="D1661" s="12" t="s">
        <v>2666</v>
      </c>
      <c r="E1661" t="str">
        <f t="shared" si="230"/>
        <v>C07C</v>
      </c>
    </row>
    <row r="1662" spans="3:5" x14ac:dyDescent="0.25">
      <c r="C1662" s="12" t="str">
        <f t="shared" si="236"/>
        <v>AU3162484</v>
      </c>
      <c r="D1662" s="12" t="s">
        <v>2566</v>
      </c>
      <c r="E1662" t="str">
        <f t="shared" si="230"/>
        <v>C07C</v>
      </c>
    </row>
    <row r="1663" spans="3:5" x14ac:dyDescent="0.25">
      <c r="C1663" s="12" t="str">
        <f t="shared" si="236"/>
        <v>AU3162484</v>
      </c>
      <c r="D1663" s="12" t="s">
        <v>2826</v>
      </c>
      <c r="E1663" t="str">
        <f t="shared" si="230"/>
        <v>C07C</v>
      </c>
    </row>
    <row r="1664" spans="3:5" x14ac:dyDescent="0.25">
      <c r="C1664" s="12" t="str">
        <f t="shared" si="236"/>
        <v>AU3162484</v>
      </c>
      <c r="D1664" s="12" t="s">
        <v>1420</v>
      </c>
      <c r="E1664" t="str">
        <f t="shared" si="230"/>
        <v>C10G</v>
      </c>
    </row>
    <row r="1665" spans="3:5" x14ac:dyDescent="0.25">
      <c r="C1665" s="12" t="str">
        <f t="shared" si="236"/>
        <v>AU3162484</v>
      </c>
      <c r="D1665" s="12" t="s">
        <v>2695</v>
      </c>
      <c r="E1665" t="str">
        <f t="shared" si="230"/>
        <v>C10G</v>
      </c>
    </row>
    <row r="1666" spans="3:5" x14ac:dyDescent="0.25">
      <c r="C1666" s="12" t="str">
        <f t="shared" si="236"/>
        <v>AU3162484</v>
      </c>
      <c r="D1666" s="12" t="s">
        <v>1437</v>
      </c>
      <c r="E1666" t="str">
        <f t="shared" si="230"/>
        <v>C10G</v>
      </c>
    </row>
    <row r="1667" spans="3:5" x14ac:dyDescent="0.25">
      <c r="C1667" s="12" t="str">
        <f t="shared" si="236"/>
        <v>AU3162484</v>
      </c>
      <c r="D1667" s="12" t="s">
        <v>2815</v>
      </c>
      <c r="E1667" t="str">
        <f t="shared" si="230"/>
        <v>C10G</v>
      </c>
    </row>
    <row r="1668" spans="3:5" x14ac:dyDescent="0.25">
      <c r="C1668" s="12" t="s">
        <v>1227</v>
      </c>
      <c r="D1668" s="12" t="s">
        <v>2545</v>
      </c>
      <c r="E1668" t="str">
        <f t="shared" si="230"/>
        <v>B01J</v>
      </c>
    </row>
    <row r="1669" spans="3:5" x14ac:dyDescent="0.25">
      <c r="C1669" s="12" t="str">
        <f t="shared" ref="C1669:C1670" si="237">C1668</f>
        <v>NO842857</v>
      </c>
      <c r="D1669" s="12" t="s">
        <v>1420</v>
      </c>
      <c r="E1669" t="str">
        <f t="shared" ref="E1669:E1732" si="238">LEFT(D1669,4)</f>
        <v>C10G</v>
      </c>
    </row>
    <row r="1670" spans="3:5" x14ac:dyDescent="0.25">
      <c r="C1670" s="12" t="str">
        <f t="shared" si="237"/>
        <v>NO842857</v>
      </c>
      <c r="D1670" s="12" t="s">
        <v>54</v>
      </c>
      <c r="E1670" t="str">
        <f t="shared" si="238"/>
        <v>C10G</v>
      </c>
    </row>
    <row r="1671" spans="3:5" x14ac:dyDescent="0.25">
      <c r="C1671" s="12" t="s">
        <v>1233</v>
      </c>
      <c r="D1671" s="12" t="s">
        <v>54</v>
      </c>
      <c r="E1671" t="str">
        <f t="shared" si="238"/>
        <v>C10G</v>
      </c>
    </row>
    <row r="1672" spans="3:5" x14ac:dyDescent="0.25">
      <c r="C1672" s="12" t="str">
        <f>C1671</f>
        <v>DE3221936</v>
      </c>
      <c r="D1672" s="12" t="s">
        <v>540</v>
      </c>
      <c r="E1672" t="str">
        <f t="shared" si="238"/>
        <v>C10G</v>
      </c>
    </row>
    <row r="1673" spans="3:5" x14ac:dyDescent="0.25">
      <c r="C1673" s="12" t="s">
        <v>1240</v>
      </c>
      <c r="D1673" s="12" t="s">
        <v>2702</v>
      </c>
      <c r="E1673" t="str">
        <f t="shared" si="238"/>
        <v>B01J</v>
      </c>
    </row>
    <row r="1674" spans="3:5" x14ac:dyDescent="0.25">
      <c r="C1674" s="12" t="str">
        <f t="shared" ref="C1674:C1692" si="239">C1673</f>
        <v>EP0095851</v>
      </c>
      <c r="D1674" s="12" t="s">
        <v>2558</v>
      </c>
      <c r="E1674" t="str">
        <f t="shared" si="238"/>
        <v>B01J</v>
      </c>
    </row>
    <row r="1675" spans="3:5" x14ac:dyDescent="0.25">
      <c r="C1675" s="12" t="str">
        <f t="shared" si="239"/>
        <v>EP0095851</v>
      </c>
      <c r="D1675" s="12" t="s">
        <v>2543</v>
      </c>
      <c r="E1675" t="str">
        <f t="shared" si="238"/>
        <v>B01J</v>
      </c>
    </row>
    <row r="1676" spans="3:5" x14ac:dyDescent="0.25">
      <c r="C1676" s="12" t="str">
        <f t="shared" si="239"/>
        <v>EP0095851</v>
      </c>
      <c r="D1676" s="12" t="s">
        <v>2640</v>
      </c>
      <c r="E1676" t="str">
        <f t="shared" si="238"/>
        <v>C07B</v>
      </c>
    </row>
    <row r="1677" spans="3:5" x14ac:dyDescent="0.25">
      <c r="C1677" s="12" t="str">
        <f t="shared" si="239"/>
        <v>EP0095851</v>
      </c>
      <c r="D1677" s="12" t="s">
        <v>2707</v>
      </c>
      <c r="E1677" t="str">
        <f t="shared" si="238"/>
        <v>C07C</v>
      </c>
    </row>
    <row r="1678" spans="3:5" x14ac:dyDescent="0.25">
      <c r="C1678" s="12" t="str">
        <f t="shared" si="239"/>
        <v>EP0095851</v>
      </c>
      <c r="D1678" s="12" t="s">
        <v>1466</v>
      </c>
      <c r="E1678" t="str">
        <f t="shared" si="238"/>
        <v>C07C</v>
      </c>
    </row>
    <row r="1679" spans="3:5" x14ac:dyDescent="0.25">
      <c r="C1679" s="12" t="str">
        <f t="shared" si="239"/>
        <v>EP0095851</v>
      </c>
      <c r="D1679" s="12" t="s">
        <v>2533</v>
      </c>
      <c r="E1679" t="str">
        <f t="shared" si="238"/>
        <v>C07C</v>
      </c>
    </row>
    <row r="1680" spans="3:5" x14ac:dyDescent="0.25">
      <c r="C1680" s="12" t="str">
        <f t="shared" si="239"/>
        <v>EP0095851</v>
      </c>
      <c r="D1680" s="12" t="s">
        <v>1759</v>
      </c>
      <c r="E1680" t="str">
        <f t="shared" si="238"/>
        <v>C07C</v>
      </c>
    </row>
    <row r="1681" spans="3:5" x14ac:dyDescent="0.25">
      <c r="C1681" s="12" t="str">
        <f t="shared" si="239"/>
        <v>EP0095851</v>
      </c>
      <c r="D1681" s="12" t="s">
        <v>2827</v>
      </c>
      <c r="E1681" t="str">
        <f t="shared" si="238"/>
        <v>C07C</v>
      </c>
    </row>
    <row r="1682" spans="3:5" x14ac:dyDescent="0.25">
      <c r="C1682" s="12" t="str">
        <f t="shared" si="239"/>
        <v>EP0095851</v>
      </c>
      <c r="D1682" s="12" t="s">
        <v>2679</v>
      </c>
      <c r="E1682" t="str">
        <f t="shared" si="238"/>
        <v>C07C</v>
      </c>
    </row>
    <row r="1683" spans="3:5" x14ac:dyDescent="0.25">
      <c r="C1683" s="12" t="str">
        <f t="shared" si="239"/>
        <v>EP0095851</v>
      </c>
      <c r="D1683" s="12" t="s">
        <v>2705</v>
      </c>
      <c r="E1683" t="str">
        <f t="shared" si="238"/>
        <v>C07C</v>
      </c>
    </row>
    <row r="1684" spans="3:5" x14ac:dyDescent="0.25">
      <c r="C1684" s="12" t="str">
        <f t="shared" si="239"/>
        <v>EP0095851</v>
      </c>
      <c r="D1684" s="12" t="s">
        <v>2566</v>
      </c>
      <c r="E1684" t="str">
        <f t="shared" si="238"/>
        <v>C07C</v>
      </c>
    </row>
    <row r="1685" spans="3:5" x14ac:dyDescent="0.25">
      <c r="C1685" s="12" t="str">
        <f t="shared" si="239"/>
        <v>EP0095851</v>
      </c>
      <c r="D1685" s="12" t="s">
        <v>2656</v>
      </c>
      <c r="E1685" t="str">
        <f t="shared" si="238"/>
        <v>C07C</v>
      </c>
    </row>
    <row r="1686" spans="3:5" x14ac:dyDescent="0.25">
      <c r="C1686" s="12" t="str">
        <f t="shared" si="239"/>
        <v>EP0095851</v>
      </c>
      <c r="D1686" s="12" t="s">
        <v>1021</v>
      </c>
      <c r="E1686" t="str">
        <f t="shared" si="238"/>
        <v>C07C</v>
      </c>
    </row>
    <row r="1687" spans="3:5" x14ac:dyDescent="0.25">
      <c r="C1687" s="12" t="str">
        <f t="shared" si="239"/>
        <v>EP0095851</v>
      </c>
      <c r="D1687" s="12" t="s">
        <v>2826</v>
      </c>
      <c r="E1687" t="str">
        <f t="shared" si="238"/>
        <v>C07C</v>
      </c>
    </row>
    <row r="1688" spans="3:5" x14ac:dyDescent="0.25">
      <c r="C1688" s="12" t="str">
        <f t="shared" si="239"/>
        <v>EP0095851</v>
      </c>
      <c r="D1688" s="12" t="s">
        <v>2828</v>
      </c>
      <c r="E1688" t="str">
        <f t="shared" si="238"/>
        <v>C10C</v>
      </c>
    </row>
    <row r="1689" spans="3:5" x14ac:dyDescent="0.25">
      <c r="C1689" s="12" t="str">
        <f t="shared" si="239"/>
        <v>EP0095851</v>
      </c>
      <c r="D1689" s="12" t="s">
        <v>225</v>
      </c>
      <c r="E1689" t="str">
        <f t="shared" si="238"/>
        <v>C10G</v>
      </c>
    </row>
    <row r="1690" spans="3:5" x14ac:dyDescent="0.25">
      <c r="C1690" s="12" t="str">
        <f t="shared" si="239"/>
        <v>EP0095851</v>
      </c>
      <c r="D1690" s="12" t="s">
        <v>2669</v>
      </c>
      <c r="E1690" t="str">
        <f t="shared" si="238"/>
        <v>C10G</v>
      </c>
    </row>
    <row r="1691" spans="3:5" x14ac:dyDescent="0.25">
      <c r="C1691" s="12" t="str">
        <f t="shared" si="239"/>
        <v>EP0095851</v>
      </c>
      <c r="D1691" s="12" t="s">
        <v>2629</v>
      </c>
      <c r="E1691" t="str">
        <f t="shared" si="238"/>
        <v>C10G</v>
      </c>
    </row>
    <row r="1692" spans="3:5" x14ac:dyDescent="0.25">
      <c r="C1692" s="12" t="str">
        <f t="shared" si="239"/>
        <v>EP0095851</v>
      </c>
      <c r="D1692" s="12" t="s">
        <v>2767</v>
      </c>
      <c r="E1692" t="str">
        <f t="shared" si="238"/>
        <v>C10G</v>
      </c>
    </row>
    <row r="1693" spans="3:5" x14ac:dyDescent="0.25">
      <c r="C1693" s="12" t="s">
        <v>1247</v>
      </c>
      <c r="D1693" s="12" t="s">
        <v>2536</v>
      </c>
      <c r="E1693" t="str">
        <f t="shared" si="238"/>
        <v>B01J</v>
      </c>
    </row>
    <row r="1694" spans="3:5" x14ac:dyDescent="0.25">
      <c r="C1694" s="12" t="str">
        <f t="shared" ref="C1694:C1720" si="240">C1693</f>
        <v>GB8312144</v>
      </c>
      <c r="D1694" s="12" t="s">
        <v>2825</v>
      </c>
      <c r="E1694" t="str">
        <f t="shared" si="238"/>
        <v>B01J</v>
      </c>
    </row>
    <row r="1695" spans="3:5" x14ac:dyDescent="0.25">
      <c r="C1695" s="12" t="str">
        <f t="shared" si="240"/>
        <v>GB8312144</v>
      </c>
      <c r="D1695" s="12" t="s">
        <v>2045</v>
      </c>
      <c r="E1695" t="str">
        <f t="shared" si="238"/>
        <v>B01J</v>
      </c>
    </row>
    <row r="1696" spans="3:5" x14ac:dyDescent="0.25">
      <c r="C1696" s="12" t="str">
        <f t="shared" si="240"/>
        <v>GB8312144</v>
      </c>
      <c r="D1696" s="12" t="s">
        <v>2590</v>
      </c>
      <c r="E1696" t="str">
        <f t="shared" si="238"/>
        <v>B01J</v>
      </c>
    </row>
    <row r="1697" spans="3:5" x14ac:dyDescent="0.25">
      <c r="C1697" s="12" t="str">
        <f t="shared" si="240"/>
        <v>GB8312144</v>
      </c>
      <c r="D1697" s="12" t="s">
        <v>2702</v>
      </c>
      <c r="E1697" t="str">
        <f t="shared" si="238"/>
        <v>B01J</v>
      </c>
    </row>
    <row r="1698" spans="3:5" x14ac:dyDescent="0.25">
      <c r="C1698" s="12" t="str">
        <f t="shared" si="240"/>
        <v>GB8312144</v>
      </c>
      <c r="D1698" s="12" t="s">
        <v>1739</v>
      </c>
      <c r="E1698" t="str">
        <f t="shared" si="238"/>
        <v>B01J</v>
      </c>
    </row>
    <row r="1699" spans="3:5" x14ac:dyDescent="0.25">
      <c r="C1699" s="12" t="str">
        <f t="shared" si="240"/>
        <v>GB8312144</v>
      </c>
      <c r="D1699" s="12" t="s">
        <v>2722</v>
      </c>
      <c r="E1699" t="str">
        <f t="shared" si="238"/>
        <v>B01J</v>
      </c>
    </row>
    <row r="1700" spans="3:5" x14ac:dyDescent="0.25">
      <c r="C1700" s="12" t="str">
        <f t="shared" si="240"/>
        <v>GB8312144</v>
      </c>
      <c r="D1700" s="12" t="s">
        <v>2578</v>
      </c>
      <c r="E1700" t="str">
        <f t="shared" si="238"/>
        <v>B01J</v>
      </c>
    </row>
    <row r="1701" spans="3:5" x14ac:dyDescent="0.25">
      <c r="C1701" s="12" t="str">
        <f t="shared" si="240"/>
        <v>GB8312144</v>
      </c>
      <c r="D1701" s="12" t="s">
        <v>2591</v>
      </c>
      <c r="E1701" t="str">
        <f t="shared" si="238"/>
        <v>C01B</v>
      </c>
    </row>
    <row r="1702" spans="3:5" x14ac:dyDescent="0.25">
      <c r="C1702" s="12" t="str">
        <f t="shared" si="240"/>
        <v>GB8312144</v>
      </c>
      <c r="D1702" s="12" t="s">
        <v>1757</v>
      </c>
      <c r="E1702" t="str">
        <f t="shared" si="238"/>
        <v>C01B</v>
      </c>
    </row>
    <row r="1703" spans="3:5" x14ac:dyDescent="0.25">
      <c r="C1703" s="12" t="str">
        <f t="shared" si="240"/>
        <v>GB8312144</v>
      </c>
      <c r="D1703" s="12" t="s">
        <v>2640</v>
      </c>
      <c r="E1703" t="str">
        <f t="shared" si="238"/>
        <v>C07B</v>
      </c>
    </row>
    <row r="1704" spans="3:5" x14ac:dyDescent="0.25">
      <c r="C1704" s="12" t="str">
        <f t="shared" si="240"/>
        <v>GB8312144</v>
      </c>
      <c r="D1704" s="12" t="s">
        <v>2707</v>
      </c>
      <c r="E1704" t="str">
        <f t="shared" si="238"/>
        <v>C07C</v>
      </c>
    </row>
    <row r="1705" spans="3:5" x14ac:dyDescent="0.25">
      <c r="C1705" s="12" t="str">
        <f t="shared" si="240"/>
        <v>GB8312144</v>
      </c>
      <c r="D1705" s="12" t="s">
        <v>2569</v>
      </c>
      <c r="E1705" t="str">
        <f t="shared" si="238"/>
        <v>C07C</v>
      </c>
    </row>
    <row r="1706" spans="3:5" x14ac:dyDescent="0.25">
      <c r="C1706" s="12" t="str">
        <f t="shared" si="240"/>
        <v>GB8312144</v>
      </c>
      <c r="D1706" s="12" t="s">
        <v>1466</v>
      </c>
      <c r="E1706" t="str">
        <f t="shared" si="238"/>
        <v>C07C</v>
      </c>
    </row>
    <row r="1707" spans="3:5" x14ac:dyDescent="0.25">
      <c r="C1707" s="12" t="str">
        <f t="shared" si="240"/>
        <v>GB8312144</v>
      </c>
      <c r="D1707" s="12" t="s">
        <v>1997</v>
      </c>
      <c r="E1707" t="str">
        <f t="shared" si="238"/>
        <v>C07C</v>
      </c>
    </row>
    <row r="1708" spans="3:5" x14ac:dyDescent="0.25">
      <c r="C1708" s="12" t="str">
        <f t="shared" si="240"/>
        <v>GB8312144</v>
      </c>
      <c r="D1708" s="12" t="s">
        <v>2533</v>
      </c>
      <c r="E1708" t="str">
        <f t="shared" si="238"/>
        <v>C07C</v>
      </c>
    </row>
    <row r="1709" spans="3:5" x14ac:dyDescent="0.25">
      <c r="C1709" s="12" t="str">
        <f t="shared" si="240"/>
        <v>GB8312144</v>
      </c>
      <c r="D1709" s="12" t="s">
        <v>1759</v>
      </c>
      <c r="E1709" t="str">
        <f t="shared" si="238"/>
        <v>C07C</v>
      </c>
    </row>
    <row r="1710" spans="3:5" x14ac:dyDescent="0.25">
      <c r="C1710" s="12" t="str">
        <f t="shared" si="240"/>
        <v>GB8312144</v>
      </c>
      <c r="D1710" s="12" t="s">
        <v>2730</v>
      </c>
      <c r="E1710" t="str">
        <f t="shared" si="238"/>
        <v>C07C</v>
      </c>
    </row>
    <row r="1711" spans="3:5" x14ac:dyDescent="0.25">
      <c r="C1711" s="12" t="str">
        <f t="shared" si="240"/>
        <v>GB8312144</v>
      </c>
      <c r="D1711" s="12" t="s">
        <v>2679</v>
      </c>
      <c r="E1711" t="str">
        <f t="shared" si="238"/>
        <v>C07C</v>
      </c>
    </row>
    <row r="1712" spans="3:5" x14ac:dyDescent="0.25">
      <c r="C1712" s="12" t="str">
        <f t="shared" si="240"/>
        <v>GB8312144</v>
      </c>
      <c r="D1712" s="12" t="s">
        <v>2705</v>
      </c>
      <c r="E1712" t="str">
        <f t="shared" si="238"/>
        <v>C07C</v>
      </c>
    </row>
    <row r="1713" spans="3:5" x14ac:dyDescent="0.25">
      <c r="C1713" s="12" t="str">
        <f t="shared" si="240"/>
        <v>GB8312144</v>
      </c>
      <c r="D1713" s="12" t="s">
        <v>2561</v>
      </c>
      <c r="E1713" t="str">
        <f t="shared" si="238"/>
        <v>C07C</v>
      </c>
    </row>
    <row r="1714" spans="3:5" x14ac:dyDescent="0.25">
      <c r="C1714" s="12" t="str">
        <f t="shared" si="240"/>
        <v>GB8312144</v>
      </c>
      <c r="D1714" s="12" t="s">
        <v>2573</v>
      </c>
      <c r="E1714" t="str">
        <f t="shared" si="238"/>
        <v>C07C</v>
      </c>
    </row>
    <row r="1715" spans="3:5" x14ac:dyDescent="0.25">
      <c r="C1715" s="12" t="str">
        <f t="shared" si="240"/>
        <v>GB8312144</v>
      </c>
      <c r="D1715" s="12" t="s">
        <v>2566</v>
      </c>
      <c r="E1715" t="str">
        <f t="shared" si="238"/>
        <v>C07C</v>
      </c>
    </row>
    <row r="1716" spans="3:5" x14ac:dyDescent="0.25">
      <c r="C1716" s="12" t="str">
        <f t="shared" si="240"/>
        <v>GB8312144</v>
      </c>
      <c r="D1716" s="12" t="s">
        <v>2656</v>
      </c>
      <c r="E1716" t="str">
        <f t="shared" si="238"/>
        <v>C07C</v>
      </c>
    </row>
    <row r="1717" spans="3:5" x14ac:dyDescent="0.25">
      <c r="C1717" s="12" t="str">
        <f t="shared" si="240"/>
        <v>GB8312144</v>
      </c>
      <c r="D1717" s="12" t="s">
        <v>1021</v>
      </c>
      <c r="E1717" t="str">
        <f t="shared" si="238"/>
        <v>C07C</v>
      </c>
    </row>
    <row r="1718" spans="3:5" x14ac:dyDescent="0.25">
      <c r="C1718" s="12" t="str">
        <f t="shared" si="240"/>
        <v>GB8312144</v>
      </c>
      <c r="D1718" s="12" t="s">
        <v>2826</v>
      </c>
      <c r="E1718" t="str">
        <f t="shared" si="238"/>
        <v>C07C</v>
      </c>
    </row>
    <row r="1719" spans="3:5" x14ac:dyDescent="0.25">
      <c r="C1719" s="12" t="str">
        <f t="shared" si="240"/>
        <v>GB8312144</v>
      </c>
      <c r="D1719" s="12" t="s">
        <v>2570</v>
      </c>
      <c r="E1719" t="str">
        <f t="shared" si="238"/>
        <v>C10G</v>
      </c>
    </row>
    <row r="1720" spans="3:5" x14ac:dyDescent="0.25">
      <c r="C1720" s="12" t="str">
        <f t="shared" si="240"/>
        <v>GB8312144</v>
      </c>
      <c r="D1720" s="12" t="s">
        <v>225</v>
      </c>
      <c r="E1720" t="str">
        <f t="shared" si="238"/>
        <v>C10G</v>
      </c>
    </row>
    <row r="1721" spans="3:5" x14ac:dyDescent="0.25">
      <c r="C1721" s="12" t="s">
        <v>1256</v>
      </c>
      <c r="D1721" s="12" t="s">
        <v>2702</v>
      </c>
      <c r="E1721" t="str">
        <f t="shared" si="238"/>
        <v>B01J</v>
      </c>
    </row>
    <row r="1722" spans="3:5" x14ac:dyDescent="0.25">
      <c r="C1722" s="12" t="str">
        <f t="shared" ref="C1722:C1723" si="241">C1721</f>
        <v>DD211037</v>
      </c>
      <c r="D1722" s="12" t="s">
        <v>2707</v>
      </c>
      <c r="E1722" t="str">
        <f t="shared" si="238"/>
        <v>C07C</v>
      </c>
    </row>
    <row r="1723" spans="3:5" x14ac:dyDescent="0.25">
      <c r="C1723" s="12" t="str">
        <f t="shared" si="241"/>
        <v>DD211037</v>
      </c>
      <c r="D1723" s="12" t="s">
        <v>2566</v>
      </c>
      <c r="E1723" t="str">
        <f t="shared" si="238"/>
        <v>C07C</v>
      </c>
    </row>
    <row r="1724" spans="3:5" x14ac:dyDescent="0.25">
      <c r="C1724" s="12" t="s">
        <v>1263</v>
      </c>
      <c r="D1724" s="12" t="s">
        <v>2558</v>
      </c>
      <c r="E1724" t="str">
        <f t="shared" si="238"/>
        <v>B01J</v>
      </c>
    </row>
    <row r="1725" spans="3:5" x14ac:dyDescent="0.25">
      <c r="C1725" s="12" t="str">
        <f t="shared" ref="C1725:C1735" si="242">C1724</f>
        <v>US04429176</v>
      </c>
      <c r="D1725" s="12" t="s">
        <v>2635</v>
      </c>
      <c r="E1725" t="str">
        <f t="shared" si="238"/>
        <v>B01J</v>
      </c>
    </row>
    <row r="1726" spans="3:5" x14ac:dyDescent="0.25">
      <c r="C1726" s="12" t="str">
        <f t="shared" si="242"/>
        <v>US04429176</v>
      </c>
      <c r="D1726" s="12" t="s">
        <v>2640</v>
      </c>
      <c r="E1726" t="str">
        <f t="shared" si="238"/>
        <v>C07B</v>
      </c>
    </row>
    <row r="1727" spans="3:5" x14ac:dyDescent="0.25">
      <c r="C1727" s="12" t="str">
        <f t="shared" si="242"/>
        <v>US04429176</v>
      </c>
      <c r="D1727" s="12" t="s">
        <v>2707</v>
      </c>
      <c r="E1727" t="str">
        <f t="shared" si="238"/>
        <v>C07C</v>
      </c>
    </row>
    <row r="1728" spans="3:5" x14ac:dyDescent="0.25">
      <c r="C1728" s="12" t="str">
        <f t="shared" si="242"/>
        <v>US04429176</v>
      </c>
      <c r="D1728" s="12" t="s">
        <v>2738</v>
      </c>
      <c r="E1728" t="str">
        <f t="shared" si="238"/>
        <v>C07C</v>
      </c>
    </row>
    <row r="1729" spans="3:5" x14ac:dyDescent="0.25">
      <c r="C1729" s="12" t="str">
        <f t="shared" si="242"/>
        <v>US04429176</v>
      </c>
      <c r="D1729" s="12" t="s">
        <v>2641</v>
      </c>
      <c r="E1729" t="str">
        <f t="shared" si="238"/>
        <v>C07C</v>
      </c>
    </row>
    <row r="1730" spans="3:5" x14ac:dyDescent="0.25">
      <c r="C1730" s="12" t="str">
        <f t="shared" si="242"/>
        <v>US04429176</v>
      </c>
      <c r="D1730" s="12" t="s">
        <v>2666</v>
      </c>
      <c r="E1730" t="str">
        <f t="shared" si="238"/>
        <v>C07C</v>
      </c>
    </row>
    <row r="1731" spans="3:5" x14ac:dyDescent="0.25">
      <c r="C1731" s="12" t="str">
        <f t="shared" si="242"/>
        <v>US04429176</v>
      </c>
      <c r="D1731" s="12" t="s">
        <v>2679</v>
      </c>
      <c r="E1731" t="str">
        <f t="shared" si="238"/>
        <v>C07C</v>
      </c>
    </row>
    <row r="1732" spans="3:5" x14ac:dyDescent="0.25">
      <c r="C1732" s="12" t="str">
        <f t="shared" si="242"/>
        <v>US04429176</v>
      </c>
      <c r="D1732" s="12" t="s">
        <v>2705</v>
      </c>
      <c r="E1732" t="str">
        <f t="shared" si="238"/>
        <v>C07C</v>
      </c>
    </row>
    <row r="1733" spans="3:5" x14ac:dyDescent="0.25">
      <c r="C1733" s="12" t="str">
        <f t="shared" si="242"/>
        <v>US04429176</v>
      </c>
      <c r="D1733" s="12" t="s">
        <v>2566</v>
      </c>
      <c r="E1733" t="str">
        <f t="shared" ref="E1733:E1796" si="243">LEFT(D1733,4)</f>
        <v>C07C</v>
      </c>
    </row>
    <row r="1734" spans="3:5" x14ac:dyDescent="0.25">
      <c r="C1734" s="12" t="str">
        <f t="shared" si="242"/>
        <v>US04429176</v>
      </c>
      <c r="D1734" s="12" t="s">
        <v>1021</v>
      </c>
      <c r="E1734" t="str">
        <f t="shared" si="243"/>
        <v>C07C</v>
      </c>
    </row>
    <row r="1735" spans="3:5" x14ac:dyDescent="0.25">
      <c r="C1735" s="12" t="str">
        <f t="shared" si="242"/>
        <v>US04429176</v>
      </c>
      <c r="D1735" s="12" t="s">
        <v>2826</v>
      </c>
      <c r="E1735" t="str">
        <f t="shared" si="243"/>
        <v>C07C</v>
      </c>
    </row>
    <row r="1736" spans="3:5" x14ac:dyDescent="0.25">
      <c r="C1736" s="12" t="s">
        <v>1271</v>
      </c>
      <c r="D1736" s="12" t="s">
        <v>2590</v>
      </c>
      <c r="E1736" t="str">
        <f t="shared" si="243"/>
        <v>B01J</v>
      </c>
    </row>
    <row r="1737" spans="3:5" x14ac:dyDescent="0.25">
      <c r="C1737" s="12" t="str">
        <f t="shared" ref="C1737:C1741" si="244">C1736</f>
        <v>DE3143045</v>
      </c>
      <c r="D1737" s="12" t="s">
        <v>2721</v>
      </c>
      <c r="E1737" t="str">
        <f t="shared" si="243"/>
        <v>B01J</v>
      </c>
    </row>
    <row r="1738" spans="3:5" x14ac:dyDescent="0.25">
      <c r="C1738" s="12" t="str">
        <f t="shared" si="244"/>
        <v>DE3143045</v>
      </c>
      <c r="D1738" s="12" t="s">
        <v>2806</v>
      </c>
      <c r="E1738" t="str">
        <f t="shared" si="243"/>
        <v>C01B</v>
      </c>
    </row>
    <row r="1739" spans="3:5" x14ac:dyDescent="0.25">
      <c r="C1739" s="12" t="str">
        <f t="shared" si="244"/>
        <v>DE3143045</v>
      </c>
      <c r="D1739" s="12" t="s">
        <v>2620</v>
      </c>
      <c r="E1739" t="str">
        <f t="shared" si="243"/>
        <v>C01B</v>
      </c>
    </row>
    <row r="1740" spans="3:5" x14ac:dyDescent="0.25">
      <c r="C1740" s="12" t="str">
        <f t="shared" si="244"/>
        <v>DE3143045</v>
      </c>
      <c r="D1740" s="12" t="s">
        <v>1466</v>
      </c>
      <c r="E1740" t="str">
        <f t="shared" si="243"/>
        <v>C07C</v>
      </c>
    </row>
    <row r="1741" spans="3:5" x14ac:dyDescent="0.25">
      <c r="C1741" s="12" t="str">
        <f t="shared" si="244"/>
        <v>DE3143045</v>
      </c>
      <c r="D1741" s="12" t="s">
        <v>2573</v>
      </c>
      <c r="E1741" t="str">
        <f t="shared" si="243"/>
        <v>C07C</v>
      </c>
    </row>
    <row r="1742" spans="3:5" x14ac:dyDescent="0.25">
      <c r="C1742" s="12" t="s">
        <v>1279</v>
      </c>
      <c r="D1742" s="12" t="s">
        <v>54</v>
      </c>
      <c r="E1742" t="str">
        <f t="shared" si="243"/>
        <v>C10G</v>
      </c>
    </row>
    <row r="1743" spans="3:5" x14ac:dyDescent="0.25">
      <c r="C1743" s="12" t="s">
        <v>1286</v>
      </c>
      <c r="D1743" s="12" t="s">
        <v>2045</v>
      </c>
      <c r="E1743" t="str">
        <f t="shared" si="243"/>
        <v>B01J</v>
      </c>
    </row>
    <row r="1744" spans="3:5" x14ac:dyDescent="0.25">
      <c r="C1744" s="12" t="str">
        <f t="shared" ref="C1744:C1749" si="245">C1743</f>
        <v>JPS5857494</v>
      </c>
      <c r="D1744" s="12" t="s">
        <v>2545</v>
      </c>
      <c r="E1744" t="str">
        <f t="shared" si="243"/>
        <v>B01J</v>
      </c>
    </row>
    <row r="1745" spans="3:5" x14ac:dyDescent="0.25">
      <c r="C1745" s="12" t="str">
        <f t="shared" si="245"/>
        <v>JPS5857494</v>
      </c>
      <c r="D1745" s="12" t="s">
        <v>2707</v>
      </c>
      <c r="E1745" t="str">
        <f t="shared" si="243"/>
        <v>C07C</v>
      </c>
    </row>
    <row r="1746" spans="3:5" x14ac:dyDescent="0.25">
      <c r="C1746" s="12" t="str">
        <f t="shared" si="245"/>
        <v>JPS5857494</v>
      </c>
      <c r="D1746" s="12" t="s">
        <v>2569</v>
      </c>
      <c r="E1746" t="str">
        <f t="shared" si="243"/>
        <v>C07C</v>
      </c>
    </row>
    <row r="1747" spans="3:5" x14ac:dyDescent="0.25">
      <c r="C1747" s="12" t="str">
        <f t="shared" si="245"/>
        <v>JPS5857494</v>
      </c>
      <c r="D1747" s="12" t="s">
        <v>2566</v>
      </c>
      <c r="E1747" t="str">
        <f t="shared" si="243"/>
        <v>C07C</v>
      </c>
    </row>
    <row r="1748" spans="3:5" x14ac:dyDescent="0.25">
      <c r="C1748" s="12" t="str">
        <f t="shared" si="245"/>
        <v>JPS5857494</v>
      </c>
      <c r="D1748" s="12" t="s">
        <v>2826</v>
      </c>
      <c r="E1748" t="str">
        <f t="shared" si="243"/>
        <v>C07C</v>
      </c>
    </row>
    <row r="1749" spans="3:5" x14ac:dyDescent="0.25">
      <c r="C1749" s="12" t="str">
        <f t="shared" si="245"/>
        <v>JPS5857494</v>
      </c>
      <c r="D1749" s="12" t="s">
        <v>2570</v>
      </c>
      <c r="E1749" t="str">
        <f t="shared" si="243"/>
        <v>C10G</v>
      </c>
    </row>
    <row r="1750" spans="3:5" x14ac:dyDescent="0.25">
      <c r="C1750" s="12" t="s">
        <v>1294</v>
      </c>
      <c r="D1750" s="12" t="s">
        <v>1940</v>
      </c>
      <c r="E1750" t="str">
        <f t="shared" si="243"/>
        <v>B01J</v>
      </c>
    </row>
    <row r="1751" spans="3:5" x14ac:dyDescent="0.25">
      <c r="C1751" s="12" t="str">
        <f t="shared" ref="C1751:C1761" si="246">C1750</f>
        <v>AU7131481</v>
      </c>
      <c r="D1751" s="12" t="s">
        <v>2627</v>
      </c>
      <c r="E1751" t="str">
        <f t="shared" si="243"/>
        <v>B01J</v>
      </c>
    </row>
    <row r="1752" spans="3:5" x14ac:dyDescent="0.25">
      <c r="C1752" s="12" t="str">
        <f t="shared" si="246"/>
        <v>AU7131481</v>
      </c>
      <c r="D1752" s="12" t="s">
        <v>2805</v>
      </c>
      <c r="E1752" t="str">
        <f t="shared" si="243"/>
        <v>C01B</v>
      </c>
    </row>
    <row r="1753" spans="3:5" x14ac:dyDescent="0.25">
      <c r="C1753" s="12" t="str">
        <f t="shared" si="246"/>
        <v>AU7131481</v>
      </c>
      <c r="D1753" s="12" t="s">
        <v>2692</v>
      </c>
      <c r="E1753" t="str">
        <f t="shared" si="243"/>
        <v>C01B</v>
      </c>
    </row>
    <row r="1754" spans="3:5" x14ac:dyDescent="0.25">
      <c r="C1754" s="12" t="str">
        <f t="shared" si="246"/>
        <v>AU7131481</v>
      </c>
      <c r="D1754" s="12" t="s">
        <v>2798</v>
      </c>
      <c r="E1754" t="str">
        <f t="shared" si="243"/>
        <v>C01B</v>
      </c>
    </row>
    <row r="1755" spans="3:5" x14ac:dyDescent="0.25">
      <c r="C1755" s="12" t="str">
        <f t="shared" si="246"/>
        <v>AU7131481</v>
      </c>
      <c r="D1755" s="12" t="s">
        <v>2724</v>
      </c>
      <c r="E1755" t="str">
        <f t="shared" si="243"/>
        <v>C01B</v>
      </c>
    </row>
    <row r="1756" spans="3:5" x14ac:dyDescent="0.25">
      <c r="C1756" s="12" t="str">
        <f t="shared" si="246"/>
        <v>AU7131481</v>
      </c>
      <c r="D1756" s="12" t="s">
        <v>2829</v>
      </c>
      <c r="E1756" t="str">
        <f t="shared" si="243"/>
        <v>C01G</v>
      </c>
    </row>
    <row r="1757" spans="3:5" x14ac:dyDescent="0.25">
      <c r="C1757" s="12" t="str">
        <f t="shared" si="246"/>
        <v>AU7131481</v>
      </c>
      <c r="D1757" s="12" t="s">
        <v>2830</v>
      </c>
      <c r="E1757" t="str">
        <f t="shared" si="243"/>
        <v>C01G</v>
      </c>
    </row>
    <row r="1758" spans="3:5" x14ac:dyDescent="0.25">
      <c r="C1758" s="12" t="str">
        <f t="shared" si="246"/>
        <v>AU7131481</v>
      </c>
      <c r="D1758" s="12" t="s">
        <v>1466</v>
      </c>
      <c r="E1758" t="str">
        <f t="shared" si="243"/>
        <v>C07C</v>
      </c>
    </row>
    <row r="1759" spans="3:5" x14ac:dyDescent="0.25">
      <c r="C1759" s="12" t="str">
        <f t="shared" si="246"/>
        <v>AU7131481</v>
      </c>
      <c r="D1759" s="12" t="s">
        <v>1997</v>
      </c>
      <c r="E1759" t="str">
        <f t="shared" si="243"/>
        <v>C07C</v>
      </c>
    </row>
    <row r="1760" spans="3:5" x14ac:dyDescent="0.25">
      <c r="C1760" s="12" t="str">
        <f t="shared" si="246"/>
        <v>AU7131481</v>
      </c>
      <c r="D1760" s="12" t="s">
        <v>2583</v>
      </c>
      <c r="E1760" t="str">
        <f t="shared" si="243"/>
        <v>C07C</v>
      </c>
    </row>
    <row r="1761" spans="3:5" x14ac:dyDescent="0.25">
      <c r="C1761" s="12" t="str">
        <f t="shared" si="246"/>
        <v>AU7131481</v>
      </c>
      <c r="D1761" s="12" t="s">
        <v>2573</v>
      </c>
      <c r="E1761" t="str">
        <f t="shared" si="243"/>
        <v>C07C</v>
      </c>
    </row>
    <row r="1762" spans="3:5" x14ac:dyDescent="0.25">
      <c r="C1762" s="12" t="s">
        <v>1302</v>
      </c>
      <c r="D1762" s="12" t="s">
        <v>2045</v>
      </c>
      <c r="E1762" t="str">
        <f t="shared" si="243"/>
        <v>B01J</v>
      </c>
    </row>
    <row r="1763" spans="3:5" x14ac:dyDescent="0.25">
      <c r="C1763" s="12" t="str">
        <f t="shared" ref="C1763:C1777" si="247">C1762</f>
        <v>JPS57196719</v>
      </c>
      <c r="D1763" s="12" t="s">
        <v>1940</v>
      </c>
      <c r="E1763" t="str">
        <f t="shared" si="243"/>
        <v>B01J</v>
      </c>
    </row>
    <row r="1764" spans="3:5" x14ac:dyDescent="0.25">
      <c r="C1764" s="12" t="str">
        <f t="shared" si="247"/>
        <v>JPS57196719</v>
      </c>
      <c r="D1764" s="12" t="s">
        <v>2722</v>
      </c>
      <c r="E1764" t="str">
        <f t="shared" si="243"/>
        <v>B01J</v>
      </c>
    </row>
    <row r="1765" spans="3:5" x14ac:dyDescent="0.25">
      <c r="C1765" s="12" t="str">
        <f t="shared" si="247"/>
        <v>JPS57196719</v>
      </c>
      <c r="D1765" s="12" t="s">
        <v>2578</v>
      </c>
      <c r="E1765" t="str">
        <f t="shared" si="243"/>
        <v>B01J</v>
      </c>
    </row>
    <row r="1766" spans="3:5" x14ac:dyDescent="0.25">
      <c r="C1766" s="12" t="str">
        <f t="shared" si="247"/>
        <v>JPS57196719</v>
      </c>
      <c r="D1766" s="12" t="s">
        <v>1757</v>
      </c>
      <c r="E1766" t="str">
        <f t="shared" si="243"/>
        <v>C01B</v>
      </c>
    </row>
    <row r="1767" spans="3:5" x14ac:dyDescent="0.25">
      <c r="C1767" s="12" t="str">
        <f t="shared" si="247"/>
        <v>JPS57196719</v>
      </c>
      <c r="D1767" s="12" t="s">
        <v>2802</v>
      </c>
      <c r="E1767" t="str">
        <f t="shared" si="243"/>
        <v>C01B</v>
      </c>
    </row>
    <row r="1768" spans="3:5" x14ac:dyDescent="0.25">
      <c r="C1768" s="12" t="str">
        <f t="shared" si="247"/>
        <v>JPS57196719</v>
      </c>
      <c r="D1768" s="12" t="s">
        <v>2640</v>
      </c>
      <c r="E1768" t="str">
        <f t="shared" si="243"/>
        <v>C07B</v>
      </c>
    </row>
    <row r="1769" spans="3:5" x14ac:dyDescent="0.25">
      <c r="C1769" s="12" t="str">
        <f t="shared" si="247"/>
        <v>JPS57196719</v>
      </c>
      <c r="D1769" s="12" t="s">
        <v>2707</v>
      </c>
      <c r="E1769" t="str">
        <f t="shared" si="243"/>
        <v>C07C</v>
      </c>
    </row>
    <row r="1770" spans="3:5" x14ac:dyDescent="0.25">
      <c r="C1770" s="12" t="str">
        <f t="shared" si="247"/>
        <v>JPS57196719</v>
      </c>
      <c r="D1770" s="12" t="s">
        <v>1466</v>
      </c>
      <c r="E1770" t="str">
        <f t="shared" si="243"/>
        <v>C07C</v>
      </c>
    </row>
    <row r="1771" spans="3:5" x14ac:dyDescent="0.25">
      <c r="C1771" s="12" t="str">
        <f t="shared" si="247"/>
        <v>JPS57196719</v>
      </c>
      <c r="D1771" s="12" t="s">
        <v>2641</v>
      </c>
      <c r="E1771" t="str">
        <f t="shared" si="243"/>
        <v>C07C</v>
      </c>
    </row>
    <row r="1772" spans="3:5" x14ac:dyDescent="0.25">
      <c r="C1772" s="12" t="str">
        <f t="shared" si="247"/>
        <v>JPS57196719</v>
      </c>
      <c r="D1772" s="12" t="s">
        <v>1759</v>
      </c>
      <c r="E1772" t="str">
        <f t="shared" si="243"/>
        <v>C07C</v>
      </c>
    </row>
    <row r="1773" spans="3:5" x14ac:dyDescent="0.25">
      <c r="C1773" s="12" t="str">
        <f t="shared" si="247"/>
        <v>JPS57196719</v>
      </c>
      <c r="D1773" s="12" t="s">
        <v>2666</v>
      </c>
      <c r="E1773" t="str">
        <f t="shared" si="243"/>
        <v>C07C</v>
      </c>
    </row>
    <row r="1774" spans="3:5" x14ac:dyDescent="0.25">
      <c r="C1774" s="12" t="str">
        <f t="shared" si="247"/>
        <v>JPS57196719</v>
      </c>
      <c r="D1774" s="12" t="s">
        <v>1498</v>
      </c>
      <c r="E1774" t="str">
        <f t="shared" si="243"/>
        <v>C07C</v>
      </c>
    </row>
    <row r="1775" spans="3:5" x14ac:dyDescent="0.25">
      <c r="C1775" s="12" t="str">
        <f t="shared" si="247"/>
        <v>JPS57196719</v>
      </c>
      <c r="D1775" s="12" t="s">
        <v>2705</v>
      </c>
      <c r="E1775" t="str">
        <f t="shared" si="243"/>
        <v>C07C</v>
      </c>
    </row>
    <row r="1776" spans="3:5" x14ac:dyDescent="0.25">
      <c r="C1776" s="12" t="str">
        <f t="shared" si="247"/>
        <v>JPS57196719</v>
      </c>
      <c r="D1776" s="12" t="s">
        <v>2566</v>
      </c>
      <c r="E1776" t="str">
        <f t="shared" si="243"/>
        <v>C07C</v>
      </c>
    </row>
    <row r="1777" spans="3:5" x14ac:dyDescent="0.25">
      <c r="C1777" s="12" t="str">
        <f t="shared" si="247"/>
        <v>JPS57196719</v>
      </c>
      <c r="D1777" s="12" t="s">
        <v>2826</v>
      </c>
      <c r="E1777" t="str">
        <f t="shared" si="243"/>
        <v>C07C</v>
      </c>
    </row>
    <row r="1778" spans="3:5" x14ac:dyDescent="0.25">
      <c r="C1778" s="12" t="s">
        <v>1307</v>
      </c>
      <c r="D1778" s="12" t="s">
        <v>2045</v>
      </c>
      <c r="E1778" t="str">
        <f t="shared" si="243"/>
        <v>B01J</v>
      </c>
    </row>
    <row r="1779" spans="3:5" x14ac:dyDescent="0.25">
      <c r="C1779" s="12" t="str">
        <f t="shared" ref="C1779:C1794" si="248">C1778</f>
        <v>JPS57196718</v>
      </c>
      <c r="D1779" s="12" t="s">
        <v>2590</v>
      </c>
      <c r="E1779" t="str">
        <f t="shared" si="243"/>
        <v>B01J</v>
      </c>
    </row>
    <row r="1780" spans="3:5" x14ac:dyDescent="0.25">
      <c r="C1780" s="12" t="str">
        <f t="shared" si="248"/>
        <v>JPS57196718</v>
      </c>
      <c r="D1780" s="12" t="s">
        <v>2722</v>
      </c>
      <c r="E1780" t="str">
        <f t="shared" si="243"/>
        <v>B01J</v>
      </c>
    </row>
    <row r="1781" spans="3:5" x14ac:dyDescent="0.25">
      <c r="C1781" s="12" t="str">
        <f t="shared" si="248"/>
        <v>JPS57196718</v>
      </c>
      <c r="D1781" s="12" t="s">
        <v>2578</v>
      </c>
      <c r="E1781" t="str">
        <f t="shared" si="243"/>
        <v>B01J</v>
      </c>
    </row>
    <row r="1782" spans="3:5" x14ac:dyDescent="0.25">
      <c r="C1782" s="12" t="str">
        <f t="shared" si="248"/>
        <v>JPS57196718</v>
      </c>
      <c r="D1782" s="12" t="s">
        <v>2591</v>
      </c>
      <c r="E1782" t="str">
        <f t="shared" si="243"/>
        <v>C01B</v>
      </c>
    </row>
    <row r="1783" spans="3:5" x14ac:dyDescent="0.25">
      <c r="C1783" s="12" t="str">
        <f t="shared" si="248"/>
        <v>JPS57196718</v>
      </c>
      <c r="D1783" s="12" t="s">
        <v>1757</v>
      </c>
      <c r="E1783" t="str">
        <f t="shared" si="243"/>
        <v>C01B</v>
      </c>
    </row>
    <row r="1784" spans="3:5" x14ac:dyDescent="0.25">
      <c r="C1784" s="12" t="str">
        <f t="shared" si="248"/>
        <v>JPS57196718</v>
      </c>
      <c r="D1784" s="12" t="s">
        <v>2802</v>
      </c>
      <c r="E1784" t="str">
        <f t="shared" si="243"/>
        <v>C01B</v>
      </c>
    </row>
    <row r="1785" spans="3:5" x14ac:dyDescent="0.25">
      <c r="C1785" s="12" t="str">
        <f t="shared" si="248"/>
        <v>JPS57196718</v>
      </c>
      <c r="D1785" s="12" t="s">
        <v>2592</v>
      </c>
      <c r="E1785" t="str">
        <f t="shared" si="243"/>
        <v>C01B</v>
      </c>
    </row>
    <row r="1786" spans="3:5" x14ac:dyDescent="0.25">
      <c r="C1786" s="12" t="str">
        <f t="shared" si="248"/>
        <v>JPS57196718</v>
      </c>
      <c r="D1786" s="12" t="s">
        <v>2640</v>
      </c>
      <c r="E1786" t="str">
        <f t="shared" si="243"/>
        <v>C07B</v>
      </c>
    </row>
    <row r="1787" spans="3:5" x14ac:dyDescent="0.25">
      <c r="C1787" s="12" t="str">
        <f t="shared" si="248"/>
        <v>JPS57196718</v>
      </c>
      <c r="D1787" s="12" t="s">
        <v>2707</v>
      </c>
      <c r="E1787" t="str">
        <f t="shared" si="243"/>
        <v>C07C</v>
      </c>
    </row>
    <row r="1788" spans="3:5" x14ac:dyDescent="0.25">
      <c r="C1788" s="12" t="str">
        <f t="shared" si="248"/>
        <v>JPS57196718</v>
      </c>
      <c r="D1788" s="12" t="s">
        <v>1466</v>
      </c>
      <c r="E1788" t="str">
        <f t="shared" si="243"/>
        <v>C07C</v>
      </c>
    </row>
    <row r="1789" spans="3:5" x14ac:dyDescent="0.25">
      <c r="C1789" s="12" t="str">
        <f t="shared" si="248"/>
        <v>JPS57196718</v>
      </c>
      <c r="D1789" s="12" t="s">
        <v>2641</v>
      </c>
      <c r="E1789" t="str">
        <f t="shared" si="243"/>
        <v>C07C</v>
      </c>
    </row>
    <row r="1790" spans="3:5" x14ac:dyDescent="0.25">
      <c r="C1790" s="12" t="str">
        <f t="shared" si="248"/>
        <v>JPS57196718</v>
      </c>
      <c r="D1790" s="12" t="s">
        <v>1759</v>
      </c>
      <c r="E1790" t="str">
        <f t="shared" si="243"/>
        <v>C07C</v>
      </c>
    </row>
    <row r="1791" spans="3:5" x14ac:dyDescent="0.25">
      <c r="C1791" s="12" t="str">
        <f t="shared" si="248"/>
        <v>JPS57196718</v>
      </c>
      <c r="D1791" s="12" t="s">
        <v>1498</v>
      </c>
      <c r="E1791" t="str">
        <f t="shared" si="243"/>
        <v>C07C</v>
      </c>
    </row>
    <row r="1792" spans="3:5" x14ac:dyDescent="0.25">
      <c r="C1792" s="12" t="str">
        <f t="shared" si="248"/>
        <v>JPS57196718</v>
      </c>
      <c r="D1792" s="12" t="s">
        <v>2705</v>
      </c>
      <c r="E1792" t="str">
        <f t="shared" si="243"/>
        <v>C07C</v>
      </c>
    </row>
    <row r="1793" spans="3:5" x14ac:dyDescent="0.25">
      <c r="C1793" s="12" t="str">
        <f t="shared" si="248"/>
        <v>JPS57196718</v>
      </c>
      <c r="D1793" s="12" t="s">
        <v>2566</v>
      </c>
      <c r="E1793" t="str">
        <f t="shared" si="243"/>
        <v>C07C</v>
      </c>
    </row>
    <row r="1794" spans="3:5" x14ac:dyDescent="0.25">
      <c r="C1794" s="12" t="str">
        <f t="shared" si="248"/>
        <v>JPS57196718</v>
      </c>
      <c r="D1794" s="12" t="s">
        <v>2826</v>
      </c>
      <c r="E1794" t="str">
        <f t="shared" si="243"/>
        <v>C07C</v>
      </c>
    </row>
    <row r="1795" spans="3:5" x14ac:dyDescent="0.25">
      <c r="C1795" s="12" t="s">
        <v>1310</v>
      </c>
      <c r="D1795" s="12" t="s">
        <v>2704</v>
      </c>
      <c r="E1795" t="str">
        <f t="shared" si="243"/>
        <v>B01J</v>
      </c>
    </row>
    <row r="1796" spans="3:5" x14ac:dyDescent="0.25">
      <c r="C1796" s="12" t="str">
        <f t="shared" ref="C1796:C1802" si="249">C1795</f>
        <v>US04323481</v>
      </c>
      <c r="D1796" s="12" t="s">
        <v>2789</v>
      </c>
      <c r="E1796" t="str">
        <f t="shared" si="243"/>
        <v>B01J</v>
      </c>
    </row>
    <row r="1797" spans="3:5" x14ac:dyDescent="0.25">
      <c r="C1797" s="12" t="str">
        <f t="shared" si="249"/>
        <v>US04323481</v>
      </c>
      <c r="D1797" s="12" t="s">
        <v>2758</v>
      </c>
      <c r="E1797" t="str">
        <f t="shared" ref="E1797:E1860" si="250">LEFT(D1797,4)</f>
        <v>B01J</v>
      </c>
    </row>
    <row r="1798" spans="3:5" x14ac:dyDescent="0.25">
      <c r="C1798" s="12" t="str">
        <f t="shared" si="249"/>
        <v>US04323481</v>
      </c>
      <c r="D1798" s="12" t="s">
        <v>1794</v>
      </c>
      <c r="E1798" t="str">
        <f t="shared" si="250"/>
        <v>C01B</v>
      </c>
    </row>
    <row r="1799" spans="3:5" x14ac:dyDescent="0.25">
      <c r="C1799" s="12" t="str">
        <f t="shared" si="249"/>
        <v>US04323481</v>
      </c>
      <c r="D1799" s="12" t="s">
        <v>2763</v>
      </c>
      <c r="E1799" t="str">
        <f t="shared" si="250"/>
        <v>C01B</v>
      </c>
    </row>
    <row r="1800" spans="3:5" x14ac:dyDescent="0.25">
      <c r="C1800" s="12" t="str">
        <f t="shared" si="249"/>
        <v>US04323481</v>
      </c>
      <c r="D1800" s="12" t="s">
        <v>2679</v>
      </c>
      <c r="E1800" t="str">
        <f t="shared" si="250"/>
        <v>C07C</v>
      </c>
    </row>
    <row r="1801" spans="3:5" x14ac:dyDescent="0.25">
      <c r="C1801" s="12" t="str">
        <f t="shared" si="249"/>
        <v>US04323481</v>
      </c>
      <c r="D1801" s="12" t="s">
        <v>54</v>
      </c>
      <c r="E1801" t="str">
        <f t="shared" si="250"/>
        <v>C10G</v>
      </c>
    </row>
    <row r="1802" spans="3:5" x14ac:dyDescent="0.25">
      <c r="C1802" s="12" t="str">
        <f t="shared" si="249"/>
        <v>US04323481</v>
      </c>
      <c r="D1802" s="12" t="s">
        <v>2711</v>
      </c>
      <c r="E1802" t="str">
        <f t="shared" si="250"/>
        <v>C10G</v>
      </c>
    </row>
    <row r="1803" spans="3:5" x14ac:dyDescent="0.25">
      <c r="C1803" s="12" t="s">
        <v>1316</v>
      </c>
      <c r="D1803" s="12" t="s">
        <v>2721</v>
      </c>
      <c r="E1803" t="str">
        <f t="shared" si="250"/>
        <v>B01J</v>
      </c>
    </row>
    <row r="1804" spans="3:5" x14ac:dyDescent="0.25">
      <c r="C1804" s="12" t="str">
        <f>C1803</f>
        <v>US04327236</v>
      </c>
      <c r="D1804" s="12" t="s">
        <v>2679</v>
      </c>
      <c r="E1804" t="str">
        <f t="shared" si="250"/>
        <v>C07C</v>
      </c>
    </row>
    <row r="1805" spans="3:5" x14ac:dyDescent="0.25">
      <c r="C1805" s="12" t="s">
        <v>1322</v>
      </c>
      <c r="D1805" s="12" t="s">
        <v>2537</v>
      </c>
      <c r="E1805" t="str">
        <f t="shared" si="250"/>
        <v>B01J</v>
      </c>
    </row>
    <row r="1806" spans="3:5" x14ac:dyDescent="0.25">
      <c r="C1806" s="12" t="str">
        <f t="shared" ref="C1806:C1816" si="251">C1805</f>
        <v>AU6980581</v>
      </c>
      <c r="D1806" s="12" t="s">
        <v>2538</v>
      </c>
      <c r="E1806" t="str">
        <f t="shared" si="250"/>
        <v>B01J</v>
      </c>
    </row>
    <row r="1807" spans="3:5" x14ac:dyDescent="0.25">
      <c r="C1807" s="12" t="str">
        <f t="shared" si="251"/>
        <v>AU6980581</v>
      </c>
      <c r="D1807" s="12" t="s">
        <v>2580</v>
      </c>
      <c r="E1807" t="str">
        <f t="shared" si="250"/>
        <v>B01J</v>
      </c>
    </row>
    <row r="1808" spans="3:5" x14ac:dyDescent="0.25">
      <c r="C1808" s="12" t="str">
        <f t="shared" si="251"/>
        <v>AU6980581</v>
      </c>
      <c r="D1808" s="12" t="s">
        <v>2544</v>
      </c>
      <c r="E1808" t="str">
        <f t="shared" si="250"/>
        <v>B01J</v>
      </c>
    </row>
    <row r="1809" spans="3:5" x14ac:dyDescent="0.25">
      <c r="C1809" s="12" t="str">
        <f t="shared" si="251"/>
        <v>AU6980581</v>
      </c>
      <c r="D1809" s="12" t="s">
        <v>2739</v>
      </c>
      <c r="E1809" t="str">
        <f t="shared" si="250"/>
        <v>B01J</v>
      </c>
    </row>
    <row r="1810" spans="3:5" x14ac:dyDescent="0.25">
      <c r="C1810" s="12" t="str">
        <f t="shared" si="251"/>
        <v>AU6980581</v>
      </c>
      <c r="D1810" s="12" t="s">
        <v>2707</v>
      </c>
      <c r="E1810" t="str">
        <f t="shared" si="250"/>
        <v>C07C</v>
      </c>
    </row>
    <row r="1811" spans="3:5" x14ac:dyDescent="0.25">
      <c r="C1811" s="12" t="str">
        <f t="shared" si="251"/>
        <v>AU6980581</v>
      </c>
      <c r="D1811" s="12" t="s">
        <v>2569</v>
      </c>
      <c r="E1811" t="str">
        <f t="shared" si="250"/>
        <v>C07C</v>
      </c>
    </row>
    <row r="1812" spans="3:5" x14ac:dyDescent="0.25">
      <c r="C1812" s="12" t="str">
        <f t="shared" si="251"/>
        <v>AU6980581</v>
      </c>
      <c r="D1812" s="12" t="s">
        <v>1466</v>
      </c>
      <c r="E1812" t="str">
        <f t="shared" si="250"/>
        <v>C07C</v>
      </c>
    </row>
    <row r="1813" spans="3:5" x14ac:dyDescent="0.25">
      <c r="C1813" s="12" t="str">
        <f t="shared" si="251"/>
        <v>AU6980581</v>
      </c>
      <c r="D1813" s="12" t="s">
        <v>2831</v>
      </c>
      <c r="E1813" t="str">
        <f t="shared" si="250"/>
        <v>C07C</v>
      </c>
    </row>
    <row r="1814" spans="3:5" x14ac:dyDescent="0.25">
      <c r="C1814" s="12" t="str">
        <f t="shared" si="251"/>
        <v>AU6980581</v>
      </c>
      <c r="D1814" s="12" t="s">
        <v>2581</v>
      </c>
      <c r="E1814" t="str">
        <f t="shared" si="250"/>
        <v>C07C</v>
      </c>
    </row>
    <row r="1815" spans="3:5" x14ac:dyDescent="0.25">
      <c r="C1815" s="12" t="str">
        <f t="shared" si="251"/>
        <v>AU6980581</v>
      </c>
      <c r="D1815" s="12" t="s">
        <v>2826</v>
      </c>
      <c r="E1815" t="str">
        <f t="shared" si="250"/>
        <v>C07C</v>
      </c>
    </row>
    <row r="1816" spans="3:5" x14ac:dyDescent="0.25">
      <c r="C1816" s="12" t="str">
        <f t="shared" si="251"/>
        <v>AU6980581</v>
      </c>
      <c r="D1816" s="12" t="s">
        <v>225</v>
      </c>
      <c r="E1816" t="str">
        <f t="shared" si="250"/>
        <v>C10G</v>
      </c>
    </row>
    <row r="1817" spans="3:5" x14ac:dyDescent="0.25">
      <c r="C1817" s="12" t="s">
        <v>1330</v>
      </c>
      <c r="D1817" s="12" t="s">
        <v>2539</v>
      </c>
      <c r="E1817" t="str">
        <f t="shared" si="250"/>
        <v>B01J</v>
      </c>
    </row>
    <row r="1818" spans="3:5" x14ac:dyDescent="0.25">
      <c r="C1818" s="12" t="str">
        <f t="shared" ref="C1818:C1826" si="252">C1817</f>
        <v>AU7010381</v>
      </c>
      <c r="D1818" s="12" t="s">
        <v>2832</v>
      </c>
      <c r="E1818" t="str">
        <f t="shared" si="250"/>
        <v>B01J</v>
      </c>
    </row>
    <row r="1819" spans="3:5" x14ac:dyDescent="0.25">
      <c r="C1819" s="12" t="str">
        <f t="shared" si="252"/>
        <v>AU7010381</v>
      </c>
      <c r="D1819" s="12" t="s">
        <v>2702</v>
      </c>
      <c r="E1819" t="str">
        <f t="shared" si="250"/>
        <v>B01J</v>
      </c>
    </row>
    <row r="1820" spans="3:5" x14ac:dyDescent="0.25">
      <c r="C1820" s="12" t="str">
        <f t="shared" si="252"/>
        <v>AU7010381</v>
      </c>
      <c r="D1820" s="12" t="s">
        <v>2722</v>
      </c>
      <c r="E1820" t="str">
        <f t="shared" si="250"/>
        <v>B01J</v>
      </c>
    </row>
    <row r="1821" spans="3:5" x14ac:dyDescent="0.25">
      <c r="C1821" s="12" t="str">
        <f t="shared" si="252"/>
        <v>AU7010381</v>
      </c>
      <c r="D1821" s="12" t="s">
        <v>2640</v>
      </c>
      <c r="E1821" t="str">
        <f t="shared" si="250"/>
        <v>C07B</v>
      </c>
    </row>
    <row r="1822" spans="3:5" x14ac:dyDescent="0.25">
      <c r="C1822" s="12" t="str">
        <f t="shared" si="252"/>
        <v>AU7010381</v>
      </c>
      <c r="D1822" s="12" t="s">
        <v>2707</v>
      </c>
      <c r="E1822" t="str">
        <f t="shared" si="250"/>
        <v>C07C</v>
      </c>
    </row>
    <row r="1823" spans="3:5" x14ac:dyDescent="0.25">
      <c r="C1823" s="12" t="str">
        <f t="shared" si="252"/>
        <v>AU7010381</v>
      </c>
      <c r="D1823" s="12" t="s">
        <v>2569</v>
      </c>
      <c r="E1823" t="str">
        <f t="shared" si="250"/>
        <v>C07C</v>
      </c>
    </row>
    <row r="1824" spans="3:5" x14ac:dyDescent="0.25">
      <c r="C1824" s="12" t="str">
        <f t="shared" si="252"/>
        <v>AU7010381</v>
      </c>
      <c r="D1824" s="12" t="s">
        <v>2573</v>
      </c>
      <c r="E1824" t="str">
        <f t="shared" si="250"/>
        <v>C07C</v>
      </c>
    </row>
    <row r="1825" spans="3:5" x14ac:dyDescent="0.25">
      <c r="C1825" s="12" t="str">
        <f t="shared" si="252"/>
        <v>AU7010381</v>
      </c>
      <c r="D1825" s="12" t="s">
        <v>2826</v>
      </c>
      <c r="E1825" t="str">
        <f t="shared" si="250"/>
        <v>C07C</v>
      </c>
    </row>
    <row r="1826" spans="3:5" x14ac:dyDescent="0.25">
      <c r="C1826" s="12" t="str">
        <f t="shared" si="252"/>
        <v>AU7010381</v>
      </c>
      <c r="D1826" s="12" t="s">
        <v>2570</v>
      </c>
      <c r="E1826" t="str">
        <f t="shared" si="250"/>
        <v>C10G</v>
      </c>
    </row>
    <row r="1827" spans="3:5" x14ac:dyDescent="0.25">
      <c r="C1827" s="12" t="s">
        <v>1337</v>
      </c>
      <c r="D1827" s="12" t="s">
        <v>2045</v>
      </c>
      <c r="E1827" t="str">
        <f t="shared" si="250"/>
        <v>B01J</v>
      </c>
    </row>
    <row r="1828" spans="3:5" x14ac:dyDescent="0.25">
      <c r="C1828" s="12" t="str">
        <f t="shared" ref="C1828:C1842" si="253">C1827</f>
        <v>EP0037982</v>
      </c>
      <c r="D1828" s="12" t="s">
        <v>2702</v>
      </c>
      <c r="E1828" t="str">
        <f t="shared" si="250"/>
        <v>B01J</v>
      </c>
    </row>
    <row r="1829" spans="3:5" x14ac:dyDescent="0.25">
      <c r="C1829" s="12" t="str">
        <f t="shared" si="253"/>
        <v>EP0037982</v>
      </c>
      <c r="D1829" s="12" t="s">
        <v>1757</v>
      </c>
      <c r="E1829" t="str">
        <f t="shared" si="250"/>
        <v>C01B</v>
      </c>
    </row>
    <row r="1830" spans="3:5" x14ac:dyDescent="0.25">
      <c r="C1830" s="12" t="str">
        <f t="shared" si="253"/>
        <v>EP0037982</v>
      </c>
      <c r="D1830" s="12" t="s">
        <v>2802</v>
      </c>
      <c r="E1830" t="str">
        <f t="shared" si="250"/>
        <v>C01B</v>
      </c>
    </row>
    <row r="1831" spans="3:5" x14ac:dyDescent="0.25">
      <c r="C1831" s="12" t="str">
        <f t="shared" si="253"/>
        <v>EP0037982</v>
      </c>
      <c r="D1831" s="12" t="s">
        <v>2647</v>
      </c>
      <c r="E1831" t="str">
        <f t="shared" si="250"/>
        <v>C01B</v>
      </c>
    </row>
    <row r="1832" spans="3:5" x14ac:dyDescent="0.25">
      <c r="C1832" s="12" t="str">
        <f t="shared" si="253"/>
        <v>EP0037982</v>
      </c>
      <c r="D1832" s="12" t="s">
        <v>2657</v>
      </c>
      <c r="E1832" t="str">
        <f t="shared" si="250"/>
        <v>C01B</v>
      </c>
    </row>
    <row r="1833" spans="3:5" x14ac:dyDescent="0.25">
      <c r="C1833" s="12" t="str">
        <f t="shared" si="253"/>
        <v>EP0037982</v>
      </c>
      <c r="D1833" s="12" t="s">
        <v>2707</v>
      </c>
      <c r="E1833" t="str">
        <f t="shared" si="250"/>
        <v>C07C</v>
      </c>
    </row>
    <row r="1834" spans="3:5" x14ac:dyDescent="0.25">
      <c r="C1834" s="12" t="str">
        <f t="shared" si="253"/>
        <v>EP0037982</v>
      </c>
      <c r="D1834" s="12" t="s">
        <v>1466</v>
      </c>
      <c r="E1834" t="str">
        <f t="shared" si="250"/>
        <v>C07C</v>
      </c>
    </row>
    <row r="1835" spans="3:5" x14ac:dyDescent="0.25">
      <c r="C1835" s="12" t="str">
        <f t="shared" si="253"/>
        <v>EP0037982</v>
      </c>
      <c r="D1835" s="12" t="s">
        <v>2738</v>
      </c>
      <c r="E1835" t="str">
        <f t="shared" si="250"/>
        <v>C07C</v>
      </c>
    </row>
    <row r="1836" spans="3:5" x14ac:dyDescent="0.25">
      <c r="C1836" s="12" t="str">
        <f t="shared" si="253"/>
        <v>EP0037982</v>
      </c>
      <c r="D1836" s="12" t="s">
        <v>2641</v>
      </c>
      <c r="E1836" t="str">
        <f t="shared" si="250"/>
        <v>C07C</v>
      </c>
    </row>
    <row r="1837" spans="3:5" x14ac:dyDescent="0.25">
      <c r="C1837" s="12" t="str">
        <f t="shared" si="253"/>
        <v>EP0037982</v>
      </c>
      <c r="D1837" s="12" t="s">
        <v>1759</v>
      </c>
      <c r="E1837" t="str">
        <f t="shared" si="250"/>
        <v>C07C</v>
      </c>
    </row>
    <row r="1838" spans="3:5" x14ac:dyDescent="0.25">
      <c r="C1838" s="12" t="str">
        <f t="shared" si="253"/>
        <v>EP0037982</v>
      </c>
      <c r="D1838" s="12" t="s">
        <v>2679</v>
      </c>
      <c r="E1838" t="str">
        <f t="shared" si="250"/>
        <v>C07C</v>
      </c>
    </row>
    <row r="1839" spans="3:5" x14ac:dyDescent="0.25">
      <c r="C1839" s="12" t="str">
        <f t="shared" si="253"/>
        <v>EP0037982</v>
      </c>
      <c r="D1839" s="12" t="s">
        <v>2705</v>
      </c>
      <c r="E1839" t="str">
        <f t="shared" si="250"/>
        <v>C07C</v>
      </c>
    </row>
    <row r="1840" spans="3:5" x14ac:dyDescent="0.25">
      <c r="C1840" s="12" t="str">
        <f t="shared" si="253"/>
        <v>EP0037982</v>
      </c>
      <c r="D1840" s="12" t="s">
        <v>2573</v>
      </c>
      <c r="E1840" t="str">
        <f t="shared" si="250"/>
        <v>C07C</v>
      </c>
    </row>
    <row r="1841" spans="3:5" x14ac:dyDescent="0.25">
      <c r="C1841" s="12" t="str">
        <f t="shared" si="253"/>
        <v>EP0037982</v>
      </c>
      <c r="D1841" s="12" t="s">
        <v>2566</v>
      </c>
      <c r="E1841" t="str">
        <f t="shared" si="250"/>
        <v>C07C</v>
      </c>
    </row>
    <row r="1842" spans="3:5" x14ac:dyDescent="0.25">
      <c r="C1842" s="12" t="str">
        <f t="shared" si="253"/>
        <v>EP0037982</v>
      </c>
      <c r="D1842" s="12" t="s">
        <v>2826</v>
      </c>
      <c r="E1842" t="str">
        <f t="shared" si="250"/>
        <v>C07C</v>
      </c>
    </row>
    <row r="1843" spans="3:5" x14ac:dyDescent="0.25">
      <c r="C1843" s="12" t="s">
        <v>1344</v>
      </c>
      <c r="D1843" s="12" t="s">
        <v>2702</v>
      </c>
      <c r="E1843" t="str">
        <f t="shared" si="250"/>
        <v>B01J</v>
      </c>
    </row>
    <row r="1844" spans="3:5" x14ac:dyDescent="0.25">
      <c r="C1844" s="12" t="str">
        <f t="shared" ref="C1844:C1863" si="254">C1843</f>
        <v>EP0037983</v>
      </c>
      <c r="D1844" s="12" t="s">
        <v>2558</v>
      </c>
      <c r="E1844" t="str">
        <f t="shared" si="250"/>
        <v>B01J</v>
      </c>
    </row>
    <row r="1845" spans="3:5" x14ac:dyDescent="0.25">
      <c r="C1845" s="12" t="str">
        <f t="shared" si="254"/>
        <v>EP0037983</v>
      </c>
      <c r="D1845" s="12" t="s">
        <v>1974</v>
      </c>
      <c r="E1845" t="str">
        <f t="shared" si="250"/>
        <v>C01B</v>
      </c>
    </row>
    <row r="1846" spans="3:5" x14ac:dyDescent="0.25">
      <c r="C1846" s="12" t="str">
        <f t="shared" si="254"/>
        <v>EP0037983</v>
      </c>
      <c r="D1846" s="12" t="s">
        <v>1757</v>
      </c>
      <c r="E1846" t="str">
        <f t="shared" si="250"/>
        <v>C01B</v>
      </c>
    </row>
    <row r="1847" spans="3:5" x14ac:dyDescent="0.25">
      <c r="C1847" s="12" t="str">
        <f t="shared" si="254"/>
        <v>EP0037983</v>
      </c>
      <c r="D1847" s="12" t="s">
        <v>2802</v>
      </c>
      <c r="E1847" t="str">
        <f t="shared" si="250"/>
        <v>C01B</v>
      </c>
    </row>
    <row r="1848" spans="3:5" x14ac:dyDescent="0.25">
      <c r="C1848" s="12" t="str">
        <f t="shared" si="254"/>
        <v>EP0037983</v>
      </c>
      <c r="D1848" s="12" t="s">
        <v>2620</v>
      </c>
      <c r="E1848" t="str">
        <f t="shared" si="250"/>
        <v>C01B</v>
      </c>
    </row>
    <row r="1849" spans="3:5" x14ac:dyDescent="0.25">
      <c r="C1849" s="12" t="str">
        <f t="shared" si="254"/>
        <v>EP0037983</v>
      </c>
      <c r="D1849" s="12" t="s">
        <v>2647</v>
      </c>
      <c r="E1849" t="str">
        <f t="shared" si="250"/>
        <v>C01B</v>
      </c>
    </row>
    <row r="1850" spans="3:5" x14ac:dyDescent="0.25">
      <c r="C1850" s="12" t="str">
        <f t="shared" si="254"/>
        <v>EP0037983</v>
      </c>
      <c r="D1850" s="12" t="s">
        <v>2657</v>
      </c>
      <c r="E1850" t="str">
        <f t="shared" si="250"/>
        <v>C01B</v>
      </c>
    </row>
    <row r="1851" spans="3:5" x14ac:dyDescent="0.25">
      <c r="C1851" s="12" t="str">
        <f t="shared" si="254"/>
        <v>EP0037983</v>
      </c>
      <c r="D1851" s="12" t="s">
        <v>2762</v>
      </c>
      <c r="E1851" t="str">
        <f t="shared" si="250"/>
        <v>C01B</v>
      </c>
    </row>
    <row r="1852" spans="3:5" x14ac:dyDescent="0.25">
      <c r="C1852" s="12" t="str">
        <f t="shared" si="254"/>
        <v>EP0037983</v>
      </c>
      <c r="D1852" s="12" t="s">
        <v>2640</v>
      </c>
      <c r="E1852" t="str">
        <f t="shared" si="250"/>
        <v>C07B</v>
      </c>
    </row>
    <row r="1853" spans="3:5" x14ac:dyDescent="0.25">
      <c r="C1853" s="12" t="str">
        <f t="shared" si="254"/>
        <v>EP0037983</v>
      </c>
      <c r="D1853" s="12" t="s">
        <v>2707</v>
      </c>
      <c r="E1853" t="str">
        <f t="shared" si="250"/>
        <v>C07C</v>
      </c>
    </row>
    <row r="1854" spans="3:5" x14ac:dyDescent="0.25">
      <c r="C1854" s="12" t="str">
        <f t="shared" si="254"/>
        <v>EP0037983</v>
      </c>
      <c r="D1854" s="12" t="s">
        <v>1466</v>
      </c>
      <c r="E1854" t="str">
        <f t="shared" si="250"/>
        <v>C07C</v>
      </c>
    </row>
    <row r="1855" spans="3:5" x14ac:dyDescent="0.25">
      <c r="C1855" s="12" t="str">
        <f t="shared" si="254"/>
        <v>EP0037983</v>
      </c>
      <c r="D1855" s="12" t="s">
        <v>2738</v>
      </c>
      <c r="E1855" t="str">
        <f t="shared" si="250"/>
        <v>C07C</v>
      </c>
    </row>
    <row r="1856" spans="3:5" x14ac:dyDescent="0.25">
      <c r="C1856" s="12" t="str">
        <f t="shared" si="254"/>
        <v>EP0037983</v>
      </c>
      <c r="D1856" s="12" t="s">
        <v>2641</v>
      </c>
      <c r="E1856" t="str">
        <f t="shared" si="250"/>
        <v>C07C</v>
      </c>
    </row>
    <row r="1857" spans="3:5" x14ac:dyDescent="0.25">
      <c r="C1857" s="12" t="str">
        <f t="shared" si="254"/>
        <v>EP0037983</v>
      </c>
      <c r="D1857" s="12" t="s">
        <v>1759</v>
      </c>
      <c r="E1857" t="str">
        <f t="shared" si="250"/>
        <v>C07C</v>
      </c>
    </row>
    <row r="1858" spans="3:5" x14ac:dyDescent="0.25">
      <c r="C1858" s="12" t="str">
        <f t="shared" si="254"/>
        <v>EP0037983</v>
      </c>
      <c r="D1858" s="12" t="s">
        <v>2679</v>
      </c>
      <c r="E1858" t="str">
        <f t="shared" si="250"/>
        <v>C07C</v>
      </c>
    </row>
    <row r="1859" spans="3:5" x14ac:dyDescent="0.25">
      <c r="C1859" s="12" t="str">
        <f t="shared" si="254"/>
        <v>EP0037983</v>
      </c>
      <c r="D1859" s="12" t="s">
        <v>2705</v>
      </c>
      <c r="E1859" t="str">
        <f t="shared" si="250"/>
        <v>C07C</v>
      </c>
    </row>
    <row r="1860" spans="3:5" x14ac:dyDescent="0.25">
      <c r="C1860" s="12" t="str">
        <f t="shared" si="254"/>
        <v>EP0037983</v>
      </c>
      <c r="D1860" s="12" t="s">
        <v>2833</v>
      </c>
      <c r="E1860" t="str">
        <f t="shared" si="250"/>
        <v>C07C</v>
      </c>
    </row>
    <row r="1861" spans="3:5" x14ac:dyDescent="0.25">
      <c r="C1861" s="12" t="str">
        <f t="shared" si="254"/>
        <v>EP0037983</v>
      </c>
      <c r="D1861" s="12" t="s">
        <v>2573</v>
      </c>
      <c r="E1861" t="str">
        <f t="shared" ref="E1861:E1924" si="255">LEFT(D1861,4)</f>
        <v>C07C</v>
      </c>
    </row>
    <row r="1862" spans="3:5" x14ac:dyDescent="0.25">
      <c r="C1862" s="12" t="str">
        <f t="shared" si="254"/>
        <v>EP0037983</v>
      </c>
      <c r="D1862" s="12" t="s">
        <v>2566</v>
      </c>
      <c r="E1862" t="str">
        <f t="shared" si="255"/>
        <v>C07C</v>
      </c>
    </row>
    <row r="1863" spans="3:5" x14ac:dyDescent="0.25">
      <c r="C1863" s="12" t="str">
        <f t="shared" si="254"/>
        <v>EP0037983</v>
      </c>
      <c r="D1863" s="12" t="s">
        <v>2826</v>
      </c>
      <c r="E1863" t="str">
        <f t="shared" si="255"/>
        <v>C07C</v>
      </c>
    </row>
    <row r="1864" spans="3:5" x14ac:dyDescent="0.25">
      <c r="C1864" s="12" t="s">
        <v>1349</v>
      </c>
      <c r="D1864" s="12" t="s">
        <v>2721</v>
      </c>
      <c r="E1864" t="str">
        <f t="shared" si="255"/>
        <v>B01J</v>
      </c>
    </row>
    <row r="1865" spans="3:5" x14ac:dyDescent="0.25">
      <c r="C1865" s="12" t="str">
        <f t="shared" ref="C1865:C1868" si="256">C1864</f>
        <v>US04268420</v>
      </c>
      <c r="D1865" s="12" t="s">
        <v>1466</v>
      </c>
      <c r="E1865" t="str">
        <f t="shared" si="255"/>
        <v>C07C</v>
      </c>
    </row>
    <row r="1866" spans="3:5" x14ac:dyDescent="0.25">
      <c r="C1866" s="12" t="str">
        <f t="shared" si="256"/>
        <v>US04268420</v>
      </c>
      <c r="D1866" s="12" t="s">
        <v>1759</v>
      </c>
      <c r="E1866" t="str">
        <f t="shared" si="255"/>
        <v>C07C</v>
      </c>
    </row>
    <row r="1867" spans="3:5" x14ac:dyDescent="0.25">
      <c r="C1867" s="12" t="str">
        <f t="shared" si="256"/>
        <v>US04268420</v>
      </c>
      <c r="D1867" s="12" t="s">
        <v>2679</v>
      </c>
      <c r="E1867" t="str">
        <f t="shared" si="255"/>
        <v>C07C</v>
      </c>
    </row>
    <row r="1868" spans="3:5" x14ac:dyDescent="0.25">
      <c r="C1868" s="12" t="str">
        <f t="shared" si="256"/>
        <v>US04268420</v>
      </c>
      <c r="D1868" s="12" t="s">
        <v>2833</v>
      </c>
      <c r="E1868" t="str">
        <f t="shared" si="255"/>
        <v>C07C</v>
      </c>
    </row>
    <row r="1869" spans="3:5" x14ac:dyDescent="0.25">
      <c r="C1869" s="12" t="s">
        <v>1358</v>
      </c>
      <c r="D1869" s="12" t="s">
        <v>2639</v>
      </c>
      <c r="E1869" t="str">
        <f t="shared" si="255"/>
        <v>B01J</v>
      </c>
    </row>
    <row r="1870" spans="3:5" x14ac:dyDescent="0.25">
      <c r="C1870" s="12" t="str">
        <f t="shared" ref="C1870:C1884" si="257">C1869</f>
        <v>PT69798</v>
      </c>
      <c r="D1870" s="12" t="s">
        <v>2538</v>
      </c>
      <c r="E1870" t="str">
        <f t="shared" si="255"/>
        <v>B01J</v>
      </c>
    </row>
    <row r="1871" spans="3:5" x14ac:dyDescent="0.25">
      <c r="C1871" s="12" t="str">
        <f t="shared" si="257"/>
        <v>PT69798</v>
      </c>
      <c r="D1871" s="12" t="s">
        <v>2702</v>
      </c>
      <c r="E1871" t="str">
        <f t="shared" si="255"/>
        <v>B01J</v>
      </c>
    </row>
    <row r="1872" spans="3:5" x14ac:dyDescent="0.25">
      <c r="C1872" s="12" t="str">
        <f t="shared" si="257"/>
        <v>PT69798</v>
      </c>
      <c r="D1872" s="12" t="s">
        <v>1940</v>
      </c>
      <c r="E1872" t="str">
        <f t="shared" si="255"/>
        <v>B01J</v>
      </c>
    </row>
    <row r="1873" spans="3:5" x14ac:dyDescent="0.25">
      <c r="C1873" s="12" t="str">
        <f t="shared" si="257"/>
        <v>PT69798</v>
      </c>
      <c r="D1873" s="12" t="s">
        <v>2803</v>
      </c>
      <c r="E1873" t="str">
        <f t="shared" si="255"/>
        <v>C01B</v>
      </c>
    </row>
    <row r="1874" spans="3:5" x14ac:dyDescent="0.25">
      <c r="C1874" s="12" t="str">
        <f t="shared" si="257"/>
        <v>PT69798</v>
      </c>
      <c r="D1874" s="12" t="s">
        <v>2056</v>
      </c>
      <c r="E1874" t="str">
        <f t="shared" si="255"/>
        <v>C01B</v>
      </c>
    </row>
    <row r="1875" spans="3:5" x14ac:dyDescent="0.25">
      <c r="C1875" s="12" t="str">
        <f t="shared" si="257"/>
        <v>PT69798</v>
      </c>
      <c r="D1875" s="12" t="s">
        <v>1794</v>
      </c>
      <c r="E1875" t="str">
        <f t="shared" si="255"/>
        <v>C01B</v>
      </c>
    </row>
    <row r="1876" spans="3:5" x14ac:dyDescent="0.25">
      <c r="C1876" s="12" t="str">
        <f t="shared" si="257"/>
        <v>PT69798</v>
      </c>
      <c r="D1876" s="12" t="s">
        <v>1466</v>
      </c>
      <c r="E1876" t="str">
        <f t="shared" si="255"/>
        <v>C07C</v>
      </c>
    </row>
    <row r="1877" spans="3:5" x14ac:dyDescent="0.25">
      <c r="C1877" s="12" t="str">
        <f t="shared" si="257"/>
        <v>PT69798</v>
      </c>
      <c r="D1877" s="12" t="s">
        <v>2834</v>
      </c>
      <c r="E1877" t="str">
        <f t="shared" si="255"/>
        <v>C07C</v>
      </c>
    </row>
    <row r="1878" spans="3:5" x14ac:dyDescent="0.25">
      <c r="C1878" s="12" t="str">
        <f t="shared" si="257"/>
        <v>PT69798</v>
      </c>
      <c r="D1878" s="12" t="s">
        <v>2727</v>
      </c>
      <c r="E1878" t="str">
        <f t="shared" si="255"/>
        <v>C07C</v>
      </c>
    </row>
    <row r="1879" spans="3:5" x14ac:dyDescent="0.25">
      <c r="C1879" s="12" t="str">
        <f t="shared" si="257"/>
        <v>PT69798</v>
      </c>
      <c r="D1879" s="12" t="s">
        <v>1759</v>
      </c>
      <c r="E1879" t="str">
        <f t="shared" si="255"/>
        <v>C07C</v>
      </c>
    </row>
    <row r="1880" spans="3:5" x14ac:dyDescent="0.25">
      <c r="C1880" s="12" t="str">
        <f t="shared" si="257"/>
        <v>PT69798</v>
      </c>
      <c r="D1880" s="12" t="s">
        <v>1498</v>
      </c>
      <c r="E1880" t="str">
        <f t="shared" si="255"/>
        <v>C07C</v>
      </c>
    </row>
    <row r="1881" spans="3:5" x14ac:dyDescent="0.25">
      <c r="C1881" s="12" t="str">
        <f t="shared" si="257"/>
        <v>PT69798</v>
      </c>
      <c r="D1881" s="12" t="s">
        <v>2561</v>
      </c>
      <c r="E1881" t="str">
        <f t="shared" si="255"/>
        <v>C07C</v>
      </c>
    </row>
    <row r="1882" spans="3:5" x14ac:dyDescent="0.25">
      <c r="C1882" s="12" t="str">
        <f t="shared" si="257"/>
        <v>PT69798</v>
      </c>
      <c r="D1882" s="12" t="s">
        <v>2573</v>
      </c>
      <c r="E1882" t="str">
        <f t="shared" si="255"/>
        <v>C07C</v>
      </c>
    </row>
    <row r="1883" spans="3:5" x14ac:dyDescent="0.25">
      <c r="C1883" s="12" t="str">
        <f t="shared" si="257"/>
        <v>PT69798</v>
      </c>
      <c r="D1883" s="12" t="s">
        <v>2566</v>
      </c>
      <c r="E1883" t="str">
        <f t="shared" si="255"/>
        <v>C07C</v>
      </c>
    </row>
    <row r="1884" spans="3:5" x14ac:dyDescent="0.25">
      <c r="C1884" s="12" t="str">
        <f t="shared" si="257"/>
        <v>PT69798</v>
      </c>
      <c r="D1884" s="12" t="s">
        <v>2652</v>
      </c>
      <c r="E1884" t="str">
        <f t="shared" si="255"/>
        <v>C07C</v>
      </c>
    </row>
    <row r="1885" spans="3:5" x14ac:dyDescent="0.25">
      <c r="C1885" s="12" t="s">
        <v>1367</v>
      </c>
      <c r="D1885" s="12" t="s">
        <v>2835</v>
      </c>
      <c r="E1885" t="str">
        <f t="shared" si="255"/>
        <v>B01J</v>
      </c>
    </row>
    <row r="1886" spans="3:5" x14ac:dyDescent="0.25">
      <c r="C1886" s="12" t="str">
        <f t="shared" ref="C1886:C1909" si="258">C1885</f>
        <v>PT69799</v>
      </c>
      <c r="D1886" s="12" t="s">
        <v>2639</v>
      </c>
      <c r="E1886" t="str">
        <f t="shared" si="255"/>
        <v>B01J</v>
      </c>
    </row>
    <row r="1887" spans="3:5" x14ac:dyDescent="0.25">
      <c r="C1887" s="12" t="str">
        <f t="shared" si="258"/>
        <v>PT69799</v>
      </c>
      <c r="D1887" s="12" t="s">
        <v>2590</v>
      </c>
      <c r="E1887" t="str">
        <f t="shared" si="255"/>
        <v>B01J</v>
      </c>
    </row>
    <row r="1888" spans="3:5" x14ac:dyDescent="0.25">
      <c r="C1888" s="12" t="str">
        <f t="shared" si="258"/>
        <v>PT69799</v>
      </c>
      <c r="D1888" s="12" t="s">
        <v>2721</v>
      </c>
      <c r="E1888" t="str">
        <f t="shared" si="255"/>
        <v>B01J</v>
      </c>
    </row>
    <row r="1889" spans="3:5" x14ac:dyDescent="0.25">
      <c r="C1889" s="12" t="str">
        <f t="shared" si="258"/>
        <v>PT69799</v>
      </c>
      <c r="D1889" s="12" t="s">
        <v>2073</v>
      </c>
      <c r="E1889" t="str">
        <f t="shared" si="255"/>
        <v>C01B</v>
      </c>
    </row>
    <row r="1890" spans="3:5" x14ac:dyDescent="0.25">
      <c r="C1890" s="12" t="str">
        <f t="shared" si="258"/>
        <v>PT69799</v>
      </c>
      <c r="D1890" s="12" t="s">
        <v>2836</v>
      </c>
      <c r="E1890" t="str">
        <f t="shared" si="255"/>
        <v>C01B</v>
      </c>
    </row>
    <row r="1891" spans="3:5" x14ac:dyDescent="0.25">
      <c r="C1891" s="12" t="str">
        <f t="shared" si="258"/>
        <v>PT69799</v>
      </c>
      <c r="D1891" s="12" t="s">
        <v>2803</v>
      </c>
      <c r="E1891" t="str">
        <f t="shared" si="255"/>
        <v>C01B</v>
      </c>
    </row>
    <row r="1892" spans="3:5" x14ac:dyDescent="0.25">
      <c r="C1892" s="12" t="str">
        <f t="shared" si="258"/>
        <v>PT69799</v>
      </c>
      <c r="D1892" s="12" t="s">
        <v>2591</v>
      </c>
      <c r="E1892" t="str">
        <f t="shared" si="255"/>
        <v>C01B</v>
      </c>
    </row>
    <row r="1893" spans="3:5" x14ac:dyDescent="0.25">
      <c r="C1893" s="12" t="str">
        <f t="shared" si="258"/>
        <v>PT69799</v>
      </c>
      <c r="D1893" s="12" t="s">
        <v>2692</v>
      </c>
      <c r="E1893" t="str">
        <f t="shared" si="255"/>
        <v>C01B</v>
      </c>
    </row>
    <row r="1894" spans="3:5" x14ac:dyDescent="0.25">
      <c r="C1894" s="12" t="str">
        <f t="shared" si="258"/>
        <v>PT69799</v>
      </c>
      <c r="D1894" s="12" t="s">
        <v>2806</v>
      </c>
      <c r="E1894" t="str">
        <f t="shared" si="255"/>
        <v>C01B</v>
      </c>
    </row>
    <row r="1895" spans="3:5" x14ac:dyDescent="0.25">
      <c r="C1895" s="12" t="str">
        <f t="shared" si="258"/>
        <v>PT69799</v>
      </c>
      <c r="D1895" s="12" t="s">
        <v>1974</v>
      </c>
      <c r="E1895" t="str">
        <f t="shared" si="255"/>
        <v>C01B</v>
      </c>
    </row>
    <row r="1896" spans="3:5" x14ac:dyDescent="0.25">
      <c r="C1896" s="12" t="str">
        <f t="shared" si="258"/>
        <v>PT69799</v>
      </c>
      <c r="D1896" s="12" t="s">
        <v>1757</v>
      </c>
      <c r="E1896" t="str">
        <f t="shared" si="255"/>
        <v>C01B</v>
      </c>
    </row>
    <row r="1897" spans="3:5" x14ac:dyDescent="0.25">
      <c r="C1897" s="12" t="str">
        <f t="shared" si="258"/>
        <v>PT69799</v>
      </c>
      <c r="D1897" s="12" t="s">
        <v>2592</v>
      </c>
      <c r="E1897" t="str">
        <f t="shared" si="255"/>
        <v>C01B</v>
      </c>
    </row>
    <row r="1898" spans="3:5" x14ac:dyDescent="0.25">
      <c r="C1898" s="12" t="str">
        <f t="shared" si="258"/>
        <v>PT69799</v>
      </c>
      <c r="D1898" s="12" t="s">
        <v>2799</v>
      </c>
      <c r="E1898" t="str">
        <f t="shared" si="255"/>
        <v>C01B</v>
      </c>
    </row>
    <row r="1899" spans="3:5" x14ac:dyDescent="0.25">
      <c r="C1899" s="12" t="str">
        <f t="shared" si="258"/>
        <v>PT69799</v>
      </c>
      <c r="D1899" s="12" t="s">
        <v>2640</v>
      </c>
      <c r="E1899" t="str">
        <f t="shared" si="255"/>
        <v>C07B</v>
      </c>
    </row>
    <row r="1900" spans="3:5" x14ac:dyDescent="0.25">
      <c r="C1900" s="12" t="str">
        <f t="shared" si="258"/>
        <v>PT69799</v>
      </c>
      <c r="D1900" s="12" t="s">
        <v>2707</v>
      </c>
      <c r="E1900" t="str">
        <f t="shared" si="255"/>
        <v>C07C</v>
      </c>
    </row>
    <row r="1901" spans="3:5" x14ac:dyDescent="0.25">
      <c r="C1901" s="12" t="str">
        <f t="shared" si="258"/>
        <v>PT69799</v>
      </c>
      <c r="D1901" s="12" t="s">
        <v>1466</v>
      </c>
      <c r="E1901" t="str">
        <f t="shared" si="255"/>
        <v>C07C</v>
      </c>
    </row>
    <row r="1902" spans="3:5" x14ac:dyDescent="0.25">
      <c r="C1902" s="12" t="str">
        <f t="shared" si="258"/>
        <v>PT69799</v>
      </c>
      <c r="D1902" s="12" t="s">
        <v>1759</v>
      </c>
      <c r="E1902" t="str">
        <f t="shared" si="255"/>
        <v>C07C</v>
      </c>
    </row>
    <row r="1903" spans="3:5" x14ac:dyDescent="0.25">
      <c r="C1903" s="12" t="str">
        <f t="shared" si="258"/>
        <v>PT69799</v>
      </c>
      <c r="D1903" s="12" t="s">
        <v>1498</v>
      </c>
      <c r="E1903" t="str">
        <f t="shared" si="255"/>
        <v>C07C</v>
      </c>
    </row>
    <row r="1904" spans="3:5" x14ac:dyDescent="0.25">
      <c r="C1904" s="12" t="str">
        <f t="shared" si="258"/>
        <v>PT69799</v>
      </c>
      <c r="D1904" s="12" t="s">
        <v>2624</v>
      </c>
      <c r="E1904" t="str">
        <f t="shared" si="255"/>
        <v>C07C</v>
      </c>
    </row>
    <row r="1905" spans="3:5" x14ac:dyDescent="0.25">
      <c r="C1905" s="12" t="str">
        <f t="shared" si="258"/>
        <v>PT69799</v>
      </c>
      <c r="D1905" s="12" t="s">
        <v>2837</v>
      </c>
      <c r="E1905" t="str">
        <f t="shared" si="255"/>
        <v>C07C</v>
      </c>
    </row>
    <row r="1906" spans="3:5" x14ac:dyDescent="0.25">
      <c r="C1906" s="12" t="str">
        <f t="shared" si="258"/>
        <v>PT69799</v>
      </c>
      <c r="D1906" s="12" t="s">
        <v>2838</v>
      </c>
      <c r="E1906" t="str">
        <f t="shared" si="255"/>
        <v>C07C</v>
      </c>
    </row>
    <row r="1907" spans="3:5" x14ac:dyDescent="0.25">
      <c r="C1907" s="12" t="str">
        <f t="shared" si="258"/>
        <v>PT69799</v>
      </c>
      <c r="D1907" s="12" t="s">
        <v>2839</v>
      </c>
      <c r="E1907" t="str">
        <f t="shared" si="255"/>
        <v>C07C</v>
      </c>
    </row>
    <row r="1908" spans="3:5" x14ac:dyDescent="0.25">
      <c r="C1908" s="12" t="str">
        <f t="shared" si="258"/>
        <v>PT69799</v>
      </c>
      <c r="D1908" s="12" t="s">
        <v>2565</v>
      </c>
      <c r="E1908" t="str">
        <f t="shared" si="255"/>
        <v>C07C</v>
      </c>
    </row>
    <row r="1909" spans="3:5" x14ac:dyDescent="0.25">
      <c r="C1909" s="12" t="str">
        <f t="shared" si="258"/>
        <v>PT69799</v>
      </c>
      <c r="D1909" s="12" t="s">
        <v>2826</v>
      </c>
      <c r="E1909" t="str">
        <f t="shared" si="255"/>
        <v>C07C</v>
      </c>
    </row>
    <row r="1910" spans="3:5" x14ac:dyDescent="0.25">
      <c r="C1910" s="12" t="s">
        <v>1374</v>
      </c>
      <c r="D1910" s="12" t="s">
        <v>2702</v>
      </c>
      <c r="E1910" t="str">
        <f t="shared" si="255"/>
        <v>B01J</v>
      </c>
    </row>
    <row r="1911" spans="3:5" x14ac:dyDescent="0.25">
      <c r="C1911" s="12" t="str">
        <f t="shared" ref="C1911:C1922" si="259">C1910</f>
        <v>US04197214</v>
      </c>
      <c r="D1911" s="12" t="s">
        <v>2674</v>
      </c>
      <c r="E1911" t="str">
        <f t="shared" si="255"/>
        <v>B01J</v>
      </c>
    </row>
    <row r="1912" spans="3:5" x14ac:dyDescent="0.25">
      <c r="C1912" s="12" t="str">
        <f t="shared" si="259"/>
        <v>US04197214</v>
      </c>
      <c r="D1912" s="12" t="s">
        <v>2840</v>
      </c>
      <c r="E1912" t="str">
        <f t="shared" si="255"/>
        <v>B01J</v>
      </c>
    </row>
    <row r="1913" spans="3:5" x14ac:dyDescent="0.25">
      <c r="C1913" s="12" t="str">
        <f t="shared" si="259"/>
        <v>US04197214</v>
      </c>
      <c r="D1913" s="12" t="s">
        <v>2761</v>
      </c>
      <c r="E1913" t="str">
        <f t="shared" si="255"/>
        <v>C01B</v>
      </c>
    </row>
    <row r="1914" spans="3:5" x14ac:dyDescent="0.25">
      <c r="C1914" s="12" t="str">
        <f t="shared" si="259"/>
        <v>US04197214</v>
      </c>
      <c r="D1914" s="12" t="s">
        <v>2822</v>
      </c>
      <c r="E1914" t="str">
        <f t="shared" si="255"/>
        <v>C01B</v>
      </c>
    </row>
    <row r="1915" spans="3:5" x14ac:dyDescent="0.25">
      <c r="C1915" s="12" t="str">
        <f t="shared" si="259"/>
        <v>US04197214</v>
      </c>
      <c r="D1915" s="12" t="s">
        <v>2841</v>
      </c>
      <c r="E1915" t="str">
        <f t="shared" si="255"/>
        <v>C01B</v>
      </c>
    </row>
    <row r="1916" spans="3:5" x14ac:dyDescent="0.25">
      <c r="C1916" s="12" t="str">
        <f t="shared" si="259"/>
        <v>US04197214</v>
      </c>
      <c r="D1916" s="12" t="s">
        <v>2620</v>
      </c>
      <c r="E1916" t="str">
        <f t="shared" si="255"/>
        <v>C01B</v>
      </c>
    </row>
    <row r="1917" spans="3:5" x14ac:dyDescent="0.25">
      <c r="C1917" s="12" t="str">
        <f t="shared" si="259"/>
        <v>US04197214</v>
      </c>
      <c r="D1917" s="12" t="s">
        <v>2647</v>
      </c>
      <c r="E1917" t="str">
        <f t="shared" si="255"/>
        <v>C01B</v>
      </c>
    </row>
    <row r="1918" spans="3:5" x14ac:dyDescent="0.25">
      <c r="C1918" s="12" t="str">
        <f t="shared" si="259"/>
        <v>US04197214</v>
      </c>
      <c r="D1918" s="12" t="s">
        <v>2762</v>
      </c>
      <c r="E1918" t="str">
        <f t="shared" si="255"/>
        <v>C01B</v>
      </c>
    </row>
    <row r="1919" spans="3:5" x14ac:dyDescent="0.25">
      <c r="C1919" s="12" t="str">
        <f t="shared" si="259"/>
        <v>US04197214</v>
      </c>
      <c r="D1919" s="12" t="s">
        <v>2763</v>
      </c>
      <c r="E1919" t="str">
        <f t="shared" si="255"/>
        <v>C01B</v>
      </c>
    </row>
    <row r="1920" spans="3:5" x14ac:dyDescent="0.25">
      <c r="C1920" s="12" t="str">
        <f t="shared" si="259"/>
        <v>US04197214</v>
      </c>
      <c r="D1920" s="12" t="s">
        <v>2570</v>
      </c>
      <c r="E1920" t="str">
        <f t="shared" si="255"/>
        <v>C10G</v>
      </c>
    </row>
    <row r="1921" spans="3:5" x14ac:dyDescent="0.25">
      <c r="C1921" s="12" t="str">
        <f t="shared" si="259"/>
        <v>US04197214</v>
      </c>
      <c r="D1921" s="12" t="s">
        <v>225</v>
      </c>
      <c r="E1921" t="str">
        <f t="shared" si="255"/>
        <v>C10G</v>
      </c>
    </row>
    <row r="1922" spans="3:5" x14ac:dyDescent="0.25">
      <c r="C1922" s="12" t="str">
        <f t="shared" si="259"/>
        <v>US04197214</v>
      </c>
      <c r="D1922" s="12" t="s">
        <v>2669</v>
      </c>
      <c r="E1922" t="str">
        <f t="shared" si="255"/>
        <v>C10G</v>
      </c>
    </row>
    <row r="1923" spans="3:5" x14ac:dyDescent="0.25">
      <c r="C1923" s="12" t="s">
        <v>1382</v>
      </c>
      <c r="D1923" s="12" t="s">
        <v>2590</v>
      </c>
      <c r="E1923" t="str">
        <f t="shared" si="255"/>
        <v>B01J</v>
      </c>
    </row>
    <row r="1924" spans="3:5" x14ac:dyDescent="0.25">
      <c r="C1924" s="12" t="str">
        <f t="shared" ref="C1924:C1930" si="260">C1923</f>
        <v>IT7923055</v>
      </c>
      <c r="D1924" s="12" t="s">
        <v>2718</v>
      </c>
      <c r="E1924" t="str">
        <f t="shared" si="255"/>
        <v>B01J</v>
      </c>
    </row>
    <row r="1925" spans="3:5" x14ac:dyDescent="0.25">
      <c r="C1925" s="12" t="str">
        <f t="shared" si="260"/>
        <v>IT7923055</v>
      </c>
      <c r="D1925" s="12" t="s">
        <v>2722</v>
      </c>
      <c r="E1925" t="str">
        <f t="shared" ref="E1925:E1936" si="261">LEFT(D1925,4)</f>
        <v>B01J</v>
      </c>
    </row>
    <row r="1926" spans="3:5" x14ac:dyDescent="0.25">
      <c r="C1926" s="12" t="str">
        <f t="shared" si="260"/>
        <v>IT7923055</v>
      </c>
      <c r="D1926" s="12" t="s">
        <v>2669</v>
      </c>
      <c r="E1926" t="str">
        <f t="shared" si="261"/>
        <v>C10G</v>
      </c>
    </row>
    <row r="1927" spans="3:5" x14ac:dyDescent="0.25">
      <c r="C1927" s="12" t="str">
        <f t="shared" si="260"/>
        <v>IT7923055</v>
      </c>
      <c r="D1927" s="12" t="s">
        <v>2733</v>
      </c>
      <c r="E1927" t="str">
        <f t="shared" si="261"/>
        <v>C10G</v>
      </c>
    </row>
    <row r="1928" spans="3:5" x14ac:dyDescent="0.25">
      <c r="C1928" s="12" t="str">
        <f t="shared" si="260"/>
        <v>IT7923055</v>
      </c>
      <c r="D1928" s="12" t="s">
        <v>2629</v>
      </c>
      <c r="E1928" t="str">
        <f t="shared" si="261"/>
        <v>C10G</v>
      </c>
    </row>
    <row r="1929" spans="3:5" x14ac:dyDescent="0.25">
      <c r="C1929" s="12" t="str">
        <f t="shared" si="260"/>
        <v>IT7923055</v>
      </c>
      <c r="D1929" s="12" t="s">
        <v>1420</v>
      </c>
      <c r="E1929" t="str">
        <f t="shared" si="261"/>
        <v>C10G</v>
      </c>
    </row>
    <row r="1930" spans="3:5" x14ac:dyDescent="0.25">
      <c r="C1930" s="12" t="str">
        <f t="shared" si="260"/>
        <v>IT7923055</v>
      </c>
      <c r="D1930" s="12" t="s">
        <v>2556</v>
      </c>
      <c r="E1930" t="str">
        <f t="shared" si="261"/>
        <v>C10L</v>
      </c>
    </row>
    <row r="1931" spans="3:5" x14ac:dyDescent="0.25">
      <c r="C1931" s="12" t="s">
        <v>1390</v>
      </c>
      <c r="D1931" s="12" t="s">
        <v>2590</v>
      </c>
      <c r="E1931" t="str">
        <f t="shared" si="261"/>
        <v>B01J</v>
      </c>
    </row>
    <row r="1932" spans="3:5" x14ac:dyDescent="0.25">
      <c r="C1932" s="12" t="str">
        <f t="shared" ref="C1932:C1936" si="262">C1931</f>
        <v>IT7922934</v>
      </c>
      <c r="D1932" s="12" t="s">
        <v>2718</v>
      </c>
      <c r="E1932" t="str">
        <f t="shared" si="261"/>
        <v>B01J</v>
      </c>
    </row>
    <row r="1933" spans="3:5" x14ac:dyDescent="0.25">
      <c r="C1933" s="12" t="str">
        <f t="shared" si="262"/>
        <v>IT7922934</v>
      </c>
      <c r="D1933" s="12" t="s">
        <v>2722</v>
      </c>
      <c r="E1933" t="str">
        <f t="shared" si="261"/>
        <v>B01J</v>
      </c>
    </row>
    <row r="1934" spans="3:5" x14ac:dyDescent="0.25">
      <c r="C1934" s="12" t="str">
        <f t="shared" si="262"/>
        <v>IT7922934</v>
      </c>
      <c r="D1934" s="12" t="s">
        <v>1420</v>
      </c>
      <c r="E1934" t="str">
        <f t="shared" si="261"/>
        <v>C10G</v>
      </c>
    </row>
    <row r="1935" spans="3:5" x14ac:dyDescent="0.25">
      <c r="C1935" s="12" t="str">
        <f t="shared" si="262"/>
        <v>IT7922934</v>
      </c>
      <c r="D1935" s="12" t="s">
        <v>54</v>
      </c>
      <c r="E1935" t="str">
        <f t="shared" si="261"/>
        <v>C10G</v>
      </c>
    </row>
    <row r="1936" spans="3:5" x14ac:dyDescent="0.25">
      <c r="C1936" s="12" t="str">
        <f t="shared" si="262"/>
        <v>IT7922934</v>
      </c>
      <c r="D1936" s="12" t="s">
        <v>540</v>
      </c>
      <c r="E1936" t="str">
        <f t="shared" si="261"/>
        <v>C10G</v>
      </c>
    </row>
  </sheetData>
  <autoFilter ref="O3:O10" xr:uid="{00000000-0009-0000-0000-000007000000}">
    <sortState ref="O4:O10">
      <sortCondition ref="O3:O10"/>
    </sortState>
  </autoFilter>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57"/>
  <sheetViews>
    <sheetView workbookViewId="0"/>
  </sheetViews>
  <sheetFormatPr defaultRowHeight="15" x14ac:dyDescent="0.25"/>
  <cols>
    <col min="1" max="1" width="14.140625" bestFit="1" customWidth="1"/>
    <col min="2" max="2" width="13.5703125" customWidth="1"/>
    <col min="3" max="3" width="8.7109375" customWidth="1"/>
    <col min="4" max="4" width="11" customWidth="1"/>
  </cols>
  <sheetData>
    <row r="1" spans="1:6" s="6" customFormat="1" ht="45.75" customHeight="1" x14ac:dyDescent="0.25">
      <c r="B1" s="27" t="s">
        <v>3807</v>
      </c>
      <c r="C1" s="27" t="s">
        <v>3808</v>
      </c>
      <c r="D1" s="27" t="s">
        <v>3809</v>
      </c>
      <c r="E1" s="27" t="s">
        <v>3810</v>
      </c>
    </row>
    <row r="2" spans="1:6" x14ac:dyDescent="0.25">
      <c r="B2">
        <v>0.3</v>
      </c>
      <c r="C2">
        <v>0.4</v>
      </c>
      <c r="D2">
        <v>0.2</v>
      </c>
      <c r="E2">
        <v>0.1</v>
      </c>
      <c r="F2">
        <v>0.99999999999999989</v>
      </c>
    </row>
    <row r="3" spans="1:6" x14ac:dyDescent="0.25">
      <c r="A3" t="s">
        <v>11</v>
      </c>
      <c r="B3">
        <f>$B$2*VLOOKUP(A3,Lexis_Claims!$E$2:$G$256,3,0)</f>
        <v>1.4999999999999999E-2</v>
      </c>
      <c r="C3">
        <f>$C$2*VLOOKUP(A3,Lexis_Citation!$A$1:$C$256,3,0)</f>
        <v>0.34</v>
      </c>
      <c r="D3">
        <f>$D$2*VLOOKUP(A3,Country_coverage1!$A$3:$BB$260,54,0)</f>
        <v>1.0000000000000002E-2</v>
      </c>
      <c r="E3" s="13">
        <f>$E$2*VLOOKUP(A3,Country_coverage1!$A$3:$BB$260,48,0)</f>
        <v>0</v>
      </c>
      <c r="F3">
        <f>SUM(B3:E3)</f>
        <v>0.36500000000000005</v>
      </c>
    </row>
    <row r="4" spans="1:6" x14ac:dyDescent="0.25">
      <c r="A4" t="s">
        <v>19</v>
      </c>
      <c r="B4">
        <f>$B$2*VLOOKUP(A4,Lexis_Claims!$E$2:$G$256,3,0)</f>
        <v>0.18</v>
      </c>
      <c r="C4">
        <f>$C$2*VLOOKUP(A4,Lexis_Citation!$A$1:$C$256,3,0)</f>
        <v>0.34</v>
      </c>
      <c r="D4">
        <f>$D$2*VLOOKUP(A4,Country_coverage1!$A$3:$BB$260,54,0)</f>
        <v>1.0000000000000002E-2</v>
      </c>
      <c r="E4" s="13">
        <f>$E$2*VLOOKUP(A4,Country_coverage1!$A$3:$BB$260,48,0)</f>
        <v>0</v>
      </c>
      <c r="F4">
        <f t="shared" ref="F4:F67" si="0">SUM(B4:E4)</f>
        <v>0.53</v>
      </c>
    </row>
    <row r="5" spans="1:6" x14ac:dyDescent="0.25">
      <c r="A5" t="s">
        <v>26</v>
      </c>
      <c r="B5">
        <f>$B$2*VLOOKUP(A5,Lexis_Claims!$E$2:$G$256,3,0)</f>
        <v>0.06</v>
      </c>
      <c r="C5">
        <f>$C$2*VLOOKUP(A5,Lexis_Citation!$A$1:$C$256,3,0)</f>
        <v>0.24</v>
      </c>
      <c r="D5">
        <f>$D$2*VLOOKUP(A5,Country_coverage1!$A$3:$BB$260,54,0)</f>
        <v>0.12</v>
      </c>
      <c r="E5" s="13">
        <f>$E$2*VLOOKUP(A5,Country_coverage1!$A$3:$BB$260,48,0)</f>
        <v>0</v>
      </c>
      <c r="F5">
        <f t="shared" si="0"/>
        <v>0.42</v>
      </c>
    </row>
    <row r="6" spans="1:6" x14ac:dyDescent="0.25">
      <c r="A6" t="s">
        <v>34</v>
      </c>
      <c r="B6">
        <f>$B$2*VLOOKUP(A6,Lexis_Claims!$E$2:$G$256,3,0)</f>
        <v>0.18</v>
      </c>
      <c r="C6">
        <f>$C$2*VLOOKUP(A6,Lexis_Citation!$A$1:$C$256,3,0)</f>
        <v>8.0000000000000016E-2</v>
      </c>
      <c r="D6">
        <f>$D$2*VLOOKUP(A6,Country_coverage1!$A$3:$BB$260,54,0)</f>
        <v>4.0000000000000008E-2</v>
      </c>
      <c r="E6" s="13">
        <f>$E$2*VLOOKUP(A6,Country_coverage1!$A$3:$BB$260,48,0)</f>
        <v>0.1</v>
      </c>
      <c r="F6">
        <f t="shared" si="0"/>
        <v>0.4</v>
      </c>
    </row>
    <row r="7" spans="1:6" x14ac:dyDescent="0.25">
      <c r="A7" t="s">
        <v>43</v>
      </c>
      <c r="B7">
        <f>$B$2*VLOOKUP(A7,Lexis_Claims!$E$2:$G$256,3,0)</f>
        <v>0.18</v>
      </c>
      <c r="C7">
        <f>$C$2*VLOOKUP(A7,Lexis_Citation!$A$1:$C$256,3,0)</f>
        <v>0.24</v>
      </c>
      <c r="D7">
        <f>$D$2*VLOOKUP(A7,Country_coverage1!$A$3:$BB$260,54,0)</f>
        <v>0.17</v>
      </c>
      <c r="E7" s="13">
        <f>$E$2*VLOOKUP(A7,Country_coverage1!$A$3:$BB$260,48,0)</f>
        <v>0.1</v>
      </c>
      <c r="F7">
        <f t="shared" si="0"/>
        <v>0.69</v>
      </c>
    </row>
    <row r="8" spans="1:6" x14ac:dyDescent="0.25">
      <c r="A8" t="s">
        <v>50</v>
      </c>
      <c r="B8">
        <f>$B$2*VLOOKUP(A8,Lexis_Claims!$E$2:$G$256,3,0)</f>
        <v>1.4999999999999999E-2</v>
      </c>
      <c r="C8">
        <f>$C$2*VLOOKUP(A8,Lexis_Citation!$A$1:$C$256,3,0)</f>
        <v>0.24</v>
      </c>
      <c r="D8">
        <f>$D$2*VLOOKUP(A8,Country_coverage1!$A$3:$BB$260,54,0)</f>
        <v>1.0000000000000002E-2</v>
      </c>
      <c r="E8" s="13">
        <f>$E$2*VLOOKUP(A8,Country_coverage1!$A$3:$BB$260,48,0)</f>
        <v>0</v>
      </c>
      <c r="F8">
        <f t="shared" si="0"/>
        <v>0.26500000000000001</v>
      </c>
    </row>
    <row r="9" spans="1:6" x14ac:dyDescent="0.25">
      <c r="A9" t="s">
        <v>60</v>
      </c>
      <c r="B9">
        <f>$B$2*VLOOKUP(A9,Lexis_Claims!$E$2:$G$256,3,0)</f>
        <v>1.4999999999999999E-2</v>
      </c>
      <c r="C9">
        <f>$C$2*VLOOKUP(A9,Lexis_Citation!$A$1:$C$256,3,0)</f>
        <v>8.0000000000000016E-2</v>
      </c>
      <c r="D9">
        <f>$D$2*VLOOKUP(A9,Country_coverage1!$A$3:$BB$260,54,0)</f>
        <v>1.0000000000000002E-2</v>
      </c>
      <c r="E9" s="13">
        <f>$E$2*VLOOKUP(A9,Country_coverage1!$A$3:$BB$260,48,0)</f>
        <v>0</v>
      </c>
      <c r="F9">
        <f t="shared" si="0"/>
        <v>0.10500000000000001</v>
      </c>
    </row>
    <row r="10" spans="1:6" x14ac:dyDescent="0.25">
      <c r="A10" t="s">
        <v>63</v>
      </c>
      <c r="B10">
        <f>$B$2*VLOOKUP(A10,Lexis_Claims!$E$2:$G$256,3,0)</f>
        <v>0.06</v>
      </c>
      <c r="C10">
        <f>$C$2*VLOOKUP(A10,Lexis_Citation!$A$1:$C$256,3,0)</f>
        <v>0.34</v>
      </c>
      <c r="D10">
        <f>$D$2*VLOOKUP(A10,Country_coverage1!$A$3:$BB$260,54,0)</f>
        <v>0.12</v>
      </c>
      <c r="E10" s="13">
        <f>$E$2*VLOOKUP(A10,Country_coverage1!$A$3:$BB$260,48,0)</f>
        <v>0.1</v>
      </c>
      <c r="F10">
        <f t="shared" si="0"/>
        <v>0.62</v>
      </c>
    </row>
    <row r="11" spans="1:6" x14ac:dyDescent="0.25">
      <c r="A11" t="s">
        <v>71</v>
      </c>
      <c r="B11">
        <f>$B$2*VLOOKUP(A11,Lexis_Claims!$E$2:$G$256,3,0)</f>
        <v>0.06</v>
      </c>
      <c r="C11">
        <f>$C$2*VLOOKUP(A11,Lexis_Citation!$A$1:$C$256,3,0)</f>
        <v>0.24</v>
      </c>
      <c r="D11">
        <f>$D$2*VLOOKUP(A11,Country_coverage1!$A$3:$BB$260,54,0)</f>
        <v>0.12</v>
      </c>
      <c r="E11" s="13">
        <f>$E$2*VLOOKUP(A11,Country_coverage1!$A$3:$BB$260,48,0)</f>
        <v>0.1</v>
      </c>
      <c r="F11">
        <f t="shared" si="0"/>
        <v>0.52</v>
      </c>
    </row>
    <row r="12" spans="1:6" x14ac:dyDescent="0.25">
      <c r="A12" t="s">
        <v>80</v>
      </c>
      <c r="B12">
        <f>$B$2*VLOOKUP(A12,Lexis_Claims!$E$2:$G$256,3,0)</f>
        <v>0.06</v>
      </c>
      <c r="C12">
        <f>$C$2*VLOOKUP(A12,Lexis_Citation!$A$1:$C$256,3,0)</f>
        <v>0.24</v>
      </c>
      <c r="D12">
        <f>$D$2*VLOOKUP(A12,Country_coverage1!$A$3:$BB$260,54,0)</f>
        <v>0.12</v>
      </c>
      <c r="E12" s="13">
        <f>$E$2*VLOOKUP(A12,Country_coverage1!$A$3:$BB$260,48,0)</f>
        <v>0.1</v>
      </c>
      <c r="F12">
        <f t="shared" si="0"/>
        <v>0.52</v>
      </c>
    </row>
    <row r="13" spans="1:6" x14ac:dyDescent="0.25">
      <c r="A13" t="s">
        <v>87</v>
      </c>
      <c r="B13">
        <f>$B$2*VLOOKUP(A13,Lexis_Claims!$E$2:$G$256,3,0)</f>
        <v>1.4999999999999999E-2</v>
      </c>
      <c r="C13">
        <f>$C$2*VLOOKUP(A13,Lexis_Citation!$A$1:$C$256,3,0)</f>
        <v>0.24</v>
      </c>
      <c r="D13">
        <f>$D$2*VLOOKUP(A13,Country_coverage1!$A$3:$BB$260,54,0)</f>
        <v>4.0000000000000008E-2</v>
      </c>
      <c r="E13" s="13">
        <f>$E$2*VLOOKUP(A13,Country_coverage1!$A$3:$BB$260,48,0)</f>
        <v>0</v>
      </c>
      <c r="F13">
        <f t="shared" si="0"/>
        <v>0.29500000000000004</v>
      </c>
    </row>
    <row r="14" spans="1:6" x14ac:dyDescent="0.25">
      <c r="A14" t="s">
        <v>93</v>
      </c>
      <c r="B14">
        <f>$B$2*VLOOKUP(A14,Lexis_Claims!$E$2:$G$256,3,0)</f>
        <v>1.4999999999999999E-2</v>
      </c>
      <c r="C14">
        <f>$C$2*VLOOKUP(A14,Lexis_Citation!$A$1:$C$256,3,0)</f>
        <v>2.0000000000000004E-2</v>
      </c>
      <c r="D14">
        <f>$D$2*VLOOKUP(A14,Country_coverage1!$A$3:$BB$260,54,0)</f>
        <v>1.0000000000000002E-2</v>
      </c>
      <c r="E14" s="13">
        <f>$E$2*VLOOKUP(A14,Country_coverage1!$A$3:$BB$260,48,0)</f>
        <v>0</v>
      </c>
      <c r="F14">
        <f t="shared" si="0"/>
        <v>4.5000000000000005E-2</v>
      </c>
    </row>
    <row r="15" spans="1:6" x14ac:dyDescent="0.25">
      <c r="A15" t="s">
        <v>100</v>
      </c>
      <c r="B15">
        <f>$B$2*VLOOKUP(A15,Lexis_Claims!$E$2:$G$256,3,0)</f>
        <v>0.3</v>
      </c>
      <c r="C15">
        <f>$C$2*VLOOKUP(A15,Lexis_Citation!$A$1:$C$256,3,0)</f>
        <v>2.0000000000000004E-2</v>
      </c>
      <c r="D15">
        <f>$D$2*VLOOKUP(A15,Country_coverage1!$A$3:$BB$260,54,0)</f>
        <v>0.12</v>
      </c>
      <c r="E15" s="13">
        <f>$E$2*VLOOKUP(A15,Country_coverage1!$A$3:$BB$260,48,0)</f>
        <v>0.1</v>
      </c>
      <c r="F15">
        <f t="shared" si="0"/>
        <v>0.54</v>
      </c>
    </row>
    <row r="16" spans="1:6" x14ac:dyDescent="0.25">
      <c r="A16" t="s">
        <v>106</v>
      </c>
      <c r="B16">
        <f>$B$2*VLOOKUP(A16,Lexis_Claims!$E$2:$G$256,3,0)</f>
        <v>1.4999999999999999E-2</v>
      </c>
      <c r="C16">
        <f>$C$2*VLOOKUP(A16,Lexis_Citation!$A$1:$C$256,3,0)</f>
        <v>2.0000000000000004E-2</v>
      </c>
      <c r="D16">
        <f>$D$2*VLOOKUP(A16,Country_coverage1!$A$3:$BB$260,54,0)</f>
        <v>1.0000000000000002E-2</v>
      </c>
      <c r="E16" s="13">
        <f>$E$2*VLOOKUP(A16,Country_coverage1!$A$3:$BB$260,48,0)</f>
        <v>0</v>
      </c>
      <c r="F16">
        <f t="shared" si="0"/>
        <v>4.5000000000000005E-2</v>
      </c>
    </row>
    <row r="17" spans="1:6" x14ac:dyDescent="0.25">
      <c r="A17" t="s">
        <v>110</v>
      </c>
      <c r="B17">
        <f>$B$2*VLOOKUP(A17,Lexis_Claims!$E$2:$G$256,3,0)</f>
        <v>1.4999999999999999E-2</v>
      </c>
      <c r="C17">
        <f>$C$2*VLOOKUP(A17,Lexis_Citation!$A$1:$C$256,3,0)</f>
        <v>2.0000000000000004E-2</v>
      </c>
      <c r="D17">
        <f>$D$2*VLOOKUP(A17,Country_coverage1!$A$3:$BB$260,54,0)</f>
        <v>1.0000000000000002E-2</v>
      </c>
      <c r="E17" s="13">
        <f>$E$2*VLOOKUP(A17,Country_coverage1!$A$3:$BB$260,48,0)</f>
        <v>0</v>
      </c>
      <c r="F17">
        <f t="shared" si="0"/>
        <v>4.5000000000000005E-2</v>
      </c>
    </row>
    <row r="18" spans="1:6" x14ac:dyDescent="0.25">
      <c r="A18" t="s">
        <v>115</v>
      </c>
      <c r="B18">
        <f>$B$2*VLOOKUP(A18,Lexis_Claims!$E$2:$G$256,3,0)</f>
        <v>0.06</v>
      </c>
      <c r="C18">
        <f>$C$2*VLOOKUP(A18,Lexis_Citation!$A$1:$C$256,3,0)</f>
        <v>8.0000000000000016E-2</v>
      </c>
      <c r="D18">
        <f>$D$2*VLOOKUP(A18,Country_coverage1!$A$3:$BB$260,54,0)</f>
        <v>1.0000000000000002E-2</v>
      </c>
      <c r="E18" s="13">
        <f>$E$2*VLOOKUP(A18,Country_coverage1!$A$3:$BB$260,48,0)</f>
        <v>0.1</v>
      </c>
      <c r="F18">
        <f t="shared" si="0"/>
        <v>0.25</v>
      </c>
    </row>
    <row r="19" spans="1:6" x14ac:dyDescent="0.25">
      <c r="A19" t="s">
        <v>122</v>
      </c>
      <c r="B19">
        <f>$B$2*VLOOKUP(A19,Lexis_Claims!$E$2:$G$256,3,0)</f>
        <v>1.4999999999999999E-2</v>
      </c>
      <c r="C19">
        <f>$C$2*VLOOKUP(A19,Lexis_Citation!$A$1:$C$256,3,0)</f>
        <v>2.0000000000000004E-2</v>
      </c>
      <c r="D19">
        <f>$D$2*VLOOKUP(A19,Country_coverage1!$A$3:$BB$260,54,0)</f>
        <v>1.0000000000000002E-2</v>
      </c>
      <c r="E19" s="13">
        <f>$E$2*VLOOKUP(A19,Country_coverage1!$A$3:$BB$260,48,0)</f>
        <v>0</v>
      </c>
      <c r="F19">
        <f t="shared" si="0"/>
        <v>4.5000000000000005E-2</v>
      </c>
    </row>
    <row r="20" spans="1:6" x14ac:dyDescent="0.25">
      <c r="A20" t="s">
        <v>127</v>
      </c>
      <c r="B20">
        <f>$B$2*VLOOKUP(A20,Lexis_Claims!$E$2:$G$256,3,0)</f>
        <v>1.4999999999999999E-2</v>
      </c>
      <c r="C20">
        <f>$C$2*VLOOKUP(A20,Lexis_Citation!$A$1:$C$256,3,0)</f>
        <v>2.0000000000000004E-2</v>
      </c>
      <c r="D20">
        <f>$D$2*VLOOKUP(A20,Country_coverage1!$A$3:$BB$260,54,0)</f>
        <v>1.0000000000000002E-2</v>
      </c>
      <c r="E20" s="13">
        <f>$E$2*VLOOKUP(A20,Country_coverage1!$A$3:$BB$260,48,0)</f>
        <v>0</v>
      </c>
      <c r="F20">
        <f t="shared" si="0"/>
        <v>4.5000000000000005E-2</v>
      </c>
    </row>
    <row r="21" spans="1:6" x14ac:dyDescent="0.25">
      <c r="A21" t="s">
        <v>131</v>
      </c>
      <c r="B21">
        <f>$B$2*VLOOKUP(A21,Lexis_Claims!$E$2:$G$256,3,0)</f>
        <v>0.18</v>
      </c>
      <c r="C21">
        <f>$C$2*VLOOKUP(A21,Lexis_Citation!$A$1:$C$256,3,0)</f>
        <v>2.0000000000000004E-2</v>
      </c>
      <c r="D21">
        <f>$D$2*VLOOKUP(A21,Country_coverage1!$A$3:$BB$260,54,0)</f>
        <v>1.0000000000000002E-2</v>
      </c>
      <c r="E21" s="13">
        <f>$E$2*VLOOKUP(A21,Country_coverage1!$A$3:$BB$260,48,0)</f>
        <v>0</v>
      </c>
      <c r="F21">
        <f t="shared" si="0"/>
        <v>0.21000000000000002</v>
      </c>
    </row>
    <row r="22" spans="1:6" x14ac:dyDescent="0.25">
      <c r="A22" t="s">
        <v>136</v>
      </c>
      <c r="B22">
        <f>$B$2*VLOOKUP(A22,Lexis_Claims!$E$2:$G$256,3,0)</f>
        <v>1.4999999999999999E-2</v>
      </c>
      <c r="C22">
        <f>$C$2*VLOOKUP(A22,Lexis_Citation!$A$1:$C$256,3,0)</f>
        <v>2.0000000000000004E-2</v>
      </c>
      <c r="D22">
        <f>$D$2*VLOOKUP(A22,Country_coverage1!$A$3:$BB$260,54,0)</f>
        <v>1.0000000000000002E-2</v>
      </c>
      <c r="E22" s="13">
        <f>$E$2*VLOOKUP(A22,Country_coverage1!$A$3:$BB$260,48,0)</f>
        <v>0</v>
      </c>
      <c r="F22">
        <f t="shared" si="0"/>
        <v>4.5000000000000005E-2</v>
      </c>
    </row>
    <row r="23" spans="1:6" x14ac:dyDescent="0.25">
      <c r="A23" t="s">
        <v>143</v>
      </c>
      <c r="B23">
        <f>$B$2*VLOOKUP(A23,Lexis_Claims!$E$2:$G$256,3,0)</f>
        <v>0.255</v>
      </c>
      <c r="C23">
        <f>$C$2*VLOOKUP(A23,Lexis_Citation!$A$1:$C$256,3,0)</f>
        <v>0.24</v>
      </c>
      <c r="D23">
        <f>$D$2*VLOOKUP(A23,Country_coverage1!$A$3:$BB$260,54,0)</f>
        <v>0.17</v>
      </c>
      <c r="E23" s="13">
        <f>$E$2*VLOOKUP(A23,Country_coverage1!$A$3:$BB$260,48,0)</f>
        <v>0</v>
      </c>
      <c r="F23">
        <f t="shared" si="0"/>
        <v>0.66500000000000004</v>
      </c>
    </row>
    <row r="24" spans="1:6" x14ac:dyDescent="0.25">
      <c r="A24" t="s">
        <v>150</v>
      </c>
      <c r="B24">
        <f>$B$2*VLOOKUP(A24,Lexis_Claims!$E$2:$G$256,3,0)</f>
        <v>1.4999999999999999E-2</v>
      </c>
      <c r="C24">
        <f>$C$2*VLOOKUP(A24,Lexis_Citation!$A$1:$C$256,3,0)</f>
        <v>2.0000000000000004E-2</v>
      </c>
      <c r="D24">
        <f>$D$2*VLOOKUP(A24,Country_coverage1!$A$3:$BB$260,54,0)</f>
        <v>1.0000000000000002E-2</v>
      </c>
      <c r="E24" s="13">
        <f>$E$2*VLOOKUP(A24,Country_coverage1!$A$3:$BB$260,48,0)</f>
        <v>0</v>
      </c>
      <c r="F24">
        <f t="shared" si="0"/>
        <v>4.5000000000000005E-2</v>
      </c>
    </row>
    <row r="25" spans="1:6" x14ac:dyDescent="0.25">
      <c r="A25" t="s">
        <v>153</v>
      </c>
      <c r="B25">
        <f>$B$2*VLOOKUP(A25,Lexis_Claims!$E$2:$G$256,3,0)</f>
        <v>1.4999999999999999E-2</v>
      </c>
      <c r="C25">
        <f>$C$2*VLOOKUP(A25,Lexis_Citation!$A$1:$C$256,3,0)</f>
        <v>2.0000000000000004E-2</v>
      </c>
      <c r="D25">
        <f>$D$2*VLOOKUP(A25,Country_coverage1!$A$3:$BB$260,54,0)</f>
        <v>1.0000000000000002E-2</v>
      </c>
      <c r="E25" s="13">
        <f>$E$2*VLOOKUP(A25,Country_coverage1!$A$3:$BB$260,48,0)</f>
        <v>0</v>
      </c>
      <c r="F25">
        <f t="shared" si="0"/>
        <v>4.5000000000000005E-2</v>
      </c>
    </row>
    <row r="26" spans="1:6" x14ac:dyDescent="0.25">
      <c r="A26" t="s">
        <v>160</v>
      </c>
      <c r="B26">
        <f>$B$2*VLOOKUP(A26,Lexis_Claims!$E$2:$G$256,3,0)</f>
        <v>1.4999999999999999E-2</v>
      </c>
      <c r="C26">
        <f>$C$2*VLOOKUP(A26,Lexis_Citation!$A$1:$C$256,3,0)</f>
        <v>2.0000000000000004E-2</v>
      </c>
      <c r="D26">
        <f>$D$2*VLOOKUP(A26,Country_coverage1!$A$3:$BB$260,54,0)</f>
        <v>1.0000000000000002E-2</v>
      </c>
      <c r="E26" s="13">
        <f>$E$2*VLOOKUP(A26,Country_coverage1!$A$3:$BB$260,48,0)</f>
        <v>0.1</v>
      </c>
      <c r="F26">
        <f t="shared" si="0"/>
        <v>0.14500000000000002</v>
      </c>
    </row>
    <row r="27" spans="1:6" x14ac:dyDescent="0.25">
      <c r="A27" t="s">
        <v>168</v>
      </c>
      <c r="B27">
        <f>$B$2*VLOOKUP(A27,Lexis_Claims!$E$2:$G$256,3,0)</f>
        <v>1.4999999999999999E-2</v>
      </c>
      <c r="C27">
        <f>$C$2*VLOOKUP(A27,Lexis_Citation!$A$1:$C$256,3,0)</f>
        <v>2.0000000000000004E-2</v>
      </c>
      <c r="D27">
        <f>$D$2*VLOOKUP(A27,Country_coverage1!$A$3:$BB$260,54,0)</f>
        <v>1.0000000000000002E-2</v>
      </c>
      <c r="E27" s="13">
        <f>$E$2*VLOOKUP(A27,Country_coverage1!$A$3:$BB$260,48,0)</f>
        <v>0.1</v>
      </c>
      <c r="F27">
        <f t="shared" si="0"/>
        <v>0.14500000000000002</v>
      </c>
    </row>
    <row r="28" spans="1:6" x14ac:dyDescent="0.25">
      <c r="A28" t="s">
        <v>172</v>
      </c>
      <c r="B28">
        <f>$B$2*VLOOKUP(A28,Lexis_Claims!$E$2:$G$256,3,0)</f>
        <v>1.4999999999999999E-2</v>
      </c>
      <c r="C28">
        <f>$C$2*VLOOKUP(A28,Lexis_Citation!$A$1:$C$256,3,0)</f>
        <v>2.0000000000000004E-2</v>
      </c>
      <c r="D28">
        <f>$D$2*VLOOKUP(A28,Country_coverage1!$A$3:$BB$260,54,0)</f>
        <v>1.0000000000000002E-2</v>
      </c>
      <c r="E28" s="13">
        <f>$E$2*VLOOKUP(A28,Country_coverage1!$A$3:$BB$260,48,0)</f>
        <v>0</v>
      </c>
      <c r="F28">
        <f t="shared" si="0"/>
        <v>4.5000000000000005E-2</v>
      </c>
    </row>
    <row r="29" spans="1:6" x14ac:dyDescent="0.25">
      <c r="A29" t="s">
        <v>177</v>
      </c>
      <c r="B29">
        <f>$B$2*VLOOKUP(A29,Lexis_Claims!$E$2:$G$256,3,0)</f>
        <v>1.4999999999999999E-2</v>
      </c>
      <c r="C29">
        <f>$C$2*VLOOKUP(A29,Lexis_Citation!$A$1:$C$256,3,0)</f>
        <v>2.0000000000000004E-2</v>
      </c>
      <c r="D29">
        <f>$D$2*VLOOKUP(A29,Country_coverage1!$A$3:$BB$260,54,0)</f>
        <v>1.0000000000000002E-2</v>
      </c>
      <c r="E29" s="13">
        <f>$E$2*VLOOKUP(A29,Country_coverage1!$A$3:$BB$260,48,0)</f>
        <v>0</v>
      </c>
      <c r="F29">
        <f t="shared" si="0"/>
        <v>4.5000000000000005E-2</v>
      </c>
    </row>
    <row r="30" spans="1:6" x14ac:dyDescent="0.25">
      <c r="A30" t="s">
        <v>180</v>
      </c>
      <c r="B30">
        <f>$B$2*VLOOKUP(A30,Lexis_Claims!$E$2:$G$256,3,0)</f>
        <v>1.4999999999999999E-2</v>
      </c>
      <c r="C30">
        <f>$C$2*VLOOKUP(A30,Lexis_Citation!$A$1:$C$256,3,0)</f>
        <v>2.0000000000000004E-2</v>
      </c>
      <c r="D30">
        <f>$D$2*VLOOKUP(A30,Country_coverage1!$A$3:$BB$260,54,0)</f>
        <v>1.0000000000000002E-2</v>
      </c>
      <c r="E30" s="13">
        <f>$E$2*VLOOKUP(A30,Country_coverage1!$A$3:$BB$260,48,0)</f>
        <v>0</v>
      </c>
      <c r="F30">
        <f t="shared" si="0"/>
        <v>4.5000000000000005E-2</v>
      </c>
    </row>
    <row r="31" spans="1:6" x14ac:dyDescent="0.25">
      <c r="A31" t="s">
        <v>183</v>
      </c>
      <c r="B31">
        <f>$B$2*VLOOKUP(A31,Lexis_Claims!$E$2:$G$256,3,0)</f>
        <v>1.4999999999999999E-2</v>
      </c>
      <c r="C31">
        <f>$C$2*VLOOKUP(A31,Lexis_Citation!$A$1:$C$256,3,0)</f>
        <v>2.0000000000000004E-2</v>
      </c>
      <c r="D31">
        <f>$D$2*VLOOKUP(A31,Country_coverage1!$A$3:$BB$260,54,0)</f>
        <v>1.0000000000000002E-2</v>
      </c>
      <c r="E31" s="13">
        <f>$E$2*VLOOKUP(A31,Country_coverage1!$A$3:$BB$260,48,0)</f>
        <v>0</v>
      </c>
      <c r="F31">
        <f t="shared" si="0"/>
        <v>4.5000000000000005E-2</v>
      </c>
    </row>
    <row r="32" spans="1:6" x14ac:dyDescent="0.25">
      <c r="A32" t="s">
        <v>186</v>
      </c>
      <c r="B32">
        <f>$B$2*VLOOKUP(A32,Lexis_Claims!$E$2:$G$256,3,0)</f>
        <v>1.4999999999999999E-2</v>
      </c>
      <c r="C32">
        <f>$C$2*VLOOKUP(A32,Lexis_Citation!$A$1:$C$256,3,0)</f>
        <v>2.0000000000000004E-2</v>
      </c>
      <c r="D32">
        <f>$D$2*VLOOKUP(A32,Country_coverage1!$A$3:$BB$260,54,0)</f>
        <v>1.0000000000000002E-2</v>
      </c>
      <c r="E32" s="13">
        <f>$E$2*VLOOKUP(A32,Country_coverage1!$A$3:$BB$260,48,0)</f>
        <v>0</v>
      </c>
      <c r="F32">
        <f t="shared" si="0"/>
        <v>4.5000000000000005E-2</v>
      </c>
    </row>
    <row r="33" spans="1:6" x14ac:dyDescent="0.25">
      <c r="A33" t="s">
        <v>191</v>
      </c>
      <c r="B33">
        <f>$B$2*VLOOKUP(A33,Lexis_Claims!$E$2:$G$256,3,0)</f>
        <v>0.06</v>
      </c>
      <c r="C33">
        <f>$C$2*VLOOKUP(A33,Lexis_Citation!$A$1:$C$256,3,0)</f>
        <v>2.0000000000000004E-2</v>
      </c>
      <c r="D33">
        <f>$D$2*VLOOKUP(A33,Country_coverage1!$A$3:$BB$260,54,0)</f>
        <v>1.0000000000000002E-2</v>
      </c>
      <c r="E33" s="13">
        <f>$E$2*VLOOKUP(A33,Country_coverage1!$A$3:$BB$260,48,0)</f>
        <v>0</v>
      </c>
      <c r="F33">
        <f t="shared" si="0"/>
        <v>0.09</v>
      </c>
    </row>
    <row r="34" spans="1:6" x14ac:dyDescent="0.25">
      <c r="A34" t="s">
        <v>196</v>
      </c>
      <c r="B34">
        <f>$B$2*VLOOKUP(A34,Lexis_Claims!$E$2:$G$256,3,0)</f>
        <v>1.4999999999999999E-2</v>
      </c>
      <c r="C34">
        <f>$C$2*VLOOKUP(A34,Lexis_Citation!$A$1:$C$256,3,0)</f>
        <v>2.0000000000000004E-2</v>
      </c>
      <c r="D34">
        <f>$D$2*VLOOKUP(A34,Country_coverage1!$A$3:$BB$260,54,0)</f>
        <v>1.0000000000000002E-2</v>
      </c>
      <c r="E34" s="13">
        <f>$E$2*VLOOKUP(A34,Country_coverage1!$A$3:$BB$260,48,0)</f>
        <v>0</v>
      </c>
      <c r="F34">
        <f t="shared" si="0"/>
        <v>4.5000000000000005E-2</v>
      </c>
    </row>
    <row r="35" spans="1:6" x14ac:dyDescent="0.25">
      <c r="A35" t="s">
        <v>200</v>
      </c>
      <c r="B35">
        <f>$B$2*VLOOKUP(A35,Lexis_Claims!$E$2:$G$256,3,0)</f>
        <v>1.4999999999999999E-2</v>
      </c>
      <c r="C35">
        <f>$C$2*VLOOKUP(A35,Lexis_Citation!$A$1:$C$256,3,0)</f>
        <v>2.0000000000000004E-2</v>
      </c>
      <c r="D35">
        <f>$D$2*VLOOKUP(A35,Country_coverage1!$A$3:$BB$260,54,0)</f>
        <v>1.0000000000000002E-2</v>
      </c>
      <c r="E35" s="13">
        <f>$E$2*VLOOKUP(A35,Country_coverage1!$A$3:$BB$260,48,0)</f>
        <v>0</v>
      </c>
      <c r="F35">
        <f t="shared" si="0"/>
        <v>4.5000000000000005E-2</v>
      </c>
    </row>
    <row r="36" spans="1:6" x14ac:dyDescent="0.25">
      <c r="A36" t="s">
        <v>204</v>
      </c>
      <c r="B36">
        <f>$B$2*VLOOKUP(A36,Lexis_Claims!$E$2:$G$256,3,0)</f>
        <v>1.4999999999999999E-2</v>
      </c>
      <c r="C36">
        <f>$C$2*VLOOKUP(A36,Lexis_Citation!$A$1:$C$256,3,0)</f>
        <v>2.0000000000000004E-2</v>
      </c>
      <c r="D36">
        <f>$D$2*VLOOKUP(A36,Country_coverage1!$A$3:$BB$260,54,0)</f>
        <v>1.0000000000000002E-2</v>
      </c>
      <c r="E36" s="13">
        <f>$E$2*VLOOKUP(A36,Country_coverage1!$A$3:$BB$260,48,0)</f>
        <v>0</v>
      </c>
      <c r="F36">
        <f t="shared" si="0"/>
        <v>4.5000000000000005E-2</v>
      </c>
    </row>
    <row r="37" spans="1:6" x14ac:dyDescent="0.25">
      <c r="A37" t="s">
        <v>208</v>
      </c>
      <c r="B37">
        <f>$B$2*VLOOKUP(A37,Lexis_Claims!$E$2:$G$256,3,0)</f>
        <v>1.4999999999999999E-2</v>
      </c>
      <c r="C37">
        <f>$C$2*VLOOKUP(A37,Lexis_Citation!$A$1:$C$256,3,0)</f>
        <v>2.0000000000000004E-2</v>
      </c>
      <c r="D37">
        <f>$D$2*VLOOKUP(A37,Country_coverage1!$A$3:$BB$260,54,0)</f>
        <v>1.0000000000000002E-2</v>
      </c>
      <c r="E37" s="13">
        <f>$E$2*VLOOKUP(A37,Country_coverage1!$A$3:$BB$260,48,0)</f>
        <v>0</v>
      </c>
      <c r="F37">
        <f t="shared" si="0"/>
        <v>4.5000000000000005E-2</v>
      </c>
    </row>
    <row r="38" spans="1:6" x14ac:dyDescent="0.25">
      <c r="A38" t="s">
        <v>211</v>
      </c>
      <c r="B38">
        <f>$B$2*VLOOKUP(A38,Lexis_Claims!$E$2:$G$256,3,0)</f>
        <v>1.4999999999999999E-2</v>
      </c>
      <c r="C38">
        <f>$C$2*VLOOKUP(A38,Lexis_Citation!$A$1:$C$256,3,0)</f>
        <v>2.0000000000000004E-2</v>
      </c>
      <c r="D38">
        <f>$D$2*VLOOKUP(A38,Country_coverage1!$A$3:$BB$260,54,0)</f>
        <v>1.0000000000000002E-2</v>
      </c>
      <c r="E38" s="13">
        <f>$E$2*VLOOKUP(A38,Country_coverage1!$A$3:$BB$260,48,0)</f>
        <v>0</v>
      </c>
      <c r="F38">
        <f t="shared" si="0"/>
        <v>4.5000000000000005E-2</v>
      </c>
    </row>
    <row r="39" spans="1:6" x14ac:dyDescent="0.25">
      <c r="A39" t="s">
        <v>213</v>
      </c>
      <c r="B39">
        <f>$B$2*VLOOKUP(A39,Lexis_Claims!$E$2:$G$256,3,0)</f>
        <v>1.4999999999999999E-2</v>
      </c>
      <c r="C39">
        <f>$C$2*VLOOKUP(A39,Lexis_Citation!$A$1:$C$256,3,0)</f>
        <v>2.0000000000000004E-2</v>
      </c>
      <c r="D39">
        <f>$D$2*VLOOKUP(A39,Country_coverage1!$A$3:$BB$260,54,0)</f>
        <v>1.0000000000000002E-2</v>
      </c>
      <c r="E39" s="13">
        <f>$E$2*VLOOKUP(A39,Country_coverage1!$A$3:$BB$260,48,0)</f>
        <v>0</v>
      </c>
      <c r="F39">
        <f t="shared" si="0"/>
        <v>4.5000000000000005E-2</v>
      </c>
    </row>
    <row r="40" spans="1:6" x14ac:dyDescent="0.25">
      <c r="A40" t="s">
        <v>215</v>
      </c>
      <c r="B40">
        <f>$B$2*VLOOKUP(A40,Lexis_Claims!$E$2:$G$256,3,0)</f>
        <v>1.4999999999999999E-2</v>
      </c>
      <c r="C40">
        <f>$C$2*VLOOKUP(A40,Lexis_Citation!$A$1:$C$256,3,0)</f>
        <v>2.0000000000000004E-2</v>
      </c>
      <c r="D40">
        <f>$D$2*VLOOKUP(A40,Country_coverage1!$A$3:$BB$260,54,0)</f>
        <v>1.0000000000000002E-2</v>
      </c>
      <c r="E40" s="13">
        <f>$E$2*VLOOKUP(A40,Country_coverage1!$A$3:$BB$260,48,0)</f>
        <v>0</v>
      </c>
      <c r="F40">
        <f t="shared" si="0"/>
        <v>4.5000000000000005E-2</v>
      </c>
    </row>
    <row r="41" spans="1:6" x14ac:dyDescent="0.25">
      <c r="A41" t="s">
        <v>217</v>
      </c>
      <c r="B41">
        <f>$B$2*VLOOKUP(A41,Lexis_Claims!$E$2:$G$256,3,0)</f>
        <v>1.4999999999999999E-2</v>
      </c>
      <c r="C41">
        <f>$C$2*VLOOKUP(A41,Lexis_Citation!$A$1:$C$256,3,0)</f>
        <v>2.0000000000000004E-2</v>
      </c>
      <c r="D41">
        <f>$D$2*VLOOKUP(A41,Country_coverage1!$A$3:$BB$260,54,0)</f>
        <v>1.0000000000000002E-2</v>
      </c>
      <c r="E41" s="13">
        <f>$E$2*VLOOKUP(A41,Country_coverage1!$A$3:$BB$260,48,0)</f>
        <v>0</v>
      </c>
      <c r="F41">
        <f t="shared" si="0"/>
        <v>4.5000000000000005E-2</v>
      </c>
    </row>
    <row r="42" spans="1:6" x14ac:dyDescent="0.25">
      <c r="A42" t="s">
        <v>219</v>
      </c>
      <c r="B42">
        <f>$B$2*VLOOKUP(A42,Lexis_Claims!$E$2:$G$256,3,0)</f>
        <v>1.4999999999999999E-2</v>
      </c>
      <c r="C42">
        <f>$C$2*VLOOKUP(A42,Lexis_Citation!$A$1:$C$256,3,0)</f>
        <v>2.0000000000000004E-2</v>
      </c>
      <c r="D42">
        <f>$D$2*VLOOKUP(A42,Country_coverage1!$A$3:$BB$260,54,0)</f>
        <v>1.0000000000000002E-2</v>
      </c>
      <c r="E42" s="13">
        <f>$E$2*VLOOKUP(A42,Country_coverage1!$A$3:$BB$260,48,0)</f>
        <v>0</v>
      </c>
      <c r="F42">
        <f t="shared" si="0"/>
        <v>4.5000000000000005E-2</v>
      </c>
    </row>
    <row r="43" spans="1:6" x14ac:dyDescent="0.25">
      <c r="A43" t="s">
        <v>221</v>
      </c>
      <c r="B43">
        <f>$B$2*VLOOKUP(A43,Lexis_Claims!$E$2:$G$256,3,0)</f>
        <v>1.4999999999999999E-2</v>
      </c>
      <c r="C43">
        <f>$C$2*VLOOKUP(A43,Lexis_Citation!$A$1:$C$256,3,0)</f>
        <v>2.0000000000000004E-2</v>
      </c>
      <c r="D43">
        <f>$D$2*VLOOKUP(A43,Country_coverage1!$A$3:$BB$260,54,0)</f>
        <v>1.0000000000000002E-2</v>
      </c>
      <c r="E43" s="13">
        <f>$E$2*VLOOKUP(A43,Country_coverage1!$A$3:$BB$260,48,0)</f>
        <v>0</v>
      </c>
      <c r="F43">
        <f t="shared" si="0"/>
        <v>4.5000000000000005E-2</v>
      </c>
    </row>
    <row r="44" spans="1:6" x14ac:dyDescent="0.25">
      <c r="A44" t="s">
        <v>227</v>
      </c>
      <c r="B44">
        <f>$B$2*VLOOKUP(A44,Lexis_Claims!$E$2:$G$256,3,0)</f>
        <v>1.4999999999999999E-2</v>
      </c>
      <c r="C44">
        <f>$C$2*VLOOKUP(A44,Lexis_Citation!$A$1:$C$256,3,0)</f>
        <v>2.0000000000000004E-2</v>
      </c>
      <c r="D44">
        <f>$D$2*VLOOKUP(A44,Country_coverage1!$A$3:$BB$260,54,0)</f>
        <v>1.0000000000000002E-2</v>
      </c>
      <c r="E44" s="13">
        <f>$E$2*VLOOKUP(A44,Country_coverage1!$A$3:$BB$260,48,0)</f>
        <v>0</v>
      </c>
      <c r="F44">
        <f t="shared" si="0"/>
        <v>4.5000000000000005E-2</v>
      </c>
    </row>
    <row r="45" spans="1:6" x14ac:dyDescent="0.25">
      <c r="A45" t="s">
        <v>233</v>
      </c>
      <c r="B45">
        <f>$B$2*VLOOKUP(A45,Lexis_Claims!$E$2:$G$256,3,0)</f>
        <v>0.18</v>
      </c>
      <c r="C45">
        <f>$C$2*VLOOKUP(A45,Lexis_Citation!$A$1:$C$256,3,0)</f>
        <v>2.0000000000000004E-2</v>
      </c>
      <c r="D45">
        <f>$D$2*VLOOKUP(A45,Country_coverage1!$A$3:$BB$260,54,0)</f>
        <v>1.0000000000000002E-2</v>
      </c>
      <c r="E45" s="13">
        <f>$E$2*VLOOKUP(A45,Country_coverage1!$A$3:$BB$260,48,0)</f>
        <v>0.1</v>
      </c>
      <c r="F45">
        <f t="shared" si="0"/>
        <v>0.31000000000000005</v>
      </c>
    </row>
    <row r="46" spans="1:6" x14ac:dyDescent="0.25">
      <c r="A46" t="s">
        <v>240</v>
      </c>
      <c r="B46">
        <f>$B$2*VLOOKUP(A46,Lexis_Claims!$E$2:$G$256,3,0)</f>
        <v>0.18</v>
      </c>
      <c r="C46">
        <f>$C$2*VLOOKUP(A46,Lexis_Citation!$A$1:$C$256,3,0)</f>
        <v>2.0000000000000004E-2</v>
      </c>
      <c r="D46">
        <f>$D$2*VLOOKUP(A46,Country_coverage1!$A$3:$BB$260,54,0)</f>
        <v>1.0000000000000002E-2</v>
      </c>
      <c r="E46" s="13">
        <f>$E$2*VLOOKUP(A46,Country_coverage1!$A$3:$BB$260,48,0)</f>
        <v>0.1</v>
      </c>
      <c r="F46">
        <f t="shared" si="0"/>
        <v>0.31000000000000005</v>
      </c>
    </row>
    <row r="47" spans="1:6" x14ac:dyDescent="0.25">
      <c r="A47" t="s">
        <v>245</v>
      </c>
      <c r="B47">
        <f>$B$2*VLOOKUP(A47,Lexis_Claims!$E$2:$G$256,3,0)</f>
        <v>0.18</v>
      </c>
      <c r="C47">
        <f>$C$2*VLOOKUP(A47,Lexis_Citation!$A$1:$C$256,3,0)</f>
        <v>2.0000000000000004E-2</v>
      </c>
      <c r="D47">
        <f>$D$2*VLOOKUP(A47,Country_coverage1!$A$3:$BB$260,54,0)</f>
        <v>1.0000000000000002E-2</v>
      </c>
      <c r="E47" s="13">
        <f>$E$2*VLOOKUP(A47,Country_coverage1!$A$3:$BB$260,48,0)</f>
        <v>0.1</v>
      </c>
      <c r="F47">
        <f t="shared" si="0"/>
        <v>0.31000000000000005</v>
      </c>
    </row>
    <row r="48" spans="1:6" x14ac:dyDescent="0.25">
      <c r="A48" t="s">
        <v>248</v>
      </c>
      <c r="B48">
        <f>$B$2*VLOOKUP(A48,Lexis_Claims!$E$2:$G$256,3,0)</f>
        <v>0.06</v>
      </c>
      <c r="C48">
        <f>$C$2*VLOOKUP(A48,Lexis_Citation!$A$1:$C$256,3,0)</f>
        <v>2.0000000000000004E-2</v>
      </c>
      <c r="D48">
        <f>$D$2*VLOOKUP(A48,Country_coverage1!$A$3:$BB$260,54,0)</f>
        <v>1.0000000000000002E-2</v>
      </c>
      <c r="E48" s="13">
        <f>$E$2*VLOOKUP(A48,Country_coverage1!$A$3:$BB$260,48,0)</f>
        <v>0</v>
      </c>
      <c r="F48">
        <f t="shared" si="0"/>
        <v>0.09</v>
      </c>
    </row>
    <row r="49" spans="1:6" x14ac:dyDescent="0.25">
      <c r="A49" t="s">
        <v>254</v>
      </c>
      <c r="B49">
        <f>$B$2*VLOOKUP(A49,Lexis_Claims!$E$2:$G$256,3,0)</f>
        <v>0.18</v>
      </c>
      <c r="C49">
        <f>$C$2*VLOOKUP(A49,Lexis_Citation!$A$1:$C$256,3,0)</f>
        <v>2.0000000000000004E-2</v>
      </c>
      <c r="D49">
        <f>$D$2*VLOOKUP(A49,Country_coverage1!$A$3:$BB$260,54,0)</f>
        <v>4.0000000000000008E-2</v>
      </c>
      <c r="E49" s="13">
        <f>$E$2*VLOOKUP(A49,Country_coverage1!$A$3:$BB$260,48,0)</f>
        <v>0.1</v>
      </c>
      <c r="F49">
        <f t="shared" si="0"/>
        <v>0.34</v>
      </c>
    </row>
    <row r="50" spans="1:6" x14ac:dyDescent="0.25">
      <c r="A50" t="s">
        <v>260</v>
      </c>
      <c r="B50">
        <f>$B$2*VLOOKUP(A50,Lexis_Claims!$E$2:$G$256,3,0)</f>
        <v>1.4999999999999999E-2</v>
      </c>
      <c r="C50">
        <f>$C$2*VLOOKUP(A50,Lexis_Citation!$A$1:$C$256,3,0)</f>
        <v>2.0000000000000004E-2</v>
      </c>
      <c r="D50">
        <f>$D$2*VLOOKUP(A50,Country_coverage1!$A$3:$BB$260,54,0)</f>
        <v>4.0000000000000008E-2</v>
      </c>
      <c r="E50" s="13">
        <f>$E$2*VLOOKUP(A50,Country_coverage1!$A$3:$BB$260,48,0)</f>
        <v>0.1</v>
      </c>
      <c r="F50">
        <f t="shared" si="0"/>
        <v>0.17500000000000002</v>
      </c>
    </row>
    <row r="51" spans="1:6" x14ac:dyDescent="0.25">
      <c r="A51" t="s">
        <v>266</v>
      </c>
      <c r="B51">
        <f>$B$2*VLOOKUP(A51,Lexis_Claims!$E$2:$G$256,3,0)</f>
        <v>1.4999999999999999E-2</v>
      </c>
      <c r="C51">
        <f>$C$2*VLOOKUP(A51,Lexis_Citation!$A$1:$C$256,3,0)</f>
        <v>2.0000000000000004E-2</v>
      </c>
      <c r="D51">
        <f>$D$2*VLOOKUP(A51,Country_coverage1!$A$3:$BB$260,54,0)</f>
        <v>1.0000000000000002E-2</v>
      </c>
      <c r="E51" s="13">
        <f>$E$2*VLOOKUP(A51,Country_coverage1!$A$3:$BB$260,48,0)</f>
        <v>0</v>
      </c>
      <c r="F51">
        <f t="shared" si="0"/>
        <v>4.5000000000000005E-2</v>
      </c>
    </row>
    <row r="52" spans="1:6" x14ac:dyDescent="0.25">
      <c r="A52" t="s">
        <v>271</v>
      </c>
      <c r="B52">
        <f>$B$2*VLOOKUP(A52,Lexis_Claims!$E$2:$G$256,3,0)</f>
        <v>0.06</v>
      </c>
      <c r="C52">
        <f>$C$2*VLOOKUP(A52,Lexis_Citation!$A$1:$C$256,3,0)</f>
        <v>2.0000000000000004E-2</v>
      </c>
      <c r="D52">
        <f>$D$2*VLOOKUP(A52,Country_coverage1!$A$3:$BB$260,54,0)</f>
        <v>1.0000000000000002E-2</v>
      </c>
      <c r="E52" s="13">
        <f>$E$2*VLOOKUP(A52,Country_coverage1!$A$3:$BB$260,48,0)</f>
        <v>0</v>
      </c>
      <c r="F52">
        <f t="shared" si="0"/>
        <v>0.09</v>
      </c>
    </row>
    <row r="53" spans="1:6" x14ac:dyDescent="0.25">
      <c r="A53" t="s">
        <v>276</v>
      </c>
      <c r="B53">
        <f>$B$2*VLOOKUP(A53,Lexis_Claims!$E$2:$G$256,3,0)</f>
        <v>1.4999999999999999E-2</v>
      </c>
      <c r="C53">
        <f>$C$2*VLOOKUP(A53,Lexis_Citation!$A$1:$C$256,3,0)</f>
        <v>2.0000000000000004E-2</v>
      </c>
      <c r="D53">
        <f>$D$2*VLOOKUP(A53,Country_coverage1!$A$3:$BB$260,54,0)</f>
        <v>1.0000000000000002E-2</v>
      </c>
      <c r="E53" s="13">
        <f>$E$2*VLOOKUP(A53,Country_coverage1!$A$3:$BB$260,48,0)</f>
        <v>0</v>
      </c>
      <c r="F53">
        <f t="shared" si="0"/>
        <v>4.5000000000000005E-2</v>
      </c>
    </row>
    <row r="54" spans="1:6" x14ac:dyDescent="0.25">
      <c r="A54" t="s">
        <v>283</v>
      </c>
      <c r="B54">
        <f>$B$2*VLOOKUP(A54,Lexis_Claims!$E$2:$G$256,3,0)</f>
        <v>1.4999999999999999E-2</v>
      </c>
      <c r="C54">
        <f>$C$2*VLOOKUP(A54,Lexis_Citation!$A$1:$C$256,3,0)</f>
        <v>2.0000000000000004E-2</v>
      </c>
      <c r="D54">
        <f>$D$2*VLOOKUP(A54,Country_coverage1!$A$3:$BB$260,54,0)</f>
        <v>0.12</v>
      </c>
      <c r="E54" s="13">
        <f>$E$2*VLOOKUP(A54,Country_coverage1!$A$3:$BB$260,48,0)</f>
        <v>0.1</v>
      </c>
      <c r="F54">
        <f t="shared" si="0"/>
        <v>0.255</v>
      </c>
    </row>
    <row r="55" spans="1:6" x14ac:dyDescent="0.25">
      <c r="A55" t="s">
        <v>291</v>
      </c>
      <c r="B55">
        <f>$B$2*VLOOKUP(A55,Lexis_Claims!$E$2:$G$256,3,0)</f>
        <v>0.06</v>
      </c>
      <c r="C55">
        <f>$C$2*VLOOKUP(A55,Lexis_Citation!$A$1:$C$256,3,0)</f>
        <v>2.0000000000000004E-2</v>
      </c>
      <c r="D55">
        <f>$D$2*VLOOKUP(A55,Country_coverage1!$A$3:$BB$260,54,0)</f>
        <v>4.0000000000000008E-2</v>
      </c>
      <c r="E55" s="13">
        <f>$E$2*VLOOKUP(A55,Country_coverage1!$A$3:$BB$260,48,0)</f>
        <v>0.1</v>
      </c>
      <c r="F55">
        <f t="shared" si="0"/>
        <v>0.22000000000000003</v>
      </c>
    </row>
    <row r="56" spans="1:6" x14ac:dyDescent="0.25">
      <c r="A56" t="s">
        <v>296</v>
      </c>
      <c r="B56">
        <f>$B$2*VLOOKUP(A56,Lexis_Claims!$E$2:$G$256,3,0)</f>
        <v>0.18</v>
      </c>
      <c r="C56">
        <f>$C$2*VLOOKUP(A56,Lexis_Citation!$A$1:$C$256,3,0)</f>
        <v>2.0000000000000004E-2</v>
      </c>
      <c r="D56">
        <f>$D$2*VLOOKUP(A56,Country_coverage1!$A$3:$BB$260,54,0)</f>
        <v>4.0000000000000008E-2</v>
      </c>
      <c r="E56" s="13">
        <f>$E$2*VLOOKUP(A56,Country_coverage1!$A$3:$BB$260,48,0)</f>
        <v>0.1</v>
      </c>
      <c r="F56">
        <f t="shared" si="0"/>
        <v>0.34</v>
      </c>
    </row>
    <row r="57" spans="1:6" x14ac:dyDescent="0.25">
      <c r="A57" t="s">
        <v>302</v>
      </c>
      <c r="B57">
        <f>$B$2*VLOOKUP(A57,Lexis_Claims!$E$2:$G$256,3,0)</f>
        <v>0.18</v>
      </c>
      <c r="C57">
        <f>$C$2*VLOOKUP(A57,Lexis_Citation!$A$1:$C$256,3,0)</f>
        <v>2.0000000000000004E-2</v>
      </c>
      <c r="D57">
        <f>$D$2*VLOOKUP(A57,Country_coverage1!$A$3:$BB$260,54,0)</f>
        <v>4.0000000000000008E-2</v>
      </c>
      <c r="E57" s="13">
        <f>$E$2*VLOOKUP(A57,Country_coverage1!$A$3:$BB$260,48,0)</f>
        <v>0.1</v>
      </c>
      <c r="F57">
        <f t="shared" si="0"/>
        <v>0.34</v>
      </c>
    </row>
    <row r="58" spans="1:6" x14ac:dyDescent="0.25">
      <c r="A58" t="s">
        <v>307</v>
      </c>
      <c r="B58">
        <f>$B$2*VLOOKUP(A58,Lexis_Claims!$E$2:$G$256,3,0)</f>
        <v>0.18</v>
      </c>
      <c r="C58">
        <f>$C$2*VLOOKUP(A58,Lexis_Citation!$A$1:$C$256,3,0)</f>
        <v>2.0000000000000004E-2</v>
      </c>
      <c r="D58">
        <f>$D$2*VLOOKUP(A58,Country_coverage1!$A$3:$BB$260,54,0)</f>
        <v>4.0000000000000008E-2</v>
      </c>
      <c r="E58" s="13">
        <f>$E$2*VLOOKUP(A58,Country_coverage1!$A$3:$BB$260,48,0)</f>
        <v>0.1</v>
      </c>
      <c r="F58">
        <f t="shared" si="0"/>
        <v>0.34</v>
      </c>
    </row>
    <row r="59" spans="1:6" x14ac:dyDescent="0.25">
      <c r="A59" t="s">
        <v>311</v>
      </c>
      <c r="B59">
        <f>$B$2*VLOOKUP(A59,Lexis_Claims!$E$2:$G$256,3,0)</f>
        <v>0.06</v>
      </c>
      <c r="C59">
        <f>$C$2*VLOOKUP(A59,Lexis_Citation!$A$1:$C$256,3,0)</f>
        <v>2.0000000000000004E-2</v>
      </c>
      <c r="D59">
        <f>$D$2*VLOOKUP(A59,Country_coverage1!$A$3:$BB$260,54,0)</f>
        <v>1.0000000000000002E-2</v>
      </c>
      <c r="E59" s="13">
        <f>$E$2*VLOOKUP(A59,Country_coverage1!$A$3:$BB$260,48,0)</f>
        <v>0</v>
      </c>
      <c r="F59">
        <f t="shared" si="0"/>
        <v>0.09</v>
      </c>
    </row>
    <row r="60" spans="1:6" x14ac:dyDescent="0.25">
      <c r="A60" t="s">
        <v>317</v>
      </c>
      <c r="B60">
        <f>$B$2*VLOOKUP(A60,Lexis_Claims!$E$2:$G$256,3,0)</f>
        <v>0.06</v>
      </c>
      <c r="C60">
        <f>$C$2*VLOOKUP(A60,Lexis_Citation!$A$1:$C$256,3,0)</f>
        <v>2.0000000000000004E-2</v>
      </c>
      <c r="D60">
        <f>$D$2*VLOOKUP(A60,Country_coverage1!$A$3:$BB$260,54,0)</f>
        <v>1.0000000000000002E-2</v>
      </c>
      <c r="E60" s="13">
        <f>$E$2*VLOOKUP(A60,Country_coverage1!$A$3:$BB$260,48,0)</f>
        <v>0.1</v>
      </c>
      <c r="F60">
        <f t="shared" si="0"/>
        <v>0.19</v>
      </c>
    </row>
    <row r="61" spans="1:6" x14ac:dyDescent="0.25">
      <c r="A61" t="s">
        <v>325</v>
      </c>
      <c r="B61">
        <f>$B$2*VLOOKUP(A61,Lexis_Claims!$E$2:$G$256,3,0)</f>
        <v>0.18</v>
      </c>
      <c r="C61">
        <f>$C$2*VLOOKUP(A61,Lexis_Citation!$A$1:$C$256,3,0)</f>
        <v>2.0000000000000004E-2</v>
      </c>
      <c r="D61">
        <f>$D$2*VLOOKUP(A61,Country_coverage1!$A$3:$BB$260,54,0)</f>
        <v>0.12</v>
      </c>
      <c r="E61" s="13">
        <f>$E$2*VLOOKUP(A61,Country_coverage1!$A$3:$BB$260,48,0)</f>
        <v>0.1</v>
      </c>
      <c r="F61">
        <f t="shared" si="0"/>
        <v>0.42000000000000004</v>
      </c>
    </row>
    <row r="62" spans="1:6" x14ac:dyDescent="0.25">
      <c r="A62" t="s">
        <v>331</v>
      </c>
      <c r="B62">
        <f>$B$2*VLOOKUP(A62,Lexis_Claims!$E$2:$G$256,3,0)</f>
        <v>0.06</v>
      </c>
      <c r="C62">
        <f>$C$2*VLOOKUP(A62,Lexis_Citation!$A$1:$C$256,3,0)</f>
        <v>2.0000000000000004E-2</v>
      </c>
      <c r="D62">
        <f>$D$2*VLOOKUP(A62,Country_coverage1!$A$3:$BB$260,54,0)</f>
        <v>1.0000000000000002E-2</v>
      </c>
      <c r="E62" s="13">
        <f>$E$2*VLOOKUP(A62,Country_coverage1!$A$3:$BB$260,48,0)</f>
        <v>0</v>
      </c>
      <c r="F62">
        <f t="shared" si="0"/>
        <v>0.09</v>
      </c>
    </row>
    <row r="63" spans="1:6" x14ac:dyDescent="0.25">
      <c r="A63" t="s">
        <v>335</v>
      </c>
      <c r="B63">
        <f>$B$2*VLOOKUP(A63,Lexis_Claims!$E$2:$G$256,3,0)</f>
        <v>1.4999999999999999E-2</v>
      </c>
      <c r="C63">
        <f>$C$2*VLOOKUP(A63,Lexis_Citation!$A$1:$C$256,3,0)</f>
        <v>2.0000000000000004E-2</v>
      </c>
      <c r="D63">
        <f>$D$2*VLOOKUP(A63,Country_coverage1!$A$3:$BB$260,54,0)</f>
        <v>1.0000000000000002E-2</v>
      </c>
      <c r="E63" s="13">
        <f>$E$2*VLOOKUP(A63,Country_coverage1!$A$3:$BB$260,48,0)</f>
        <v>0</v>
      </c>
      <c r="F63">
        <f t="shared" si="0"/>
        <v>4.5000000000000005E-2</v>
      </c>
    </row>
    <row r="64" spans="1:6" x14ac:dyDescent="0.25">
      <c r="A64" t="s">
        <v>338</v>
      </c>
      <c r="B64">
        <f>$B$2*VLOOKUP(A64,Lexis_Claims!$E$2:$G$256,3,0)</f>
        <v>0.18</v>
      </c>
      <c r="C64">
        <f>$C$2*VLOOKUP(A64,Lexis_Citation!$A$1:$C$256,3,0)</f>
        <v>2.0000000000000004E-2</v>
      </c>
      <c r="D64">
        <f>$D$2*VLOOKUP(A64,Country_coverage1!$A$3:$BB$260,54,0)</f>
        <v>1.0000000000000002E-2</v>
      </c>
      <c r="E64" s="13">
        <f>$E$2*VLOOKUP(A64,Country_coverage1!$A$3:$BB$260,48,0)</f>
        <v>0</v>
      </c>
      <c r="F64">
        <f t="shared" si="0"/>
        <v>0.21000000000000002</v>
      </c>
    </row>
    <row r="65" spans="1:6" x14ac:dyDescent="0.25">
      <c r="A65" t="s">
        <v>342</v>
      </c>
      <c r="B65">
        <f>$B$2*VLOOKUP(A65,Lexis_Claims!$E$2:$G$256,3,0)</f>
        <v>0.18</v>
      </c>
      <c r="C65">
        <f>$C$2*VLOOKUP(A65,Lexis_Citation!$A$1:$C$256,3,0)</f>
        <v>2.0000000000000004E-2</v>
      </c>
      <c r="D65">
        <f>$D$2*VLOOKUP(A65,Country_coverage1!$A$3:$BB$260,54,0)</f>
        <v>1.0000000000000002E-2</v>
      </c>
      <c r="E65" s="13">
        <f>$E$2*VLOOKUP(A65,Country_coverage1!$A$3:$BB$260,48,0)</f>
        <v>0</v>
      </c>
      <c r="F65">
        <f t="shared" si="0"/>
        <v>0.21000000000000002</v>
      </c>
    </row>
    <row r="66" spans="1:6" x14ac:dyDescent="0.25">
      <c r="A66" t="s">
        <v>345</v>
      </c>
      <c r="B66">
        <f>$B$2*VLOOKUP(A66,Lexis_Claims!$E$2:$G$256,3,0)</f>
        <v>1.4999999999999999E-2</v>
      </c>
      <c r="C66">
        <f>$C$2*VLOOKUP(A66,Lexis_Citation!$A$1:$C$256,3,0)</f>
        <v>2.0000000000000004E-2</v>
      </c>
      <c r="D66">
        <f>$D$2*VLOOKUP(A66,Country_coverage1!$A$3:$BB$260,54,0)</f>
        <v>1.0000000000000002E-2</v>
      </c>
      <c r="E66" s="13">
        <f>$E$2*VLOOKUP(A66,Country_coverage1!$A$3:$BB$260,48,0)</f>
        <v>0</v>
      </c>
      <c r="F66">
        <f t="shared" si="0"/>
        <v>4.5000000000000005E-2</v>
      </c>
    </row>
    <row r="67" spans="1:6" x14ac:dyDescent="0.25">
      <c r="A67" t="s">
        <v>349</v>
      </c>
      <c r="B67">
        <f>$B$2*VLOOKUP(A67,Lexis_Claims!$E$2:$G$256,3,0)</f>
        <v>0.06</v>
      </c>
      <c r="C67">
        <f>$C$2*VLOOKUP(A67,Lexis_Citation!$A$1:$C$256,3,0)</f>
        <v>2.0000000000000004E-2</v>
      </c>
      <c r="D67">
        <f>$D$2*VLOOKUP(A67,Country_coverage1!$A$3:$BB$260,54,0)</f>
        <v>1.0000000000000002E-2</v>
      </c>
      <c r="E67" s="13">
        <f>$E$2*VLOOKUP(A67,Country_coverage1!$A$3:$BB$260,48,0)</f>
        <v>0</v>
      </c>
      <c r="F67">
        <f t="shared" si="0"/>
        <v>0.09</v>
      </c>
    </row>
    <row r="68" spans="1:6" x14ac:dyDescent="0.25">
      <c r="A68" t="s">
        <v>352</v>
      </c>
      <c r="B68">
        <f>$B$2*VLOOKUP(A68,Lexis_Claims!$E$2:$G$256,3,0)</f>
        <v>1.4999999999999999E-2</v>
      </c>
      <c r="C68">
        <f>$C$2*VLOOKUP(A68,Lexis_Citation!$A$1:$C$256,3,0)</f>
        <v>2.0000000000000004E-2</v>
      </c>
      <c r="D68">
        <f>$D$2*VLOOKUP(A68,Country_coverage1!$A$3:$BB$260,54,0)</f>
        <v>1.0000000000000002E-2</v>
      </c>
      <c r="E68" s="13">
        <f>$E$2*VLOOKUP(A68,Country_coverage1!$A$3:$BB$260,48,0)</f>
        <v>0</v>
      </c>
      <c r="F68">
        <f t="shared" ref="F68:F131" si="1">SUM(B68:E68)</f>
        <v>4.5000000000000005E-2</v>
      </c>
    </row>
    <row r="69" spans="1:6" x14ac:dyDescent="0.25">
      <c r="A69" t="s">
        <v>355</v>
      </c>
      <c r="B69">
        <f>$B$2*VLOOKUP(A69,Lexis_Claims!$E$2:$G$256,3,0)</f>
        <v>1.4999999999999999E-2</v>
      </c>
      <c r="C69">
        <f>$C$2*VLOOKUP(A69,Lexis_Citation!$A$1:$C$256,3,0)</f>
        <v>2.0000000000000004E-2</v>
      </c>
      <c r="D69">
        <f>$D$2*VLOOKUP(A69,Country_coverage1!$A$3:$BB$260,54,0)</f>
        <v>1.0000000000000002E-2</v>
      </c>
      <c r="E69" s="13">
        <f>$E$2*VLOOKUP(A69,Country_coverage1!$A$3:$BB$260,48,0)</f>
        <v>0</v>
      </c>
      <c r="F69">
        <f t="shared" si="1"/>
        <v>4.5000000000000005E-2</v>
      </c>
    </row>
    <row r="70" spans="1:6" x14ac:dyDescent="0.25">
      <c r="A70" t="s">
        <v>358</v>
      </c>
      <c r="B70">
        <f>$B$2*VLOOKUP(A70,Lexis_Claims!$E$2:$G$256,3,0)</f>
        <v>1.4999999999999999E-2</v>
      </c>
      <c r="C70">
        <f>$C$2*VLOOKUP(A70,Lexis_Citation!$A$1:$C$256,3,0)</f>
        <v>2.0000000000000004E-2</v>
      </c>
      <c r="D70">
        <f>$D$2*VLOOKUP(A70,Country_coverage1!$A$3:$BB$260,54,0)</f>
        <v>1.0000000000000002E-2</v>
      </c>
      <c r="E70" s="13">
        <f>$E$2*VLOOKUP(A70,Country_coverage1!$A$3:$BB$260,48,0)</f>
        <v>0</v>
      </c>
      <c r="F70">
        <f t="shared" si="1"/>
        <v>4.5000000000000005E-2</v>
      </c>
    </row>
    <row r="71" spans="1:6" x14ac:dyDescent="0.25">
      <c r="A71" t="s">
        <v>361</v>
      </c>
      <c r="B71">
        <f>$B$2*VLOOKUP(A71,Lexis_Claims!$E$2:$G$256,3,0)</f>
        <v>1.4999999999999999E-2</v>
      </c>
      <c r="C71">
        <f>$C$2*VLOOKUP(A71,Lexis_Citation!$A$1:$C$256,3,0)</f>
        <v>2.0000000000000004E-2</v>
      </c>
      <c r="D71">
        <f>$D$2*VLOOKUP(A71,Country_coverage1!$A$3:$BB$260,54,0)</f>
        <v>1.0000000000000002E-2</v>
      </c>
      <c r="E71" s="13">
        <f>$E$2*VLOOKUP(A71,Country_coverage1!$A$3:$BB$260,48,0)</f>
        <v>0</v>
      </c>
      <c r="F71">
        <f t="shared" si="1"/>
        <v>4.5000000000000005E-2</v>
      </c>
    </row>
    <row r="72" spans="1:6" x14ac:dyDescent="0.25">
      <c r="A72" t="s">
        <v>364</v>
      </c>
      <c r="B72">
        <f>$B$2*VLOOKUP(A72,Lexis_Claims!$E$2:$G$256,3,0)</f>
        <v>0.06</v>
      </c>
      <c r="C72">
        <f>$C$2*VLOOKUP(A72,Lexis_Citation!$A$1:$C$256,3,0)</f>
        <v>2.0000000000000004E-2</v>
      </c>
      <c r="D72">
        <f>$D$2*VLOOKUP(A72,Country_coverage1!$A$3:$BB$260,54,0)</f>
        <v>1.0000000000000002E-2</v>
      </c>
      <c r="E72" s="13">
        <f>$E$2*VLOOKUP(A72,Country_coverage1!$A$3:$BB$260,48,0)</f>
        <v>0</v>
      </c>
      <c r="F72">
        <f t="shared" si="1"/>
        <v>0.09</v>
      </c>
    </row>
    <row r="73" spans="1:6" x14ac:dyDescent="0.25">
      <c r="A73" t="s">
        <v>369</v>
      </c>
      <c r="B73">
        <f>$B$2*VLOOKUP(A73,Lexis_Claims!$E$2:$G$256,3,0)</f>
        <v>0.18</v>
      </c>
      <c r="C73">
        <f>$C$2*VLOOKUP(A73,Lexis_Citation!$A$1:$C$256,3,0)</f>
        <v>2.0000000000000004E-2</v>
      </c>
      <c r="D73">
        <f>$D$2*VLOOKUP(A73,Country_coverage1!$A$3:$BB$260,54,0)</f>
        <v>1.0000000000000002E-2</v>
      </c>
      <c r="E73" s="13">
        <f>$E$2*VLOOKUP(A73,Country_coverage1!$A$3:$BB$260,48,0)</f>
        <v>0</v>
      </c>
      <c r="F73">
        <f t="shared" si="1"/>
        <v>0.21000000000000002</v>
      </c>
    </row>
    <row r="74" spans="1:6" x14ac:dyDescent="0.25">
      <c r="A74" t="s">
        <v>374</v>
      </c>
      <c r="B74">
        <f>$B$2*VLOOKUP(A74,Lexis_Claims!$E$2:$G$256,3,0)</f>
        <v>0.18</v>
      </c>
      <c r="C74">
        <f>$C$2*VLOOKUP(A74,Lexis_Citation!$A$1:$C$256,3,0)</f>
        <v>2.0000000000000004E-2</v>
      </c>
      <c r="D74">
        <f>$D$2*VLOOKUP(A74,Country_coverage1!$A$3:$BB$260,54,0)</f>
        <v>1.0000000000000002E-2</v>
      </c>
      <c r="E74" s="13">
        <f>$E$2*VLOOKUP(A74,Country_coverage1!$A$3:$BB$260,48,0)</f>
        <v>0</v>
      </c>
      <c r="F74">
        <f t="shared" si="1"/>
        <v>0.21000000000000002</v>
      </c>
    </row>
    <row r="75" spans="1:6" x14ac:dyDescent="0.25">
      <c r="A75" t="s">
        <v>378</v>
      </c>
      <c r="B75">
        <f>$B$2*VLOOKUP(A75,Lexis_Claims!$E$2:$G$256,3,0)</f>
        <v>0.06</v>
      </c>
      <c r="C75">
        <f>$C$2*VLOOKUP(A75,Lexis_Citation!$A$1:$C$256,3,0)</f>
        <v>2.0000000000000004E-2</v>
      </c>
      <c r="D75">
        <f>$D$2*VLOOKUP(A75,Country_coverage1!$A$3:$BB$260,54,0)</f>
        <v>1.0000000000000002E-2</v>
      </c>
      <c r="E75" s="13">
        <f>$E$2*VLOOKUP(A75,Country_coverage1!$A$3:$BB$260,48,0)</f>
        <v>0</v>
      </c>
      <c r="F75">
        <f t="shared" si="1"/>
        <v>0.09</v>
      </c>
    </row>
    <row r="76" spans="1:6" x14ac:dyDescent="0.25">
      <c r="A76" t="s">
        <v>382</v>
      </c>
      <c r="B76">
        <f>$B$2*VLOOKUP(A76,Lexis_Claims!$E$2:$G$256,3,0)</f>
        <v>0.06</v>
      </c>
      <c r="C76">
        <f>$C$2*VLOOKUP(A76,Lexis_Citation!$A$1:$C$256,3,0)</f>
        <v>2.0000000000000004E-2</v>
      </c>
      <c r="D76">
        <f>$D$2*VLOOKUP(A76,Country_coverage1!$A$3:$BB$260,54,0)</f>
        <v>1.0000000000000002E-2</v>
      </c>
      <c r="E76" s="13">
        <f>$E$2*VLOOKUP(A76,Country_coverage1!$A$3:$BB$260,48,0)</f>
        <v>0</v>
      </c>
      <c r="F76">
        <f t="shared" si="1"/>
        <v>0.09</v>
      </c>
    </row>
    <row r="77" spans="1:6" x14ac:dyDescent="0.25">
      <c r="A77" t="s">
        <v>384</v>
      </c>
      <c r="B77">
        <f>$B$2*VLOOKUP(A77,Lexis_Claims!$E$2:$G$256,3,0)</f>
        <v>0.06</v>
      </c>
      <c r="C77">
        <f>$C$2*VLOOKUP(A77,Lexis_Citation!$A$1:$C$256,3,0)</f>
        <v>2.0000000000000004E-2</v>
      </c>
      <c r="D77">
        <f>$D$2*VLOOKUP(A77,Country_coverage1!$A$3:$BB$260,54,0)</f>
        <v>1.0000000000000002E-2</v>
      </c>
      <c r="E77" s="13">
        <f>$E$2*VLOOKUP(A77,Country_coverage1!$A$3:$BB$260,48,0)</f>
        <v>0</v>
      </c>
      <c r="F77">
        <f t="shared" si="1"/>
        <v>0.09</v>
      </c>
    </row>
    <row r="78" spans="1:6" x14ac:dyDescent="0.25">
      <c r="A78" t="s">
        <v>387</v>
      </c>
      <c r="B78">
        <f>$B$2*VLOOKUP(A78,Lexis_Claims!$E$2:$G$256,3,0)</f>
        <v>1.4999999999999999E-2</v>
      </c>
      <c r="C78">
        <f>$C$2*VLOOKUP(A78,Lexis_Citation!$A$1:$C$256,3,0)</f>
        <v>2.0000000000000004E-2</v>
      </c>
      <c r="D78">
        <f>$D$2*VLOOKUP(A78,Country_coverage1!$A$3:$BB$260,54,0)</f>
        <v>1.0000000000000002E-2</v>
      </c>
      <c r="E78" s="13">
        <f>$E$2*VLOOKUP(A78,Country_coverage1!$A$3:$BB$260,48,0)</f>
        <v>0</v>
      </c>
      <c r="F78">
        <f t="shared" si="1"/>
        <v>4.5000000000000005E-2</v>
      </c>
    </row>
    <row r="79" spans="1:6" x14ac:dyDescent="0.25">
      <c r="A79" t="s">
        <v>389</v>
      </c>
      <c r="B79">
        <f>$B$2*VLOOKUP(A79,Lexis_Claims!$E$2:$G$256,3,0)</f>
        <v>1.4999999999999999E-2</v>
      </c>
      <c r="C79">
        <f>$C$2*VLOOKUP(A79,Lexis_Citation!$A$1:$C$256,3,0)</f>
        <v>2.0000000000000004E-2</v>
      </c>
      <c r="D79">
        <f>$D$2*VLOOKUP(A79,Country_coverage1!$A$3:$BB$260,54,0)</f>
        <v>1.0000000000000002E-2</v>
      </c>
      <c r="E79" s="13">
        <f>$E$2*VLOOKUP(A79,Country_coverage1!$A$3:$BB$260,48,0)</f>
        <v>0</v>
      </c>
      <c r="F79">
        <f t="shared" si="1"/>
        <v>4.5000000000000005E-2</v>
      </c>
    </row>
    <row r="80" spans="1:6" x14ac:dyDescent="0.25">
      <c r="A80" t="s">
        <v>391</v>
      </c>
      <c r="B80">
        <f>$B$2*VLOOKUP(A80,Lexis_Claims!$E$2:$G$256,3,0)</f>
        <v>1.4999999999999999E-2</v>
      </c>
      <c r="C80">
        <f>$C$2*VLOOKUP(A80,Lexis_Citation!$A$1:$C$256,3,0)</f>
        <v>2.0000000000000004E-2</v>
      </c>
      <c r="D80">
        <f>$D$2*VLOOKUP(A80,Country_coverage1!$A$3:$BB$260,54,0)</f>
        <v>1.0000000000000002E-2</v>
      </c>
      <c r="E80" s="13">
        <f>$E$2*VLOOKUP(A80,Country_coverage1!$A$3:$BB$260,48,0)</f>
        <v>0</v>
      </c>
      <c r="F80">
        <f t="shared" si="1"/>
        <v>4.5000000000000005E-2</v>
      </c>
    </row>
    <row r="81" spans="1:6" x14ac:dyDescent="0.25">
      <c r="A81" t="s">
        <v>393</v>
      </c>
      <c r="B81">
        <f>$B$2*VLOOKUP(A81,Lexis_Claims!$E$2:$G$256,3,0)</f>
        <v>1.4999999999999999E-2</v>
      </c>
      <c r="C81">
        <f>$C$2*VLOOKUP(A81,Lexis_Citation!$A$1:$C$256,3,0)</f>
        <v>2.0000000000000004E-2</v>
      </c>
      <c r="D81">
        <f>$D$2*VLOOKUP(A81,Country_coverage1!$A$3:$BB$260,54,0)</f>
        <v>1.0000000000000002E-2</v>
      </c>
      <c r="E81" s="13">
        <f>$E$2*VLOOKUP(A81,Country_coverage1!$A$3:$BB$260,48,0)</f>
        <v>0</v>
      </c>
      <c r="F81">
        <f t="shared" si="1"/>
        <v>4.5000000000000005E-2</v>
      </c>
    </row>
    <row r="82" spans="1:6" x14ac:dyDescent="0.25">
      <c r="A82" t="s">
        <v>395</v>
      </c>
      <c r="B82">
        <f>$B$2*VLOOKUP(A82,Lexis_Claims!$E$2:$G$256,3,0)</f>
        <v>1.4999999999999999E-2</v>
      </c>
      <c r="C82">
        <f>$C$2*VLOOKUP(A82,Lexis_Citation!$A$1:$C$256,3,0)</f>
        <v>2.0000000000000004E-2</v>
      </c>
      <c r="D82">
        <f>$D$2*VLOOKUP(A82,Country_coverage1!$A$3:$BB$260,54,0)</f>
        <v>1.0000000000000002E-2</v>
      </c>
      <c r="E82" s="13">
        <f>$E$2*VLOOKUP(A82,Country_coverage1!$A$3:$BB$260,48,0)</f>
        <v>0</v>
      </c>
      <c r="F82">
        <f t="shared" si="1"/>
        <v>4.5000000000000005E-2</v>
      </c>
    </row>
    <row r="83" spans="1:6" x14ac:dyDescent="0.25">
      <c r="A83" t="s">
        <v>400</v>
      </c>
      <c r="B83">
        <f>$B$2*VLOOKUP(A83,Lexis_Claims!$E$2:$G$256,3,0)</f>
        <v>1.4999999999999999E-2</v>
      </c>
      <c r="C83">
        <f>$C$2*VLOOKUP(A83,Lexis_Citation!$A$1:$C$256,3,0)</f>
        <v>2.0000000000000004E-2</v>
      </c>
      <c r="D83">
        <f>$D$2*VLOOKUP(A83,Country_coverage1!$A$3:$BB$260,54,0)</f>
        <v>1.0000000000000002E-2</v>
      </c>
      <c r="E83" s="13">
        <f>$E$2*VLOOKUP(A83,Country_coverage1!$A$3:$BB$260,48,0)</f>
        <v>0</v>
      </c>
      <c r="F83">
        <f t="shared" si="1"/>
        <v>4.5000000000000005E-2</v>
      </c>
    </row>
    <row r="84" spans="1:6" x14ac:dyDescent="0.25">
      <c r="A84" t="s">
        <v>404</v>
      </c>
      <c r="B84">
        <f>$B$2*VLOOKUP(A84,Lexis_Claims!$E$2:$G$256,3,0)</f>
        <v>1.4999999999999999E-2</v>
      </c>
      <c r="C84">
        <f>$C$2*VLOOKUP(A84,Lexis_Citation!$A$1:$C$256,3,0)</f>
        <v>2.0000000000000004E-2</v>
      </c>
      <c r="D84">
        <f>$D$2*VLOOKUP(A84,Country_coverage1!$A$3:$BB$260,54,0)</f>
        <v>1.0000000000000002E-2</v>
      </c>
      <c r="E84" s="13">
        <f>$E$2*VLOOKUP(A84,Country_coverage1!$A$3:$BB$260,48,0)</f>
        <v>0</v>
      </c>
      <c r="F84">
        <f t="shared" si="1"/>
        <v>4.5000000000000005E-2</v>
      </c>
    </row>
    <row r="85" spans="1:6" x14ac:dyDescent="0.25">
      <c r="A85" t="s">
        <v>408</v>
      </c>
      <c r="B85">
        <f>$B$2*VLOOKUP(A85,Lexis_Claims!$E$2:$G$256,3,0)</f>
        <v>0.18</v>
      </c>
      <c r="C85">
        <f>$C$2*VLOOKUP(A85,Lexis_Citation!$A$1:$C$256,3,0)</f>
        <v>2.0000000000000004E-2</v>
      </c>
      <c r="D85">
        <f>$D$2*VLOOKUP(A85,Country_coverage1!$A$3:$BB$260,54,0)</f>
        <v>1.0000000000000002E-2</v>
      </c>
      <c r="E85" s="13">
        <f>$E$2*VLOOKUP(A85,Country_coverage1!$A$3:$BB$260,48,0)</f>
        <v>0</v>
      </c>
      <c r="F85">
        <f t="shared" si="1"/>
        <v>0.21000000000000002</v>
      </c>
    </row>
    <row r="86" spans="1:6" x14ac:dyDescent="0.25">
      <c r="A86" t="s">
        <v>415</v>
      </c>
      <c r="B86">
        <f>$B$2*VLOOKUP(A86,Lexis_Claims!$E$2:$G$256,3,0)</f>
        <v>0.06</v>
      </c>
      <c r="C86">
        <f>$C$2*VLOOKUP(A86,Lexis_Citation!$A$1:$C$256,3,0)</f>
        <v>2.0000000000000004E-2</v>
      </c>
      <c r="D86">
        <f>$D$2*VLOOKUP(A86,Country_coverage1!$A$3:$BB$260,54,0)</f>
        <v>4.0000000000000008E-2</v>
      </c>
      <c r="E86" s="13">
        <f>$E$2*VLOOKUP(A86,Country_coverage1!$A$3:$BB$260,48,0)</f>
        <v>0.1</v>
      </c>
      <c r="F86">
        <f t="shared" si="1"/>
        <v>0.22000000000000003</v>
      </c>
    </row>
    <row r="87" spans="1:6" x14ac:dyDescent="0.25">
      <c r="A87" t="s">
        <v>421</v>
      </c>
      <c r="B87">
        <f>$B$2*VLOOKUP(A87,Lexis_Claims!$E$2:$G$256,3,0)</f>
        <v>0.06</v>
      </c>
      <c r="C87">
        <f>$C$2*VLOOKUP(A87,Lexis_Citation!$A$1:$C$256,3,0)</f>
        <v>2.0000000000000004E-2</v>
      </c>
      <c r="D87">
        <f>$D$2*VLOOKUP(A87,Country_coverage1!$A$3:$BB$260,54,0)</f>
        <v>1.0000000000000002E-2</v>
      </c>
      <c r="E87" s="13">
        <f>$E$2*VLOOKUP(A87,Country_coverage1!$A$3:$BB$260,48,0)</f>
        <v>0</v>
      </c>
      <c r="F87">
        <f t="shared" si="1"/>
        <v>0.09</v>
      </c>
    </row>
    <row r="88" spans="1:6" x14ac:dyDescent="0.25">
      <c r="A88" t="s">
        <v>426</v>
      </c>
      <c r="B88">
        <f>$B$2*VLOOKUP(A88,Lexis_Claims!$E$2:$G$256,3,0)</f>
        <v>1.4999999999999999E-2</v>
      </c>
      <c r="C88">
        <f>$C$2*VLOOKUP(A88,Lexis_Citation!$A$1:$C$256,3,0)</f>
        <v>8.0000000000000016E-2</v>
      </c>
      <c r="D88">
        <f>$D$2*VLOOKUP(A88,Country_coverage1!$A$3:$BB$260,54,0)</f>
        <v>1.0000000000000002E-2</v>
      </c>
      <c r="E88" s="13">
        <f>$E$2*VLOOKUP(A88,Country_coverage1!$A$3:$BB$260,48,0)</f>
        <v>0</v>
      </c>
      <c r="F88">
        <f t="shared" si="1"/>
        <v>0.10500000000000001</v>
      </c>
    </row>
    <row r="89" spans="1:6" x14ac:dyDescent="0.25">
      <c r="A89" t="s">
        <v>432</v>
      </c>
      <c r="B89">
        <f>$B$2*VLOOKUP(A89,Lexis_Claims!$E$2:$G$256,3,0)</f>
        <v>0.18</v>
      </c>
      <c r="C89">
        <f>$C$2*VLOOKUP(A89,Lexis_Citation!$A$1:$C$256,3,0)</f>
        <v>8.0000000000000016E-2</v>
      </c>
      <c r="D89">
        <f>$D$2*VLOOKUP(A89,Country_coverage1!$A$3:$BB$260,54,0)</f>
        <v>0.17</v>
      </c>
      <c r="E89" s="13">
        <f>$E$2*VLOOKUP(A89,Country_coverage1!$A$3:$BB$260,48,0)</f>
        <v>0.1</v>
      </c>
      <c r="F89">
        <f t="shared" si="1"/>
        <v>0.53</v>
      </c>
    </row>
    <row r="90" spans="1:6" x14ac:dyDescent="0.25">
      <c r="A90" t="s">
        <v>437</v>
      </c>
      <c r="B90">
        <f>$B$2*VLOOKUP(A90,Lexis_Claims!$E$2:$G$256,3,0)</f>
        <v>1.4999999999999999E-2</v>
      </c>
      <c r="C90">
        <f>$C$2*VLOOKUP(A90,Lexis_Citation!$A$1:$C$256,3,0)</f>
        <v>2.0000000000000004E-2</v>
      </c>
      <c r="D90">
        <f>$D$2*VLOOKUP(A90,Country_coverage1!$A$3:$BB$260,54,0)</f>
        <v>1.0000000000000002E-2</v>
      </c>
      <c r="E90" s="13">
        <f>$E$2*VLOOKUP(A90,Country_coverage1!$A$3:$BB$260,48,0)</f>
        <v>0</v>
      </c>
      <c r="F90">
        <f t="shared" si="1"/>
        <v>4.5000000000000005E-2</v>
      </c>
    </row>
    <row r="91" spans="1:6" x14ac:dyDescent="0.25">
      <c r="A91" t="s">
        <v>442</v>
      </c>
      <c r="B91">
        <f>$B$2*VLOOKUP(A91,Lexis_Claims!$E$2:$G$256,3,0)</f>
        <v>1.4999999999999999E-2</v>
      </c>
      <c r="C91">
        <f>$C$2*VLOOKUP(A91,Lexis_Citation!$A$1:$C$256,3,0)</f>
        <v>8.0000000000000016E-2</v>
      </c>
      <c r="D91">
        <f>$D$2*VLOOKUP(A91,Country_coverage1!$A$3:$BB$260,54,0)</f>
        <v>1.0000000000000002E-2</v>
      </c>
      <c r="E91" s="13">
        <f>$E$2*VLOOKUP(A91,Country_coverage1!$A$3:$BB$260,48,0)</f>
        <v>0</v>
      </c>
      <c r="F91">
        <f t="shared" si="1"/>
        <v>0.10500000000000001</v>
      </c>
    </row>
    <row r="92" spans="1:6" x14ac:dyDescent="0.25">
      <c r="A92" t="s">
        <v>447</v>
      </c>
      <c r="B92">
        <f>$B$2*VLOOKUP(A92,Lexis_Claims!$E$2:$G$256,3,0)</f>
        <v>0.255</v>
      </c>
      <c r="C92">
        <f>$C$2*VLOOKUP(A92,Lexis_Citation!$A$1:$C$256,3,0)</f>
        <v>8.0000000000000016E-2</v>
      </c>
      <c r="D92">
        <f>$D$2*VLOOKUP(A92,Country_coverage1!$A$3:$BB$260,54,0)</f>
        <v>1.0000000000000002E-2</v>
      </c>
      <c r="E92" s="13">
        <f>$E$2*VLOOKUP(A92,Country_coverage1!$A$3:$BB$260,48,0)</f>
        <v>0</v>
      </c>
      <c r="F92">
        <f t="shared" si="1"/>
        <v>0.34500000000000003</v>
      </c>
    </row>
    <row r="93" spans="1:6" x14ac:dyDescent="0.25">
      <c r="A93" t="s">
        <v>452</v>
      </c>
      <c r="B93">
        <f>$B$2*VLOOKUP(A93,Lexis_Claims!$E$2:$G$256,3,0)</f>
        <v>1.4999999999999999E-2</v>
      </c>
      <c r="C93">
        <f>$C$2*VLOOKUP(A93,Lexis_Citation!$A$1:$C$256,3,0)</f>
        <v>2.0000000000000004E-2</v>
      </c>
      <c r="D93">
        <f>$D$2*VLOOKUP(A93,Country_coverage1!$A$3:$BB$260,54,0)</f>
        <v>1.0000000000000002E-2</v>
      </c>
      <c r="E93" s="13">
        <f>$E$2*VLOOKUP(A93,Country_coverage1!$A$3:$BB$260,48,0)</f>
        <v>0</v>
      </c>
      <c r="F93">
        <f t="shared" si="1"/>
        <v>4.5000000000000005E-2</v>
      </c>
    </row>
    <row r="94" spans="1:6" x14ac:dyDescent="0.25">
      <c r="A94" t="s">
        <v>458</v>
      </c>
      <c r="B94">
        <f>$B$2*VLOOKUP(A94,Lexis_Claims!$E$2:$G$256,3,0)</f>
        <v>1.4999999999999999E-2</v>
      </c>
      <c r="C94">
        <f>$C$2*VLOOKUP(A94,Lexis_Citation!$A$1:$C$256,3,0)</f>
        <v>2.0000000000000004E-2</v>
      </c>
      <c r="D94">
        <f>$D$2*VLOOKUP(A94,Country_coverage1!$A$3:$BB$260,54,0)</f>
        <v>1.0000000000000002E-2</v>
      </c>
      <c r="E94" s="13">
        <f>$E$2*VLOOKUP(A94,Country_coverage1!$A$3:$BB$260,48,0)</f>
        <v>0</v>
      </c>
      <c r="F94">
        <f t="shared" si="1"/>
        <v>4.5000000000000005E-2</v>
      </c>
    </row>
    <row r="95" spans="1:6" x14ac:dyDescent="0.25">
      <c r="A95" t="s">
        <v>463</v>
      </c>
      <c r="B95">
        <f>$B$2*VLOOKUP(A95,Lexis_Claims!$E$2:$G$256,3,0)</f>
        <v>1.4999999999999999E-2</v>
      </c>
      <c r="C95">
        <f>$C$2*VLOOKUP(A95,Lexis_Citation!$A$1:$C$256,3,0)</f>
        <v>8.0000000000000016E-2</v>
      </c>
      <c r="D95">
        <f>$D$2*VLOOKUP(A95,Country_coverage1!$A$3:$BB$260,54,0)</f>
        <v>1.0000000000000002E-2</v>
      </c>
      <c r="E95" s="13">
        <f>$E$2*VLOOKUP(A95,Country_coverage1!$A$3:$BB$260,48,0)</f>
        <v>0</v>
      </c>
      <c r="F95">
        <f t="shared" si="1"/>
        <v>0.10500000000000001</v>
      </c>
    </row>
    <row r="96" spans="1:6" x14ac:dyDescent="0.25">
      <c r="A96" t="s">
        <v>466</v>
      </c>
      <c r="B96">
        <f>$B$2*VLOOKUP(A96,Lexis_Claims!$E$2:$G$256,3,0)</f>
        <v>1.4999999999999999E-2</v>
      </c>
      <c r="C96">
        <f>$C$2*VLOOKUP(A96,Lexis_Citation!$A$1:$C$256,3,0)</f>
        <v>2.0000000000000004E-2</v>
      </c>
      <c r="D96">
        <f>$D$2*VLOOKUP(A96,Country_coverage1!$A$3:$BB$260,54,0)</f>
        <v>1.0000000000000002E-2</v>
      </c>
      <c r="E96" s="13">
        <f>$E$2*VLOOKUP(A96,Country_coverage1!$A$3:$BB$260,48,0)</f>
        <v>0</v>
      </c>
      <c r="F96">
        <f t="shared" si="1"/>
        <v>4.5000000000000005E-2</v>
      </c>
    </row>
    <row r="97" spans="1:6" x14ac:dyDescent="0.25">
      <c r="A97" t="s">
        <v>469</v>
      </c>
      <c r="B97">
        <f>$B$2*VLOOKUP(A97,Lexis_Claims!$E$2:$G$256,3,0)</f>
        <v>1.4999999999999999E-2</v>
      </c>
      <c r="C97">
        <f>$C$2*VLOOKUP(A97,Lexis_Citation!$A$1:$C$256,3,0)</f>
        <v>2.0000000000000004E-2</v>
      </c>
      <c r="D97">
        <f>$D$2*VLOOKUP(A97,Country_coverage1!$A$3:$BB$260,54,0)</f>
        <v>1.0000000000000002E-2</v>
      </c>
      <c r="E97" s="13">
        <f>$E$2*VLOOKUP(A97,Country_coverage1!$A$3:$BB$260,48,0)</f>
        <v>0</v>
      </c>
      <c r="F97">
        <f t="shared" si="1"/>
        <v>4.5000000000000005E-2</v>
      </c>
    </row>
    <row r="98" spans="1:6" x14ac:dyDescent="0.25">
      <c r="A98" t="s">
        <v>472</v>
      </c>
      <c r="B98">
        <f>$B$2*VLOOKUP(A98,Lexis_Claims!$E$2:$G$256,3,0)</f>
        <v>1.4999999999999999E-2</v>
      </c>
      <c r="C98">
        <f>$C$2*VLOOKUP(A98,Lexis_Citation!$A$1:$C$256,3,0)</f>
        <v>2.0000000000000004E-2</v>
      </c>
      <c r="D98">
        <f>$D$2*VLOOKUP(A98,Country_coverage1!$A$3:$BB$260,54,0)</f>
        <v>1.0000000000000002E-2</v>
      </c>
      <c r="E98" s="13">
        <f>$E$2*VLOOKUP(A98,Country_coverage1!$A$3:$BB$260,48,0)</f>
        <v>0</v>
      </c>
      <c r="F98">
        <f t="shared" si="1"/>
        <v>4.5000000000000005E-2</v>
      </c>
    </row>
    <row r="99" spans="1:6" x14ac:dyDescent="0.25">
      <c r="A99" t="s">
        <v>478</v>
      </c>
      <c r="B99">
        <f>$B$2*VLOOKUP(A99,Lexis_Claims!$E$2:$G$256,3,0)</f>
        <v>0.06</v>
      </c>
      <c r="C99">
        <f>$C$2*VLOOKUP(A99,Lexis_Citation!$A$1:$C$256,3,0)</f>
        <v>2.0000000000000004E-2</v>
      </c>
      <c r="D99">
        <f>$D$2*VLOOKUP(A99,Country_coverage1!$A$3:$BB$260,54,0)</f>
        <v>1.0000000000000002E-2</v>
      </c>
      <c r="E99" s="13">
        <f>$E$2*VLOOKUP(A99,Country_coverage1!$A$3:$BB$260,48,0)</f>
        <v>0</v>
      </c>
      <c r="F99">
        <f t="shared" si="1"/>
        <v>0.09</v>
      </c>
    </row>
    <row r="100" spans="1:6" x14ac:dyDescent="0.25">
      <c r="A100" t="s">
        <v>483</v>
      </c>
      <c r="B100">
        <f>$B$2*VLOOKUP(A100,Lexis_Claims!$E$2:$G$256,3,0)</f>
        <v>0.18</v>
      </c>
      <c r="C100">
        <f>$C$2*VLOOKUP(A100,Lexis_Citation!$A$1:$C$256,3,0)</f>
        <v>2.0000000000000004E-2</v>
      </c>
      <c r="D100">
        <f>$D$2*VLOOKUP(A100,Country_coverage1!$A$3:$BB$260,54,0)</f>
        <v>1.0000000000000002E-2</v>
      </c>
      <c r="E100" s="13">
        <f>$E$2*VLOOKUP(A100,Country_coverage1!$A$3:$BB$260,48,0)</f>
        <v>0</v>
      </c>
      <c r="F100">
        <f t="shared" si="1"/>
        <v>0.21000000000000002</v>
      </c>
    </row>
    <row r="101" spans="1:6" x14ac:dyDescent="0.25">
      <c r="A101" t="s">
        <v>488</v>
      </c>
      <c r="B101">
        <f>$B$2*VLOOKUP(A101,Lexis_Claims!$E$2:$G$256,3,0)</f>
        <v>0.18</v>
      </c>
      <c r="C101">
        <f>$C$2*VLOOKUP(A101,Lexis_Citation!$A$1:$C$256,3,0)</f>
        <v>2.0000000000000004E-2</v>
      </c>
      <c r="D101">
        <f>$D$2*VLOOKUP(A101,Country_coverage1!$A$3:$BB$260,54,0)</f>
        <v>1.0000000000000002E-2</v>
      </c>
      <c r="E101" s="13">
        <f>$E$2*VLOOKUP(A101,Country_coverage1!$A$3:$BB$260,48,0)</f>
        <v>0</v>
      </c>
      <c r="F101">
        <f t="shared" si="1"/>
        <v>0.21000000000000002</v>
      </c>
    </row>
    <row r="102" spans="1:6" x14ac:dyDescent="0.25">
      <c r="A102" t="s">
        <v>493</v>
      </c>
      <c r="B102">
        <f>$B$2*VLOOKUP(A102,Lexis_Claims!$E$2:$G$256,3,0)</f>
        <v>1.4999999999999999E-2</v>
      </c>
      <c r="C102">
        <f>$C$2*VLOOKUP(A102,Lexis_Citation!$A$1:$C$256,3,0)</f>
        <v>2.0000000000000004E-2</v>
      </c>
      <c r="D102">
        <f>$D$2*VLOOKUP(A102,Country_coverage1!$A$3:$BB$260,54,0)</f>
        <v>1.0000000000000002E-2</v>
      </c>
      <c r="E102" s="13">
        <f>$E$2*VLOOKUP(A102,Country_coverage1!$A$3:$BB$260,48,0)</f>
        <v>0</v>
      </c>
      <c r="F102">
        <f t="shared" si="1"/>
        <v>4.5000000000000005E-2</v>
      </c>
    </row>
    <row r="103" spans="1:6" x14ac:dyDescent="0.25">
      <c r="A103" t="s">
        <v>498</v>
      </c>
      <c r="B103">
        <f>$B$2*VLOOKUP(A103,Lexis_Claims!$E$2:$G$256,3,0)</f>
        <v>1.4999999999999999E-2</v>
      </c>
      <c r="C103">
        <f>$C$2*VLOOKUP(A103,Lexis_Citation!$A$1:$C$256,3,0)</f>
        <v>2.0000000000000004E-2</v>
      </c>
      <c r="D103">
        <f>$D$2*VLOOKUP(A103,Country_coverage1!$A$3:$BB$260,54,0)</f>
        <v>1.0000000000000002E-2</v>
      </c>
      <c r="E103" s="13">
        <f>$E$2*VLOOKUP(A103,Country_coverage1!$A$3:$BB$260,48,0)</f>
        <v>0</v>
      </c>
      <c r="F103">
        <f t="shared" si="1"/>
        <v>4.5000000000000005E-2</v>
      </c>
    </row>
    <row r="104" spans="1:6" x14ac:dyDescent="0.25">
      <c r="A104" t="s">
        <v>504</v>
      </c>
      <c r="B104">
        <f>$B$2*VLOOKUP(A104,Lexis_Claims!$E$2:$G$256,3,0)</f>
        <v>1.4999999999999999E-2</v>
      </c>
      <c r="C104">
        <f>$C$2*VLOOKUP(A104,Lexis_Citation!$A$1:$C$256,3,0)</f>
        <v>2.0000000000000004E-2</v>
      </c>
      <c r="D104">
        <f>$D$2*VLOOKUP(A104,Country_coverage1!$A$3:$BB$260,54,0)</f>
        <v>1.0000000000000002E-2</v>
      </c>
      <c r="E104" s="13">
        <f>$E$2*VLOOKUP(A104,Country_coverage1!$A$3:$BB$260,48,0)</f>
        <v>0</v>
      </c>
      <c r="F104">
        <f t="shared" si="1"/>
        <v>4.5000000000000005E-2</v>
      </c>
    </row>
    <row r="105" spans="1:6" x14ac:dyDescent="0.25">
      <c r="A105" t="s">
        <v>509</v>
      </c>
      <c r="B105">
        <f>$B$2*VLOOKUP(A105,Lexis_Claims!$E$2:$G$256,3,0)</f>
        <v>1.4999999999999999E-2</v>
      </c>
      <c r="C105">
        <f>$C$2*VLOOKUP(A105,Lexis_Citation!$A$1:$C$256,3,0)</f>
        <v>2.0000000000000004E-2</v>
      </c>
      <c r="D105">
        <f>$D$2*VLOOKUP(A105,Country_coverage1!$A$3:$BB$260,54,0)</f>
        <v>1.0000000000000002E-2</v>
      </c>
      <c r="E105" s="13">
        <f>$E$2*VLOOKUP(A105,Country_coverage1!$A$3:$BB$260,48,0)</f>
        <v>0</v>
      </c>
      <c r="F105">
        <f t="shared" si="1"/>
        <v>4.5000000000000005E-2</v>
      </c>
    </row>
    <row r="106" spans="1:6" x14ac:dyDescent="0.25">
      <c r="A106" t="s">
        <v>515</v>
      </c>
      <c r="B106">
        <f>$B$2*VLOOKUP(A106,Lexis_Claims!$E$2:$G$256,3,0)</f>
        <v>1.4999999999999999E-2</v>
      </c>
      <c r="C106">
        <f>$C$2*VLOOKUP(A106,Lexis_Citation!$A$1:$C$256,3,0)</f>
        <v>8.0000000000000016E-2</v>
      </c>
      <c r="D106">
        <f>$D$2*VLOOKUP(A106,Country_coverage1!$A$3:$BB$260,54,0)</f>
        <v>1.0000000000000002E-2</v>
      </c>
      <c r="E106" s="13">
        <f>$E$2*VLOOKUP(A106,Country_coverage1!$A$3:$BB$260,48,0)</f>
        <v>0</v>
      </c>
      <c r="F106">
        <f t="shared" si="1"/>
        <v>0.10500000000000001</v>
      </c>
    </row>
    <row r="107" spans="1:6" x14ac:dyDescent="0.25">
      <c r="A107" t="s">
        <v>519</v>
      </c>
      <c r="B107">
        <f>$B$2*VLOOKUP(A107,Lexis_Claims!$E$2:$G$256,3,0)</f>
        <v>1.4999999999999999E-2</v>
      </c>
      <c r="C107">
        <f>$C$2*VLOOKUP(A107,Lexis_Citation!$A$1:$C$256,3,0)</f>
        <v>2.0000000000000004E-2</v>
      </c>
      <c r="D107">
        <f>$D$2*VLOOKUP(A107,Country_coverage1!$A$3:$BB$260,54,0)</f>
        <v>1.0000000000000002E-2</v>
      </c>
      <c r="E107" s="13">
        <f>$E$2*VLOOKUP(A107,Country_coverage1!$A$3:$BB$260,48,0)</f>
        <v>0</v>
      </c>
      <c r="F107">
        <f t="shared" si="1"/>
        <v>4.5000000000000005E-2</v>
      </c>
    </row>
    <row r="108" spans="1:6" x14ac:dyDescent="0.25">
      <c r="A108" t="s">
        <v>524</v>
      </c>
      <c r="B108">
        <f>$B$2*VLOOKUP(A108,Lexis_Claims!$E$2:$G$256,3,0)</f>
        <v>1.4999999999999999E-2</v>
      </c>
      <c r="C108">
        <f>$C$2*VLOOKUP(A108,Lexis_Citation!$A$1:$C$256,3,0)</f>
        <v>2.0000000000000004E-2</v>
      </c>
      <c r="D108">
        <f>$D$2*VLOOKUP(A108,Country_coverage1!$A$3:$BB$260,54,0)</f>
        <v>1.0000000000000002E-2</v>
      </c>
      <c r="E108" s="13">
        <f>$E$2*VLOOKUP(A108,Country_coverage1!$A$3:$BB$260,48,0)</f>
        <v>0</v>
      </c>
      <c r="F108">
        <f t="shared" si="1"/>
        <v>4.5000000000000005E-2</v>
      </c>
    </row>
    <row r="109" spans="1:6" x14ac:dyDescent="0.25">
      <c r="A109" t="s">
        <v>530</v>
      </c>
      <c r="B109">
        <f>$B$2*VLOOKUP(A109,Lexis_Claims!$E$2:$G$256,3,0)</f>
        <v>0.18</v>
      </c>
      <c r="C109">
        <f>$C$2*VLOOKUP(A109,Lexis_Citation!$A$1:$C$256,3,0)</f>
        <v>8.0000000000000016E-2</v>
      </c>
      <c r="D109">
        <f>$D$2*VLOOKUP(A109,Country_coverage1!$A$3:$BB$260,54,0)</f>
        <v>0.12</v>
      </c>
      <c r="E109" s="13">
        <f>$E$2*VLOOKUP(A109,Country_coverage1!$A$3:$BB$260,48,0)</f>
        <v>0.1</v>
      </c>
      <c r="F109">
        <f t="shared" si="1"/>
        <v>0.48</v>
      </c>
    </row>
    <row r="110" spans="1:6" x14ac:dyDescent="0.25">
      <c r="A110" t="s">
        <v>537</v>
      </c>
      <c r="B110">
        <f>$B$2*VLOOKUP(A110,Lexis_Claims!$E$2:$G$256,3,0)</f>
        <v>0.06</v>
      </c>
      <c r="C110">
        <f>$C$2*VLOOKUP(A110,Lexis_Citation!$A$1:$C$256,3,0)</f>
        <v>8.0000000000000016E-2</v>
      </c>
      <c r="D110">
        <f>$D$2*VLOOKUP(A110,Country_coverage1!$A$3:$BB$260,54,0)</f>
        <v>1.0000000000000002E-2</v>
      </c>
      <c r="E110" s="13">
        <f>$E$2*VLOOKUP(A110,Country_coverage1!$A$3:$BB$260,48,0)</f>
        <v>0</v>
      </c>
      <c r="F110">
        <f t="shared" si="1"/>
        <v>0.15000000000000002</v>
      </c>
    </row>
    <row r="111" spans="1:6" x14ac:dyDescent="0.25">
      <c r="A111" t="s">
        <v>543</v>
      </c>
      <c r="B111">
        <f>$B$2*VLOOKUP(A111,Lexis_Claims!$E$2:$G$256,3,0)</f>
        <v>1.4999999999999999E-2</v>
      </c>
      <c r="C111">
        <f>$C$2*VLOOKUP(A111,Lexis_Citation!$A$1:$C$256,3,0)</f>
        <v>8.0000000000000016E-2</v>
      </c>
      <c r="D111">
        <f>$D$2*VLOOKUP(A111,Country_coverage1!$A$3:$BB$260,54,0)</f>
        <v>1.0000000000000002E-2</v>
      </c>
      <c r="E111" s="13">
        <f>$E$2*VLOOKUP(A111,Country_coverage1!$A$3:$BB$260,48,0)</f>
        <v>0</v>
      </c>
      <c r="F111">
        <f t="shared" si="1"/>
        <v>0.10500000000000001</v>
      </c>
    </row>
    <row r="112" spans="1:6" x14ac:dyDescent="0.25">
      <c r="A112" t="s">
        <v>548</v>
      </c>
      <c r="B112">
        <f>$B$2*VLOOKUP(A112,Lexis_Claims!$E$2:$G$256,3,0)</f>
        <v>1.4999999999999999E-2</v>
      </c>
      <c r="C112">
        <f>$C$2*VLOOKUP(A112,Lexis_Citation!$A$1:$C$256,3,0)</f>
        <v>2.0000000000000004E-2</v>
      </c>
      <c r="D112">
        <f>$D$2*VLOOKUP(A112,Country_coverage1!$A$3:$BB$260,54,0)</f>
        <v>1.0000000000000002E-2</v>
      </c>
      <c r="E112" s="13">
        <f>$E$2*VLOOKUP(A112,Country_coverage1!$A$3:$BB$260,48,0)</f>
        <v>0</v>
      </c>
      <c r="F112">
        <f t="shared" si="1"/>
        <v>4.5000000000000005E-2</v>
      </c>
    </row>
    <row r="113" spans="1:6" x14ac:dyDescent="0.25">
      <c r="A113" t="s">
        <v>554</v>
      </c>
      <c r="B113">
        <f>$B$2*VLOOKUP(A113,Lexis_Claims!$E$2:$G$256,3,0)</f>
        <v>0.255</v>
      </c>
      <c r="C113">
        <f>$C$2*VLOOKUP(A113,Lexis_Citation!$A$1:$C$256,3,0)</f>
        <v>8.0000000000000016E-2</v>
      </c>
      <c r="D113">
        <f>$D$2*VLOOKUP(A113,Country_coverage1!$A$3:$BB$260,54,0)</f>
        <v>0.12</v>
      </c>
      <c r="E113" s="13">
        <f>$E$2*VLOOKUP(A113,Country_coverage1!$A$3:$BB$260,48,0)</f>
        <v>0.1</v>
      </c>
      <c r="F113">
        <f t="shared" si="1"/>
        <v>0.55500000000000005</v>
      </c>
    </row>
    <row r="114" spans="1:6" x14ac:dyDescent="0.25">
      <c r="A114" t="s">
        <v>561</v>
      </c>
      <c r="B114">
        <f>$B$2*VLOOKUP(A114,Lexis_Claims!$E$2:$G$256,3,0)</f>
        <v>0.06</v>
      </c>
      <c r="C114">
        <f>$C$2*VLOOKUP(A114,Lexis_Citation!$A$1:$C$256,3,0)</f>
        <v>8.0000000000000016E-2</v>
      </c>
      <c r="D114">
        <f>$D$2*VLOOKUP(A114,Country_coverage1!$A$3:$BB$260,54,0)</f>
        <v>1.0000000000000002E-2</v>
      </c>
      <c r="E114" s="13">
        <f>$E$2*VLOOKUP(A114,Country_coverage1!$A$3:$BB$260,48,0)</f>
        <v>0.1</v>
      </c>
      <c r="F114">
        <f t="shared" si="1"/>
        <v>0.25</v>
      </c>
    </row>
    <row r="115" spans="1:6" x14ac:dyDescent="0.25">
      <c r="A115" t="s">
        <v>566</v>
      </c>
      <c r="B115">
        <f>$B$2*VLOOKUP(A115,Lexis_Claims!$E$2:$G$256,3,0)</f>
        <v>1.4999999999999999E-2</v>
      </c>
      <c r="C115">
        <f>$C$2*VLOOKUP(A115,Lexis_Citation!$A$1:$C$256,3,0)</f>
        <v>2.0000000000000004E-2</v>
      </c>
      <c r="D115">
        <f>$D$2*VLOOKUP(A115,Country_coverage1!$A$3:$BB$260,54,0)</f>
        <v>1.0000000000000002E-2</v>
      </c>
      <c r="E115" s="13">
        <f>$E$2*VLOOKUP(A115,Country_coverage1!$A$3:$BB$260,48,0)</f>
        <v>0</v>
      </c>
      <c r="F115">
        <f t="shared" si="1"/>
        <v>4.5000000000000005E-2</v>
      </c>
    </row>
    <row r="116" spans="1:6" x14ac:dyDescent="0.25">
      <c r="A116" t="s">
        <v>571</v>
      </c>
      <c r="B116">
        <f>$B$2*VLOOKUP(A116,Lexis_Claims!$E$2:$G$256,3,0)</f>
        <v>1.4999999999999999E-2</v>
      </c>
      <c r="C116">
        <f>$C$2*VLOOKUP(A116,Lexis_Citation!$A$1:$C$256,3,0)</f>
        <v>8.0000000000000016E-2</v>
      </c>
      <c r="D116">
        <f>$D$2*VLOOKUP(A116,Country_coverage1!$A$3:$BB$260,54,0)</f>
        <v>1.0000000000000002E-2</v>
      </c>
      <c r="E116" s="13">
        <f>$E$2*VLOOKUP(A116,Country_coverage1!$A$3:$BB$260,48,0)</f>
        <v>0</v>
      </c>
      <c r="F116">
        <f t="shared" si="1"/>
        <v>0.10500000000000001</v>
      </c>
    </row>
    <row r="117" spans="1:6" x14ac:dyDescent="0.25">
      <c r="A117" t="s">
        <v>573</v>
      </c>
      <c r="B117">
        <f>$B$2*VLOOKUP(A117,Lexis_Claims!$E$2:$G$256,3,0)</f>
        <v>1.4999999999999999E-2</v>
      </c>
      <c r="C117">
        <f>$C$2*VLOOKUP(A117,Lexis_Citation!$A$1:$C$256,3,0)</f>
        <v>2.0000000000000004E-2</v>
      </c>
      <c r="D117">
        <f>$D$2*VLOOKUP(A117,Country_coverage1!$A$3:$BB$260,54,0)</f>
        <v>1.0000000000000002E-2</v>
      </c>
      <c r="E117" s="13">
        <f>$E$2*VLOOKUP(A117,Country_coverage1!$A$3:$BB$260,48,0)</f>
        <v>0</v>
      </c>
      <c r="F117">
        <f t="shared" si="1"/>
        <v>4.5000000000000005E-2</v>
      </c>
    </row>
    <row r="118" spans="1:6" x14ac:dyDescent="0.25">
      <c r="A118" t="s">
        <v>575</v>
      </c>
      <c r="B118">
        <f>$B$2*VLOOKUP(A118,Lexis_Claims!$E$2:$G$256,3,0)</f>
        <v>1.4999999999999999E-2</v>
      </c>
      <c r="C118">
        <f>$C$2*VLOOKUP(A118,Lexis_Citation!$A$1:$C$256,3,0)</f>
        <v>8.0000000000000016E-2</v>
      </c>
      <c r="D118">
        <f>$D$2*VLOOKUP(A118,Country_coverage1!$A$3:$BB$260,54,0)</f>
        <v>1.0000000000000002E-2</v>
      </c>
      <c r="E118" s="13">
        <f>$E$2*VLOOKUP(A118,Country_coverage1!$A$3:$BB$260,48,0)</f>
        <v>0</v>
      </c>
      <c r="F118">
        <f t="shared" si="1"/>
        <v>0.10500000000000001</v>
      </c>
    </row>
    <row r="119" spans="1:6" x14ac:dyDescent="0.25">
      <c r="A119" t="s">
        <v>579</v>
      </c>
      <c r="B119">
        <f>$B$2*VLOOKUP(A119,Lexis_Claims!$E$2:$G$256,3,0)</f>
        <v>1.4999999999999999E-2</v>
      </c>
      <c r="C119">
        <f>$C$2*VLOOKUP(A119,Lexis_Citation!$A$1:$C$256,3,0)</f>
        <v>8.0000000000000016E-2</v>
      </c>
      <c r="D119">
        <f>$D$2*VLOOKUP(A119,Country_coverage1!$A$3:$BB$260,54,0)</f>
        <v>1.0000000000000002E-2</v>
      </c>
      <c r="E119" s="13">
        <f>$E$2*VLOOKUP(A119,Country_coverage1!$A$3:$BB$260,48,0)</f>
        <v>0</v>
      </c>
      <c r="F119">
        <f t="shared" si="1"/>
        <v>0.10500000000000001</v>
      </c>
    </row>
    <row r="120" spans="1:6" x14ac:dyDescent="0.25">
      <c r="A120" t="s">
        <v>583</v>
      </c>
      <c r="B120">
        <f>$B$2*VLOOKUP(A120,Lexis_Claims!$E$2:$G$256,3,0)</f>
        <v>1.4999999999999999E-2</v>
      </c>
      <c r="C120">
        <f>$C$2*VLOOKUP(A120,Lexis_Citation!$A$1:$C$256,3,0)</f>
        <v>2.0000000000000004E-2</v>
      </c>
      <c r="D120">
        <f>$D$2*VLOOKUP(A120,Country_coverage1!$A$3:$BB$260,54,0)</f>
        <v>1.0000000000000002E-2</v>
      </c>
      <c r="E120" s="13">
        <f>$E$2*VLOOKUP(A120,Country_coverage1!$A$3:$BB$260,48,0)</f>
        <v>0</v>
      </c>
      <c r="F120">
        <f t="shared" si="1"/>
        <v>4.5000000000000005E-2</v>
      </c>
    </row>
    <row r="121" spans="1:6" x14ac:dyDescent="0.25">
      <c r="A121" t="s">
        <v>587</v>
      </c>
      <c r="B121">
        <f>$B$2*VLOOKUP(A121,Lexis_Claims!$E$2:$G$256,3,0)</f>
        <v>1.4999999999999999E-2</v>
      </c>
      <c r="C121">
        <f>$C$2*VLOOKUP(A121,Lexis_Citation!$A$1:$C$256,3,0)</f>
        <v>8.0000000000000016E-2</v>
      </c>
      <c r="D121">
        <f>$D$2*VLOOKUP(A121,Country_coverage1!$A$3:$BB$260,54,0)</f>
        <v>1.0000000000000002E-2</v>
      </c>
      <c r="E121" s="13">
        <f>$E$2*VLOOKUP(A121,Country_coverage1!$A$3:$BB$260,48,0)</f>
        <v>0</v>
      </c>
      <c r="F121">
        <f t="shared" si="1"/>
        <v>0.10500000000000001</v>
      </c>
    </row>
    <row r="122" spans="1:6" x14ac:dyDescent="0.25">
      <c r="A122" t="s">
        <v>591</v>
      </c>
      <c r="B122">
        <f>$B$2*VLOOKUP(A122,Lexis_Claims!$E$2:$G$256,3,0)</f>
        <v>1.4999999999999999E-2</v>
      </c>
      <c r="C122">
        <f>$C$2*VLOOKUP(A122,Lexis_Citation!$A$1:$C$256,3,0)</f>
        <v>2.0000000000000004E-2</v>
      </c>
      <c r="D122">
        <f>$D$2*VLOOKUP(A122,Country_coverage1!$A$3:$BB$260,54,0)</f>
        <v>1.0000000000000002E-2</v>
      </c>
      <c r="E122" s="13">
        <f>$E$2*VLOOKUP(A122,Country_coverage1!$A$3:$BB$260,48,0)</f>
        <v>0</v>
      </c>
      <c r="F122">
        <f t="shared" si="1"/>
        <v>4.5000000000000005E-2</v>
      </c>
    </row>
    <row r="123" spans="1:6" x14ac:dyDescent="0.25">
      <c r="A123" t="s">
        <v>594</v>
      </c>
      <c r="B123">
        <f>$B$2*VLOOKUP(A123,Lexis_Claims!$E$2:$G$256,3,0)</f>
        <v>1.4999999999999999E-2</v>
      </c>
      <c r="C123">
        <f>$C$2*VLOOKUP(A123,Lexis_Citation!$A$1:$C$256,3,0)</f>
        <v>2.0000000000000004E-2</v>
      </c>
      <c r="D123">
        <f>$D$2*VLOOKUP(A123,Country_coverage1!$A$3:$BB$260,54,0)</f>
        <v>1.0000000000000002E-2</v>
      </c>
      <c r="E123" s="13">
        <f>$E$2*VLOOKUP(A123,Country_coverage1!$A$3:$BB$260,48,0)</f>
        <v>0</v>
      </c>
      <c r="F123">
        <f t="shared" si="1"/>
        <v>4.5000000000000005E-2</v>
      </c>
    </row>
    <row r="124" spans="1:6" x14ac:dyDescent="0.25">
      <c r="A124" t="s">
        <v>598</v>
      </c>
      <c r="B124">
        <f>$B$2*VLOOKUP(A124,Lexis_Claims!$E$2:$G$256,3,0)</f>
        <v>1.4999999999999999E-2</v>
      </c>
      <c r="C124">
        <f>$C$2*VLOOKUP(A124,Lexis_Citation!$A$1:$C$256,3,0)</f>
        <v>2.0000000000000004E-2</v>
      </c>
      <c r="D124">
        <f>$D$2*VLOOKUP(A124,Country_coverage1!$A$3:$BB$260,54,0)</f>
        <v>1.0000000000000002E-2</v>
      </c>
      <c r="E124" s="13">
        <f>$E$2*VLOOKUP(A124,Country_coverage1!$A$3:$BB$260,48,0)</f>
        <v>0</v>
      </c>
      <c r="F124">
        <f t="shared" si="1"/>
        <v>4.5000000000000005E-2</v>
      </c>
    </row>
    <row r="125" spans="1:6" x14ac:dyDescent="0.25">
      <c r="A125" t="s">
        <v>602</v>
      </c>
      <c r="B125">
        <f>$B$2*VLOOKUP(A125,Lexis_Claims!$E$2:$G$256,3,0)</f>
        <v>1.4999999999999999E-2</v>
      </c>
      <c r="C125">
        <f>$C$2*VLOOKUP(A125,Lexis_Citation!$A$1:$C$256,3,0)</f>
        <v>2.0000000000000004E-2</v>
      </c>
      <c r="D125">
        <f>$D$2*VLOOKUP(A125,Country_coverage1!$A$3:$BB$260,54,0)</f>
        <v>1.0000000000000002E-2</v>
      </c>
      <c r="E125" s="13">
        <f>$E$2*VLOOKUP(A125,Country_coverage1!$A$3:$BB$260,48,0)</f>
        <v>0</v>
      </c>
      <c r="F125">
        <f t="shared" si="1"/>
        <v>4.5000000000000005E-2</v>
      </c>
    </row>
    <row r="126" spans="1:6" x14ac:dyDescent="0.25">
      <c r="A126" t="s">
        <v>606</v>
      </c>
      <c r="B126">
        <f>$B$2*VLOOKUP(A126,Lexis_Claims!$E$2:$G$256,3,0)</f>
        <v>1.4999999999999999E-2</v>
      </c>
      <c r="C126">
        <f>$C$2*VLOOKUP(A126,Lexis_Citation!$A$1:$C$256,3,0)</f>
        <v>8.0000000000000016E-2</v>
      </c>
      <c r="D126">
        <f>$D$2*VLOOKUP(A126,Country_coverage1!$A$3:$BB$260,54,0)</f>
        <v>1.0000000000000002E-2</v>
      </c>
      <c r="E126" s="13">
        <f>$E$2*VLOOKUP(A126,Country_coverage1!$A$3:$BB$260,48,0)</f>
        <v>0</v>
      </c>
      <c r="F126">
        <f t="shared" si="1"/>
        <v>0.10500000000000001</v>
      </c>
    </row>
    <row r="127" spans="1:6" x14ac:dyDescent="0.25">
      <c r="A127" t="s">
        <v>609</v>
      </c>
      <c r="B127">
        <f>$B$2*VLOOKUP(A127,Lexis_Claims!$E$2:$G$256,3,0)</f>
        <v>1.4999999999999999E-2</v>
      </c>
      <c r="C127">
        <f>$C$2*VLOOKUP(A127,Lexis_Citation!$A$1:$C$256,3,0)</f>
        <v>2.0000000000000004E-2</v>
      </c>
      <c r="D127">
        <f>$D$2*VLOOKUP(A127,Country_coverage1!$A$3:$BB$260,54,0)</f>
        <v>1.0000000000000002E-2</v>
      </c>
      <c r="E127" s="13">
        <f>$E$2*VLOOKUP(A127,Country_coverage1!$A$3:$BB$260,48,0)</f>
        <v>0</v>
      </c>
      <c r="F127">
        <f t="shared" si="1"/>
        <v>4.5000000000000005E-2</v>
      </c>
    </row>
    <row r="128" spans="1:6" x14ac:dyDescent="0.25">
      <c r="A128" t="s">
        <v>612</v>
      </c>
      <c r="B128">
        <f>$B$2*VLOOKUP(A128,Lexis_Claims!$E$2:$G$256,3,0)</f>
        <v>1.4999999999999999E-2</v>
      </c>
      <c r="C128">
        <f>$C$2*VLOOKUP(A128,Lexis_Citation!$A$1:$C$256,3,0)</f>
        <v>2.0000000000000004E-2</v>
      </c>
      <c r="D128">
        <f>$D$2*VLOOKUP(A128,Country_coverage1!$A$3:$BB$260,54,0)</f>
        <v>1.0000000000000002E-2</v>
      </c>
      <c r="E128" s="13">
        <f>$E$2*VLOOKUP(A128,Country_coverage1!$A$3:$BB$260,48,0)</f>
        <v>0</v>
      </c>
      <c r="F128">
        <f t="shared" si="1"/>
        <v>4.5000000000000005E-2</v>
      </c>
    </row>
    <row r="129" spans="1:6" x14ac:dyDescent="0.25">
      <c r="A129" t="s">
        <v>615</v>
      </c>
      <c r="B129">
        <f>$B$2*VLOOKUP(A129,Lexis_Claims!$E$2:$G$256,3,0)</f>
        <v>1.4999999999999999E-2</v>
      </c>
      <c r="C129">
        <f>$C$2*VLOOKUP(A129,Lexis_Citation!$A$1:$C$256,3,0)</f>
        <v>2.0000000000000004E-2</v>
      </c>
      <c r="D129">
        <f>$D$2*VLOOKUP(A129,Country_coverage1!$A$3:$BB$260,54,0)</f>
        <v>1.0000000000000002E-2</v>
      </c>
      <c r="E129" s="13">
        <f>$E$2*VLOOKUP(A129,Country_coverage1!$A$3:$BB$260,48,0)</f>
        <v>0</v>
      </c>
      <c r="F129">
        <f t="shared" si="1"/>
        <v>4.5000000000000005E-2</v>
      </c>
    </row>
    <row r="130" spans="1:6" x14ac:dyDescent="0.25">
      <c r="A130" t="s">
        <v>618</v>
      </c>
      <c r="B130">
        <f>$B$2*VLOOKUP(A130,Lexis_Claims!$E$2:$G$256,3,0)</f>
        <v>1.4999999999999999E-2</v>
      </c>
      <c r="C130">
        <f>$C$2*VLOOKUP(A130,Lexis_Citation!$A$1:$C$256,3,0)</f>
        <v>8.0000000000000016E-2</v>
      </c>
      <c r="D130">
        <f>$D$2*VLOOKUP(A130,Country_coverage1!$A$3:$BB$260,54,0)</f>
        <v>1.0000000000000002E-2</v>
      </c>
      <c r="E130" s="13">
        <f>$E$2*VLOOKUP(A130,Country_coverage1!$A$3:$BB$260,48,0)</f>
        <v>0</v>
      </c>
      <c r="F130">
        <f t="shared" si="1"/>
        <v>0.10500000000000001</v>
      </c>
    </row>
    <row r="131" spans="1:6" x14ac:dyDescent="0.25">
      <c r="A131" t="s">
        <v>622</v>
      </c>
      <c r="B131">
        <f>$B$2*VLOOKUP(A131,Lexis_Claims!$E$2:$G$256,3,0)</f>
        <v>1.4999999999999999E-2</v>
      </c>
      <c r="C131">
        <f>$C$2*VLOOKUP(A131,Lexis_Citation!$A$1:$C$256,3,0)</f>
        <v>8.0000000000000016E-2</v>
      </c>
      <c r="D131">
        <f>$D$2*VLOOKUP(A131,Country_coverage1!$A$3:$BB$260,54,0)</f>
        <v>1.0000000000000002E-2</v>
      </c>
      <c r="E131" s="13">
        <f>$E$2*VLOOKUP(A131,Country_coverage1!$A$3:$BB$260,48,0)</f>
        <v>0</v>
      </c>
      <c r="F131">
        <f t="shared" si="1"/>
        <v>0.10500000000000001</v>
      </c>
    </row>
    <row r="132" spans="1:6" x14ac:dyDescent="0.25">
      <c r="A132" t="s">
        <v>629</v>
      </c>
      <c r="B132">
        <f>$B$2*VLOOKUP(A132,Lexis_Claims!$E$2:$G$256,3,0)</f>
        <v>0.255</v>
      </c>
      <c r="C132">
        <f>$C$2*VLOOKUP(A132,Lexis_Citation!$A$1:$C$256,3,0)</f>
        <v>8.0000000000000016E-2</v>
      </c>
      <c r="D132">
        <f>$D$2*VLOOKUP(A132,Country_coverage1!$A$3:$BB$260,54,0)</f>
        <v>0.12</v>
      </c>
      <c r="E132" s="13">
        <f>$E$2*VLOOKUP(A132,Country_coverage1!$A$3:$BB$260,48,0)</f>
        <v>0.1</v>
      </c>
      <c r="F132">
        <f t="shared" ref="F132:F195" si="2">SUM(B132:E132)</f>
        <v>0.55500000000000005</v>
      </c>
    </row>
    <row r="133" spans="1:6" x14ac:dyDescent="0.25">
      <c r="A133" t="s">
        <v>635</v>
      </c>
      <c r="B133">
        <f>$B$2*VLOOKUP(A133,Lexis_Claims!$E$2:$G$256,3,0)</f>
        <v>1.4999999999999999E-2</v>
      </c>
      <c r="C133">
        <f>$C$2*VLOOKUP(A133,Lexis_Citation!$A$1:$C$256,3,0)</f>
        <v>2.0000000000000004E-2</v>
      </c>
      <c r="D133">
        <f>$D$2*VLOOKUP(A133,Country_coverage1!$A$3:$BB$260,54,0)</f>
        <v>1.0000000000000002E-2</v>
      </c>
      <c r="E133" s="13">
        <f>$E$2*VLOOKUP(A133,Country_coverage1!$A$3:$BB$260,48,0)</f>
        <v>0</v>
      </c>
      <c r="F133">
        <f t="shared" si="2"/>
        <v>4.5000000000000005E-2</v>
      </c>
    </row>
    <row r="134" spans="1:6" x14ac:dyDescent="0.25">
      <c r="A134" t="s">
        <v>639</v>
      </c>
      <c r="B134">
        <f>$B$2*VLOOKUP(A134,Lexis_Claims!$E$2:$G$256,3,0)</f>
        <v>1.4999999999999999E-2</v>
      </c>
      <c r="C134">
        <f>$C$2*VLOOKUP(A134,Lexis_Citation!$A$1:$C$256,3,0)</f>
        <v>8.0000000000000016E-2</v>
      </c>
      <c r="D134">
        <f>$D$2*VLOOKUP(A134,Country_coverage1!$A$3:$BB$260,54,0)</f>
        <v>1.0000000000000002E-2</v>
      </c>
      <c r="E134" s="13">
        <f>$E$2*VLOOKUP(A134,Country_coverage1!$A$3:$BB$260,48,0)</f>
        <v>0</v>
      </c>
      <c r="F134">
        <f t="shared" si="2"/>
        <v>0.10500000000000001</v>
      </c>
    </row>
    <row r="135" spans="1:6" x14ac:dyDescent="0.25">
      <c r="A135" t="s">
        <v>644</v>
      </c>
      <c r="B135">
        <f>$B$2*VLOOKUP(A135,Lexis_Claims!$E$2:$G$256,3,0)</f>
        <v>1.4999999999999999E-2</v>
      </c>
      <c r="C135">
        <f>$C$2*VLOOKUP(A135,Lexis_Citation!$A$1:$C$256,3,0)</f>
        <v>8.0000000000000016E-2</v>
      </c>
      <c r="D135">
        <f>$D$2*VLOOKUP(A135,Country_coverage1!$A$3:$BB$260,54,0)</f>
        <v>1.0000000000000002E-2</v>
      </c>
      <c r="E135" s="13">
        <f>$E$2*VLOOKUP(A135,Country_coverage1!$A$3:$BB$260,48,0)</f>
        <v>0</v>
      </c>
      <c r="F135">
        <f t="shared" si="2"/>
        <v>0.10500000000000001</v>
      </c>
    </row>
    <row r="136" spans="1:6" x14ac:dyDescent="0.25">
      <c r="A136" t="s">
        <v>648</v>
      </c>
      <c r="B136">
        <f>$B$2*VLOOKUP(A136,Lexis_Claims!$E$2:$G$256,3,0)</f>
        <v>0.06</v>
      </c>
      <c r="C136">
        <f>$C$2*VLOOKUP(A136,Lexis_Citation!$A$1:$C$256,3,0)</f>
        <v>8.0000000000000016E-2</v>
      </c>
      <c r="D136">
        <f>$D$2*VLOOKUP(A136,Country_coverage1!$A$3:$BB$260,54,0)</f>
        <v>0.17</v>
      </c>
      <c r="E136" s="13">
        <f>$E$2*VLOOKUP(A136,Country_coverage1!$A$3:$BB$260,48,0)</f>
        <v>0.1</v>
      </c>
      <c r="F136">
        <f t="shared" si="2"/>
        <v>0.41000000000000003</v>
      </c>
    </row>
    <row r="137" spans="1:6" x14ac:dyDescent="0.25">
      <c r="A137" t="s">
        <v>654</v>
      </c>
      <c r="B137">
        <f>$B$2*VLOOKUP(A137,Lexis_Claims!$E$2:$G$256,3,0)</f>
        <v>1.4999999999999999E-2</v>
      </c>
      <c r="C137">
        <f>$C$2*VLOOKUP(A137,Lexis_Citation!$A$1:$C$256,3,0)</f>
        <v>2.0000000000000004E-2</v>
      </c>
      <c r="D137">
        <f>$D$2*VLOOKUP(A137,Country_coverage1!$A$3:$BB$260,54,0)</f>
        <v>1.0000000000000002E-2</v>
      </c>
      <c r="E137" s="13">
        <f>$E$2*VLOOKUP(A137,Country_coverage1!$A$3:$BB$260,48,0)</f>
        <v>0</v>
      </c>
      <c r="F137">
        <f t="shared" si="2"/>
        <v>4.5000000000000005E-2</v>
      </c>
    </row>
    <row r="138" spans="1:6" x14ac:dyDescent="0.25">
      <c r="A138" t="s">
        <v>659</v>
      </c>
      <c r="B138">
        <f>$B$2*VLOOKUP(A138,Lexis_Claims!$E$2:$G$256,3,0)</f>
        <v>0.18</v>
      </c>
      <c r="C138">
        <f>$C$2*VLOOKUP(A138,Lexis_Citation!$A$1:$C$256,3,0)</f>
        <v>0.24</v>
      </c>
      <c r="D138">
        <f>$D$2*VLOOKUP(A138,Country_coverage1!$A$3:$BB$260,54,0)</f>
        <v>1.0000000000000002E-2</v>
      </c>
      <c r="E138" s="13">
        <f>$E$2*VLOOKUP(A138,Country_coverage1!$A$3:$BB$260,48,0)</f>
        <v>0</v>
      </c>
      <c r="F138">
        <f t="shared" si="2"/>
        <v>0.43</v>
      </c>
    </row>
    <row r="139" spans="1:6" x14ac:dyDescent="0.25">
      <c r="A139" t="s">
        <v>665</v>
      </c>
      <c r="B139">
        <f>$B$2*VLOOKUP(A139,Lexis_Claims!$E$2:$G$256,3,0)</f>
        <v>0.06</v>
      </c>
      <c r="C139">
        <f>$C$2*VLOOKUP(A139,Lexis_Citation!$A$1:$C$256,3,0)</f>
        <v>0.24</v>
      </c>
      <c r="D139">
        <f>$D$2*VLOOKUP(A139,Country_coverage1!$A$3:$BB$260,54,0)</f>
        <v>0.12</v>
      </c>
      <c r="E139" s="13">
        <f>$E$2*VLOOKUP(A139,Country_coverage1!$A$3:$BB$260,48,0)</f>
        <v>0.1</v>
      </c>
      <c r="F139">
        <f t="shared" si="2"/>
        <v>0.52</v>
      </c>
    </row>
    <row r="140" spans="1:6" x14ac:dyDescent="0.25">
      <c r="A140" t="s">
        <v>672</v>
      </c>
      <c r="B140">
        <f>$B$2*VLOOKUP(A140,Lexis_Claims!$E$2:$G$256,3,0)</f>
        <v>1.4999999999999999E-2</v>
      </c>
      <c r="C140">
        <f>$C$2*VLOOKUP(A140,Lexis_Citation!$A$1:$C$256,3,0)</f>
        <v>2.0000000000000004E-2</v>
      </c>
      <c r="D140">
        <f>$D$2*VLOOKUP(A140,Country_coverage1!$A$3:$BB$260,54,0)</f>
        <v>1.0000000000000002E-2</v>
      </c>
      <c r="E140" s="13">
        <f>$E$2*VLOOKUP(A140,Country_coverage1!$A$3:$BB$260,48,0)</f>
        <v>0</v>
      </c>
      <c r="F140">
        <f t="shared" si="2"/>
        <v>4.5000000000000005E-2</v>
      </c>
    </row>
    <row r="141" spans="1:6" x14ac:dyDescent="0.25">
      <c r="A141" t="s">
        <v>676</v>
      </c>
      <c r="B141">
        <f>$B$2*VLOOKUP(A141,Lexis_Claims!$E$2:$G$256,3,0)</f>
        <v>1.4999999999999999E-2</v>
      </c>
      <c r="C141">
        <f>$C$2*VLOOKUP(A141,Lexis_Citation!$A$1:$C$256,3,0)</f>
        <v>8.0000000000000016E-2</v>
      </c>
      <c r="D141">
        <f>$D$2*VLOOKUP(A141,Country_coverage1!$A$3:$BB$260,54,0)</f>
        <v>1.0000000000000002E-2</v>
      </c>
      <c r="E141" s="13">
        <f>$E$2*VLOOKUP(A141,Country_coverage1!$A$3:$BB$260,48,0)</f>
        <v>0</v>
      </c>
      <c r="F141">
        <f t="shared" si="2"/>
        <v>0.10500000000000001</v>
      </c>
    </row>
    <row r="142" spans="1:6" x14ac:dyDescent="0.25">
      <c r="A142" t="s">
        <v>681</v>
      </c>
      <c r="B142">
        <f>$B$2*VLOOKUP(A142,Lexis_Claims!$E$2:$G$256,3,0)</f>
        <v>1.4999999999999999E-2</v>
      </c>
      <c r="C142">
        <f>$C$2*VLOOKUP(A142,Lexis_Citation!$A$1:$C$256,3,0)</f>
        <v>2.0000000000000004E-2</v>
      </c>
      <c r="D142">
        <f>$D$2*VLOOKUP(A142,Country_coverage1!$A$3:$BB$260,54,0)</f>
        <v>1.0000000000000002E-2</v>
      </c>
      <c r="E142" s="13">
        <f>$E$2*VLOOKUP(A142,Country_coverage1!$A$3:$BB$260,48,0)</f>
        <v>0</v>
      </c>
      <c r="F142">
        <f t="shared" si="2"/>
        <v>4.5000000000000005E-2</v>
      </c>
    </row>
    <row r="143" spans="1:6" x14ac:dyDescent="0.25">
      <c r="A143" t="s">
        <v>687</v>
      </c>
      <c r="B143">
        <f>$B$2*VLOOKUP(A143,Lexis_Claims!$E$2:$G$256,3,0)</f>
        <v>0.18</v>
      </c>
      <c r="C143">
        <f>$C$2*VLOOKUP(A143,Lexis_Citation!$A$1:$C$256,3,0)</f>
        <v>2.0000000000000004E-2</v>
      </c>
      <c r="D143">
        <f>$D$2*VLOOKUP(A143,Country_coverage1!$A$3:$BB$260,54,0)</f>
        <v>0.17</v>
      </c>
      <c r="E143" s="13">
        <f>$E$2*VLOOKUP(A143,Country_coverage1!$A$3:$BB$260,48,0)</f>
        <v>0.1</v>
      </c>
      <c r="F143">
        <f t="shared" si="2"/>
        <v>0.47</v>
      </c>
    </row>
    <row r="144" spans="1:6" x14ac:dyDescent="0.25">
      <c r="A144" t="s">
        <v>694</v>
      </c>
      <c r="B144">
        <f>$B$2*VLOOKUP(A144,Lexis_Claims!$E$2:$G$256,3,0)</f>
        <v>1.4999999999999999E-2</v>
      </c>
      <c r="C144">
        <f>$C$2*VLOOKUP(A144,Lexis_Citation!$A$1:$C$256,3,0)</f>
        <v>0.24</v>
      </c>
      <c r="D144">
        <f>$D$2*VLOOKUP(A144,Country_coverage1!$A$3:$BB$260,54,0)</f>
        <v>1.0000000000000002E-2</v>
      </c>
      <c r="E144" s="13">
        <f>$E$2*VLOOKUP(A144,Country_coverage1!$A$3:$BB$260,48,0)</f>
        <v>0</v>
      </c>
      <c r="F144">
        <f t="shared" si="2"/>
        <v>0.26500000000000001</v>
      </c>
    </row>
    <row r="145" spans="1:6" x14ac:dyDescent="0.25">
      <c r="A145" t="s">
        <v>700</v>
      </c>
      <c r="B145">
        <f>$B$2*VLOOKUP(A145,Lexis_Claims!$E$2:$G$256,3,0)</f>
        <v>0.18</v>
      </c>
      <c r="C145">
        <f>$C$2*VLOOKUP(A145,Lexis_Citation!$A$1:$C$256,3,0)</f>
        <v>8.0000000000000016E-2</v>
      </c>
      <c r="D145">
        <f>$D$2*VLOOKUP(A145,Country_coverage1!$A$3:$BB$260,54,0)</f>
        <v>1.0000000000000002E-2</v>
      </c>
      <c r="E145" s="13">
        <f>$E$2*VLOOKUP(A145,Country_coverage1!$A$3:$BB$260,48,0)</f>
        <v>0</v>
      </c>
      <c r="F145">
        <f t="shared" si="2"/>
        <v>0.27</v>
      </c>
    </row>
    <row r="146" spans="1:6" x14ac:dyDescent="0.25">
      <c r="A146" t="s">
        <v>705</v>
      </c>
      <c r="B146">
        <f>$B$2*VLOOKUP(A146,Lexis_Claims!$E$2:$G$256,3,0)</f>
        <v>1.4999999999999999E-2</v>
      </c>
      <c r="C146">
        <f>$C$2*VLOOKUP(A146,Lexis_Citation!$A$1:$C$256,3,0)</f>
        <v>8.0000000000000016E-2</v>
      </c>
      <c r="D146">
        <f>$D$2*VLOOKUP(A146,Country_coverage1!$A$3:$BB$260,54,0)</f>
        <v>1.0000000000000002E-2</v>
      </c>
      <c r="E146" s="13">
        <f>$E$2*VLOOKUP(A146,Country_coverage1!$A$3:$BB$260,48,0)</f>
        <v>0</v>
      </c>
      <c r="F146">
        <f t="shared" si="2"/>
        <v>0.10500000000000001</v>
      </c>
    </row>
    <row r="147" spans="1:6" x14ac:dyDescent="0.25">
      <c r="A147" t="s">
        <v>709</v>
      </c>
      <c r="B147">
        <f>$B$2*VLOOKUP(A147,Lexis_Claims!$E$2:$G$256,3,0)</f>
        <v>1.4999999999999999E-2</v>
      </c>
      <c r="C147">
        <f>$C$2*VLOOKUP(A147,Lexis_Citation!$A$1:$C$256,3,0)</f>
        <v>8.0000000000000016E-2</v>
      </c>
      <c r="D147">
        <f>$D$2*VLOOKUP(A147,Country_coverage1!$A$3:$BB$260,54,0)</f>
        <v>1.0000000000000002E-2</v>
      </c>
      <c r="E147" s="13">
        <f>$E$2*VLOOKUP(A147,Country_coverage1!$A$3:$BB$260,48,0)</f>
        <v>0</v>
      </c>
      <c r="F147">
        <f t="shared" si="2"/>
        <v>0.10500000000000001</v>
      </c>
    </row>
    <row r="148" spans="1:6" x14ac:dyDescent="0.25">
      <c r="A148" t="s">
        <v>714</v>
      </c>
      <c r="B148">
        <f>$B$2*VLOOKUP(A148,Lexis_Claims!$E$2:$G$256,3,0)</f>
        <v>1.4999999999999999E-2</v>
      </c>
      <c r="C148">
        <f>$C$2*VLOOKUP(A148,Lexis_Citation!$A$1:$C$256,3,0)</f>
        <v>8.0000000000000016E-2</v>
      </c>
      <c r="D148">
        <f>$D$2*VLOOKUP(A148,Country_coverage1!$A$3:$BB$260,54,0)</f>
        <v>1.0000000000000002E-2</v>
      </c>
      <c r="E148" s="13">
        <f>$E$2*VLOOKUP(A148,Country_coverage1!$A$3:$BB$260,48,0)</f>
        <v>0</v>
      </c>
      <c r="F148">
        <f t="shared" si="2"/>
        <v>0.10500000000000001</v>
      </c>
    </row>
    <row r="149" spans="1:6" x14ac:dyDescent="0.25">
      <c r="A149" t="s">
        <v>719</v>
      </c>
      <c r="B149">
        <f>$B$2*VLOOKUP(A149,Lexis_Claims!$E$2:$G$256,3,0)</f>
        <v>1.4999999999999999E-2</v>
      </c>
      <c r="C149">
        <f>$C$2*VLOOKUP(A149,Lexis_Citation!$A$1:$C$256,3,0)</f>
        <v>8.0000000000000016E-2</v>
      </c>
      <c r="D149">
        <f>$D$2*VLOOKUP(A149,Country_coverage1!$A$3:$BB$260,54,0)</f>
        <v>1.0000000000000002E-2</v>
      </c>
      <c r="E149" s="13">
        <f>$E$2*VLOOKUP(A149,Country_coverage1!$A$3:$BB$260,48,0)</f>
        <v>0</v>
      </c>
      <c r="F149">
        <f t="shared" si="2"/>
        <v>0.10500000000000001</v>
      </c>
    </row>
    <row r="150" spans="1:6" x14ac:dyDescent="0.25">
      <c r="A150" t="s">
        <v>723</v>
      </c>
      <c r="B150">
        <f>$B$2*VLOOKUP(A150,Lexis_Claims!$E$2:$G$256,3,0)</f>
        <v>1.4999999999999999E-2</v>
      </c>
      <c r="C150">
        <f>$C$2*VLOOKUP(A150,Lexis_Citation!$A$1:$C$256,3,0)</f>
        <v>0.24</v>
      </c>
      <c r="D150">
        <f>$D$2*VLOOKUP(A150,Country_coverage1!$A$3:$BB$260,54,0)</f>
        <v>1.0000000000000002E-2</v>
      </c>
      <c r="E150" s="13">
        <f>$E$2*VLOOKUP(A150,Country_coverage1!$A$3:$BB$260,48,0)</f>
        <v>0</v>
      </c>
      <c r="F150">
        <f t="shared" si="2"/>
        <v>0.26500000000000001</v>
      </c>
    </row>
    <row r="151" spans="1:6" x14ac:dyDescent="0.25">
      <c r="A151" t="s">
        <v>729</v>
      </c>
      <c r="B151">
        <f>$B$2*VLOOKUP(A151,Lexis_Claims!$E$2:$G$256,3,0)</f>
        <v>0.06</v>
      </c>
      <c r="C151">
        <f>$C$2*VLOOKUP(A151,Lexis_Citation!$A$1:$C$256,3,0)</f>
        <v>0.24</v>
      </c>
      <c r="D151">
        <f>$D$2*VLOOKUP(A151,Country_coverage1!$A$3:$BB$260,54,0)</f>
        <v>0.12</v>
      </c>
      <c r="E151" s="13">
        <f>$E$2*VLOOKUP(A151,Country_coverage1!$A$3:$BB$260,48,0)</f>
        <v>0.1</v>
      </c>
      <c r="F151">
        <f t="shared" si="2"/>
        <v>0.52</v>
      </c>
    </row>
    <row r="152" spans="1:6" x14ac:dyDescent="0.25">
      <c r="A152" t="s">
        <v>737</v>
      </c>
      <c r="B152">
        <f>$B$2*VLOOKUP(A152,Lexis_Claims!$E$2:$G$256,3,0)</f>
        <v>0.255</v>
      </c>
      <c r="C152">
        <f>$C$2*VLOOKUP(A152,Lexis_Citation!$A$1:$C$256,3,0)</f>
        <v>8.0000000000000016E-2</v>
      </c>
      <c r="D152">
        <f>$D$2*VLOOKUP(A152,Country_coverage1!$A$3:$BB$260,54,0)</f>
        <v>0.17</v>
      </c>
      <c r="E152" s="13">
        <f>$E$2*VLOOKUP(A152,Country_coverage1!$A$3:$BB$260,48,0)</f>
        <v>0.1</v>
      </c>
      <c r="F152">
        <f t="shared" si="2"/>
        <v>0.60499999999999998</v>
      </c>
    </row>
    <row r="153" spans="1:6" x14ac:dyDescent="0.25">
      <c r="A153" t="s">
        <v>745</v>
      </c>
      <c r="B153">
        <f>$B$2*VLOOKUP(A153,Lexis_Claims!$E$2:$G$256,3,0)</f>
        <v>1.4999999999999999E-2</v>
      </c>
      <c r="C153">
        <f>$C$2*VLOOKUP(A153,Lexis_Citation!$A$1:$C$256,3,0)</f>
        <v>2.0000000000000004E-2</v>
      </c>
      <c r="D153">
        <f>$D$2*VLOOKUP(A153,Country_coverage1!$A$3:$BB$260,54,0)</f>
        <v>1.0000000000000002E-2</v>
      </c>
      <c r="E153" s="13">
        <f>$E$2*VLOOKUP(A153,Country_coverage1!$A$3:$BB$260,48,0)</f>
        <v>0</v>
      </c>
      <c r="F153">
        <f t="shared" si="2"/>
        <v>4.5000000000000005E-2</v>
      </c>
    </row>
    <row r="154" spans="1:6" x14ac:dyDescent="0.25">
      <c r="A154" t="s">
        <v>751</v>
      </c>
      <c r="B154">
        <f>$B$2*VLOOKUP(A154,Lexis_Claims!$E$2:$G$256,3,0)</f>
        <v>1.4999999999999999E-2</v>
      </c>
      <c r="C154">
        <f>$C$2*VLOOKUP(A154,Lexis_Citation!$A$1:$C$256,3,0)</f>
        <v>2.0000000000000004E-2</v>
      </c>
      <c r="D154">
        <f>$D$2*VLOOKUP(A154,Country_coverage1!$A$3:$BB$260,54,0)</f>
        <v>1.0000000000000002E-2</v>
      </c>
      <c r="E154" s="13">
        <f>$E$2*VLOOKUP(A154,Country_coverage1!$A$3:$BB$260,48,0)</f>
        <v>0</v>
      </c>
      <c r="F154">
        <f t="shared" si="2"/>
        <v>4.5000000000000005E-2</v>
      </c>
    </row>
    <row r="155" spans="1:6" x14ac:dyDescent="0.25">
      <c r="A155" t="s">
        <v>756</v>
      </c>
      <c r="B155">
        <f>$B$2*VLOOKUP(A155,Lexis_Claims!$E$2:$G$256,3,0)</f>
        <v>1.4999999999999999E-2</v>
      </c>
      <c r="C155">
        <f>$C$2*VLOOKUP(A155,Lexis_Citation!$A$1:$C$256,3,0)</f>
        <v>8.0000000000000016E-2</v>
      </c>
      <c r="D155">
        <f>$D$2*VLOOKUP(A155,Country_coverage1!$A$3:$BB$260,54,0)</f>
        <v>1.0000000000000002E-2</v>
      </c>
      <c r="E155" s="13">
        <f>$E$2*VLOOKUP(A155,Country_coverage1!$A$3:$BB$260,48,0)</f>
        <v>0</v>
      </c>
      <c r="F155">
        <f t="shared" si="2"/>
        <v>0.10500000000000001</v>
      </c>
    </row>
    <row r="156" spans="1:6" x14ac:dyDescent="0.25">
      <c r="A156" t="s">
        <v>760</v>
      </c>
      <c r="B156">
        <f>$B$2*VLOOKUP(A156,Lexis_Claims!$E$2:$G$256,3,0)</f>
        <v>1.4999999999999999E-2</v>
      </c>
      <c r="C156">
        <f>$C$2*VLOOKUP(A156,Lexis_Citation!$A$1:$C$256,3,0)</f>
        <v>0.24</v>
      </c>
      <c r="D156">
        <f>$D$2*VLOOKUP(A156,Country_coverage1!$A$3:$BB$260,54,0)</f>
        <v>1.0000000000000002E-2</v>
      </c>
      <c r="E156" s="13">
        <f>$E$2*VLOOKUP(A156,Country_coverage1!$A$3:$BB$260,48,0)</f>
        <v>0</v>
      </c>
      <c r="F156">
        <f t="shared" si="2"/>
        <v>0.26500000000000001</v>
      </c>
    </row>
    <row r="157" spans="1:6" x14ac:dyDescent="0.25">
      <c r="A157" t="s">
        <v>767</v>
      </c>
      <c r="B157">
        <f>$B$2*VLOOKUP(A157,Lexis_Claims!$E$2:$G$256,3,0)</f>
        <v>0.06</v>
      </c>
      <c r="C157">
        <f>$C$2*VLOOKUP(A157,Lexis_Citation!$A$1:$C$256,3,0)</f>
        <v>0.24</v>
      </c>
      <c r="D157">
        <f>$D$2*VLOOKUP(A157,Country_coverage1!$A$3:$BB$260,54,0)</f>
        <v>0.12</v>
      </c>
      <c r="E157" s="13">
        <f>$E$2*VLOOKUP(A157,Country_coverage1!$A$3:$BB$260,48,0)</f>
        <v>0</v>
      </c>
      <c r="F157">
        <f t="shared" si="2"/>
        <v>0.42</v>
      </c>
    </row>
    <row r="158" spans="1:6" x14ac:dyDescent="0.25">
      <c r="A158" t="s">
        <v>775</v>
      </c>
      <c r="B158">
        <f>$B$2*VLOOKUP(A158,Lexis_Claims!$E$2:$G$256,3,0)</f>
        <v>1.4999999999999999E-2</v>
      </c>
      <c r="C158">
        <f>$C$2*VLOOKUP(A158,Lexis_Citation!$A$1:$C$256,3,0)</f>
        <v>2.0000000000000004E-2</v>
      </c>
      <c r="D158">
        <f>$D$2*VLOOKUP(A158,Country_coverage1!$A$3:$BB$260,54,0)</f>
        <v>0.17</v>
      </c>
      <c r="E158" s="13">
        <f>$E$2*VLOOKUP(A158,Country_coverage1!$A$3:$BB$260,48,0)</f>
        <v>0.1</v>
      </c>
      <c r="F158">
        <f t="shared" si="2"/>
        <v>0.30500000000000005</v>
      </c>
    </row>
    <row r="159" spans="1:6" x14ac:dyDescent="0.25">
      <c r="A159" t="s">
        <v>782</v>
      </c>
      <c r="B159">
        <f>$B$2*VLOOKUP(A159,Lexis_Claims!$E$2:$G$256,3,0)</f>
        <v>1.4999999999999999E-2</v>
      </c>
      <c r="C159">
        <f>$C$2*VLOOKUP(A159,Lexis_Citation!$A$1:$C$256,3,0)</f>
        <v>8.0000000000000016E-2</v>
      </c>
      <c r="D159">
        <f>$D$2*VLOOKUP(A159,Country_coverage1!$A$3:$BB$260,54,0)</f>
        <v>1.0000000000000002E-2</v>
      </c>
      <c r="E159" s="13">
        <f>$E$2*VLOOKUP(A159,Country_coverage1!$A$3:$BB$260,48,0)</f>
        <v>0</v>
      </c>
      <c r="F159">
        <f t="shared" si="2"/>
        <v>0.10500000000000001</v>
      </c>
    </row>
    <row r="160" spans="1:6" x14ac:dyDescent="0.25">
      <c r="A160" t="s">
        <v>786</v>
      </c>
      <c r="B160">
        <f>$B$2*VLOOKUP(A160,Lexis_Claims!$E$2:$G$256,3,0)</f>
        <v>1.4999999999999999E-2</v>
      </c>
      <c r="C160">
        <f>$C$2*VLOOKUP(A160,Lexis_Citation!$A$1:$C$256,3,0)</f>
        <v>0.24</v>
      </c>
      <c r="D160">
        <f>$D$2*VLOOKUP(A160,Country_coverage1!$A$3:$BB$260,54,0)</f>
        <v>1.0000000000000002E-2</v>
      </c>
      <c r="E160" s="13">
        <f>$E$2*VLOOKUP(A160,Country_coverage1!$A$3:$BB$260,48,0)</f>
        <v>0</v>
      </c>
      <c r="F160">
        <f t="shared" si="2"/>
        <v>0.26500000000000001</v>
      </c>
    </row>
    <row r="161" spans="1:6" x14ac:dyDescent="0.25">
      <c r="A161" t="s">
        <v>789</v>
      </c>
      <c r="B161">
        <f>$B$2*VLOOKUP(A161,Lexis_Claims!$E$2:$G$256,3,0)</f>
        <v>1.4999999999999999E-2</v>
      </c>
      <c r="C161">
        <f>$C$2*VLOOKUP(A161,Lexis_Citation!$A$1:$C$256,3,0)</f>
        <v>0.24</v>
      </c>
      <c r="D161">
        <f>$D$2*VLOOKUP(A161,Country_coverage1!$A$3:$BB$260,54,0)</f>
        <v>1.0000000000000002E-2</v>
      </c>
      <c r="E161" s="13">
        <f>$E$2*VLOOKUP(A161,Country_coverage1!$A$3:$BB$260,48,0)</f>
        <v>0</v>
      </c>
      <c r="F161">
        <f t="shared" si="2"/>
        <v>0.26500000000000001</v>
      </c>
    </row>
    <row r="162" spans="1:6" x14ac:dyDescent="0.25">
      <c r="A162" t="s">
        <v>794</v>
      </c>
      <c r="B162">
        <f>$B$2*VLOOKUP(A162,Lexis_Claims!$E$2:$G$256,3,0)</f>
        <v>1.4999999999999999E-2</v>
      </c>
      <c r="C162">
        <f>$C$2*VLOOKUP(A162,Lexis_Citation!$A$1:$C$256,3,0)</f>
        <v>8.0000000000000016E-2</v>
      </c>
      <c r="D162">
        <f>$D$2*VLOOKUP(A162,Country_coverage1!$A$3:$BB$260,54,0)</f>
        <v>1.0000000000000002E-2</v>
      </c>
      <c r="E162" s="13">
        <f>$E$2*VLOOKUP(A162,Country_coverage1!$A$3:$BB$260,48,0)</f>
        <v>0</v>
      </c>
      <c r="F162">
        <f t="shared" si="2"/>
        <v>0.10500000000000001</v>
      </c>
    </row>
    <row r="163" spans="1:6" x14ac:dyDescent="0.25">
      <c r="A163" t="s">
        <v>799</v>
      </c>
      <c r="B163">
        <f>$B$2*VLOOKUP(A163,Lexis_Claims!$E$2:$G$256,3,0)</f>
        <v>1.4999999999999999E-2</v>
      </c>
      <c r="C163">
        <f>$C$2*VLOOKUP(A163,Lexis_Citation!$A$1:$C$256,3,0)</f>
        <v>0.24</v>
      </c>
      <c r="D163">
        <f>$D$2*VLOOKUP(A163,Country_coverage1!$A$3:$BB$260,54,0)</f>
        <v>1.0000000000000002E-2</v>
      </c>
      <c r="E163" s="13">
        <f>$E$2*VLOOKUP(A163,Country_coverage1!$A$3:$BB$260,48,0)</f>
        <v>0</v>
      </c>
      <c r="F163">
        <f t="shared" si="2"/>
        <v>0.26500000000000001</v>
      </c>
    </row>
    <row r="164" spans="1:6" x14ac:dyDescent="0.25">
      <c r="A164" t="s">
        <v>804</v>
      </c>
      <c r="B164">
        <f>$B$2*VLOOKUP(A164,Lexis_Claims!$E$2:$G$256,3,0)</f>
        <v>1.4999999999999999E-2</v>
      </c>
      <c r="C164">
        <f>$C$2*VLOOKUP(A164,Lexis_Citation!$A$1:$C$256,3,0)</f>
        <v>2.0000000000000004E-2</v>
      </c>
      <c r="D164">
        <f>$D$2*VLOOKUP(A164,Country_coverage1!$A$3:$BB$260,54,0)</f>
        <v>1.0000000000000002E-2</v>
      </c>
      <c r="E164" s="13">
        <f>$E$2*VLOOKUP(A164,Country_coverage1!$A$3:$BB$260,48,0)</f>
        <v>0</v>
      </c>
      <c r="F164">
        <f t="shared" si="2"/>
        <v>4.5000000000000005E-2</v>
      </c>
    </row>
    <row r="165" spans="1:6" x14ac:dyDescent="0.25">
      <c r="A165" t="s">
        <v>809</v>
      </c>
      <c r="B165">
        <f>$B$2*VLOOKUP(A165,Lexis_Claims!$E$2:$G$256,3,0)</f>
        <v>0.06</v>
      </c>
      <c r="C165">
        <f>$C$2*VLOOKUP(A165,Lexis_Citation!$A$1:$C$256,3,0)</f>
        <v>8.0000000000000016E-2</v>
      </c>
      <c r="D165">
        <f>$D$2*VLOOKUP(A165,Country_coverage1!$A$3:$BB$260,54,0)</f>
        <v>0.17</v>
      </c>
      <c r="E165" s="13">
        <f>$E$2*VLOOKUP(A165,Country_coverage1!$A$3:$BB$260,48,0)</f>
        <v>0.1</v>
      </c>
      <c r="F165">
        <f t="shared" si="2"/>
        <v>0.41000000000000003</v>
      </c>
    </row>
    <row r="166" spans="1:6" x14ac:dyDescent="0.25">
      <c r="A166" t="s">
        <v>815</v>
      </c>
      <c r="B166">
        <f>$B$2*VLOOKUP(A166,Lexis_Claims!$E$2:$G$256,3,0)</f>
        <v>1.4999999999999999E-2</v>
      </c>
      <c r="C166">
        <f>$C$2*VLOOKUP(A166,Lexis_Citation!$A$1:$C$256,3,0)</f>
        <v>0.24</v>
      </c>
      <c r="D166">
        <f>$D$2*VLOOKUP(A166,Country_coverage1!$A$3:$BB$260,54,0)</f>
        <v>1.0000000000000002E-2</v>
      </c>
      <c r="E166" s="13">
        <f>$E$2*VLOOKUP(A166,Country_coverage1!$A$3:$BB$260,48,0)</f>
        <v>0</v>
      </c>
      <c r="F166">
        <f t="shared" si="2"/>
        <v>0.26500000000000001</v>
      </c>
    </row>
    <row r="167" spans="1:6" x14ac:dyDescent="0.25">
      <c r="A167" t="s">
        <v>821</v>
      </c>
      <c r="B167">
        <f>$B$2*VLOOKUP(A167,Lexis_Claims!$E$2:$G$256,3,0)</f>
        <v>1.4999999999999999E-2</v>
      </c>
      <c r="C167">
        <f>$C$2*VLOOKUP(A167,Lexis_Citation!$A$1:$C$256,3,0)</f>
        <v>0.24</v>
      </c>
      <c r="D167">
        <f>$D$2*VLOOKUP(A167,Country_coverage1!$A$3:$BB$260,54,0)</f>
        <v>0.17</v>
      </c>
      <c r="E167" s="13">
        <f>$E$2*VLOOKUP(A167,Country_coverage1!$A$3:$BB$260,48,0)</f>
        <v>0.1</v>
      </c>
      <c r="F167">
        <f t="shared" si="2"/>
        <v>0.52500000000000002</v>
      </c>
    </row>
    <row r="168" spans="1:6" x14ac:dyDescent="0.25">
      <c r="A168" t="s">
        <v>829</v>
      </c>
      <c r="B168">
        <f>$B$2*VLOOKUP(A168,Lexis_Claims!$E$2:$G$256,3,0)</f>
        <v>0.06</v>
      </c>
      <c r="C168">
        <f>$C$2*VLOOKUP(A168,Lexis_Citation!$A$1:$C$256,3,0)</f>
        <v>0.24</v>
      </c>
      <c r="D168">
        <f>$D$2*VLOOKUP(A168,Country_coverage1!$A$3:$BB$260,54,0)</f>
        <v>1.0000000000000002E-2</v>
      </c>
      <c r="E168" s="13">
        <f>$E$2*VLOOKUP(A168,Country_coverage1!$A$3:$BB$260,48,0)</f>
        <v>0</v>
      </c>
      <c r="F168">
        <f t="shared" si="2"/>
        <v>0.31</v>
      </c>
    </row>
    <row r="169" spans="1:6" x14ac:dyDescent="0.25">
      <c r="A169" t="s">
        <v>835</v>
      </c>
      <c r="B169">
        <f>$B$2*VLOOKUP(A169,Lexis_Claims!$E$2:$G$256,3,0)</f>
        <v>1.4999999999999999E-2</v>
      </c>
      <c r="C169">
        <f>$C$2*VLOOKUP(A169,Lexis_Citation!$A$1:$C$256,3,0)</f>
        <v>8.0000000000000016E-2</v>
      </c>
      <c r="D169">
        <f>$D$2*VLOOKUP(A169,Country_coverage1!$A$3:$BB$260,54,0)</f>
        <v>1.0000000000000002E-2</v>
      </c>
      <c r="E169" s="13">
        <f>$E$2*VLOOKUP(A169,Country_coverage1!$A$3:$BB$260,48,0)</f>
        <v>0</v>
      </c>
      <c r="F169">
        <f t="shared" si="2"/>
        <v>0.10500000000000001</v>
      </c>
    </row>
    <row r="170" spans="1:6" x14ac:dyDescent="0.25">
      <c r="A170" t="s">
        <v>840</v>
      </c>
      <c r="B170">
        <f>$B$2*VLOOKUP(A170,Lexis_Claims!$E$2:$G$256,3,0)</f>
        <v>1.4999999999999999E-2</v>
      </c>
      <c r="C170">
        <f>$C$2*VLOOKUP(A170,Lexis_Citation!$A$1:$C$256,3,0)</f>
        <v>8.0000000000000016E-2</v>
      </c>
      <c r="D170">
        <f>$D$2*VLOOKUP(A170,Country_coverage1!$A$3:$BB$260,54,0)</f>
        <v>1.0000000000000002E-2</v>
      </c>
      <c r="E170" s="13">
        <f>$E$2*VLOOKUP(A170,Country_coverage1!$A$3:$BB$260,48,0)</f>
        <v>0</v>
      </c>
      <c r="F170">
        <f t="shared" si="2"/>
        <v>0.10500000000000001</v>
      </c>
    </row>
    <row r="171" spans="1:6" x14ac:dyDescent="0.25">
      <c r="A171" t="s">
        <v>844</v>
      </c>
      <c r="B171">
        <f>$B$2*VLOOKUP(A171,Lexis_Claims!$E$2:$G$256,3,0)</f>
        <v>1.4999999999999999E-2</v>
      </c>
      <c r="C171">
        <f>$C$2*VLOOKUP(A171,Lexis_Citation!$A$1:$C$256,3,0)</f>
        <v>8.0000000000000016E-2</v>
      </c>
      <c r="D171">
        <f>$D$2*VLOOKUP(A171,Country_coverage1!$A$3:$BB$260,54,0)</f>
        <v>1.0000000000000002E-2</v>
      </c>
      <c r="E171" s="13">
        <f>$E$2*VLOOKUP(A171,Country_coverage1!$A$3:$BB$260,48,0)</f>
        <v>0</v>
      </c>
      <c r="F171">
        <f t="shared" si="2"/>
        <v>0.10500000000000001</v>
      </c>
    </row>
    <row r="172" spans="1:6" x14ac:dyDescent="0.25">
      <c r="A172" t="s">
        <v>847</v>
      </c>
      <c r="B172">
        <f>$B$2*VLOOKUP(A172,Lexis_Claims!$E$2:$G$256,3,0)</f>
        <v>1.4999999999999999E-2</v>
      </c>
      <c r="C172">
        <f>$C$2*VLOOKUP(A172,Lexis_Citation!$A$1:$C$256,3,0)</f>
        <v>2.0000000000000004E-2</v>
      </c>
      <c r="D172">
        <f>$D$2*VLOOKUP(A172,Country_coverage1!$A$3:$BB$260,54,0)</f>
        <v>1.0000000000000002E-2</v>
      </c>
      <c r="E172" s="13">
        <f>$E$2*VLOOKUP(A172,Country_coverage1!$A$3:$BB$260,48,0)</f>
        <v>0</v>
      </c>
      <c r="F172">
        <f t="shared" si="2"/>
        <v>4.5000000000000005E-2</v>
      </c>
    </row>
    <row r="173" spans="1:6" x14ac:dyDescent="0.25">
      <c r="A173" t="s">
        <v>850</v>
      </c>
      <c r="B173">
        <f>$B$2*VLOOKUP(A173,Lexis_Claims!$E$2:$G$256,3,0)</f>
        <v>1.4999999999999999E-2</v>
      </c>
      <c r="C173">
        <f>$C$2*VLOOKUP(A173,Lexis_Citation!$A$1:$C$256,3,0)</f>
        <v>2.0000000000000004E-2</v>
      </c>
      <c r="D173">
        <f>$D$2*VLOOKUP(A173,Country_coverage1!$A$3:$BB$260,54,0)</f>
        <v>1.0000000000000002E-2</v>
      </c>
      <c r="E173" s="13">
        <f>$E$2*VLOOKUP(A173,Country_coverage1!$A$3:$BB$260,48,0)</f>
        <v>0</v>
      </c>
      <c r="F173">
        <f t="shared" si="2"/>
        <v>4.5000000000000005E-2</v>
      </c>
    </row>
    <row r="174" spans="1:6" x14ac:dyDescent="0.25">
      <c r="A174" t="s">
        <v>854</v>
      </c>
      <c r="B174">
        <f>$B$2*VLOOKUP(A174,Lexis_Claims!$E$2:$G$256,3,0)</f>
        <v>1.4999999999999999E-2</v>
      </c>
      <c r="C174">
        <f>$C$2*VLOOKUP(A174,Lexis_Citation!$A$1:$C$256,3,0)</f>
        <v>8.0000000000000016E-2</v>
      </c>
      <c r="D174">
        <f>$D$2*VLOOKUP(A174,Country_coverage1!$A$3:$BB$260,54,0)</f>
        <v>1.0000000000000002E-2</v>
      </c>
      <c r="E174" s="13">
        <f>$E$2*VLOOKUP(A174,Country_coverage1!$A$3:$BB$260,48,0)</f>
        <v>0</v>
      </c>
      <c r="F174">
        <f t="shared" si="2"/>
        <v>0.10500000000000001</v>
      </c>
    </row>
    <row r="175" spans="1:6" x14ac:dyDescent="0.25">
      <c r="A175" t="s">
        <v>856</v>
      </c>
      <c r="B175">
        <f>$B$2*VLOOKUP(A175,Lexis_Claims!$E$2:$G$256,3,0)</f>
        <v>1.4999999999999999E-2</v>
      </c>
      <c r="C175">
        <f>$C$2*VLOOKUP(A175,Lexis_Citation!$A$1:$C$256,3,0)</f>
        <v>8.0000000000000016E-2</v>
      </c>
      <c r="D175">
        <f>$D$2*VLOOKUP(A175,Country_coverage1!$A$3:$BB$260,54,0)</f>
        <v>1.0000000000000002E-2</v>
      </c>
      <c r="E175" s="13">
        <f>$E$2*VLOOKUP(A175,Country_coverage1!$A$3:$BB$260,48,0)</f>
        <v>0</v>
      </c>
      <c r="F175">
        <f t="shared" si="2"/>
        <v>0.10500000000000001</v>
      </c>
    </row>
    <row r="176" spans="1:6" x14ac:dyDescent="0.25">
      <c r="A176" t="s">
        <v>861</v>
      </c>
      <c r="B176">
        <f>$B$2*VLOOKUP(A176,Lexis_Claims!$E$2:$G$256,3,0)</f>
        <v>0.255</v>
      </c>
      <c r="C176">
        <f>$C$2*VLOOKUP(A176,Lexis_Citation!$A$1:$C$256,3,0)</f>
        <v>8.0000000000000016E-2</v>
      </c>
      <c r="D176">
        <f>$D$2*VLOOKUP(A176,Country_coverage1!$A$3:$BB$260,54,0)</f>
        <v>1.0000000000000002E-2</v>
      </c>
      <c r="E176" s="13">
        <f>$E$2*VLOOKUP(A176,Country_coverage1!$A$3:$BB$260,48,0)</f>
        <v>0</v>
      </c>
      <c r="F176">
        <f t="shared" si="2"/>
        <v>0.34500000000000003</v>
      </c>
    </row>
    <row r="177" spans="1:6" x14ac:dyDescent="0.25">
      <c r="A177" t="s">
        <v>867</v>
      </c>
      <c r="B177">
        <f>$B$2*VLOOKUP(A177,Lexis_Claims!$E$2:$G$256,3,0)</f>
        <v>1.4999999999999999E-2</v>
      </c>
      <c r="C177">
        <f>$C$2*VLOOKUP(A177,Lexis_Citation!$A$1:$C$256,3,0)</f>
        <v>0.24</v>
      </c>
      <c r="D177">
        <f>$D$2*VLOOKUP(A177,Country_coverage1!$A$3:$BB$260,54,0)</f>
        <v>1.0000000000000002E-2</v>
      </c>
      <c r="E177" s="13">
        <f>$E$2*VLOOKUP(A177,Country_coverage1!$A$3:$BB$260,48,0)</f>
        <v>0</v>
      </c>
      <c r="F177">
        <f t="shared" si="2"/>
        <v>0.26500000000000001</v>
      </c>
    </row>
    <row r="178" spans="1:6" x14ac:dyDescent="0.25">
      <c r="A178" t="s">
        <v>871</v>
      </c>
      <c r="B178">
        <f>$B$2*VLOOKUP(A178,Lexis_Claims!$E$2:$G$256,3,0)</f>
        <v>0.18</v>
      </c>
      <c r="C178">
        <f>$C$2*VLOOKUP(A178,Lexis_Citation!$A$1:$C$256,3,0)</f>
        <v>0.34</v>
      </c>
      <c r="D178">
        <f>$D$2*VLOOKUP(A178,Country_coverage1!$A$3:$BB$260,54,0)</f>
        <v>1.0000000000000002E-2</v>
      </c>
      <c r="E178" s="13">
        <f>$E$2*VLOOKUP(A178,Country_coverage1!$A$3:$BB$260,48,0)</f>
        <v>0</v>
      </c>
      <c r="F178">
        <f t="shared" si="2"/>
        <v>0.53</v>
      </c>
    </row>
    <row r="179" spans="1:6" x14ac:dyDescent="0.25">
      <c r="A179" t="s">
        <v>876</v>
      </c>
      <c r="B179">
        <f>$B$2*VLOOKUP(A179,Lexis_Claims!$E$2:$G$256,3,0)</f>
        <v>1.4999999999999999E-2</v>
      </c>
      <c r="C179">
        <f>$C$2*VLOOKUP(A179,Lexis_Citation!$A$1:$C$256,3,0)</f>
        <v>0.24</v>
      </c>
      <c r="D179">
        <f>$D$2*VLOOKUP(A179,Country_coverage1!$A$3:$BB$260,54,0)</f>
        <v>1.0000000000000002E-2</v>
      </c>
      <c r="E179" s="13">
        <f>$E$2*VLOOKUP(A179,Country_coverage1!$A$3:$BB$260,48,0)</f>
        <v>0</v>
      </c>
      <c r="F179">
        <f t="shared" si="2"/>
        <v>0.26500000000000001</v>
      </c>
    </row>
    <row r="180" spans="1:6" x14ac:dyDescent="0.25">
      <c r="A180" t="s">
        <v>881</v>
      </c>
      <c r="B180">
        <f>$B$2*VLOOKUP(A180,Lexis_Claims!$E$2:$G$256,3,0)</f>
        <v>1.4999999999999999E-2</v>
      </c>
      <c r="C180">
        <f>$C$2*VLOOKUP(A180,Lexis_Citation!$A$1:$C$256,3,0)</f>
        <v>0.24</v>
      </c>
      <c r="D180">
        <f>$D$2*VLOOKUP(A180,Country_coverage1!$A$3:$BB$260,54,0)</f>
        <v>1.0000000000000002E-2</v>
      </c>
      <c r="E180" s="13">
        <f>$E$2*VLOOKUP(A180,Country_coverage1!$A$3:$BB$260,48,0)</f>
        <v>0</v>
      </c>
      <c r="F180">
        <f t="shared" si="2"/>
        <v>0.26500000000000001</v>
      </c>
    </row>
    <row r="181" spans="1:6" x14ac:dyDescent="0.25">
      <c r="A181" t="s">
        <v>887</v>
      </c>
      <c r="B181">
        <f>$B$2*VLOOKUP(A181,Lexis_Claims!$E$2:$G$256,3,0)</f>
        <v>0.06</v>
      </c>
      <c r="C181">
        <f>$C$2*VLOOKUP(A181,Lexis_Citation!$A$1:$C$256,3,0)</f>
        <v>0.24</v>
      </c>
      <c r="D181">
        <f>$D$2*VLOOKUP(A181,Country_coverage1!$A$3:$BB$260,54,0)</f>
        <v>1.0000000000000002E-2</v>
      </c>
      <c r="E181" s="13">
        <f>$E$2*VLOOKUP(A181,Country_coverage1!$A$3:$BB$260,48,0)</f>
        <v>0</v>
      </c>
      <c r="F181">
        <f t="shared" si="2"/>
        <v>0.31</v>
      </c>
    </row>
    <row r="182" spans="1:6" x14ac:dyDescent="0.25">
      <c r="A182" t="s">
        <v>895</v>
      </c>
      <c r="B182">
        <f>$B$2*VLOOKUP(A182,Lexis_Claims!$E$2:$G$256,3,0)</f>
        <v>0.06</v>
      </c>
      <c r="C182">
        <f>$C$2*VLOOKUP(A182,Lexis_Citation!$A$1:$C$256,3,0)</f>
        <v>8.0000000000000016E-2</v>
      </c>
      <c r="D182">
        <f>$D$2*VLOOKUP(A182,Country_coverage1!$A$3:$BB$260,54,0)</f>
        <v>1.0000000000000002E-2</v>
      </c>
      <c r="E182" s="13">
        <f>$E$2*VLOOKUP(A182,Country_coverage1!$A$3:$BB$260,48,0)</f>
        <v>0</v>
      </c>
      <c r="F182">
        <f t="shared" si="2"/>
        <v>0.15000000000000002</v>
      </c>
    </row>
    <row r="183" spans="1:6" x14ac:dyDescent="0.25">
      <c r="A183" t="s">
        <v>902</v>
      </c>
      <c r="B183">
        <f>$B$2*VLOOKUP(A183,Lexis_Claims!$E$2:$G$256,3,0)</f>
        <v>1.4999999999999999E-2</v>
      </c>
      <c r="C183">
        <f>$C$2*VLOOKUP(A183,Lexis_Citation!$A$1:$C$256,3,0)</f>
        <v>0.24</v>
      </c>
      <c r="D183">
        <f>$D$2*VLOOKUP(A183,Country_coverage1!$A$3:$BB$260,54,0)</f>
        <v>4.0000000000000008E-2</v>
      </c>
      <c r="E183" s="13">
        <f>$E$2*VLOOKUP(A183,Country_coverage1!$A$3:$BB$260,48,0)</f>
        <v>0.1</v>
      </c>
      <c r="F183">
        <f t="shared" si="2"/>
        <v>0.39500000000000002</v>
      </c>
    </row>
    <row r="184" spans="1:6" x14ac:dyDescent="0.25">
      <c r="A184" t="s">
        <v>911</v>
      </c>
      <c r="B184">
        <f>$B$2*VLOOKUP(A184,Lexis_Claims!$E$2:$G$256,3,0)</f>
        <v>1.4999999999999999E-2</v>
      </c>
      <c r="C184">
        <f>$C$2*VLOOKUP(A184,Lexis_Citation!$A$1:$C$256,3,0)</f>
        <v>2.0000000000000004E-2</v>
      </c>
      <c r="D184">
        <f>$D$2*VLOOKUP(A184,Country_coverage1!$A$3:$BB$260,54,0)</f>
        <v>1.0000000000000002E-2</v>
      </c>
      <c r="E184" s="13">
        <f>$E$2*VLOOKUP(A184,Country_coverage1!$A$3:$BB$260,48,0)</f>
        <v>0</v>
      </c>
      <c r="F184">
        <f t="shared" si="2"/>
        <v>4.5000000000000005E-2</v>
      </c>
    </row>
    <row r="185" spans="1:6" x14ac:dyDescent="0.25">
      <c r="A185" t="s">
        <v>917</v>
      </c>
      <c r="B185">
        <f>$B$2*VLOOKUP(A185,Lexis_Claims!$E$2:$G$256,3,0)</f>
        <v>0.06</v>
      </c>
      <c r="C185">
        <f>$C$2*VLOOKUP(A185,Lexis_Citation!$A$1:$C$256,3,0)</f>
        <v>0.24</v>
      </c>
      <c r="D185">
        <f>$D$2*VLOOKUP(A185,Country_coverage1!$A$3:$BB$260,54,0)</f>
        <v>1.0000000000000002E-2</v>
      </c>
      <c r="E185" s="13">
        <f>$E$2*VLOOKUP(A185,Country_coverage1!$A$3:$BB$260,48,0)</f>
        <v>0.1</v>
      </c>
      <c r="F185">
        <f t="shared" si="2"/>
        <v>0.41000000000000003</v>
      </c>
    </row>
    <row r="186" spans="1:6" x14ac:dyDescent="0.25">
      <c r="A186" t="s">
        <v>924</v>
      </c>
      <c r="B186">
        <f>$B$2*VLOOKUP(A186,Lexis_Claims!$E$2:$G$256,3,0)</f>
        <v>0.06</v>
      </c>
      <c r="C186">
        <f>$C$2*VLOOKUP(A186,Lexis_Citation!$A$1:$C$256,3,0)</f>
        <v>0.24</v>
      </c>
      <c r="D186">
        <f>$D$2*VLOOKUP(A186,Country_coverage1!$A$3:$BB$260,54,0)</f>
        <v>1.0000000000000002E-2</v>
      </c>
      <c r="E186" s="13">
        <f>$E$2*VLOOKUP(A186,Country_coverage1!$A$3:$BB$260,48,0)</f>
        <v>0</v>
      </c>
      <c r="F186">
        <f t="shared" si="2"/>
        <v>0.31</v>
      </c>
    </row>
    <row r="187" spans="1:6" x14ac:dyDescent="0.25">
      <c r="A187" t="s">
        <v>930</v>
      </c>
      <c r="B187">
        <f>$B$2*VLOOKUP(A187,Lexis_Claims!$E$2:$G$256,3,0)</f>
        <v>0.255</v>
      </c>
      <c r="C187">
        <f>$C$2*VLOOKUP(A187,Lexis_Citation!$A$1:$C$256,3,0)</f>
        <v>0.24</v>
      </c>
      <c r="D187">
        <f>$D$2*VLOOKUP(A187,Country_coverage1!$A$3:$BB$260,54,0)</f>
        <v>0.17</v>
      </c>
      <c r="E187" s="13">
        <f>$E$2*VLOOKUP(A187,Country_coverage1!$A$3:$BB$260,48,0)</f>
        <v>0.1</v>
      </c>
      <c r="F187">
        <f t="shared" si="2"/>
        <v>0.76500000000000001</v>
      </c>
    </row>
    <row r="188" spans="1:6" x14ac:dyDescent="0.25">
      <c r="A188" t="s">
        <v>938</v>
      </c>
      <c r="B188">
        <f>$B$2*VLOOKUP(A188,Lexis_Claims!$E$2:$G$256,3,0)</f>
        <v>0.255</v>
      </c>
      <c r="C188">
        <f>$C$2*VLOOKUP(A188,Lexis_Citation!$A$1:$C$256,3,0)</f>
        <v>0.24</v>
      </c>
      <c r="D188">
        <f>$D$2*VLOOKUP(A188,Country_coverage1!$A$3:$BB$260,54,0)</f>
        <v>1.0000000000000002E-2</v>
      </c>
      <c r="E188" s="13">
        <f>$E$2*VLOOKUP(A188,Country_coverage1!$A$3:$BB$260,48,0)</f>
        <v>0</v>
      </c>
      <c r="F188">
        <f t="shared" si="2"/>
        <v>0.505</v>
      </c>
    </row>
    <row r="189" spans="1:6" x14ac:dyDescent="0.25">
      <c r="A189" t="s">
        <v>944</v>
      </c>
      <c r="B189">
        <f>$B$2*VLOOKUP(A189,Lexis_Claims!$E$2:$G$256,3,0)</f>
        <v>0.3</v>
      </c>
      <c r="C189">
        <f>$C$2*VLOOKUP(A189,Lexis_Citation!$A$1:$C$256,3,0)</f>
        <v>0.34</v>
      </c>
      <c r="D189">
        <f>$D$2*VLOOKUP(A189,Country_coverage1!$A$3:$BB$260,54,0)</f>
        <v>0.17</v>
      </c>
      <c r="E189" s="13">
        <f>$E$2*VLOOKUP(A189,Country_coverage1!$A$3:$BB$260,48,0)</f>
        <v>0.1</v>
      </c>
      <c r="F189">
        <f t="shared" si="2"/>
        <v>0.91</v>
      </c>
    </row>
    <row r="190" spans="1:6" x14ac:dyDescent="0.25">
      <c r="A190" t="s">
        <v>952</v>
      </c>
      <c r="B190">
        <f>$B$2*VLOOKUP(A190,Lexis_Claims!$E$2:$G$256,3,0)</f>
        <v>0.3</v>
      </c>
      <c r="C190">
        <f>$C$2*VLOOKUP(A190,Lexis_Citation!$A$1:$C$256,3,0)</f>
        <v>0.24</v>
      </c>
      <c r="D190">
        <f>$D$2*VLOOKUP(A190,Country_coverage1!$A$3:$BB$260,54,0)</f>
        <v>1.0000000000000002E-2</v>
      </c>
      <c r="E190" s="13">
        <f>$E$2*VLOOKUP(A190,Country_coverage1!$A$3:$BB$260,48,0)</f>
        <v>0</v>
      </c>
      <c r="F190">
        <f t="shared" si="2"/>
        <v>0.55000000000000004</v>
      </c>
    </row>
    <row r="191" spans="1:6" x14ac:dyDescent="0.25">
      <c r="A191" t="s">
        <v>959</v>
      </c>
      <c r="B191">
        <f>$B$2*VLOOKUP(A191,Lexis_Claims!$E$2:$G$256,3,0)</f>
        <v>0.255</v>
      </c>
      <c r="C191">
        <f>$C$2*VLOOKUP(A191,Lexis_Citation!$A$1:$C$256,3,0)</f>
        <v>0.24</v>
      </c>
      <c r="D191">
        <f>$D$2*VLOOKUP(A191,Country_coverage1!$A$3:$BB$260,54,0)</f>
        <v>0.12</v>
      </c>
      <c r="E191" s="13">
        <f>$E$2*VLOOKUP(A191,Country_coverage1!$A$3:$BB$260,48,0)</f>
        <v>0.1</v>
      </c>
      <c r="F191">
        <f t="shared" si="2"/>
        <v>0.71499999999999997</v>
      </c>
    </row>
    <row r="192" spans="1:6" x14ac:dyDescent="0.25">
      <c r="A192" t="s">
        <v>965</v>
      </c>
      <c r="B192">
        <f>$B$2*VLOOKUP(A192,Lexis_Claims!$E$2:$G$256,3,0)</f>
        <v>1.4999999999999999E-2</v>
      </c>
      <c r="C192">
        <f>$C$2*VLOOKUP(A192,Lexis_Citation!$A$1:$C$256,3,0)</f>
        <v>8.0000000000000016E-2</v>
      </c>
      <c r="D192">
        <f>$D$2*VLOOKUP(A192,Country_coverage1!$A$3:$BB$260,54,0)</f>
        <v>1.0000000000000002E-2</v>
      </c>
      <c r="E192" s="13">
        <f>$E$2*VLOOKUP(A192,Country_coverage1!$A$3:$BB$260,48,0)</f>
        <v>0</v>
      </c>
      <c r="F192">
        <f t="shared" si="2"/>
        <v>0.10500000000000001</v>
      </c>
    </row>
    <row r="193" spans="1:6" x14ac:dyDescent="0.25">
      <c r="A193" t="s">
        <v>971</v>
      </c>
      <c r="B193">
        <f>$B$2*VLOOKUP(A193,Lexis_Claims!$E$2:$G$256,3,0)</f>
        <v>1.4999999999999999E-2</v>
      </c>
      <c r="C193">
        <f>$C$2*VLOOKUP(A193,Lexis_Citation!$A$1:$C$256,3,0)</f>
        <v>8.0000000000000016E-2</v>
      </c>
      <c r="D193">
        <f>$D$2*VLOOKUP(A193,Country_coverage1!$A$3:$BB$260,54,0)</f>
        <v>4.0000000000000008E-2</v>
      </c>
      <c r="E193" s="13">
        <f>$E$2*VLOOKUP(A193,Country_coverage1!$A$3:$BB$260,48,0)</f>
        <v>0</v>
      </c>
      <c r="F193">
        <f t="shared" si="2"/>
        <v>0.13500000000000001</v>
      </c>
    </row>
    <row r="194" spans="1:6" x14ac:dyDescent="0.25">
      <c r="A194" t="s">
        <v>976</v>
      </c>
      <c r="B194">
        <f>$B$2*VLOOKUP(A194,Lexis_Claims!$E$2:$G$256,3,0)</f>
        <v>1.4999999999999999E-2</v>
      </c>
      <c r="C194">
        <f>$C$2*VLOOKUP(A194,Lexis_Citation!$A$1:$C$256,3,0)</f>
        <v>8.0000000000000016E-2</v>
      </c>
      <c r="D194">
        <f>$D$2*VLOOKUP(A194,Country_coverage1!$A$3:$BB$260,54,0)</f>
        <v>1.0000000000000002E-2</v>
      </c>
      <c r="E194" s="13">
        <f>$E$2*VLOOKUP(A194,Country_coverage1!$A$3:$BB$260,48,0)</f>
        <v>0</v>
      </c>
      <c r="F194">
        <f t="shared" si="2"/>
        <v>0.10500000000000001</v>
      </c>
    </row>
    <row r="195" spans="1:6" x14ac:dyDescent="0.25">
      <c r="A195" t="s">
        <v>980</v>
      </c>
      <c r="B195">
        <f>$B$2*VLOOKUP(A195,Lexis_Claims!$E$2:$G$256,3,0)</f>
        <v>1.4999999999999999E-2</v>
      </c>
      <c r="C195">
        <f>$C$2*VLOOKUP(A195,Lexis_Citation!$A$1:$C$256,3,0)</f>
        <v>2.0000000000000004E-2</v>
      </c>
      <c r="D195">
        <f>$D$2*VLOOKUP(A195,Country_coverage1!$A$3:$BB$260,54,0)</f>
        <v>1.0000000000000002E-2</v>
      </c>
      <c r="E195" s="13">
        <f>$E$2*VLOOKUP(A195,Country_coverage1!$A$3:$BB$260,48,0)</f>
        <v>0</v>
      </c>
      <c r="F195">
        <f t="shared" si="2"/>
        <v>4.5000000000000005E-2</v>
      </c>
    </row>
    <row r="196" spans="1:6" x14ac:dyDescent="0.25">
      <c r="A196" t="s">
        <v>985</v>
      </c>
      <c r="B196">
        <f>$B$2*VLOOKUP(A196,Lexis_Claims!$E$2:$G$256,3,0)</f>
        <v>0.18</v>
      </c>
      <c r="C196">
        <f>$C$2*VLOOKUP(A196,Lexis_Citation!$A$1:$C$256,3,0)</f>
        <v>2.0000000000000004E-2</v>
      </c>
      <c r="D196">
        <f>$D$2*VLOOKUP(A196,Country_coverage1!$A$3:$BB$260,54,0)</f>
        <v>1.0000000000000002E-2</v>
      </c>
      <c r="E196" s="13">
        <f>$E$2*VLOOKUP(A196,Country_coverage1!$A$3:$BB$260,48,0)</f>
        <v>0.1</v>
      </c>
      <c r="F196">
        <f t="shared" ref="F196:F257" si="3">SUM(B196:E196)</f>
        <v>0.31000000000000005</v>
      </c>
    </row>
    <row r="197" spans="1:6" x14ac:dyDescent="0.25">
      <c r="A197" t="s">
        <v>990</v>
      </c>
      <c r="B197">
        <f>$B$2*VLOOKUP(A197,Lexis_Claims!$E$2:$G$256,3,0)</f>
        <v>1.4999999999999999E-2</v>
      </c>
      <c r="C197">
        <f>$C$2*VLOOKUP(A197,Lexis_Citation!$A$1:$C$256,3,0)</f>
        <v>8.0000000000000016E-2</v>
      </c>
      <c r="D197">
        <f>$D$2*VLOOKUP(A197,Country_coverage1!$A$3:$BB$260,54,0)</f>
        <v>1.0000000000000002E-2</v>
      </c>
      <c r="E197" s="13">
        <f>$E$2*VLOOKUP(A197,Country_coverage1!$A$3:$BB$260,48,0)</f>
        <v>0</v>
      </c>
      <c r="F197">
        <f t="shared" si="3"/>
        <v>0.10500000000000001</v>
      </c>
    </row>
    <row r="198" spans="1:6" x14ac:dyDescent="0.25">
      <c r="A198" t="s">
        <v>996</v>
      </c>
      <c r="B198">
        <f>$B$2*VLOOKUP(A198,Lexis_Claims!$E$2:$G$256,3,0)</f>
        <v>0.18</v>
      </c>
      <c r="C198">
        <f>$C$2*VLOOKUP(A198,Lexis_Citation!$A$1:$C$256,3,0)</f>
        <v>0.34</v>
      </c>
      <c r="D198">
        <f>$D$2*VLOOKUP(A198,Country_coverage1!$A$3:$BB$260,54,0)</f>
        <v>4.0000000000000008E-2</v>
      </c>
      <c r="E198" s="13">
        <f>$E$2*VLOOKUP(A198,Country_coverage1!$A$3:$BB$260,48,0)</f>
        <v>0.1</v>
      </c>
      <c r="F198">
        <f t="shared" si="3"/>
        <v>0.66</v>
      </c>
    </row>
    <row r="199" spans="1:6" x14ac:dyDescent="0.25">
      <c r="A199" t="s">
        <v>1001</v>
      </c>
      <c r="B199">
        <f>$B$2*VLOOKUP(A199,Lexis_Claims!$E$2:$G$256,3,0)</f>
        <v>1.4999999999999999E-2</v>
      </c>
      <c r="C199">
        <f>$C$2*VLOOKUP(A199,Lexis_Citation!$A$1:$C$256,3,0)</f>
        <v>8.0000000000000016E-2</v>
      </c>
      <c r="D199">
        <f>$D$2*VLOOKUP(A199,Country_coverage1!$A$3:$BB$260,54,0)</f>
        <v>1.0000000000000002E-2</v>
      </c>
      <c r="E199" s="13">
        <f>$E$2*VLOOKUP(A199,Country_coverage1!$A$3:$BB$260,48,0)</f>
        <v>0</v>
      </c>
      <c r="F199">
        <f t="shared" si="3"/>
        <v>0.10500000000000001</v>
      </c>
    </row>
    <row r="200" spans="1:6" x14ac:dyDescent="0.25">
      <c r="A200" t="s">
        <v>1006</v>
      </c>
      <c r="B200">
        <f>$B$2*VLOOKUP(A200,Lexis_Claims!$E$2:$G$256,3,0)</f>
        <v>0.06</v>
      </c>
      <c r="C200">
        <f>$C$2*VLOOKUP(A200,Lexis_Citation!$A$1:$C$256,3,0)</f>
        <v>8.0000000000000016E-2</v>
      </c>
      <c r="D200">
        <f>$D$2*VLOOKUP(A200,Country_coverage1!$A$3:$BB$260,54,0)</f>
        <v>4.0000000000000008E-2</v>
      </c>
      <c r="E200" s="13">
        <f>$E$2*VLOOKUP(A200,Country_coverage1!$A$3:$BB$260,48,0)</f>
        <v>0</v>
      </c>
      <c r="F200">
        <f t="shared" si="3"/>
        <v>0.18000000000000002</v>
      </c>
    </row>
    <row r="201" spans="1:6" x14ac:dyDescent="0.25">
      <c r="A201" t="s">
        <v>1014</v>
      </c>
      <c r="B201">
        <f>$B$2*VLOOKUP(A201,Lexis_Claims!$E$2:$G$256,3,0)</f>
        <v>0.06</v>
      </c>
      <c r="C201">
        <f>$C$2*VLOOKUP(A201,Lexis_Citation!$A$1:$C$256,3,0)</f>
        <v>0.24</v>
      </c>
      <c r="D201">
        <f>$D$2*VLOOKUP(A201,Country_coverage1!$A$3:$BB$260,54,0)</f>
        <v>1.0000000000000002E-2</v>
      </c>
      <c r="E201" s="13">
        <f>$E$2*VLOOKUP(A201,Country_coverage1!$A$3:$BB$260,48,0)</f>
        <v>0</v>
      </c>
      <c r="F201">
        <f t="shared" si="3"/>
        <v>0.31</v>
      </c>
    </row>
    <row r="202" spans="1:6" x14ac:dyDescent="0.25">
      <c r="A202" t="s">
        <v>1018</v>
      </c>
      <c r="B202">
        <f>$B$2*VLOOKUP(A202,Lexis_Claims!$E$2:$G$256,3,0)</f>
        <v>1.4999999999999999E-2</v>
      </c>
      <c r="C202">
        <f>$C$2*VLOOKUP(A202,Lexis_Citation!$A$1:$C$256,3,0)</f>
        <v>2.0000000000000004E-2</v>
      </c>
      <c r="D202">
        <f>$D$2*VLOOKUP(A202,Country_coverage1!$A$3:$BB$260,54,0)</f>
        <v>1.0000000000000002E-2</v>
      </c>
      <c r="E202" s="13">
        <f>$E$2*VLOOKUP(A202,Country_coverage1!$A$3:$BB$260,48,0)</f>
        <v>0</v>
      </c>
      <c r="F202">
        <f t="shared" si="3"/>
        <v>4.5000000000000005E-2</v>
      </c>
    </row>
    <row r="203" spans="1:6" x14ac:dyDescent="0.25">
      <c r="A203" t="s">
        <v>1024</v>
      </c>
      <c r="B203">
        <f>$B$2*VLOOKUP(A203,Lexis_Claims!$E$2:$G$256,3,0)</f>
        <v>0.06</v>
      </c>
      <c r="C203">
        <f>$C$2*VLOOKUP(A203,Lexis_Citation!$A$1:$C$256,3,0)</f>
        <v>8.0000000000000016E-2</v>
      </c>
      <c r="D203">
        <f>$D$2*VLOOKUP(A203,Country_coverage1!$A$3:$BB$260,54,0)</f>
        <v>1.0000000000000002E-2</v>
      </c>
      <c r="E203" s="13">
        <f>$E$2*VLOOKUP(A203,Country_coverage1!$A$3:$BB$260,48,0)</f>
        <v>0</v>
      </c>
      <c r="F203">
        <f t="shared" si="3"/>
        <v>0.15000000000000002</v>
      </c>
    </row>
    <row r="204" spans="1:6" x14ac:dyDescent="0.25">
      <c r="A204" t="s">
        <v>1030</v>
      </c>
      <c r="B204">
        <f>$B$2*VLOOKUP(A204,Lexis_Claims!$E$2:$G$256,3,0)</f>
        <v>0.18</v>
      </c>
      <c r="C204">
        <f>$C$2*VLOOKUP(A204,Lexis_Citation!$A$1:$C$256,3,0)</f>
        <v>0.24</v>
      </c>
      <c r="D204">
        <f>$D$2*VLOOKUP(A204,Country_coverage1!$A$3:$BB$260,54,0)</f>
        <v>1.0000000000000002E-2</v>
      </c>
      <c r="E204" s="13">
        <f>$E$2*VLOOKUP(A204,Country_coverage1!$A$3:$BB$260,48,0)</f>
        <v>0</v>
      </c>
      <c r="F204">
        <f t="shared" si="3"/>
        <v>0.43</v>
      </c>
    </row>
    <row r="205" spans="1:6" x14ac:dyDescent="0.25">
      <c r="A205" t="s">
        <v>1034</v>
      </c>
      <c r="B205">
        <f>$B$2*VLOOKUP(A205,Lexis_Claims!$E$2:$G$256,3,0)</f>
        <v>1.4999999999999999E-2</v>
      </c>
      <c r="C205">
        <f>$C$2*VLOOKUP(A205,Lexis_Citation!$A$1:$C$256,3,0)</f>
        <v>8.0000000000000016E-2</v>
      </c>
      <c r="D205">
        <f>$D$2*VLOOKUP(A205,Country_coverage1!$A$3:$BB$260,54,0)</f>
        <v>1.0000000000000002E-2</v>
      </c>
      <c r="E205" s="13">
        <f>$E$2*VLOOKUP(A205,Country_coverage1!$A$3:$BB$260,48,0)</f>
        <v>0</v>
      </c>
      <c r="F205">
        <f t="shared" si="3"/>
        <v>0.10500000000000001</v>
      </c>
    </row>
    <row r="206" spans="1:6" x14ac:dyDescent="0.25">
      <c r="A206" t="s">
        <v>1038</v>
      </c>
      <c r="B206">
        <f>$B$2*VLOOKUP(A206,Lexis_Claims!$E$2:$G$256,3,0)</f>
        <v>1.4999999999999999E-2</v>
      </c>
      <c r="C206">
        <f>$C$2*VLOOKUP(A206,Lexis_Citation!$A$1:$C$256,3,0)</f>
        <v>8.0000000000000016E-2</v>
      </c>
      <c r="D206">
        <f>$D$2*VLOOKUP(A206,Country_coverage1!$A$3:$BB$260,54,0)</f>
        <v>1.0000000000000002E-2</v>
      </c>
      <c r="E206" s="13">
        <f>$E$2*VLOOKUP(A206,Country_coverage1!$A$3:$BB$260,48,0)</f>
        <v>0</v>
      </c>
      <c r="F206">
        <f t="shared" si="3"/>
        <v>0.10500000000000001</v>
      </c>
    </row>
    <row r="207" spans="1:6" x14ac:dyDescent="0.25">
      <c r="A207" t="s">
        <v>1041</v>
      </c>
      <c r="B207">
        <f>$B$2*VLOOKUP(A207,Lexis_Claims!$E$2:$G$256,3,0)</f>
        <v>0.18</v>
      </c>
      <c r="C207">
        <f>$C$2*VLOOKUP(A207,Lexis_Citation!$A$1:$C$256,3,0)</f>
        <v>0.24</v>
      </c>
      <c r="D207">
        <f>$D$2*VLOOKUP(A207,Country_coverage1!$A$3:$BB$260,54,0)</f>
        <v>1.0000000000000002E-2</v>
      </c>
      <c r="E207" s="13">
        <f>$E$2*VLOOKUP(A207,Country_coverage1!$A$3:$BB$260,48,0)</f>
        <v>0</v>
      </c>
      <c r="F207">
        <f t="shared" si="3"/>
        <v>0.43</v>
      </c>
    </row>
    <row r="208" spans="1:6" x14ac:dyDescent="0.25">
      <c r="A208" t="s">
        <v>1047</v>
      </c>
      <c r="B208">
        <f>$B$2*VLOOKUP(A208,Lexis_Claims!$E$2:$G$256,3,0)</f>
        <v>1.4999999999999999E-2</v>
      </c>
      <c r="C208">
        <f>$C$2*VLOOKUP(A208,Lexis_Citation!$A$1:$C$256,3,0)</f>
        <v>0.24</v>
      </c>
      <c r="D208">
        <f>$D$2*VLOOKUP(A208,Country_coverage1!$A$3:$BB$260,54,0)</f>
        <v>1.0000000000000002E-2</v>
      </c>
      <c r="E208" s="13">
        <f>$E$2*VLOOKUP(A208,Country_coverage1!$A$3:$BB$260,48,0)</f>
        <v>0</v>
      </c>
      <c r="F208">
        <f t="shared" si="3"/>
        <v>0.26500000000000001</v>
      </c>
    </row>
    <row r="209" spans="1:6" x14ac:dyDescent="0.25">
      <c r="A209" t="s">
        <v>1055</v>
      </c>
      <c r="B209">
        <f>$B$2*VLOOKUP(A209,Lexis_Claims!$E$2:$G$256,3,0)</f>
        <v>1.4999999999999999E-2</v>
      </c>
      <c r="C209">
        <f>$C$2*VLOOKUP(A209,Lexis_Citation!$A$1:$C$256,3,0)</f>
        <v>2.0000000000000004E-2</v>
      </c>
      <c r="D209">
        <f>$D$2*VLOOKUP(A209,Country_coverage1!$A$3:$BB$260,54,0)</f>
        <v>1.0000000000000002E-2</v>
      </c>
      <c r="E209" s="13">
        <f>$E$2*VLOOKUP(A209,Country_coverage1!$A$3:$BB$260,48,0)</f>
        <v>0</v>
      </c>
      <c r="F209">
        <f t="shared" si="3"/>
        <v>4.5000000000000005E-2</v>
      </c>
    </row>
    <row r="210" spans="1:6" x14ac:dyDescent="0.25">
      <c r="A210" t="s">
        <v>1060</v>
      </c>
      <c r="B210">
        <f>$B$2*VLOOKUP(A210,Lexis_Claims!$E$2:$G$256,3,0)</f>
        <v>0.255</v>
      </c>
      <c r="C210">
        <f>$C$2*VLOOKUP(A210,Lexis_Citation!$A$1:$C$256,3,0)</f>
        <v>0.34</v>
      </c>
      <c r="D210">
        <f>$D$2*VLOOKUP(A210,Country_coverage1!$A$3:$BB$260,54,0)</f>
        <v>0.17</v>
      </c>
      <c r="E210" s="13">
        <f>$E$2*VLOOKUP(A210,Country_coverage1!$A$3:$BB$260,48,0)</f>
        <v>0.1</v>
      </c>
      <c r="F210">
        <f t="shared" si="3"/>
        <v>0.86499999999999999</v>
      </c>
    </row>
    <row r="211" spans="1:6" x14ac:dyDescent="0.25">
      <c r="A211" t="s">
        <v>1068</v>
      </c>
      <c r="B211">
        <f>$B$2*VLOOKUP(A211,Lexis_Claims!$E$2:$G$256,3,0)</f>
        <v>0.3</v>
      </c>
      <c r="C211">
        <f>$C$2*VLOOKUP(A211,Lexis_Citation!$A$1:$C$256,3,0)</f>
        <v>0.24</v>
      </c>
      <c r="D211">
        <f>$D$2*VLOOKUP(A211,Country_coverage1!$A$3:$BB$260,54,0)</f>
        <v>0.12</v>
      </c>
      <c r="E211" s="13">
        <f>$E$2*VLOOKUP(A211,Country_coverage1!$A$3:$BB$260,48,0)</f>
        <v>0.1</v>
      </c>
      <c r="F211">
        <f t="shared" si="3"/>
        <v>0.76</v>
      </c>
    </row>
    <row r="212" spans="1:6" x14ac:dyDescent="0.25">
      <c r="A212" t="s">
        <v>1076</v>
      </c>
      <c r="B212">
        <f>$B$2*VLOOKUP(A212,Lexis_Claims!$E$2:$G$256,3,0)</f>
        <v>1.4999999999999999E-2</v>
      </c>
      <c r="C212">
        <f>$C$2*VLOOKUP(A212,Lexis_Citation!$A$1:$C$256,3,0)</f>
        <v>8.0000000000000016E-2</v>
      </c>
      <c r="D212">
        <f>$D$2*VLOOKUP(A212,Country_coverage1!$A$3:$BB$260,54,0)</f>
        <v>4.0000000000000008E-2</v>
      </c>
      <c r="E212" s="13">
        <f>$E$2*VLOOKUP(A212,Country_coverage1!$A$3:$BB$260,48,0)</f>
        <v>0</v>
      </c>
      <c r="F212">
        <f t="shared" si="3"/>
        <v>0.13500000000000001</v>
      </c>
    </row>
    <row r="213" spans="1:6" x14ac:dyDescent="0.25">
      <c r="A213" t="s">
        <v>1081</v>
      </c>
      <c r="B213">
        <f>$B$2*VLOOKUP(A213,Lexis_Claims!$E$2:$G$256,3,0)</f>
        <v>0.18</v>
      </c>
      <c r="C213">
        <f>$C$2*VLOOKUP(A213,Lexis_Citation!$A$1:$C$256,3,0)</f>
        <v>0.24</v>
      </c>
      <c r="D213">
        <f>$D$2*VLOOKUP(A213,Country_coverage1!$A$3:$BB$260,54,0)</f>
        <v>1.0000000000000002E-2</v>
      </c>
      <c r="E213" s="13">
        <f>$E$2*VLOOKUP(A213,Country_coverage1!$A$3:$BB$260,48,0)</f>
        <v>0</v>
      </c>
      <c r="F213">
        <f t="shared" si="3"/>
        <v>0.43</v>
      </c>
    </row>
    <row r="214" spans="1:6" x14ac:dyDescent="0.25">
      <c r="A214" t="s">
        <v>1086</v>
      </c>
      <c r="B214">
        <f>$B$2*VLOOKUP(A214,Lexis_Claims!$E$2:$G$256,3,0)</f>
        <v>0.18</v>
      </c>
      <c r="C214">
        <f>$C$2*VLOOKUP(A214,Lexis_Citation!$A$1:$C$256,3,0)</f>
        <v>0.24</v>
      </c>
      <c r="D214">
        <f>$D$2*VLOOKUP(A214,Country_coverage1!$A$3:$BB$260,54,0)</f>
        <v>1.0000000000000002E-2</v>
      </c>
      <c r="E214" s="13">
        <f>$E$2*VLOOKUP(A214,Country_coverage1!$A$3:$BB$260,48,0)</f>
        <v>0</v>
      </c>
      <c r="F214">
        <f t="shared" si="3"/>
        <v>0.43</v>
      </c>
    </row>
    <row r="215" spans="1:6" x14ac:dyDescent="0.25">
      <c r="A215" t="s">
        <v>1092</v>
      </c>
      <c r="B215">
        <f>$B$2*VLOOKUP(A215,Lexis_Claims!$E$2:$G$256,3,0)</f>
        <v>0.18</v>
      </c>
      <c r="C215">
        <f>$C$2*VLOOKUP(A215,Lexis_Citation!$A$1:$C$256,3,0)</f>
        <v>8.0000000000000016E-2</v>
      </c>
      <c r="D215">
        <f>$D$2*VLOOKUP(A215,Country_coverage1!$A$3:$BB$260,54,0)</f>
        <v>0.17</v>
      </c>
      <c r="E215" s="13">
        <f>$E$2*VLOOKUP(A215,Country_coverage1!$A$3:$BB$260,48,0)</f>
        <v>0.1</v>
      </c>
      <c r="F215">
        <f t="shared" si="3"/>
        <v>0.53</v>
      </c>
    </row>
    <row r="216" spans="1:6" x14ac:dyDescent="0.25">
      <c r="A216" t="s">
        <v>1099</v>
      </c>
      <c r="B216">
        <f>$B$2*VLOOKUP(A216,Lexis_Claims!$E$2:$G$256,3,0)</f>
        <v>0.3</v>
      </c>
      <c r="C216">
        <f>$C$2*VLOOKUP(A216,Lexis_Citation!$A$1:$C$256,3,0)</f>
        <v>0.4</v>
      </c>
      <c r="D216">
        <f>$D$2*VLOOKUP(A216,Country_coverage1!$A$3:$BB$260,54,0)</f>
        <v>0.2</v>
      </c>
      <c r="E216" s="13">
        <f>$E$2*VLOOKUP(A216,Country_coverage1!$A$3:$BB$260,48,0)</f>
        <v>0</v>
      </c>
      <c r="F216">
        <f t="shared" si="3"/>
        <v>0.89999999999999991</v>
      </c>
    </row>
    <row r="217" spans="1:6" x14ac:dyDescent="0.25">
      <c r="A217" t="s">
        <v>1108</v>
      </c>
      <c r="B217">
        <f>$B$2*VLOOKUP(A217,Lexis_Claims!$E$2:$G$256,3,0)</f>
        <v>0.18</v>
      </c>
      <c r="C217">
        <f>$C$2*VLOOKUP(A217,Lexis_Citation!$A$1:$C$256,3,0)</f>
        <v>0.4</v>
      </c>
      <c r="D217">
        <f>$D$2*VLOOKUP(A217,Country_coverage1!$A$3:$BB$260,54,0)</f>
        <v>0.2</v>
      </c>
      <c r="E217" s="13">
        <f>$E$2*VLOOKUP(A217,Country_coverage1!$A$3:$BB$260,48,0)</f>
        <v>0</v>
      </c>
      <c r="F217">
        <f t="shared" si="3"/>
        <v>0.78</v>
      </c>
    </row>
    <row r="218" spans="1:6" x14ac:dyDescent="0.25">
      <c r="A218" t="s">
        <v>1116</v>
      </c>
      <c r="B218">
        <f>$B$2*VLOOKUP(A218,Lexis_Claims!$E$2:$G$256,3,0)</f>
        <v>0.255</v>
      </c>
      <c r="C218">
        <f>$C$2*VLOOKUP(A218,Lexis_Citation!$A$1:$C$256,3,0)</f>
        <v>8.0000000000000016E-2</v>
      </c>
      <c r="D218">
        <f>$D$2*VLOOKUP(A218,Country_coverage1!$A$3:$BB$260,54,0)</f>
        <v>0.12</v>
      </c>
      <c r="E218" s="13">
        <f>$E$2*VLOOKUP(A218,Country_coverage1!$A$3:$BB$260,48,0)</f>
        <v>0.1</v>
      </c>
      <c r="F218">
        <f t="shared" si="3"/>
        <v>0.55500000000000005</v>
      </c>
    </row>
    <row r="219" spans="1:6" x14ac:dyDescent="0.25">
      <c r="A219" t="s">
        <v>1123</v>
      </c>
      <c r="B219">
        <f>$B$2*VLOOKUP(A219,Lexis_Claims!$E$2:$G$256,3,0)</f>
        <v>0.18</v>
      </c>
      <c r="C219">
        <f>$C$2*VLOOKUP(A219,Lexis_Citation!$A$1:$C$256,3,0)</f>
        <v>0.24</v>
      </c>
      <c r="D219">
        <f>$D$2*VLOOKUP(A219,Country_coverage1!$A$3:$BB$260,54,0)</f>
        <v>0.12</v>
      </c>
      <c r="E219" s="13">
        <f>$E$2*VLOOKUP(A219,Country_coverage1!$A$3:$BB$260,48,0)</f>
        <v>0.1</v>
      </c>
      <c r="F219">
        <f t="shared" si="3"/>
        <v>0.64</v>
      </c>
    </row>
    <row r="220" spans="1:6" x14ac:dyDescent="0.25">
      <c r="A220" t="s">
        <v>1129</v>
      </c>
      <c r="B220">
        <f>$B$2*VLOOKUP(A220,Lexis_Claims!$E$2:$G$256,3,0)</f>
        <v>1.4999999999999999E-2</v>
      </c>
      <c r="C220">
        <f>$C$2*VLOOKUP(A220,Lexis_Citation!$A$1:$C$256,3,0)</f>
        <v>0.4</v>
      </c>
      <c r="D220">
        <f>$D$2*VLOOKUP(A220,Country_coverage1!$A$3:$BB$260,54,0)</f>
        <v>0.2</v>
      </c>
      <c r="E220" s="13">
        <f>$E$2*VLOOKUP(A220,Country_coverage1!$A$3:$BB$260,48,0)</f>
        <v>0</v>
      </c>
      <c r="F220">
        <f t="shared" si="3"/>
        <v>0.61499999999999999</v>
      </c>
    </row>
    <row r="221" spans="1:6" x14ac:dyDescent="0.25">
      <c r="A221" t="s">
        <v>1137</v>
      </c>
      <c r="B221">
        <f>$B$2*VLOOKUP(A221,Lexis_Claims!$E$2:$G$256,3,0)</f>
        <v>0.18</v>
      </c>
      <c r="C221">
        <f>$C$2*VLOOKUP(A221,Lexis_Citation!$A$1:$C$256,3,0)</f>
        <v>0.24</v>
      </c>
      <c r="D221">
        <f>$D$2*VLOOKUP(A221,Country_coverage1!$A$3:$BB$260,54,0)</f>
        <v>0.12</v>
      </c>
      <c r="E221" s="13">
        <f>$E$2*VLOOKUP(A221,Country_coverage1!$A$3:$BB$260,48,0)</f>
        <v>0</v>
      </c>
      <c r="F221">
        <f t="shared" si="3"/>
        <v>0.54</v>
      </c>
    </row>
    <row r="222" spans="1:6" x14ac:dyDescent="0.25">
      <c r="A222" t="s">
        <v>1145</v>
      </c>
      <c r="B222">
        <f>$B$2*VLOOKUP(A222,Lexis_Claims!$E$2:$G$256,3,0)</f>
        <v>0.06</v>
      </c>
      <c r="C222">
        <f>$C$2*VLOOKUP(A222,Lexis_Citation!$A$1:$C$256,3,0)</f>
        <v>0.24</v>
      </c>
      <c r="D222">
        <f>$D$2*VLOOKUP(A222,Country_coverage1!$A$3:$BB$260,54,0)</f>
        <v>0.12</v>
      </c>
      <c r="E222" s="13">
        <f>$E$2*VLOOKUP(A222,Country_coverage1!$A$3:$BB$260,48,0)</f>
        <v>0</v>
      </c>
      <c r="F222">
        <f t="shared" si="3"/>
        <v>0.42</v>
      </c>
    </row>
    <row r="223" spans="1:6" x14ac:dyDescent="0.25">
      <c r="A223" t="s">
        <v>1152</v>
      </c>
      <c r="B223">
        <f>$B$2*VLOOKUP(A223,Lexis_Claims!$E$2:$G$256,3,0)</f>
        <v>0.18</v>
      </c>
      <c r="C223">
        <f>$C$2*VLOOKUP(A223,Lexis_Citation!$A$1:$C$256,3,0)</f>
        <v>0.24</v>
      </c>
      <c r="D223">
        <f>$D$2*VLOOKUP(A223,Country_coverage1!$A$3:$BB$260,54,0)</f>
        <v>0.12</v>
      </c>
      <c r="E223" s="13">
        <f>$E$2*VLOOKUP(A223,Country_coverage1!$A$3:$BB$260,48,0)</f>
        <v>0</v>
      </c>
      <c r="F223">
        <f t="shared" si="3"/>
        <v>0.54</v>
      </c>
    </row>
    <row r="224" spans="1:6" x14ac:dyDescent="0.25">
      <c r="A224" t="s">
        <v>1159</v>
      </c>
      <c r="B224">
        <f>$B$2*VLOOKUP(A224,Lexis_Claims!$E$2:$G$256,3,0)</f>
        <v>0.06</v>
      </c>
      <c r="C224">
        <f>$C$2*VLOOKUP(A224,Lexis_Citation!$A$1:$C$256,3,0)</f>
        <v>0.24</v>
      </c>
      <c r="D224">
        <f>$D$2*VLOOKUP(A224,Country_coverage1!$A$3:$BB$260,54,0)</f>
        <v>0.12</v>
      </c>
      <c r="E224" s="13">
        <f>$E$2*VLOOKUP(A224,Country_coverage1!$A$3:$BB$260,48,0)</f>
        <v>0</v>
      </c>
      <c r="F224">
        <f t="shared" si="3"/>
        <v>0.42</v>
      </c>
    </row>
    <row r="225" spans="1:6" x14ac:dyDescent="0.25">
      <c r="A225" t="s">
        <v>1166</v>
      </c>
      <c r="B225">
        <f>$B$2*VLOOKUP(A225,Lexis_Claims!$E$2:$G$256,3,0)</f>
        <v>1.4999999999999999E-2</v>
      </c>
      <c r="C225">
        <f>$C$2*VLOOKUP(A225,Lexis_Citation!$A$1:$C$256,3,0)</f>
        <v>0.4</v>
      </c>
      <c r="D225">
        <f>$D$2*VLOOKUP(A225,Country_coverage1!$A$3:$BB$260,54,0)</f>
        <v>0.2</v>
      </c>
      <c r="E225" s="13">
        <f>$E$2*VLOOKUP(A225,Country_coverage1!$A$3:$BB$260,48,0)</f>
        <v>0</v>
      </c>
      <c r="F225">
        <f t="shared" si="3"/>
        <v>0.61499999999999999</v>
      </c>
    </row>
    <row r="226" spans="1:6" x14ac:dyDescent="0.25">
      <c r="A226" t="s">
        <v>1174</v>
      </c>
      <c r="B226">
        <f>$B$2*VLOOKUP(A226,Lexis_Claims!$E$2:$G$256,3,0)</f>
        <v>0.18</v>
      </c>
      <c r="C226">
        <f>$C$2*VLOOKUP(A226,Lexis_Citation!$A$1:$C$256,3,0)</f>
        <v>0.34</v>
      </c>
      <c r="D226">
        <f>$D$2*VLOOKUP(A226,Country_coverage1!$A$3:$BB$260,54,0)</f>
        <v>0.12</v>
      </c>
      <c r="E226" s="13">
        <f>$E$2*VLOOKUP(A226,Country_coverage1!$A$3:$BB$260,48,0)</f>
        <v>0</v>
      </c>
      <c r="F226">
        <f t="shared" si="3"/>
        <v>0.64</v>
      </c>
    </row>
    <row r="227" spans="1:6" x14ac:dyDescent="0.25">
      <c r="A227" t="s">
        <v>1181</v>
      </c>
      <c r="B227">
        <f>$B$2*VLOOKUP(A227,Lexis_Claims!$E$2:$G$256,3,0)</f>
        <v>0.18</v>
      </c>
      <c r="C227">
        <f>$C$2*VLOOKUP(A227,Lexis_Citation!$A$1:$C$256,3,0)</f>
        <v>0.34</v>
      </c>
      <c r="D227">
        <f>$D$2*VLOOKUP(A227,Country_coverage1!$A$3:$BB$260,54,0)</f>
        <v>0.12</v>
      </c>
      <c r="E227" s="13">
        <f>$E$2*VLOOKUP(A227,Country_coverage1!$A$3:$BB$260,48,0)</f>
        <v>0</v>
      </c>
      <c r="F227">
        <f t="shared" si="3"/>
        <v>0.64</v>
      </c>
    </row>
    <row r="228" spans="1:6" x14ac:dyDescent="0.25">
      <c r="A228" t="s">
        <v>1187</v>
      </c>
      <c r="B228">
        <f>$B$2*VLOOKUP(A228,Lexis_Claims!$E$2:$G$256,3,0)</f>
        <v>0.18</v>
      </c>
      <c r="C228">
        <f>$C$2*VLOOKUP(A228,Lexis_Citation!$A$1:$C$256,3,0)</f>
        <v>0.24</v>
      </c>
      <c r="D228">
        <f>$D$2*VLOOKUP(A228,Country_coverage1!$A$3:$BB$260,54,0)</f>
        <v>0.12</v>
      </c>
      <c r="E228" s="13">
        <f>$E$2*VLOOKUP(A228,Country_coverage1!$A$3:$BB$260,48,0)</f>
        <v>0</v>
      </c>
      <c r="F228">
        <f t="shared" si="3"/>
        <v>0.54</v>
      </c>
    </row>
    <row r="229" spans="1:6" x14ac:dyDescent="0.25">
      <c r="A229" t="s">
        <v>1191</v>
      </c>
      <c r="B229">
        <f>$B$2*VLOOKUP(A229,Lexis_Claims!$E$2:$G$256,3,0)</f>
        <v>1.4999999999999999E-2</v>
      </c>
      <c r="C229">
        <f>$C$2*VLOOKUP(A229,Lexis_Citation!$A$1:$C$256,3,0)</f>
        <v>8.0000000000000016E-2</v>
      </c>
      <c r="D229">
        <f>$D$2*VLOOKUP(A229,Country_coverage1!$A$3:$BB$260,54,0)</f>
        <v>1.0000000000000002E-2</v>
      </c>
      <c r="E229" s="13">
        <f>$E$2*VLOOKUP(A229,Country_coverage1!$A$3:$BB$260,48,0)</f>
        <v>0</v>
      </c>
      <c r="F229">
        <f t="shared" si="3"/>
        <v>0.10500000000000001</v>
      </c>
    </row>
    <row r="230" spans="1:6" x14ac:dyDescent="0.25">
      <c r="A230" t="s">
        <v>1196</v>
      </c>
      <c r="B230">
        <f>$B$2*VLOOKUP(A230,Lexis_Claims!$E$2:$G$256,3,0)</f>
        <v>0.06</v>
      </c>
      <c r="C230">
        <f>$C$2*VLOOKUP(A230,Lexis_Citation!$A$1:$C$256,3,0)</f>
        <v>8.0000000000000016E-2</v>
      </c>
      <c r="D230">
        <f>$D$2*VLOOKUP(A230,Country_coverage1!$A$3:$BB$260,54,0)</f>
        <v>4.0000000000000008E-2</v>
      </c>
      <c r="E230" s="13">
        <f>$E$2*VLOOKUP(A230,Country_coverage1!$A$3:$BB$260,48,0)</f>
        <v>0</v>
      </c>
      <c r="F230">
        <f t="shared" si="3"/>
        <v>0.18000000000000002</v>
      </c>
    </row>
    <row r="231" spans="1:6" x14ac:dyDescent="0.25">
      <c r="A231" t="s">
        <v>1203</v>
      </c>
      <c r="B231">
        <f>$B$2*VLOOKUP(A231,Lexis_Claims!$E$2:$G$256,3,0)</f>
        <v>0.06</v>
      </c>
      <c r="C231">
        <f>$C$2*VLOOKUP(A231,Lexis_Citation!$A$1:$C$256,3,0)</f>
        <v>0.4</v>
      </c>
      <c r="D231">
        <f>$D$2*VLOOKUP(A231,Country_coverage1!$A$3:$BB$260,54,0)</f>
        <v>0.12</v>
      </c>
      <c r="E231" s="13">
        <f>$E$2*VLOOKUP(A231,Country_coverage1!$A$3:$BB$260,48,0)</f>
        <v>0</v>
      </c>
      <c r="F231">
        <f t="shared" si="3"/>
        <v>0.58000000000000007</v>
      </c>
    </row>
    <row r="232" spans="1:6" x14ac:dyDescent="0.25">
      <c r="A232" t="s">
        <v>1211</v>
      </c>
      <c r="B232">
        <f>$B$2*VLOOKUP(A232,Lexis_Claims!$E$2:$G$256,3,0)</f>
        <v>0.18</v>
      </c>
      <c r="C232">
        <f>$C$2*VLOOKUP(A232,Lexis_Citation!$A$1:$C$256,3,0)</f>
        <v>0.24</v>
      </c>
      <c r="D232">
        <f>$D$2*VLOOKUP(A232,Country_coverage1!$A$3:$BB$260,54,0)</f>
        <v>4.0000000000000008E-2</v>
      </c>
      <c r="E232" s="13">
        <f>$E$2*VLOOKUP(A232,Country_coverage1!$A$3:$BB$260,48,0)</f>
        <v>0</v>
      </c>
      <c r="F232">
        <f t="shared" si="3"/>
        <v>0.45999999999999996</v>
      </c>
    </row>
    <row r="233" spans="1:6" x14ac:dyDescent="0.25">
      <c r="A233" t="s">
        <v>1219</v>
      </c>
      <c r="B233">
        <f>$B$2*VLOOKUP(A233,Lexis_Claims!$E$2:$G$256,3,0)</f>
        <v>0.18</v>
      </c>
      <c r="C233">
        <f>$C$2*VLOOKUP(A233,Lexis_Citation!$A$1:$C$256,3,0)</f>
        <v>0.24</v>
      </c>
      <c r="D233">
        <f>$D$2*VLOOKUP(A233,Country_coverage1!$A$3:$BB$260,54,0)</f>
        <v>0.12</v>
      </c>
      <c r="E233" s="13">
        <f>$E$2*VLOOKUP(A233,Country_coverage1!$A$3:$BB$260,48,0)</f>
        <v>0</v>
      </c>
      <c r="F233">
        <f t="shared" si="3"/>
        <v>0.54</v>
      </c>
    </row>
    <row r="234" spans="1:6" x14ac:dyDescent="0.25">
      <c r="A234" t="s">
        <v>1227</v>
      </c>
      <c r="B234">
        <f>$B$2*VLOOKUP(A234,Lexis_Claims!$E$2:$G$256,3,0)</f>
        <v>1.4999999999999999E-2</v>
      </c>
      <c r="C234">
        <f>$C$2*VLOOKUP(A234,Lexis_Citation!$A$1:$C$256,3,0)</f>
        <v>8.0000000000000016E-2</v>
      </c>
      <c r="D234">
        <f>$D$2*VLOOKUP(A234,Country_coverage1!$A$3:$BB$260,54,0)</f>
        <v>0.12</v>
      </c>
      <c r="E234" s="13">
        <f>$E$2*VLOOKUP(A234,Country_coverage1!$A$3:$BB$260,48,0)</f>
        <v>0</v>
      </c>
      <c r="F234">
        <f t="shared" si="3"/>
        <v>0.21500000000000002</v>
      </c>
    </row>
    <row r="235" spans="1:6" x14ac:dyDescent="0.25">
      <c r="A235" t="s">
        <v>1233</v>
      </c>
      <c r="B235">
        <f>$B$2*VLOOKUP(A235,Lexis_Claims!$E$2:$G$256,3,0)</f>
        <v>0.18</v>
      </c>
      <c r="C235">
        <f>$C$2*VLOOKUP(A235,Lexis_Citation!$A$1:$C$256,3,0)</f>
        <v>8.0000000000000016E-2</v>
      </c>
      <c r="D235">
        <f>$D$2*VLOOKUP(A235,Country_coverage1!$A$3:$BB$260,54,0)</f>
        <v>1.0000000000000002E-2</v>
      </c>
      <c r="E235" s="13">
        <f>$E$2*VLOOKUP(A235,Country_coverage1!$A$3:$BB$260,48,0)</f>
        <v>0</v>
      </c>
      <c r="F235">
        <f t="shared" si="3"/>
        <v>0.27</v>
      </c>
    </row>
    <row r="236" spans="1:6" x14ac:dyDescent="0.25">
      <c r="A236" t="s">
        <v>1240</v>
      </c>
      <c r="B236">
        <f>$B$2*VLOOKUP(A236,Lexis_Claims!$E$2:$G$256,3,0)</f>
        <v>0.06</v>
      </c>
      <c r="C236">
        <f>$C$2*VLOOKUP(A236,Lexis_Citation!$A$1:$C$256,3,0)</f>
        <v>0.34</v>
      </c>
      <c r="D236">
        <f>$D$2*VLOOKUP(A236,Country_coverage1!$A$3:$BB$260,54,0)</f>
        <v>0.12</v>
      </c>
      <c r="E236" s="13">
        <f>$E$2*VLOOKUP(A236,Country_coverage1!$A$3:$BB$260,48,0)</f>
        <v>0</v>
      </c>
      <c r="F236">
        <f t="shared" si="3"/>
        <v>0.52</v>
      </c>
    </row>
    <row r="237" spans="1:6" x14ac:dyDescent="0.25">
      <c r="A237" t="s">
        <v>1247</v>
      </c>
      <c r="B237">
        <f>$B$2*VLOOKUP(A237,Lexis_Claims!$E$2:$G$256,3,0)</f>
        <v>0.18</v>
      </c>
      <c r="C237">
        <f>$C$2*VLOOKUP(A237,Lexis_Citation!$A$1:$C$256,3,0)</f>
        <v>0.24</v>
      </c>
      <c r="D237">
        <f>$D$2*VLOOKUP(A237,Country_coverage1!$A$3:$BB$260,54,0)</f>
        <v>0.12</v>
      </c>
      <c r="E237" s="13">
        <f>$E$2*VLOOKUP(A237,Country_coverage1!$A$3:$BB$260,48,0)</f>
        <v>0</v>
      </c>
      <c r="F237">
        <f t="shared" si="3"/>
        <v>0.54</v>
      </c>
    </row>
    <row r="238" spans="1:6" x14ac:dyDescent="0.25">
      <c r="A238" t="s">
        <v>1256</v>
      </c>
      <c r="B238">
        <f>$B$2*VLOOKUP(A238,Lexis_Claims!$E$2:$G$256,3,0)</f>
        <v>1.4999999999999999E-2</v>
      </c>
      <c r="C238">
        <f>$C$2*VLOOKUP(A238,Lexis_Citation!$A$1:$C$256,3,0)</f>
        <v>2.0000000000000004E-2</v>
      </c>
      <c r="D238">
        <f>$D$2*VLOOKUP(A238,Country_coverage1!$A$3:$BB$260,54,0)</f>
        <v>4.0000000000000008E-2</v>
      </c>
      <c r="E238" s="13">
        <f>$E$2*VLOOKUP(A238,Country_coverage1!$A$3:$BB$260,48,0)</f>
        <v>0</v>
      </c>
      <c r="F238">
        <f t="shared" si="3"/>
        <v>7.5000000000000011E-2</v>
      </c>
    </row>
    <row r="239" spans="1:6" x14ac:dyDescent="0.25">
      <c r="A239" t="s">
        <v>1263</v>
      </c>
      <c r="B239">
        <f>$B$2*VLOOKUP(A239,Lexis_Claims!$E$2:$G$256,3,0)</f>
        <v>0.18</v>
      </c>
      <c r="C239">
        <f>$C$2*VLOOKUP(A239,Lexis_Citation!$A$1:$C$256,3,0)</f>
        <v>0.34</v>
      </c>
      <c r="D239">
        <f>$D$2*VLOOKUP(A239,Country_coverage1!$A$3:$BB$260,54,0)</f>
        <v>0.12</v>
      </c>
      <c r="E239" s="13">
        <f>$E$2*VLOOKUP(A239,Country_coverage1!$A$3:$BB$260,48,0)</f>
        <v>0</v>
      </c>
      <c r="F239">
        <f t="shared" si="3"/>
        <v>0.64</v>
      </c>
    </row>
    <row r="240" spans="1:6" x14ac:dyDescent="0.25">
      <c r="A240" t="s">
        <v>1271</v>
      </c>
      <c r="B240">
        <f>$B$2*VLOOKUP(A240,Lexis_Claims!$E$2:$G$256,3,0)</f>
        <v>0.06</v>
      </c>
      <c r="C240">
        <f>$C$2*VLOOKUP(A240,Lexis_Citation!$A$1:$C$256,3,0)</f>
        <v>8.0000000000000016E-2</v>
      </c>
      <c r="D240">
        <f>$D$2*VLOOKUP(A240,Country_coverage1!$A$3:$BB$260,54,0)</f>
        <v>4.0000000000000008E-2</v>
      </c>
      <c r="E240" s="13">
        <f>$E$2*VLOOKUP(A240,Country_coverage1!$A$3:$BB$260,48,0)</f>
        <v>0</v>
      </c>
      <c r="F240">
        <f t="shared" si="3"/>
        <v>0.18000000000000002</v>
      </c>
    </row>
    <row r="241" spans="1:6" x14ac:dyDescent="0.25">
      <c r="A241" t="s">
        <v>1279</v>
      </c>
      <c r="B241">
        <f>$B$2*VLOOKUP(A241,Lexis_Claims!$E$2:$G$256,3,0)</f>
        <v>1.4999999999999999E-2</v>
      </c>
      <c r="C241">
        <f>$C$2*VLOOKUP(A241,Lexis_Citation!$A$1:$C$256,3,0)</f>
        <v>8.0000000000000016E-2</v>
      </c>
      <c r="D241">
        <f>$D$2*VLOOKUP(A241,Country_coverage1!$A$3:$BB$260,54,0)</f>
        <v>0.17</v>
      </c>
      <c r="E241" s="13">
        <f>$E$2*VLOOKUP(A241,Country_coverage1!$A$3:$BB$260,48,0)</f>
        <v>0</v>
      </c>
      <c r="F241">
        <f t="shared" si="3"/>
        <v>0.26500000000000001</v>
      </c>
    </row>
    <row r="242" spans="1:6" x14ac:dyDescent="0.25">
      <c r="A242" t="s">
        <v>1286</v>
      </c>
      <c r="B242">
        <f>$B$2*VLOOKUP(A242,Lexis_Claims!$E$2:$G$256,3,0)</f>
        <v>0.18</v>
      </c>
      <c r="C242">
        <f>$C$2*VLOOKUP(A242,Lexis_Citation!$A$1:$C$256,3,0)</f>
        <v>0.24</v>
      </c>
      <c r="D242">
        <f>$D$2*VLOOKUP(A242,Country_coverage1!$A$3:$BB$260,54,0)</f>
        <v>0.12</v>
      </c>
      <c r="E242" s="13">
        <f>$E$2*VLOOKUP(A242,Country_coverage1!$A$3:$BB$260,48,0)</f>
        <v>0</v>
      </c>
      <c r="F242">
        <f t="shared" si="3"/>
        <v>0.54</v>
      </c>
    </row>
    <row r="243" spans="1:6" x14ac:dyDescent="0.25">
      <c r="A243" t="s">
        <v>1294</v>
      </c>
      <c r="B243">
        <f>$B$2*VLOOKUP(A243,Lexis_Claims!$E$2:$G$256,3,0)</f>
        <v>0.06</v>
      </c>
      <c r="C243">
        <f>$C$2*VLOOKUP(A243,Lexis_Citation!$A$1:$C$256,3,0)</f>
        <v>0.34</v>
      </c>
      <c r="D243">
        <f>$D$2*VLOOKUP(A243,Country_coverage1!$A$3:$BB$260,54,0)</f>
        <v>0.12</v>
      </c>
      <c r="E243" s="13">
        <f>$E$2*VLOOKUP(A243,Country_coverage1!$A$3:$BB$260,48,0)</f>
        <v>0</v>
      </c>
      <c r="F243">
        <f t="shared" si="3"/>
        <v>0.52</v>
      </c>
    </row>
    <row r="244" spans="1:6" x14ac:dyDescent="0.25">
      <c r="A244" t="s">
        <v>1302</v>
      </c>
      <c r="B244">
        <f>$B$2*VLOOKUP(A244,Lexis_Claims!$E$2:$G$256,3,0)</f>
        <v>1.4999999999999999E-2</v>
      </c>
      <c r="C244">
        <f>$C$2*VLOOKUP(A244,Lexis_Citation!$A$1:$C$256,3,0)</f>
        <v>0.24</v>
      </c>
      <c r="D244">
        <f>$D$2*VLOOKUP(A244,Country_coverage1!$A$3:$BB$260,54,0)</f>
        <v>1.0000000000000002E-2</v>
      </c>
      <c r="E244" s="13">
        <f>$E$2*VLOOKUP(A244,Country_coverage1!$A$3:$BB$260,48,0)</f>
        <v>0</v>
      </c>
      <c r="F244">
        <f t="shared" si="3"/>
        <v>0.26500000000000001</v>
      </c>
    </row>
    <row r="245" spans="1:6" x14ac:dyDescent="0.25">
      <c r="A245" t="s">
        <v>1307</v>
      </c>
      <c r="B245">
        <f>$B$2*VLOOKUP(A245,Lexis_Claims!$E$2:$G$256,3,0)</f>
        <v>1.4999999999999999E-2</v>
      </c>
      <c r="C245">
        <f>$C$2*VLOOKUP(A245,Lexis_Citation!$A$1:$C$256,3,0)</f>
        <v>8.0000000000000016E-2</v>
      </c>
      <c r="D245">
        <f>$D$2*VLOOKUP(A245,Country_coverage1!$A$3:$BB$260,54,0)</f>
        <v>1.0000000000000002E-2</v>
      </c>
      <c r="E245" s="13">
        <f>$E$2*VLOOKUP(A245,Country_coverage1!$A$3:$BB$260,48,0)</f>
        <v>0</v>
      </c>
      <c r="F245">
        <f t="shared" si="3"/>
        <v>0.10500000000000001</v>
      </c>
    </row>
    <row r="246" spans="1:6" x14ac:dyDescent="0.25">
      <c r="A246" t="s">
        <v>1310</v>
      </c>
      <c r="B246">
        <f>$B$2*VLOOKUP(A246,Lexis_Claims!$E$2:$G$256,3,0)</f>
        <v>1.4999999999999999E-2</v>
      </c>
      <c r="C246">
        <f>$C$2*VLOOKUP(A246,Lexis_Citation!$A$1:$C$256,3,0)</f>
        <v>0.24</v>
      </c>
      <c r="D246">
        <f>$D$2*VLOOKUP(A246,Country_coverage1!$A$3:$BB$260,54,0)</f>
        <v>1.0000000000000002E-2</v>
      </c>
      <c r="E246" s="13">
        <f>$E$2*VLOOKUP(A246,Country_coverage1!$A$3:$BB$260,48,0)</f>
        <v>0</v>
      </c>
      <c r="F246">
        <f t="shared" si="3"/>
        <v>0.26500000000000001</v>
      </c>
    </row>
    <row r="247" spans="1:6" x14ac:dyDescent="0.25">
      <c r="A247" t="s">
        <v>1316</v>
      </c>
      <c r="B247">
        <f>$B$2*VLOOKUP(A247,Lexis_Claims!$E$2:$G$256,3,0)</f>
        <v>0.18</v>
      </c>
      <c r="C247">
        <f>$C$2*VLOOKUP(A247,Lexis_Citation!$A$1:$C$256,3,0)</f>
        <v>0.34</v>
      </c>
      <c r="D247">
        <f>$D$2*VLOOKUP(A247,Country_coverage1!$A$3:$BB$260,54,0)</f>
        <v>1.0000000000000002E-2</v>
      </c>
      <c r="E247" s="13">
        <f>$E$2*VLOOKUP(A247,Country_coverage1!$A$3:$BB$260,48,0)</f>
        <v>0</v>
      </c>
      <c r="F247">
        <f t="shared" si="3"/>
        <v>0.53</v>
      </c>
    </row>
    <row r="248" spans="1:6" x14ac:dyDescent="0.25">
      <c r="A248" t="s">
        <v>1322</v>
      </c>
      <c r="B248">
        <f>$B$2*VLOOKUP(A248,Lexis_Claims!$E$2:$G$256,3,0)</f>
        <v>0.06</v>
      </c>
      <c r="C248">
        <f>$C$2*VLOOKUP(A248,Lexis_Citation!$A$1:$C$256,3,0)</f>
        <v>0.24</v>
      </c>
      <c r="D248">
        <f>$D$2*VLOOKUP(A248,Country_coverage1!$A$3:$BB$260,54,0)</f>
        <v>0.12</v>
      </c>
      <c r="E248" s="13">
        <f>$E$2*VLOOKUP(A248,Country_coverage1!$A$3:$BB$260,48,0)</f>
        <v>0</v>
      </c>
      <c r="F248">
        <f t="shared" si="3"/>
        <v>0.42</v>
      </c>
    </row>
    <row r="249" spans="1:6" x14ac:dyDescent="0.25">
      <c r="A249" t="s">
        <v>1330</v>
      </c>
      <c r="B249">
        <f>$B$2*VLOOKUP(A249,Lexis_Claims!$E$2:$G$256,3,0)</f>
        <v>1.4999999999999999E-2</v>
      </c>
      <c r="C249">
        <f>$C$2*VLOOKUP(A249,Lexis_Citation!$A$1:$C$256,3,0)</f>
        <v>0.24</v>
      </c>
      <c r="D249">
        <f>$D$2*VLOOKUP(A249,Country_coverage1!$A$3:$BB$260,54,0)</f>
        <v>0.17</v>
      </c>
      <c r="E249" s="13">
        <f>$E$2*VLOOKUP(A249,Country_coverage1!$A$3:$BB$260,48,0)</f>
        <v>0</v>
      </c>
      <c r="F249">
        <f t="shared" si="3"/>
        <v>0.42500000000000004</v>
      </c>
    </row>
    <row r="250" spans="1:6" x14ac:dyDescent="0.25">
      <c r="A250" t="s">
        <v>1337</v>
      </c>
      <c r="B250">
        <f>$B$2*VLOOKUP(A250,Lexis_Claims!$E$2:$G$256,3,0)</f>
        <v>1.4999999999999999E-2</v>
      </c>
      <c r="C250">
        <f>$C$2*VLOOKUP(A250,Lexis_Citation!$A$1:$C$256,3,0)</f>
        <v>0.24</v>
      </c>
      <c r="D250">
        <f>$D$2*VLOOKUP(A250,Country_coverage1!$A$3:$BB$260,54,0)</f>
        <v>4.0000000000000008E-2</v>
      </c>
      <c r="E250" s="13">
        <f>$E$2*VLOOKUP(A250,Country_coverage1!$A$3:$BB$260,48,0)</f>
        <v>0</v>
      </c>
      <c r="F250">
        <f t="shared" si="3"/>
        <v>0.29500000000000004</v>
      </c>
    </row>
    <row r="251" spans="1:6" x14ac:dyDescent="0.25">
      <c r="A251" t="s">
        <v>1344</v>
      </c>
      <c r="B251">
        <f>$B$2*VLOOKUP(A251,Lexis_Claims!$E$2:$G$256,3,0)</f>
        <v>0.06</v>
      </c>
      <c r="C251">
        <f>$C$2*VLOOKUP(A251,Lexis_Citation!$A$1:$C$256,3,0)</f>
        <v>8.0000000000000016E-2</v>
      </c>
      <c r="D251">
        <f>$D$2*VLOOKUP(A251,Country_coverage1!$A$3:$BB$260,54,0)</f>
        <v>4.0000000000000008E-2</v>
      </c>
      <c r="E251" s="13">
        <f>$E$2*VLOOKUP(A251,Country_coverage1!$A$3:$BB$260,48,0)</f>
        <v>0</v>
      </c>
      <c r="F251">
        <f t="shared" si="3"/>
        <v>0.18000000000000002</v>
      </c>
    </row>
    <row r="252" spans="1:6" x14ac:dyDescent="0.25">
      <c r="A252" t="s">
        <v>1349</v>
      </c>
      <c r="B252">
        <f>$B$2*VLOOKUP(A252,Lexis_Claims!$E$2:$G$256,3,0)</f>
        <v>0.18</v>
      </c>
      <c r="C252">
        <f>$C$2*VLOOKUP(A252,Lexis_Citation!$A$1:$C$256,3,0)</f>
        <v>0.4</v>
      </c>
      <c r="D252">
        <f>$D$2*VLOOKUP(A252,Country_coverage1!$A$3:$BB$260,54,0)</f>
        <v>1.0000000000000002E-2</v>
      </c>
      <c r="E252" s="13">
        <f>$E$2*VLOOKUP(A252,Country_coverage1!$A$3:$BB$260,48,0)</f>
        <v>0</v>
      </c>
      <c r="F252">
        <f t="shared" si="3"/>
        <v>0.59000000000000008</v>
      </c>
    </row>
    <row r="253" spans="1:6" x14ac:dyDescent="0.25">
      <c r="A253" t="s">
        <v>1358</v>
      </c>
      <c r="B253">
        <f>$B$2*VLOOKUP(A253,Lexis_Claims!$E$2:$G$256,3,0)</f>
        <v>0.18</v>
      </c>
      <c r="C253">
        <f>$C$2*VLOOKUP(A253,Lexis_Citation!$A$1:$C$256,3,0)</f>
        <v>0.24</v>
      </c>
      <c r="D253">
        <f>$D$2*VLOOKUP(A253,Country_coverage1!$A$3:$BB$260,54,0)</f>
        <v>0.2</v>
      </c>
      <c r="E253" s="13">
        <f>$E$2*VLOOKUP(A253,Country_coverage1!$A$3:$BB$260,48,0)</f>
        <v>0</v>
      </c>
      <c r="F253">
        <f t="shared" si="3"/>
        <v>0.62</v>
      </c>
    </row>
    <row r="254" spans="1:6" x14ac:dyDescent="0.25">
      <c r="A254" t="s">
        <v>1367</v>
      </c>
      <c r="B254">
        <f>$B$2*VLOOKUP(A254,Lexis_Claims!$E$2:$G$256,3,0)</f>
        <v>0.18</v>
      </c>
      <c r="C254">
        <f>$C$2*VLOOKUP(A254,Lexis_Citation!$A$1:$C$256,3,0)</f>
        <v>0.4</v>
      </c>
      <c r="D254">
        <f>$D$2*VLOOKUP(A254,Country_coverage1!$A$3:$BB$260,54,0)</f>
        <v>0.2</v>
      </c>
      <c r="E254" s="13">
        <f>$E$2*VLOOKUP(A254,Country_coverage1!$A$3:$BB$260,48,0)</f>
        <v>0</v>
      </c>
      <c r="F254">
        <f t="shared" si="3"/>
        <v>0.78</v>
      </c>
    </row>
    <row r="255" spans="1:6" x14ac:dyDescent="0.25">
      <c r="A255" t="s">
        <v>1374</v>
      </c>
      <c r="B255">
        <f>$B$2*VLOOKUP(A255,Lexis_Claims!$E$2:$G$256,3,0)</f>
        <v>1.4999999999999999E-2</v>
      </c>
      <c r="C255">
        <f>$C$2*VLOOKUP(A255,Lexis_Citation!$A$1:$C$256,3,0)</f>
        <v>0.24</v>
      </c>
      <c r="D255">
        <f>$D$2*VLOOKUP(A255,Country_coverage1!$A$3:$BB$260,54,0)</f>
        <v>0.17</v>
      </c>
      <c r="E255" s="13">
        <f>$E$2*VLOOKUP(A255,Country_coverage1!$A$3:$BB$260,48,0)</f>
        <v>0</v>
      </c>
      <c r="F255">
        <f t="shared" si="3"/>
        <v>0.42500000000000004</v>
      </c>
    </row>
    <row r="256" spans="1:6" x14ac:dyDescent="0.25">
      <c r="A256" t="s">
        <v>1382</v>
      </c>
      <c r="B256">
        <f>$B$2*VLOOKUP(A256,Lexis_Claims!$E$2:$G$256,3,0)</f>
        <v>0.06</v>
      </c>
      <c r="C256">
        <f>$C$2*VLOOKUP(A256,Lexis_Citation!$A$1:$C$256,3,0)</f>
        <v>0.24</v>
      </c>
      <c r="D256">
        <f>$D$2*VLOOKUP(A256,Country_coverage1!$A$3:$BB$260,54,0)</f>
        <v>0.12</v>
      </c>
      <c r="E256" s="13">
        <f>$E$2*VLOOKUP(A256,Country_coverage1!$A$3:$BB$260,48,0)</f>
        <v>0</v>
      </c>
      <c r="F256">
        <f t="shared" si="3"/>
        <v>0.42</v>
      </c>
    </row>
    <row r="257" spans="1:6" x14ac:dyDescent="0.25">
      <c r="A257" t="s">
        <v>1390</v>
      </c>
      <c r="B257">
        <f>$B$2*VLOOKUP(A257,Lexis_Claims!$E$2:$G$256,3,0)</f>
        <v>0.18</v>
      </c>
      <c r="C257">
        <f>$C$2*VLOOKUP(A257,Lexis_Citation!$A$1:$C$256,3,0)</f>
        <v>0.24</v>
      </c>
      <c r="D257">
        <f>$D$2*VLOOKUP(A257,Country_coverage1!$A$3:$BB$260,54,0)</f>
        <v>0.17</v>
      </c>
      <c r="E257" s="13">
        <f>$E$2*VLOOKUP(A257,Country_coverage1!$A$3:$BB$260,48,0)</f>
        <v>0</v>
      </c>
      <c r="F257">
        <f t="shared" si="3"/>
        <v>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PO_Strength</vt:lpstr>
      <vt:lpstr>PS_Strength</vt:lpstr>
      <vt:lpstr>Families</vt:lpstr>
      <vt:lpstr>Publications</vt:lpstr>
      <vt:lpstr>Patent availability1</vt:lpstr>
      <vt:lpstr>Patent availability</vt:lpstr>
      <vt:lpstr>Novelty</vt:lpstr>
      <vt:lpstr>Interdisciplinarity</vt:lpstr>
      <vt:lpstr>Lexis_Сoefficient</vt:lpstr>
      <vt:lpstr>Country_coverage</vt:lpstr>
      <vt:lpstr>Country_coverage1</vt:lpstr>
      <vt:lpstr>Lexis_Citation</vt:lpstr>
      <vt:lpstr>Lexis_Claims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kn</cp:lastModifiedBy>
  <dcterms:created xsi:type="dcterms:W3CDTF">2019-04-22T11:52:02Z</dcterms:created>
  <dcterms:modified xsi:type="dcterms:W3CDTF">2019-10-04T14:16:04Z</dcterms:modified>
</cp:coreProperties>
</file>