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leinschmidtgroup-my.sharepoint.com/personal/kevin_nebiolo_kleinschmidtgroup_com/Documents/Software/stryke/USFWS_TBSM_ForVerify/"/>
    </mc:Choice>
  </mc:AlternateContent>
  <xr:revisionPtr revIDLastSave="41378" documentId="13_ncr:1_{393CA73E-6FE4-4781-A741-D30264E49C83}" xr6:coauthVersionLast="47" xr6:coauthVersionMax="47" xr10:uidLastSave="{DC37C86E-60C5-4264-AA3C-4D3434120314}"/>
  <bookViews>
    <workbookView xWindow="38280" yWindow="5055" windowWidth="29040" windowHeight="15840" xr2:uid="{00000000-000D-0000-FFFF-FFFF00000000}"/>
  </bookViews>
  <sheets>
    <sheet name="Method" sheetId="4" r:id="rId1"/>
    <sheet name="Route Data" sheetId="2" r:id="rId2"/>
    <sheet name="Simulation" sheetId="3" r:id="rId3"/>
  </sheets>
  <functionGroups builtInGroupCount="19"/>
  <definedNames>
    <definedName name="_xlnm.Print_Area" localSheetId="0">Method!$A$1:$L$115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010" i="3" l="1"/>
  <c r="P1009" i="3"/>
  <c r="P1008" i="3"/>
  <c r="P1007" i="3"/>
  <c r="P1006" i="3"/>
  <c r="P1005" i="3"/>
  <c r="P1004" i="3"/>
  <c r="P1003" i="3"/>
  <c r="P1002" i="3"/>
  <c r="P1001" i="3"/>
  <c r="P1000" i="3"/>
  <c r="P999" i="3"/>
  <c r="P998" i="3"/>
  <c r="P997" i="3"/>
  <c r="P996" i="3"/>
  <c r="P995" i="3"/>
  <c r="P994" i="3"/>
  <c r="P993" i="3"/>
  <c r="P992" i="3"/>
  <c r="P991" i="3"/>
  <c r="P990" i="3"/>
  <c r="P989" i="3"/>
  <c r="P988" i="3"/>
  <c r="P987" i="3"/>
  <c r="P986" i="3"/>
  <c r="P985" i="3"/>
  <c r="P984" i="3"/>
  <c r="P983" i="3"/>
  <c r="P982" i="3"/>
  <c r="P981" i="3"/>
  <c r="P980" i="3"/>
  <c r="P979" i="3"/>
  <c r="P978" i="3"/>
  <c r="P977" i="3"/>
  <c r="P976" i="3"/>
  <c r="P975" i="3"/>
  <c r="P974" i="3"/>
  <c r="P973" i="3"/>
  <c r="P972" i="3"/>
  <c r="P971" i="3"/>
  <c r="P970" i="3"/>
  <c r="P969" i="3"/>
  <c r="P968" i="3"/>
  <c r="P967" i="3"/>
  <c r="P966" i="3"/>
  <c r="P965" i="3"/>
  <c r="P964" i="3"/>
  <c r="P963" i="3"/>
  <c r="P962" i="3"/>
  <c r="P961" i="3"/>
  <c r="P960" i="3"/>
  <c r="P959" i="3"/>
  <c r="P958" i="3"/>
  <c r="P957" i="3"/>
  <c r="P956" i="3"/>
  <c r="P955" i="3"/>
  <c r="P954" i="3"/>
  <c r="P953" i="3"/>
  <c r="P952" i="3"/>
  <c r="P951" i="3"/>
  <c r="P950" i="3"/>
  <c r="P949" i="3"/>
  <c r="P948" i="3"/>
  <c r="P947" i="3"/>
  <c r="P946" i="3"/>
  <c r="P945" i="3"/>
  <c r="P944" i="3"/>
  <c r="P943" i="3"/>
  <c r="P942" i="3"/>
  <c r="P941" i="3"/>
  <c r="P940" i="3"/>
  <c r="P939" i="3"/>
  <c r="P938" i="3"/>
  <c r="P937" i="3"/>
  <c r="P936" i="3"/>
  <c r="P935" i="3"/>
  <c r="P934" i="3"/>
  <c r="P933" i="3"/>
  <c r="P932" i="3"/>
  <c r="P931" i="3"/>
  <c r="P930" i="3"/>
  <c r="P929" i="3"/>
  <c r="P928" i="3"/>
  <c r="P927" i="3"/>
  <c r="P926" i="3"/>
  <c r="P925" i="3"/>
  <c r="P924" i="3"/>
  <c r="P923" i="3"/>
  <c r="P922" i="3"/>
  <c r="P921" i="3"/>
  <c r="P920" i="3"/>
  <c r="P919" i="3"/>
  <c r="P918" i="3"/>
  <c r="P917" i="3"/>
  <c r="P916" i="3"/>
  <c r="P915" i="3"/>
  <c r="P914" i="3"/>
  <c r="P913" i="3"/>
  <c r="P912" i="3"/>
  <c r="P911" i="3"/>
  <c r="P910" i="3"/>
  <c r="P909" i="3"/>
  <c r="P908" i="3"/>
  <c r="P907" i="3"/>
  <c r="P906" i="3"/>
  <c r="P905" i="3"/>
  <c r="P904" i="3"/>
  <c r="P903" i="3"/>
  <c r="P902" i="3"/>
  <c r="P901" i="3"/>
  <c r="P900" i="3"/>
  <c r="P899" i="3"/>
  <c r="P898" i="3"/>
  <c r="P897" i="3"/>
  <c r="P896" i="3"/>
  <c r="P895" i="3"/>
  <c r="P894" i="3"/>
  <c r="P893" i="3"/>
  <c r="P892" i="3"/>
  <c r="P891" i="3"/>
  <c r="P890" i="3"/>
  <c r="P889" i="3"/>
  <c r="P888" i="3"/>
  <c r="P887" i="3"/>
  <c r="P886" i="3"/>
  <c r="P885" i="3"/>
  <c r="P884" i="3"/>
  <c r="P883" i="3"/>
  <c r="P882" i="3"/>
  <c r="P881" i="3"/>
  <c r="P880" i="3"/>
  <c r="P879" i="3"/>
  <c r="P878" i="3"/>
  <c r="P877" i="3"/>
  <c r="P876" i="3"/>
  <c r="P875" i="3"/>
  <c r="P874" i="3"/>
  <c r="P873" i="3"/>
  <c r="P872" i="3"/>
  <c r="P871" i="3"/>
  <c r="P870" i="3"/>
  <c r="P869" i="3"/>
  <c r="P868" i="3"/>
  <c r="P867" i="3"/>
  <c r="P866" i="3"/>
  <c r="P865" i="3"/>
  <c r="P864" i="3"/>
  <c r="P863" i="3"/>
  <c r="P862" i="3"/>
  <c r="P861" i="3"/>
  <c r="P860" i="3"/>
  <c r="P859" i="3"/>
  <c r="P858" i="3"/>
  <c r="P857" i="3"/>
  <c r="P856" i="3"/>
  <c r="P855" i="3"/>
  <c r="P854" i="3"/>
  <c r="P853" i="3"/>
  <c r="P852" i="3"/>
  <c r="P851" i="3"/>
  <c r="P850" i="3"/>
  <c r="P849" i="3"/>
  <c r="P848" i="3"/>
  <c r="P847" i="3"/>
  <c r="P846" i="3"/>
  <c r="P845" i="3"/>
  <c r="P844" i="3"/>
  <c r="P843" i="3"/>
  <c r="P842" i="3"/>
  <c r="P841" i="3"/>
  <c r="P840" i="3"/>
  <c r="P839" i="3"/>
  <c r="P838" i="3"/>
  <c r="P837" i="3"/>
  <c r="P836" i="3"/>
  <c r="P835" i="3"/>
  <c r="P834" i="3"/>
  <c r="P833" i="3"/>
  <c r="P832" i="3"/>
  <c r="P831" i="3"/>
  <c r="P830" i="3"/>
  <c r="P829" i="3"/>
  <c r="P828" i="3"/>
  <c r="P827" i="3"/>
  <c r="P826" i="3"/>
  <c r="P825" i="3"/>
  <c r="P824" i="3"/>
  <c r="P823" i="3"/>
  <c r="P822" i="3"/>
  <c r="P821" i="3"/>
  <c r="P820" i="3"/>
  <c r="P819" i="3"/>
  <c r="P818" i="3"/>
  <c r="P817" i="3"/>
  <c r="P816" i="3"/>
  <c r="P815" i="3"/>
  <c r="P814" i="3"/>
  <c r="P813" i="3"/>
  <c r="P812" i="3"/>
  <c r="P811" i="3"/>
  <c r="P810" i="3"/>
  <c r="P809" i="3"/>
  <c r="P808" i="3"/>
  <c r="P807" i="3"/>
  <c r="P806" i="3"/>
  <c r="P805" i="3"/>
  <c r="P804" i="3"/>
  <c r="P803" i="3"/>
  <c r="P802" i="3"/>
  <c r="P801" i="3"/>
  <c r="P800" i="3"/>
  <c r="P799" i="3"/>
  <c r="P798" i="3"/>
  <c r="P797" i="3"/>
  <c r="P796" i="3"/>
  <c r="P795" i="3"/>
  <c r="P794" i="3"/>
  <c r="P793" i="3"/>
  <c r="P792" i="3"/>
  <c r="P791" i="3"/>
  <c r="P790" i="3"/>
  <c r="P789" i="3"/>
  <c r="P788" i="3"/>
  <c r="P787" i="3"/>
  <c r="P786" i="3"/>
  <c r="P785" i="3"/>
  <c r="P784" i="3"/>
  <c r="P783" i="3"/>
  <c r="P782" i="3"/>
  <c r="P781" i="3"/>
  <c r="P780" i="3"/>
  <c r="P779" i="3"/>
  <c r="P778" i="3"/>
  <c r="P777" i="3"/>
  <c r="P776" i="3"/>
  <c r="P775" i="3"/>
  <c r="P774" i="3"/>
  <c r="P773" i="3"/>
  <c r="P772" i="3"/>
  <c r="P771" i="3"/>
  <c r="P770" i="3"/>
  <c r="P769" i="3"/>
  <c r="P768" i="3"/>
  <c r="P767" i="3"/>
  <c r="P766" i="3"/>
  <c r="P765" i="3"/>
  <c r="P764" i="3"/>
  <c r="P763" i="3"/>
  <c r="P762" i="3"/>
  <c r="P761" i="3"/>
  <c r="P760" i="3"/>
  <c r="P759" i="3"/>
  <c r="P758" i="3"/>
  <c r="P757" i="3"/>
  <c r="P756" i="3"/>
  <c r="P755" i="3"/>
  <c r="P754" i="3"/>
  <c r="P753" i="3"/>
  <c r="P752" i="3"/>
  <c r="P751" i="3"/>
  <c r="P750" i="3"/>
  <c r="P749" i="3"/>
  <c r="P748" i="3"/>
  <c r="P747" i="3"/>
  <c r="P746" i="3"/>
  <c r="P745" i="3"/>
  <c r="P744" i="3"/>
  <c r="P743" i="3"/>
  <c r="P742" i="3"/>
  <c r="P741" i="3"/>
  <c r="P740" i="3"/>
  <c r="P739" i="3"/>
  <c r="P738" i="3"/>
  <c r="P737" i="3"/>
  <c r="P736" i="3"/>
  <c r="P735" i="3"/>
  <c r="P734" i="3"/>
  <c r="P733" i="3"/>
  <c r="P732" i="3"/>
  <c r="P731" i="3"/>
  <c r="P730" i="3"/>
  <c r="P729" i="3"/>
  <c r="P728" i="3"/>
  <c r="P727" i="3"/>
  <c r="P726" i="3"/>
  <c r="P725" i="3"/>
  <c r="P724" i="3"/>
  <c r="P723" i="3"/>
  <c r="P722" i="3"/>
  <c r="P721" i="3"/>
  <c r="P720" i="3"/>
  <c r="P719" i="3"/>
  <c r="P718" i="3"/>
  <c r="P717" i="3"/>
  <c r="P716" i="3"/>
  <c r="P715" i="3"/>
  <c r="P714" i="3"/>
  <c r="P713" i="3"/>
  <c r="P712" i="3"/>
  <c r="P711" i="3"/>
  <c r="P710" i="3"/>
  <c r="P709" i="3"/>
  <c r="P708" i="3"/>
  <c r="P707" i="3"/>
  <c r="P706" i="3"/>
  <c r="P705" i="3"/>
  <c r="P704" i="3"/>
  <c r="P703" i="3"/>
  <c r="P702" i="3"/>
  <c r="P701" i="3"/>
  <c r="P700" i="3"/>
  <c r="P699" i="3"/>
  <c r="P698" i="3"/>
  <c r="P697" i="3"/>
  <c r="P696" i="3"/>
  <c r="P695" i="3"/>
  <c r="P694" i="3"/>
  <c r="P693" i="3"/>
  <c r="P692" i="3"/>
  <c r="P691" i="3"/>
  <c r="P690" i="3"/>
  <c r="P689" i="3"/>
  <c r="P688" i="3"/>
  <c r="P687" i="3"/>
  <c r="P686" i="3"/>
  <c r="P685" i="3"/>
  <c r="P684" i="3"/>
  <c r="P683" i="3"/>
  <c r="P682" i="3"/>
  <c r="P681" i="3"/>
  <c r="P680" i="3"/>
  <c r="P679" i="3"/>
  <c r="P678" i="3"/>
  <c r="P677" i="3"/>
  <c r="P676" i="3"/>
  <c r="P675" i="3"/>
  <c r="P674" i="3"/>
  <c r="P673" i="3"/>
  <c r="P672" i="3"/>
  <c r="P671" i="3"/>
  <c r="P670" i="3"/>
  <c r="P669" i="3"/>
  <c r="P668" i="3"/>
  <c r="P667" i="3"/>
  <c r="P666" i="3"/>
  <c r="P665" i="3"/>
  <c r="P664" i="3"/>
  <c r="P663" i="3"/>
  <c r="P662" i="3"/>
  <c r="P661" i="3"/>
  <c r="P660" i="3"/>
  <c r="P659" i="3"/>
  <c r="P658" i="3"/>
  <c r="P657" i="3"/>
  <c r="P656" i="3"/>
  <c r="P655" i="3"/>
  <c r="P654" i="3"/>
  <c r="P653" i="3"/>
  <c r="P652" i="3"/>
  <c r="P651" i="3"/>
  <c r="P650" i="3"/>
  <c r="P649" i="3"/>
  <c r="P648" i="3"/>
  <c r="P647" i="3"/>
  <c r="P646" i="3"/>
  <c r="P645" i="3"/>
  <c r="P644" i="3"/>
  <c r="P643" i="3"/>
  <c r="P642" i="3"/>
  <c r="P641" i="3"/>
  <c r="P640" i="3"/>
  <c r="P639" i="3"/>
  <c r="P638" i="3"/>
  <c r="P637" i="3"/>
  <c r="P636" i="3"/>
  <c r="P635" i="3"/>
  <c r="P634" i="3"/>
  <c r="P633" i="3"/>
  <c r="P632" i="3"/>
  <c r="P631" i="3"/>
  <c r="P630" i="3"/>
  <c r="P629" i="3"/>
  <c r="P628" i="3"/>
  <c r="P627" i="3"/>
  <c r="P626" i="3"/>
  <c r="P625" i="3"/>
  <c r="P624" i="3"/>
  <c r="P623" i="3"/>
  <c r="P622" i="3"/>
  <c r="P621" i="3"/>
  <c r="P620" i="3"/>
  <c r="P619" i="3"/>
  <c r="P618" i="3"/>
  <c r="P617" i="3"/>
  <c r="P616" i="3"/>
  <c r="P615" i="3"/>
  <c r="P614" i="3"/>
  <c r="P613" i="3"/>
  <c r="P612" i="3"/>
  <c r="P611" i="3"/>
  <c r="P610" i="3"/>
  <c r="P609" i="3"/>
  <c r="P608" i="3"/>
  <c r="P607" i="3"/>
  <c r="P606" i="3"/>
  <c r="P605" i="3"/>
  <c r="P604" i="3"/>
  <c r="P603" i="3"/>
  <c r="P602" i="3"/>
  <c r="P601" i="3"/>
  <c r="P600" i="3"/>
  <c r="P599" i="3"/>
  <c r="P598" i="3"/>
  <c r="P597" i="3"/>
  <c r="P596" i="3"/>
  <c r="P595" i="3"/>
  <c r="P594" i="3"/>
  <c r="P593" i="3"/>
  <c r="P592" i="3"/>
  <c r="P591" i="3"/>
  <c r="P590" i="3"/>
  <c r="P589" i="3"/>
  <c r="P588" i="3"/>
  <c r="P587" i="3"/>
  <c r="P586" i="3"/>
  <c r="P585" i="3"/>
  <c r="P584" i="3"/>
  <c r="P583" i="3"/>
  <c r="P582" i="3"/>
  <c r="P581" i="3"/>
  <c r="P580" i="3"/>
  <c r="P579" i="3"/>
  <c r="P578" i="3"/>
  <c r="P577" i="3"/>
  <c r="P576" i="3"/>
  <c r="P575" i="3"/>
  <c r="P574" i="3"/>
  <c r="P573" i="3"/>
  <c r="P572" i="3"/>
  <c r="P571" i="3"/>
  <c r="P570" i="3"/>
  <c r="P569" i="3"/>
  <c r="P568" i="3"/>
  <c r="P567" i="3"/>
  <c r="P566" i="3"/>
  <c r="P565" i="3"/>
  <c r="P564" i="3"/>
  <c r="P563" i="3"/>
  <c r="P562" i="3"/>
  <c r="P561" i="3"/>
  <c r="P560" i="3"/>
  <c r="P559" i="3"/>
  <c r="P558" i="3"/>
  <c r="P557" i="3"/>
  <c r="P556" i="3"/>
  <c r="P555" i="3"/>
  <c r="P554" i="3"/>
  <c r="P553" i="3"/>
  <c r="P552" i="3"/>
  <c r="P551" i="3"/>
  <c r="P550" i="3"/>
  <c r="P549" i="3"/>
  <c r="P548" i="3"/>
  <c r="P547" i="3"/>
  <c r="P546" i="3"/>
  <c r="P545" i="3"/>
  <c r="P544" i="3"/>
  <c r="P543" i="3"/>
  <c r="P542" i="3"/>
  <c r="P541" i="3"/>
  <c r="P540" i="3"/>
  <c r="P539" i="3"/>
  <c r="P538" i="3"/>
  <c r="P537" i="3"/>
  <c r="P536" i="3"/>
  <c r="P535" i="3"/>
  <c r="P534" i="3"/>
  <c r="P533" i="3"/>
  <c r="P532" i="3"/>
  <c r="P531" i="3"/>
  <c r="P530" i="3"/>
  <c r="P529" i="3"/>
  <c r="P528" i="3"/>
  <c r="P527" i="3"/>
  <c r="P526" i="3"/>
  <c r="P525" i="3"/>
  <c r="P524" i="3"/>
  <c r="P523" i="3"/>
  <c r="P522" i="3"/>
  <c r="P521" i="3"/>
  <c r="P520" i="3"/>
  <c r="P519" i="3"/>
  <c r="P518" i="3"/>
  <c r="P517" i="3"/>
  <c r="P516" i="3"/>
  <c r="P515" i="3"/>
  <c r="P514" i="3"/>
  <c r="P513" i="3"/>
  <c r="P512" i="3"/>
  <c r="P511" i="3"/>
  <c r="P510" i="3"/>
  <c r="P509" i="3"/>
  <c r="P508" i="3"/>
  <c r="P507" i="3"/>
  <c r="P506" i="3"/>
  <c r="P505" i="3"/>
  <c r="P504" i="3"/>
  <c r="P503" i="3"/>
  <c r="P502" i="3"/>
  <c r="P501" i="3"/>
  <c r="P500" i="3"/>
  <c r="P499" i="3"/>
  <c r="P498" i="3"/>
  <c r="P497" i="3"/>
  <c r="P496" i="3"/>
  <c r="P495" i="3"/>
  <c r="P494" i="3"/>
  <c r="P493" i="3"/>
  <c r="P492" i="3"/>
  <c r="P491" i="3"/>
  <c r="P490" i="3"/>
  <c r="P489" i="3"/>
  <c r="P488" i="3"/>
  <c r="P487" i="3"/>
  <c r="P486" i="3"/>
  <c r="P485" i="3"/>
  <c r="P484" i="3"/>
  <c r="P483" i="3"/>
  <c r="P482" i="3"/>
  <c r="P481" i="3"/>
  <c r="P480" i="3"/>
  <c r="P479" i="3"/>
  <c r="P478" i="3"/>
  <c r="P477" i="3"/>
  <c r="P476" i="3"/>
  <c r="P475" i="3"/>
  <c r="P474" i="3"/>
  <c r="P473" i="3"/>
  <c r="P472" i="3"/>
  <c r="P471" i="3"/>
  <c r="P470" i="3"/>
  <c r="P469" i="3"/>
  <c r="P468" i="3"/>
  <c r="P467" i="3"/>
  <c r="P466" i="3"/>
  <c r="P465" i="3"/>
  <c r="P464" i="3"/>
  <c r="P463" i="3"/>
  <c r="P462" i="3"/>
  <c r="P461" i="3"/>
  <c r="P460" i="3"/>
  <c r="P459" i="3"/>
  <c r="P458" i="3"/>
  <c r="P457" i="3"/>
  <c r="P456" i="3"/>
  <c r="P455" i="3"/>
  <c r="P454" i="3"/>
  <c r="P453" i="3"/>
  <c r="P452" i="3"/>
  <c r="P451" i="3"/>
  <c r="P450" i="3"/>
  <c r="P449" i="3"/>
  <c r="P448" i="3"/>
  <c r="P447" i="3"/>
  <c r="P446" i="3"/>
  <c r="P445" i="3"/>
  <c r="P444" i="3"/>
  <c r="P443" i="3"/>
  <c r="P442" i="3"/>
  <c r="P441" i="3"/>
  <c r="P440" i="3"/>
  <c r="P439" i="3"/>
  <c r="P438" i="3"/>
  <c r="P437" i="3"/>
  <c r="P436" i="3"/>
  <c r="P435" i="3"/>
  <c r="P434" i="3"/>
  <c r="P433" i="3"/>
  <c r="P432" i="3"/>
  <c r="P431" i="3"/>
  <c r="P430" i="3"/>
  <c r="P429" i="3"/>
  <c r="P428" i="3"/>
  <c r="P427" i="3"/>
  <c r="P426" i="3"/>
  <c r="P425" i="3"/>
  <c r="P424" i="3"/>
  <c r="P423" i="3"/>
  <c r="P422" i="3"/>
  <c r="P421" i="3"/>
  <c r="P420" i="3"/>
  <c r="P419" i="3"/>
  <c r="P418" i="3"/>
  <c r="P417" i="3"/>
  <c r="P416" i="3"/>
  <c r="P415" i="3"/>
  <c r="P414" i="3"/>
  <c r="P413" i="3"/>
  <c r="P412" i="3"/>
  <c r="P411" i="3"/>
  <c r="P410" i="3"/>
  <c r="P409" i="3"/>
  <c r="P408" i="3"/>
  <c r="P407" i="3"/>
  <c r="P406" i="3"/>
  <c r="P405" i="3"/>
  <c r="P404" i="3"/>
  <c r="P403" i="3"/>
  <c r="P402" i="3"/>
  <c r="P401" i="3"/>
  <c r="P400" i="3"/>
  <c r="P399" i="3"/>
  <c r="P398" i="3"/>
  <c r="P397" i="3"/>
  <c r="P396" i="3"/>
  <c r="P395" i="3"/>
  <c r="P394" i="3"/>
  <c r="P393" i="3"/>
  <c r="P392" i="3"/>
  <c r="P391" i="3"/>
  <c r="P390" i="3"/>
  <c r="P389" i="3"/>
  <c r="P388" i="3"/>
  <c r="P387" i="3"/>
  <c r="P386" i="3"/>
  <c r="P385" i="3"/>
  <c r="P384" i="3"/>
  <c r="P383" i="3"/>
  <c r="P382" i="3"/>
  <c r="P381" i="3"/>
  <c r="P380" i="3"/>
  <c r="P379" i="3"/>
  <c r="P378" i="3"/>
  <c r="P377" i="3"/>
  <c r="P376" i="3"/>
  <c r="P375" i="3"/>
  <c r="P374" i="3"/>
  <c r="P373" i="3"/>
  <c r="P372" i="3"/>
  <c r="P371" i="3"/>
  <c r="P370" i="3"/>
  <c r="P369" i="3"/>
  <c r="P368" i="3"/>
  <c r="P367" i="3"/>
  <c r="P366" i="3"/>
  <c r="P365" i="3"/>
  <c r="P364" i="3"/>
  <c r="P363" i="3"/>
  <c r="P362" i="3"/>
  <c r="P361" i="3"/>
  <c r="P360" i="3"/>
  <c r="P359" i="3"/>
  <c r="P358" i="3"/>
  <c r="P357" i="3"/>
  <c r="P356" i="3"/>
  <c r="P355" i="3"/>
  <c r="P354" i="3"/>
  <c r="P353" i="3"/>
  <c r="P352" i="3"/>
  <c r="P351" i="3"/>
  <c r="P350" i="3"/>
  <c r="P349" i="3"/>
  <c r="P348" i="3"/>
  <c r="P347" i="3"/>
  <c r="P346" i="3"/>
  <c r="P345" i="3"/>
  <c r="P344" i="3"/>
  <c r="P343" i="3"/>
  <c r="P342" i="3"/>
  <c r="P341" i="3"/>
  <c r="P340" i="3"/>
  <c r="P339" i="3"/>
  <c r="P338" i="3"/>
  <c r="P337" i="3"/>
  <c r="P336" i="3"/>
  <c r="P335" i="3"/>
  <c r="P334" i="3"/>
  <c r="P333" i="3"/>
  <c r="P332" i="3"/>
  <c r="P331" i="3"/>
  <c r="P330" i="3"/>
  <c r="P329" i="3"/>
  <c r="P328" i="3"/>
  <c r="P327" i="3"/>
  <c r="P326" i="3"/>
  <c r="P325" i="3"/>
  <c r="P324" i="3"/>
  <c r="P323" i="3"/>
  <c r="P322" i="3"/>
  <c r="P321" i="3"/>
  <c r="P320" i="3"/>
  <c r="P319" i="3"/>
  <c r="P318" i="3"/>
  <c r="P317" i="3"/>
  <c r="P316" i="3"/>
  <c r="P315" i="3"/>
  <c r="P314" i="3"/>
  <c r="P313" i="3"/>
  <c r="P312" i="3"/>
  <c r="P311" i="3"/>
  <c r="P310" i="3"/>
  <c r="P309" i="3"/>
  <c r="P308" i="3"/>
  <c r="P307" i="3"/>
  <c r="P306" i="3"/>
  <c r="P305" i="3"/>
  <c r="P304" i="3"/>
  <c r="P303" i="3"/>
  <c r="P302" i="3"/>
  <c r="P301" i="3"/>
  <c r="P300" i="3"/>
  <c r="P299" i="3"/>
  <c r="P298" i="3"/>
  <c r="P297" i="3"/>
  <c r="P296" i="3"/>
  <c r="P295" i="3"/>
  <c r="P294" i="3"/>
  <c r="P293" i="3"/>
  <c r="P292" i="3"/>
  <c r="P291" i="3"/>
  <c r="P290" i="3"/>
  <c r="P289" i="3"/>
  <c r="P288" i="3"/>
  <c r="P287" i="3"/>
  <c r="P286" i="3"/>
  <c r="P285" i="3"/>
  <c r="P284" i="3"/>
  <c r="P283" i="3"/>
  <c r="P282" i="3"/>
  <c r="P281" i="3"/>
  <c r="P280" i="3"/>
  <c r="P279" i="3"/>
  <c r="P278" i="3"/>
  <c r="P277" i="3"/>
  <c r="P276" i="3"/>
  <c r="P275" i="3"/>
  <c r="P274" i="3"/>
  <c r="P273" i="3"/>
  <c r="P272" i="3"/>
  <c r="P271" i="3"/>
  <c r="P270" i="3"/>
  <c r="P269" i="3"/>
  <c r="P268" i="3"/>
  <c r="P267" i="3"/>
  <c r="P266" i="3"/>
  <c r="P265" i="3"/>
  <c r="P264" i="3"/>
  <c r="P263" i="3"/>
  <c r="P262" i="3"/>
  <c r="P261" i="3"/>
  <c r="P260" i="3"/>
  <c r="P259" i="3"/>
  <c r="P258" i="3"/>
  <c r="P257" i="3"/>
  <c r="P256" i="3"/>
  <c r="P255" i="3"/>
  <c r="P254" i="3"/>
  <c r="P253" i="3"/>
  <c r="P252" i="3"/>
  <c r="P251" i="3"/>
  <c r="P250" i="3"/>
  <c r="P249" i="3"/>
  <c r="P248" i="3"/>
  <c r="P247" i="3"/>
  <c r="P246" i="3"/>
  <c r="P245" i="3"/>
  <c r="P244" i="3"/>
  <c r="P243" i="3"/>
  <c r="P242" i="3"/>
  <c r="P241" i="3"/>
  <c r="P240" i="3"/>
  <c r="P239" i="3"/>
  <c r="P238" i="3"/>
  <c r="P237" i="3"/>
  <c r="P236" i="3"/>
  <c r="P235" i="3"/>
  <c r="P234" i="3"/>
  <c r="P233" i="3"/>
  <c r="P232" i="3"/>
  <c r="P231" i="3"/>
  <c r="P230" i="3"/>
  <c r="P229" i="3"/>
  <c r="P228" i="3"/>
  <c r="P227" i="3"/>
  <c r="P226" i="3"/>
  <c r="P225" i="3"/>
  <c r="P224" i="3"/>
  <c r="P223" i="3"/>
  <c r="P222" i="3"/>
  <c r="P221" i="3"/>
  <c r="P220" i="3"/>
  <c r="P219" i="3"/>
  <c r="P218" i="3"/>
  <c r="P217" i="3"/>
  <c r="P216" i="3"/>
  <c r="P215" i="3"/>
  <c r="P214" i="3"/>
  <c r="P213" i="3"/>
  <c r="P212" i="3"/>
  <c r="P211" i="3"/>
  <c r="P210" i="3"/>
  <c r="P209" i="3"/>
  <c r="P208" i="3"/>
  <c r="P207" i="3"/>
  <c r="P206" i="3"/>
  <c r="P205" i="3"/>
  <c r="P204" i="3"/>
  <c r="P203" i="3"/>
  <c r="P202" i="3"/>
  <c r="P201" i="3"/>
  <c r="P200" i="3"/>
  <c r="P199" i="3"/>
  <c r="P198" i="3"/>
  <c r="P197" i="3"/>
  <c r="P196" i="3"/>
  <c r="P195" i="3"/>
  <c r="P194" i="3"/>
  <c r="P193" i="3"/>
  <c r="P192" i="3"/>
  <c r="P191" i="3"/>
  <c r="P190" i="3"/>
  <c r="P189" i="3"/>
  <c r="P188" i="3"/>
  <c r="P187" i="3"/>
  <c r="P186" i="3"/>
  <c r="P185" i="3"/>
  <c r="P184" i="3"/>
  <c r="P183" i="3"/>
  <c r="P182" i="3"/>
  <c r="P181" i="3"/>
  <c r="P180" i="3"/>
  <c r="P179" i="3"/>
  <c r="P178" i="3"/>
  <c r="P177" i="3"/>
  <c r="P176" i="3"/>
  <c r="P175" i="3"/>
  <c r="P174" i="3"/>
  <c r="P173" i="3"/>
  <c r="P172" i="3"/>
  <c r="P171" i="3"/>
  <c r="P170" i="3"/>
  <c r="P169" i="3"/>
  <c r="P168" i="3"/>
  <c r="P167" i="3"/>
  <c r="P166" i="3"/>
  <c r="P165" i="3"/>
  <c r="P164" i="3"/>
  <c r="P163" i="3"/>
  <c r="P162" i="3"/>
  <c r="P161" i="3"/>
  <c r="P160" i="3"/>
  <c r="P159" i="3"/>
  <c r="P158" i="3"/>
  <c r="P157" i="3"/>
  <c r="P156" i="3"/>
  <c r="P155" i="3"/>
  <c r="P154" i="3"/>
  <c r="P153" i="3"/>
  <c r="P152" i="3"/>
  <c r="P151" i="3"/>
  <c r="P150" i="3"/>
  <c r="P149" i="3"/>
  <c r="P148" i="3"/>
  <c r="P147" i="3"/>
  <c r="P146" i="3"/>
  <c r="P145" i="3"/>
  <c r="P144" i="3"/>
  <c r="P143" i="3"/>
  <c r="P142" i="3"/>
  <c r="P141" i="3"/>
  <c r="P140" i="3"/>
  <c r="P139" i="3"/>
  <c r="P138" i="3"/>
  <c r="P137" i="3"/>
  <c r="P136" i="3"/>
  <c r="P135" i="3"/>
  <c r="P134" i="3"/>
  <c r="P133" i="3"/>
  <c r="P132" i="3"/>
  <c r="P131" i="3"/>
  <c r="P130" i="3"/>
  <c r="P129" i="3"/>
  <c r="P128" i="3"/>
  <c r="P127" i="3"/>
  <c r="P126" i="3"/>
  <c r="P125" i="3"/>
  <c r="P124" i="3"/>
  <c r="P123" i="3"/>
  <c r="P122" i="3"/>
  <c r="P121" i="3"/>
  <c r="P120" i="3"/>
  <c r="P119" i="3"/>
  <c r="P118" i="3"/>
  <c r="P117" i="3"/>
  <c r="P116" i="3"/>
  <c r="P115" i="3"/>
  <c r="P114" i="3"/>
  <c r="P113" i="3"/>
  <c r="P112" i="3"/>
  <c r="P111" i="3"/>
  <c r="P110" i="3"/>
  <c r="P109" i="3"/>
  <c r="P108" i="3"/>
  <c r="P107" i="3"/>
  <c r="P106" i="3"/>
  <c r="P105" i="3"/>
  <c r="P104" i="3"/>
  <c r="P103" i="3"/>
  <c r="P102" i="3"/>
  <c r="P101" i="3"/>
  <c r="P100" i="3"/>
  <c r="P99" i="3"/>
  <c r="P98" i="3"/>
  <c r="P97" i="3"/>
  <c r="P96" i="3"/>
  <c r="P95" i="3"/>
  <c r="P94" i="3"/>
  <c r="P93" i="3"/>
  <c r="P92" i="3"/>
  <c r="P91" i="3"/>
  <c r="P90" i="3"/>
  <c r="P89" i="3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65" i="3"/>
  <c r="P64" i="3"/>
  <c r="P63" i="3"/>
  <c r="P62" i="3"/>
  <c r="P61" i="3"/>
  <c r="P60" i="3"/>
  <c r="P59" i="3"/>
  <c r="P58" i="3"/>
  <c r="P57" i="3"/>
  <c r="P56" i="3"/>
  <c r="P55" i="3"/>
  <c r="P54" i="3"/>
  <c r="P53" i="3"/>
  <c r="P52" i="3"/>
  <c r="P51" i="3"/>
  <c r="P50" i="3"/>
  <c r="P49" i="3"/>
  <c r="P48" i="3"/>
  <c r="P47" i="3"/>
  <c r="P46" i="3"/>
  <c r="P45" i="3"/>
  <c r="P44" i="3"/>
  <c r="P43" i="3"/>
  <c r="P42" i="3"/>
  <c r="P41" i="3"/>
  <c r="P40" i="3"/>
  <c r="P39" i="3"/>
  <c r="P38" i="3"/>
  <c r="P37" i="3"/>
  <c r="P36" i="3"/>
  <c r="P35" i="3"/>
  <c r="P34" i="3"/>
  <c r="P33" i="3"/>
  <c r="P32" i="3"/>
  <c r="P31" i="3"/>
  <c r="P30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O1010" i="3"/>
  <c r="O1009" i="3"/>
  <c r="O1008" i="3"/>
  <c r="O1007" i="3"/>
  <c r="O1006" i="3"/>
  <c r="O1005" i="3"/>
  <c r="O1004" i="3"/>
  <c r="O1003" i="3"/>
  <c r="O1002" i="3"/>
  <c r="O1001" i="3"/>
  <c r="O1000" i="3"/>
  <c r="O999" i="3"/>
  <c r="O998" i="3"/>
  <c r="O997" i="3"/>
  <c r="O996" i="3"/>
  <c r="O995" i="3"/>
  <c r="O994" i="3"/>
  <c r="O993" i="3"/>
  <c r="O992" i="3"/>
  <c r="O991" i="3"/>
  <c r="O990" i="3"/>
  <c r="O989" i="3"/>
  <c r="O988" i="3"/>
  <c r="O987" i="3"/>
  <c r="O986" i="3"/>
  <c r="O985" i="3"/>
  <c r="O984" i="3"/>
  <c r="O983" i="3"/>
  <c r="O982" i="3"/>
  <c r="O981" i="3"/>
  <c r="O980" i="3"/>
  <c r="O979" i="3"/>
  <c r="O978" i="3"/>
  <c r="O977" i="3"/>
  <c r="O976" i="3"/>
  <c r="O975" i="3"/>
  <c r="O974" i="3"/>
  <c r="O973" i="3"/>
  <c r="O972" i="3"/>
  <c r="O971" i="3"/>
  <c r="O970" i="3"/>
  <c r="O969" i="3"/>
  <c r="O968" i="3"/>
  <c r="O967" i="3"/>
  <c r="O966" i="3"/>
  <c r="O965" i="3"/>
  <c r="O964" i="3"/>
  <c r="O963" i="3"/>
  <c r="O962" i="3"/>
  <c r="O961" i="3"/>
  <c r="O960" i="3"/>
  <c r="O959" i="3"/>
  <c r="O958" i="3"/>
  <c r="O957" i="3"/>
  <c r="O956" i="3"/>
  <c r="O955" i="3"/>
  <c r="O954" i="3"/>
  <c r="O953" i="3"/>
  <c r="O952" i="3"/>
  <c r="O951" i="3"/>
  <c r="O950" i="3"/>
  <c r="O949" i="3"/>
  <c r="O948" i="3"/>
  <c r="O947" i="3"/>
  <c r="O946" i="3"/>
  <c r="O945" i="3"/>
  <c r="O944" i="3"/>
  <c r="O943" i="3"/>
  <c r="O942" i="3"/>
  <c r="O941" i="3"/>
  <c r="O940" i="3"/>
  <c r="O939" i="3"/>
  <c r="O938" i="3"/>
  <c r="O937" i="3"/>
  <c r="O936" i="3"/>
  <c r="O935" i="3"/>
  <c r="O934" i="3"/>
  <c r="O933" i="3"/>
  <c r="O932" i="3"/>
  <c r="O931" i="3"/>
  <c r="O930" i="3"/>
  <c r="O929" i="3"/>
  <c r="O928" i="3"/>
  <c r="O927" i="3"/>
  <c r="O926" i="3"/>
  <c r="O925" i="3"/>
  <c r="O924" i="3"/>
  <c r="O923" i="3"/>
  <c r="O922" i="3"/>
  <c r="O921" i="3"/>
  <c r="O920" i="3"/>
  <c r="O919" i="3"/>
  <c r="O918" i="3"/>
  <c r="O917" i="3"/>
  <c r="O916" i="3"/>
  <c r="O915" i="3"/>
  <c r="O914" i="3"/>
  <c r="O913" i="3"/>
  <c r="O912" i="3"/>
  <c r="O911" i="3"/>
  <c r="O910" i="3"/>
  <c r="O909" i="3"/>
  <c r="O908" i="3"/>
  <c r="O907" i="3"/>
  <c r="O906" i="3"/>
  <c r="O905" i="3"/>
  <c r="O904" i="3"/>
  <c r="O903" i="3"/>
  <c r="O902" i="3"/>
  <c r="O901" i="3"/>
  <c r="O900" i="3"/>
  <c r="O899" i="3"/>
  <c r="O898" i="3"/>
  <c r="O897" i="3"/>
  <c r="O896" i="3"/>
  <c r="O895" i="3"/>
  <c r="O894" i="3"/>
  <c r="O893" i="3"/>
  <c r="O892" i="3"/>
  <c r="O891" i="3"/>
  <c r="O890" i="3"/>
  <c r="O889" i="3"/>
  <c r="O888" i="3"/>
  <c r="O887" i="3"/>
  <c r="O886" i="3"/>
  <c r="O885" i="3"/>
  <c r="O884" i="3"/>
  <c r="O883" i="3"/>
  <c r="O882" i="3"/>
  <c r="O881" i="3"/>
  <c r="O880" i="3"/>
  <c r="O879" i="3"/>
  <c r="O878" i="3"/>
  <c r="O877" i="3"/>
  <c r="O876" i="3"/>
  <c r="O875" i="3"/>
  <c r="O874" i="3"/>
  <c r="O873" i="3"/>
  <c r="O872" i="3"/>
  <c r="O871" i="3"/>
  <c r="O870" i="3"/>
  <c r="O869" i="3"/>
  <c r="O868" i="3"/>
  <c r="O867" i="3"/>
  <c r="O866" i="3"/>
  <c r="O865" i="3"/>
  <c r="O864" i="3"/>
  <c r="O863" i="3"/>
  <c r="O862" i="3"/>
  <c r="O861" i="3"/>
  <c r="O860" i="3"/>
  <c r="O859" i="3"/>
  <c r="O858" i="3"/>
  <c r="O857" i="3"/>
  <c r="O856" i="3"/>
  <c r="O855" i="3"/>
  <c r="O854" i="3"/>
  <c r="O853" i="3"/>
  <c r="O852" i="3"/>
  <c r="O851" i="3"/>
  <c r="O850" i="3"/>
  <c r="O849" i="3"/>
  <c r="O848" i="3"/>
  <c r="O847" i="3"/>
  <c r="O846" i="3"/>
  <c r="O845" i="3"/>
  <c r="O844" i="3"/>
  <c r="O843" i="3"/>
  <c r="O842" i="3"/>
  <c r="O841" i="3"/>
  <c r="O840" i="3"/>
  <c r="O839" i="3"/>
  <c r="O838" i="3"/>
  <c r="O837" i="3"/>
  <c r="O836" i="3"/>
  <c r="O835" i="3"/>
  <c r="O834" i="3"/>
  <c r="O833" i="3"/>
  <c r="O832" i="3"/>
  <c r="O831" i="3"/>
  <c r="O830" i="3"/>
  <c r="O829" i="3"/>
  <c r="O828" i="3"/>
  <c r="O827" i="3"/>
  <c r="O826" i="3"/>
  <c r="O825" i="3"/>
  <c r="O824" i="3"/>
  <c r="O823" i="3"/>
  <c r="O822" i="3"/>
  <c r="O821" i="3"/>
  <c r="O820" i="3"/>
  <c r="O819" i="3"/>
  <c r="O818" i="3"/>
  <c r="O817" i="3"/>
  <c r="O816" i="3"/>
  <c r="O815" i="3"/>
  <c r="O814" i="3"/>
  <c r="O813" i="3"/>
  <c r="O812" i="3"/>
  <c r="O811" i="3"/>
  <c r="O810" i="3"/>
  <c r="O809" i="3"/>
  <c r="O808" i="3"/>
  <c r="O807" i="3"/>
  <c r="O806" i="3"/>
  <c r="O805" i="3"/>
  <c r="O804" i="3"/>
  <c r="O803" i="3"/>
  <c r="O802" i="3"/>
  <c r="O801" i="3"/>
  <c r="O800" i="3"/>
  <c r="O799" i="3"/>
  <c r="O798" i="3"/>
  <c r="O797" i="3"/>
  <c r="O796" i="3"/>
  <c r="O795" i="3"/>
  <c r="O794" i="3"/>
  <c r="O793" i="3"/>
  <c r="O792" i="3"/>
  <c r="O791" i="3"/>
  <c r="O790" i="3"/>
  <c r="O789" i="3"/>
  <c r="O788" i="3"/>
  <c r="O787" i="3"/>
  <c r="O786" i="3"/>
  <c r="O785" i="3"/>
  <c r="O784" i="3"/>
  <c r="O783" i="3"/>
  <c r="O782" i="3"/>
  <c r="O781" i="3"/>
  <c r="O780" i="3"/>
  <c r="O779" i="3"/>
  <c r="O778" i="3"/>
  <c r="O777" i="3"/>
  <c r="O776" i="3"/>
  <c r="O775" i="3"/>
  <c r="O774" i="3"/>
  <c r="O773" i="3"/>
  <c r="O772" i="3"/>
  <c r="O771" i="3"/>
  <c r="O770" i="3"/>
  <c r="O769" i="3"/>
  <c r="O768" i="3"/>
  <c r="O767" i="3"/>
  <c r="O766" i="3"/>
  <c r="O765" i="3"/>
  <c r="O764" i="3"/>
  <c r="O763" i="3"/>
  <c r="O762" i="3"/>
  <c r="O761" i="3"/>
  <c r="O760" i="3"/>
  <c r="O759" i="3"/>
  <c r="O758" i="3"/>
  <c r="O757" i="3"/>
  <c r="O756" i="3"/>
  <c r="O755" i="3"/>
  <c r="O754" i="3"/>
  <c r="O753" i="3"/>
  <c r="O752" i="3"/>
  <c r="O751" i="3"/>
  <c r="O750" i="3"/>
  <c r="O749" i="3"/>
  <c r="O748" i="3"/>
  <c r="O747" i="3"/>
  <c r="O746" i="3"/>
  <c r="O745" i="3"/>
  <c r="O744" i="3"/>
  <c r="O743" i="3"/>
  <c r="O742" i="3"/>
  <c r="O741" i="3"/>
  <c r="O740" i="3"/>
  <c r="O739" i="3"/>
  <c r="O738" i="3"/>
  <c r="O737" i="3"/>
  <c r="O736" i="3"/>
  <c r="O735" i="3"/>
  <c r="O734" i="3"/>
  <c r="O733" i="3"/>
  <c r="O732" i="3"/>
  <c r="O731" i="3"/>
  <c r="O730" i="3"/>
  <c r="O729" i="3"/>
  <c r="O728" i="3"/>
  <c r="O727" i="3"/>
  <c r="O726" i="3"/>
  <c r="O725" i="3"/>
  <c r="O724" i="3"/>
  <c r="O723" i="3"/>
  <c r="O722" i="3"/>
  <c r="O721" i="3"/>
  <c r="O720" i="3"/>
  <c r="O719" i="3"/>
  <c r="O718" i="3"/>
  <c r="O717" i="3"/>
  <c r="O716" i="3"/>
  <c r="O715" i="3"/>
  <c r="O714" i="3"/>
  <c r="O713" i="3"/>
  <c r="O712" i="3"/>
  <c r="O711" i="3"/>
  <c r="O710" i="3"/>
  <c r="O709" i="3"/>
  <c r="O708" i="3"/>
  <c r="O707" i="3"/>
  <c r="O706" i="3"/>
  <c r="O705" i="3"/>
  <c r="O704" i="3"/>
  <c r="O703" i="3"/>
  <c r="O702" i="3"/>
  <c r="O701" i="3"/>
  <c r="O700" i="3"/>
  <c r="O699" i="3"/>
  <c r="O698" i="3"/>
  <c r="O697" i="3"/>
  <c r="O696" i="3"/>
  <c r="O695" i="3"/>
  <c r="O694" i="3"/>
  <c r="O693" i="3"/>
  <c r="O692" i="3"/>
  <c r="O691" i="3"/>
  <c r="O690" i="3"/>
  <c r="O689" i="3"/>
  <c r="O688" i="3"/>
  <c r="O687" i="3"/>
  <c r="O686" i="3"/>
  <c r="O685" i="3"/>
  <c r="O684" i="3"/>
  <c r="O683" i="3"/>
  <c r="O682" i="3"/>
  <c r="O681" i="3"/>
  <c r="O680" i="3"/>
  <c r="O679" i="3"/>
  <c r="O678" i="3"/>
  <c r="O677" i="3"/>
  <c r="O676" i="3"/>
  <c r="O675" i="3"/>
  <c r="O674" i="3"/>
  <c r="O673" i="3"/>
  <c r="O672" i="3"/>
  <c r="O671" i="3"/>
  <c r="O670" i="3"/>
  <c r="O669" i="3"/>
  <c r="O668" i="3"/>
  <c r="O667" i="3"/>
  <c r="O666" i="3"/>
  <c r="O665" i="3"/>
  <c r="O664" i="3"/>
  <c r="O663" i="3"/>
  <c r="O662" i="3"/>
  <c r="O661" i="3"/>
  <c r="O660" i="3"/>
  <c r="O659" i="3"/>
  <c r="O658" i="3"/>
  <c r="O657" i="3"/>
  <c r="O656" i="3"/>
  <c r="O655" i="3"/>
  <c r="O654" i="3"/>
  <c r="O653" i="3"/>
  <c r="O652" i="3"/>
  <c r="O651" i="3"/>
  <c r="O650" i="3"/>
  <c r="O649" i="3"/>
  <c r="O648" i="3"/>
  <c r="O647" i="3"/>
  <c r="O646" i="3"/>
  <c r="O645" i="3"/>
  <c r="O644" i="3"/>
  <c r="O643" i="3"/>
  <c r="O642" i="3"/>
  <c r="O641" i="3"/>
  <c r="O640" i="3"/>
  <c r="O639" i="3"/>
  <c r="O638" i="3"/>
  <c r="O637" i="3"/>
  <c r="O636" i="3"/>
  <c r="O635" i="3"/>
  <c r="O634" i="3"/>
  <c r="O633" i="3"/>
  <c r="O632" i="3"/>
  <c r="O631" i="3"/>
  <c r="O630" i="3"/>
  <c r="O629" i="3"/>
  <c r="O628" i="3"/>
  <c r="O627" i="3"/>
  <c r="O626" i="3"/>
  <c r="O625" i="3"/>
  <c r="O624" i="3"/>
  <c r="O623" i="3"/>
  <c r="O622" i="3"/>
  <c r="O621" i="3"/>
  <c r="O620" i="3"/>
  <c r="O619" i="3"/>
  <c r="O618" i="3"/>
  <c r="O617" i="3"/>
  <c r="O616" i="3"/>
  <c r="O615" i="3"/>
  <c r="O614" i="3"/>
  <c r="O613" i="3"/>
  <c r="O612" i="3"/>
  <c r="O611" i="3"/>
  <c r="O610" i="3"/>
  <c r="O609" i="3"/>
  <c r="O608" i="3"/>
  <c r="O607" i="3"/>
  <c r="O606" i="3"/>
  <c r="O605" i="3"/>
  <c r="O604" i="3"/>
  <c r="O603" i="3"/>
  <c r="O602" i="3"/>
  <c r="O601" i="3"/>
  <c r="O600" i="3"/>
  <c r="O599" i="3"/>
  <c r="O598" i="3"/>
  <c r="O597" i="3"/>
  <c r="O596" i="3"/>
  <c r="O595" i="3"/>
  <c r="O594" i="3"/>
  <c r="O593" i="3"/>
  <c r="O592" i="3"/>
  <c r="O591" i="3"/>
  <c r="O590" i="3"/>
  <c r="O589" i="3"/>
  <c r="O588" i="3"/>
  <c r="O587" i="3"/>
  <c r="O586" i="3"/>
  <c r="O585" i="3"/>
  <c r="O584" i="3"/>
  <c r="O583" i="3"/>
  <c r="O582" i="3"/>
  <c r="O581" i="3"/>
  <c r="O580" i="3"/>
  <c r="O579" i="3"/>
  <c r="O578" i="3"/>
  <c r="O577" i="3"/>
  <c r="O576" i="3"/>
  <c r="O575" i="3"/>
  <c r="O574" i="3"/>
  <c r="O573" i="3"/>
  <c r="O572" i="3"/>
  <c r="O571" i="3"/>
  <c r="O570" i="3"/>
  <c r="O569" i="3"/>
  <c r="O568" i="3"/>
  <c r="O567" i="3"/>
  <c r="O566" i="3"/>
  <c r="O565" i="3"/>
  <c r="O564" i="3"/>
  <c r="O563" i="3"/>
  <c r="O562" i="3"/>
  <c r="O561" i="3"/>
  <c r="O560" i="3"/>
  <c r="O559" i="3"/>
  <c r="O558" i="3"/>
  <c r="O557" i="3"/>
  <c r="O556" i="3"/>
  <c r="O555" i="3"/>
  <c r="O554" i="3"/>
  <c r="O553" i="3"/>
  <c r="O552" i="3"/>
  <c r="O551" i="3"/>
  <c r="O550" i="3"/>
  <c r="O549" i="3"/>
  <c r="O548" i="3"/>
  <c r="O547" i="3"/>
  <c r="O546" i="3"/>
  <c r="O545" i="3"/>
  <c r="O544" i="3"/>
  <c r="O543" i="3"/>
  <c r="O542" i="3"/>
  <c r="O541" i="3"/>
  <c r="O540" i="3"/>
  <c r="O539" i="3"/>
  <c r="O538" i="3"/>
  <c r="O537" i="3"/>
  <c r="O536" i="3"/>
  <c r="O535" i="3"/>
  <c r="O534" i="3"/>
  <c r="O533" i="3"/>
  <c r="O532" i="3"/>
  <c r="O531" i="3"/>
  <c r="O530" i="3"/>
  <c r="O529" i="3"/>
  <c r="O528" i="3"/>
  <c r="O527" i="3"/>
  <c r="O526" i="3"/>
  <c r="O525" i="3"/>
  <c r="O524" i="3"/>
  <c r="O523" i="3"/>
  <c r="O522" i="3"/>
  <c r="O521" i="3"/>
  <c r="O520" i="3"/>
  <c r="O519" i="3"/>
  <c r="O518" i="3"/>
  <c r="O517" i="3"/>
  <c r="O516" i="3"/>
  <c r="O515" i="3"/>
  <c r="O514" i="3"/>
  <c r="O513" i="3"/>
  <c r="O512" i="3"/>
  <c r="O511" i="3"/>
  <c r="O510" i="3"/>
  <c r="O509" i="3"/>
  <c r="O508" i="3"/>
  <c r="O507" i="3"/>
  <c r="O506" i="3"/>
  <c r="O505" i="3"/>
  <c r="O504" i="3"/>
  <c r="O503" i="3"/>
  <c r="O502" i="3"/>
  <c r="O501" i="3"/>
  <c r="O500" i="3"/>
  <c r="O499" i="3"/>
  <c r="O498" i="3"/>
  <c r="O497" i="3"/>
  <c r="O496" i="3"/>
  <c r="O495" i="3"/>
  <c r="O494" i="3"/>
  <c r="O493" i="3"/>
  <c r="O492" i="3"/>
  <c r="O491" i="3"/>
  <c r="O490" i="3"/>
  <c r="O489" i="3"/>
  <c r="O488" i="3"/>
  <c r="O487" i="3"/>
  <c r="O486" i="3"/>
  <c r="O485" i="3"/>
  <c r="O484" i="3"/>
  <c r="O483" i="3"/>
  <c r="O482" i="3"/>
  <c r="O481" i="3"/>
  <c r="O480" i="3"/>
  <c r="O479" i="3"/>
  <c r="O478" i="3"/>
  <c r="O477" i="3"/>
  <c r="O476" i="3"/>
  <c r="O475" i="3"/>
  <c r="O474" i="3"/>
  <c r="O473" i="3"/>
  <c r="O472" i="3"/>
  <c r="O471" i="3"/>
  <c r="O470" i="3"/>
  <c r="O469" i="3"/>
  <c r="O468" i="3"/>
  <c r="O467" i="3"/>
  <c r="O466" i="3"/>
  <c r="O465" i="3"/>
  <c r="O464" i="3"/>
  <c r="O463" i="3"/>
  <c r="O462" i="3"/>
  <c r="O461" i="3"/>
  <c r="O460" i="3"/>
  <c r="O459" i="3"/>
  <c r="O458" i="3"/>
  <c r="O457" i="3"/>
  <c r="O456" i="3"/>
  <c r="O455" i="3"/>
  <c r="O454" i="3"/>
  <c r="O453" i="3"/>
  <c r="O452" i="3"/>
  <c r="O451" i="3"/>
  <c r="O450" i="3"/>
  <c r="O449" i="3"/>
  <c r="O448" i="3"/>
  <c r="O447" i="3"/>
  <c r="O446" i="3"/>
  <c r="O445" i="3"/>
  <c r="O444" i="3"/>
  <c r="O443" i="3"/>
  <c r="O442" i="3"/>
  <c r="O441" i="3"/>
  <c r="O440" i="3"/>
  <c r="O439" i="3"/>
  <c r="O438" i="3"/>
  <c r="O437" i="3"/>
  <c r="O436" i="3"/>
  <c r="O435" i="3"/>
  <c r="O434" i="3"/>
  <c r="O433" i="3"/>
  <c r="O432" i="3"/>
  <c r="O431" i="3"/>
  <c r="O430" i="3"/>
  <c r="O429" i="3"/>
  <c r="O428" i="3"/>
  <c r="O427" i="3"/>
  <c r="O426" i="3"/>
  <c r="O425" i="3"/>
  <c r="O424" i="3"/>
  <c r="O423" i="3"/>
  <c r="O422" i="3"/>
  <c r="O421" i="3"/>
  <c r="O420" i="3"/>
  <c r="O419" i="3"/>
  <c r="O418" i="3"/>
  <c r="O417" i="3"/>
  <c r="O416" i="3"/>
  <c r="O415" i="3"/>
  <c r="O414" i="3"/>
  <c r="O413" i="3"/>
  <c r="O412" i="3"/>
  <c r="O411" i="3"/>
  <c r="O410" i="3"/>
  <c r="O409" i="3"/>
  <c r="O408" i="3"/>
  <c r="O407" i="3"/>
  <c r="O406" i="3"/>
  <c r="O405" i="3"/>
  <c r="O404" i="3"/>
  <c r="O403" i="3"/>
  <c r="O402" i="3"/>
  <c r="O401" i="3"/>
  <c r="O400" i="3"/>
  <c r="O399" i="3"/>
  <c r="O398" i="3"/>
  <c r="O397" i="3"/>
  <c r="O396" i="3"/>
  <c r="O395" i="3"/>
  <c r="O394" i="3"/>
  <c r="O393" i="3"/>
  <c r="O392" i="3"/>
  <c r="O391" i="3"/>
  <c r="O390" i="3"/>
  <c r="O389" i="3"/>
  <c r="O388" i="3"/>
  <c r="O387" i="3"/>
  <c r="O386" i="3"/>
  <c r="O385" i="3"/>
  <c r="O384" i="3"/>
  <c r="O383" i="3"/>
  <c r="O382" i="3"/>
  <c r="O381" i="3"/>
  <c r="O380" i="3"/>
  <c r="O379" i="3"/>
  <c r="O378" i="3"/>
  <c r="O377" i="3"/>
  <c r="O376" i="3"/>
  <c r="O375" i="3"/>
  <c r="O374" i="3"/>
  <c r="O373" i="3"/>
  <c r="O372" i="3"/>
  <c r="O371" i="3"/>
  <c r="O370" i="3"/>
  <c r="O369" i="3"/>
  <c r="O368" i="3"/>
  <c r="O367" i="3"/>
  <c r="O366" i="3"/>
  <c r="O365" i="3"/>
  <c r="O364" i="3"/>
  <c r="O363" i="3"/>
  <c r="O362" i="3"/>
  <c r="O361" i="3"/>
  <c r="O360" i="3"/>
  <c r="O359" i="3"/>
  <c r="O358" i="3"/>
  <c r="O357" i="3"/>
  <c r="O356" i="3"/>
  <c r="O355" i="3"/>
  <c r="O354" i="3"/>
  <c r="O353" i="3"/>
  <c r="O352" i="3"/>
  <c r="O351" i="3"/>
  <c r="O350" i="3"/>
  <c r="O349" i="3"/>
  <c r="O348" i="3"/>
  <c r="O347" i="3"/>
  <c r="O346" i="3"/>
  <c r="O345" i="3"/>
  <c r="O344" i="3"/>
  <c r="O343" i="3"/>
  <c r="O342" i="3"/>
  <c r="O341" i="3"/>
  <c r="O340" i="3"/>
  <c r="O339" i="3"/>
  <c r="O338" i="3"/>
  <c r="O337" i="3"/>
  <c r="O336" i="3"/>
  <c r="O335" i="3"/>
  <c r="O334" i="3"/>
  <c r="O333" i="3"/>
  <c r="O332" i="3"/>
  <c r="O331" i="3"/>
  <c r="O330" i="3"/>
  <c r="O329" i="3"/>
  <c r="O328" i="3"/>
  <c r="O327" i="3"/>
  <c r="O326" i="3"/>
  <c r="O325" i="3"/>
  <c r="O324" i="3"/>
  <c r="O323" i="3"/>
  <c r="O322" i="3"/>
  <c r="O321" i="3"/>
  <c r="O320" i="3"/>
  <c r="O319" i="3"/>
  <c r="O318" i="3"/>
  <c r="O317" i="3"/>
  <c r="O316" i="3"/>
  <c r="O315" i="3"/>
  <c r="O314" i="3"/>
  <c r="O313" i="3"/>
  <c r="O312" i="3"/>
  <c r="O311" i="3"/>
  <c r="O310" i="3"/>
  <c r="O309" i="3"/>
  <c r="O308" i="3"/>
  <c r="O307" i="3"/>
  <c r="O306" i="3"/>
  <c r="O305" i="3"/>
  <c r="O304" i="3"/>
  <c r="O303" i="3"/>
  <c r="O302" i="3"/>
  <c r="O301" i="3"/>
  <c r="O300" i="3"/>
  <c r="O299" i="3"/>
  <c r="O298" i="3"/>
  <c r="O297" i="3"/>
  <c r="O296" i="3"/>
  <c r="O295" i="3"/>
  <c r="O294" i="3"/>
  <c r="O293" i="3"/>
  <c r="O292" i="3"/>
  <c r="O291" i="3"/>
  <c r="O290" i="3"/>
  <c r="O289" i="3"/>
  <c r="O288" i="3"/>
  <c r="O287" i="3"/>
  <c r="O286" i="3"/>
  <c r="O285" i="3"/>
  <c r="O284" i="3"/>
  <c r="O283" i="3"/>
  <c r="O282" i="3"/>
  <c r="O281" i="3"/>
  <c r="O280" i="3"/>
  <c r="O279" i="3"/>
  <c r="O278" i="3"/>
  <c r="O277" i="3"/>
  <c r="O276" i="3"/>
  <c r="O275" i="3"/>
  <c r="O274" i="3"/>
  <c r="O273" i="3"/>
  <c r="O272" i="3"/>
  <c r="O271" i="3"/>
  <c r="O270" i="3"/>
  <c r="O269" i="3"/>
  <c r="O268" i="3"/>
  <c r="O267" i="3"/>
  <c r="O266" i="3"/>
  <c r="O265" i="3"/>
  <c r="O264" i="3"/>
  <c r="O263" i="3"/>
  <c r="O262" i="3"/>
  <c r="O261" i="3"/>
  <c r="O260" i="3"/>
  <c r="O259" i="3"/>
  <c r="O258" i="3"/>
  <c r="O257" i="3"/>
  <c r="O256" i="3"/>
  <c r="O255" i="3"/>
  <c r="O254" i="3"/>
  <c r="O253" i="3"/>
  <c r="O252" i="3"/>
  <c r="O251" i="3"/>
  <c r="O250" i="3"/>
  <c r="O249" i="3"/>
  <c r="O248" i="3"/>
  <c r="O247" i="3"/>
  <c r="O246" i="3"/>
  <c r="O245" i="3"/>
  <c r="O244" i="3"/>
  <c r="O243" i="3"/>
  <c r="O242" i="3"/>
  <c r="O241" i="3"/>
  <c r="O240" i="3"/>
  <c r="O239" i="3"/>
  <c r="O238" i="3"/>
  <c r="O237" i="3"/>
  <c r="O236" i="3"/>
  <c r="O235" i="3"/>
  <c r="O234" i="3"/>
  <c r="O233" i="3"/>
  <c r="O232" i="3"/>
  <c r="O231" i="3"/>
  <c r="O230" i="3"/>
  <c r="O229" i="3"/>
  <c r="O228" i="3"/>
  <c r="O227" i="3"/>
  <c r="O226" i="3"/>
  <c r="O225" i="3"/>
  <c r="O224" i="3"/>
  <c r="O223" i="3"/>
  <c r="O222" i="3"/>
  <c r="O221" i="3"/>
  <c r="O220" i="3"/>
  <c r="O219" i="3"/>
  <c r="O218" i="3"/>
  <c r="O217" i="3"/>
  <c r="O216" i="3"/>
  <c r="O215" i="3"/>
  <c r="O214" i="3"/>
  <c r="O213" i="3"/>
  <c r="O212" i="3"/>
  <c r="O211" i="3"/>
  <c r="O210" i="3"/>
  <c r="O209" i="3"/>
  <c r="O208" i="3"/>
  <c r="O207" i="3"/>
  <c r="O206" i="3"/>
  <c r="O205" i="3"/>
  <c r="O204" i="3"/>
  <c r="O203" i="3"/>
  <c r="O202" i="3"/>
  <c r="O201" i="3"/>
  <c r="O200" i="3"/>
  <c r="O199" i="3"/>
  <c r="O198" i="3"/>
  <c r="O197" i="3"/>
  <c r="O196" i="3"/>
  <c r="O195" i="3"/>
  <c r="O194" i="3"/>
  <c r="O193" i="3"/>
  <c r="O192" i="3"/>
  <c r="O191" i="3"/>
  <c r="O190" i="3"/>
  <c r="O189" i="3"/>
  <c r="O188" i="3"/>
  <c r="O187" i="3"/>
  <c r="O186" i="3"/>
  <c r="O185" i="3"/>
  <c r="O184" i="3"/>
  <c r="O183" i="3"/>
  <c r="O182" i="3"/>
  <c r="O181" i="3"/>
  <c r="O180" i="3"/>
  <c r="O179" i="3"/>
  <c r="O178" i="3"/>
  <c r="O177" i="3"/>
  <c r="O176" i="3"/>
  <c r="O175" i="3"/>
  <c r="O174" i="3"/>
  <c r="O173" i="3"/>
  <c r="O172" i="3"/>
  <c r="O171" i="3"/>
  <c r="O170" i="3"/>
  <c r="O169" i="3"/>
  <c r="O168" i="3"/>
  <c r="O167" i="3"/>
  <c r="O166" i="3"/>
  <c r="O165" i="3"/>
  <c r="O164" i="3"/>
  <c r="O163" i="3"/>
  <c r="O162" i="3"/>
  <c r="O161" i="3"/>
  <c r="O160" i="3"/>
  <c r="O159" i="3"/>
  <c r="O158" i="3"/>
  <c r="O157" i="3"/>
  <c r="O156" i="3"/>
  <c r="O155" i="3"/>
  <c r="O154" i="3"/>
  <c r="O153" i="3"/>
  <c r="O152" i="3"/>
  <c r="O151" i="3"/>
  <c r="O150" i="3"/>
  <c r="O149" i="3"/>
  <c r="O148" i="3"/>
  <c r="O147" i="3"/>
  <c r="O146" i="3"/>
  <c r="O145" i="3"/>
  <c r="O144" i="3"/>
  <c r="O143" i="3"/>
  <c r="O142" i="3"/>
  <c r="O141" i="3"/>
  <c r="O140" i="3"/>
  <c r="O139" i="3"/>
  <c r="O138" i="3"/>
  <c r="O137" i="3"/>
  <c r="O136" i="3"/>
  <c r="O135" i="3"/>
  <c r="O134" i="3"/>
  <c r="O133" i="3"/>
  <c r="O132" i="3"/>
  <c r="O131" i="3"/>
  <c r="O130" i="3"/>
  <c r="O129" i="3"/>
  <c r="O128" i="3"/>
  <c r="O127" i="3"/>
  <c r="O126" i="3"/>
  <c r="O125" i="3"/>
  <c r="O124" i="3"/>
  <c r="O123" i="3"/>
  <c r="O122" i="3"/>
  <c r="O121" i="3"/>
  <c r="O120" i="3"/>
  <c r="O119" i="3"/>
  <c r="O118" i="3"/>
  <c r="O117" i="3"/>
  <c r="O116" i="3"/>
  <c r="O115" i="3"/>
  <c r="O114" i="3"/>
  <c r="O113" i="3"/>
  <c r="O112" i="3"/>
  <c r="O111" i="3"/>
  <c r="O110" i="3"/>
  <c r="O109" i="3"/>
  <c r="O108" i="3"/>
  <c r="O107" i="3"/>
  <c r="O106" i="3"/>
  <c r="O105" i="3"/>
  <c r="O104" i="3"/>
  <c r="O103" i="3"/>
  <c r="O102" i="3"/>
  <c r="O101" i="3"/>
  <c r="O100" i="3"/>
  <c r="O99" i="3"/>
  <c r="O98" i="3"/>
  <c r="O97" i="3"/>
  <c r="O96" i="3"/>
  <c r="O95" i="3"/>
  <c r="O94" i="3"/>
  <c r="O93" i="3"/>
  <c r="O92" i="3"/>
  <c r="O91" i="3"/>
  <c r="O90" i="3"/>
  <c r="O89" i="3"/>
  <c r="O88" i="3"/>
  <c r="O87" i="3"/>
  <c r="O86" i="3"/>
  <c r="O85" i="3"/>
  <c r="O84" i="3"/>
  <c r="O83" i="3"/>
  <c r="O82" i="3"/>
  <c r="O81" i="3"/>
  <c r="O80" i="3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L1010" i="3"/>
  <c r="L1009" i="3"/>
  <c r="L1008" i="3"/>
  <c r="L1007" i="3"/>
  <c r="L1006" i="3"/>
  <c r="L1005" i="3"/>
  <c r="L1004" i="3"/>
  <c r="L1003" i="3"/>
  <c r="L1002" i="3"/>
  <c r="L1001" i="3"/>
  <c r="L1000" i="3"/>
  <c r="L999" i="3"/>
  <c r="L998" i="3"/>
  <c r="L997" i="3"/>
  <c r="L996" i="3"/>
  <c r="L995" i="3"/>
  <c r="L994" i="3"/>
  <c r="L993" i="3"/>
  <c r="L992" i="3"/>
  <c r="L991" i="3"/>
  <c r="L990" i="3"/>
  <c r="L989" i="3"/>
  <c r="L988" i="3"/>
  <c r="L987" i="3"/>
  <c r="L986" i="3"/>
  <c r="L985" i="3"/>
  <c r="L984" i="3"/>
  <c r="L983" i="3"/>
  <c r="L982" i="3"/>
  <c r="L981" i="3"/>
  <c r="L980" i="3"/>
  <c r="L979" i="3"/>
  <c r="L978" i="3"/>
  <c r="L977" i="3"/>
  <c r="L976" i="3"/>
  <c r="L975" i="3"/>
  <c r="L974" i="3"/>
  <c r="L973" i="3"/>
  <c r="L972" i="3"/>
  <c r="L971" i="3"/>
  <c r="L970" i="3"/>
  <c r="L969" i="3"/>
  <c r="L968" i="3"/>
  <c r="L967" i="3"/>
  <c r="L966" i="3"/>
  <c r="L965" i="3"/>
  <c r="L964" i="3"/>
  <c r="L963" i="3"/>
  <c r="L962" i="3"/>
  <c r="L961" i="3"/>
  <c r="L960" i="3"/>
  <c r="L959" i="3"/>
  <c r="L958" i="3"/>
  <c r="L957" i="3"/>
  <c r="L956" i="3"/>
  <c r="L955" i="3"/>
  <c r="L954" i="3"/>
  <c r="L953" i="3"/>
  <c r="L952" i="3"/>
  <c r="L951" i="3"/>
  <c r="L950" i="3"/>
  <c r="L949" i="3"/>
  <c r="L948" i="3"/>
  <c r="L947" i="3"/>
  <c r="L946" i="3"/>
  <c r="L945" i="3"/>
  <c r="L944" i="3"/>
  <c r="L943" i="3"/>
  <c r="L942" i="3"/>
  <c r="L941" i="3"/>
  <c r="L940" i="3"/>
  <c r="L939" i="3"/>
  <c r="L938" i="3"/>
  <c r="L937" i="3"/>
  <c r="L936" i="3"/>
  <c r="L935" i="3"/>
  <c r="L934" i="3"/>
  <c r="L933" i="3"/>
  <c r="L932" i="3"/>
  <c r="L931" i="3"/>
  <c r="L930" i="3"/>
  <c r="L929" i="3"/>
  <c r="L928" i="3"/>
  <c r="L927" i="3"/>
  <c r="L926" i="3"/>
  <c r="L925" i="3"/>
  <c r="L924" i="3"/>
  <c r="L923" i="3"/>
  <c r="L922" i="3"/>
  <c r="L921" i="3"/>
  <c r="L920" i="3"/>
  <c r="L919" i="3"/>
  <c r="L918" i="3"/>
  <c r="L917" i="3"/>
  <c r="L916" i="3"/>
  <c r="L915" i="3"/>
  <c r="L914" i="3"/>
  <c r="L913" i="3"/>
  <c r="L912" i="3"/>
  <c r="L911" i="3"/>
  <c r="L910" i="3"/>
  <c r="L909" i="3"/>
  <c r="L908" i="3"/>
  <c r="L907" i="3"/>
  <c r="L906" i="3"/>
  <c r="L905" i="3"/>
  <c r="L904" i="3"/>
  <c r="L903" i="3"/>
  <c r="L902" i="3"/>
  <c r="L901" i="3"/>
  <c r="L900" i="3"/>
  <c r="L899" i="3"/>
  <c r="L898" i="3"/>
  <c r="L897" i="3"/>
  <c r="L896" i="3"/>
  <c r="L895" i="3"/>
  <c r="L894" i="3"/>
  <c r="L893" i="3"/>
  <c r="L892" i="3"/>
  <c r="L891" i="3"/>
  <c r="L890" i="3"/>
  <c r="L889" i="3"/>
  <c r="L888" i="3"/>
  <c r="L887" i="3"/>
  <c r="L886" i="3"/>
  <c r="L885" i="3"/>
  <c r="L884" i="3"/>
  <c r="L883" i="3"/>
  <c r="L882" i="3"/>
  <c r="L881" i="3"/>
  <c r="L880" i="3"/>
  <c r="L879" i="3"/>
  <c r="L878" i="3"/>
  <c r="L877" i="3"/>
  <c r="L876" i="3"/>
  <c r="L875" i="3"/>
  <c r="L874" i="3"/>
  <c r="L873" i="3"/>
  <c r="L872" i="3"/>
  <c r="L871" i="3"/>
  <c r="L870" i="3"/>
  <c r="L869" i="3"/>
  <c r="L868" i="3"/>
  <c r="L867" i="3"/>
  <c r="L866" i="3"/>
  <c r="L865" i="3"/>
  <c r="L864" i="3"/>
  <c r="L863" i="3"/>
  <c r="L862" i="3"/>
  <c r="L861" i="3"/>
  <c r="L860" i="3"/>
  <c r="L859" i="3"/>
  <c r="L858" i="3"/>
  <c r="L857" i="3"/>
  <c r="L856" i="3"/>
  <c r="L855" i="3"/>
  <c r="L854" i="3"/>
  <c r="L853" i="3"/>
  <c r="L852" i="3"/>
  <c r="L851" i="3"/>
  <c r="L850" i="3"/>
  <c r="L849" i="3"/>
  <c r="L848" i="3"/>
  <c r="L847" i="3"/>
  <c r="L846" i="3"/>
  <c r="L845" i="3"/>
  <c r="L844" i="3"/>
  <c r="L843" i="3"/>
  <c r="L842" i="3"/>
  <c r="L841" i="3"/>
  <c r="L840" i="3"/>
  <c r="L839" i="3"/>
  <c r="L838" i="3"/>
  <c r="L837" i="3"/>
  <c r="L836" i="3"/>
  <c r="L835" i="3"/>
  <c r="L834" i="3"/>
  <c r="L833" i="3"/>
  <c r="L832" i="3"/>
  <c r="L831" i="3"/>
  <c r="L830" i="3"/>
  <c r="L829" i="3"/>
  <c r="L828" i="3"/>
  <c r="L827" i="3"/>
  <c r="L826" i="3"/>
  <c r="L825" i="3"/>
  <c r="L824" i="3"/>
  <c r="L823" i="3"/>
  <c r="L822" i="3"/>
  <c r="L821" i="3"/>
  <c r="L820" i="3"/>
  <c r="L819" i="3"/>
  <c r="L818" i="3"/>
  <c r="L817" i="3"/>
  <c r="L816" i="3"/>
  <c r="L815" i="3"/>
  <c r="L814" i="3"/>
  <c r="L813" i="3"/>
  <c r="L812" i="3"/>
  <c r="L811" i="3"/>
  <c r="L810" i="3"/>
  <c r="L809" i="3"/>
  <c r="L808" i="3"/>
  <c r="L807" i="3"/>
  <c r="L806" i="3"/>
  <c r="L805" i="3"/>
  <c r="L804" i="3"/>
  <c r="L803" i="3"/>
  <c r="L802" i="3"/>
  <c r="L801" i="3"/>
  <c r="L800" i="3"/>
  <c r="L799" i="3"/>
  <c r="L798" i="3"/>
  <c r="L797" i="3"/>
  <c r="L796" i="3"/>
  <c r="L795" i="3"/>
  <c r="L794" i="3"/>
  <c r="L793" i="3"/>
  <c r="L792" i="3"/>
  <c r="L791" i="3"/>
  <c r="L790" i="3"/>
  <c r="L789" i="3"/>
  <c r="L788" i="3"/>
  <c r="L787" i="3"/>
  <c r="L786" i="3"/>
  <c r="L785" i="3"/>
  <c r="L784" i="3"/>
  <c r="L783" i="3"/>
  <c r="L782" i="3"/>
  <c r="L781" i="3"/>
  <c r="L780" i="3"/>
  <c r="L779" i="3"/>
  <c r="L778" i="3"/>
  <c r="L777" i="3"/>
  <c r="L776" i="3"/>
  <c r="L775" i="3"/>
  <c r="L774" i="3"/>
  <c r="L773" i="3"/>
  <c r="L772" i="3"/>
  <c r="L771" i="3"/>
  <c r="L770" i="3"/>
  <c r="L769" i="3"/>
  <c r="L768" i="3"/>
  <c r="L767" i="3"/>
  <c r="L766" i="3"/>
  <c r="L765" i="3"/>
  <c r="L764" i="3"/>
  <c r="L763" i="3"/>
  <c r="L762" i="3"/>
  <c r="L761" i="3"/>
  <c r="L760" i="3"/>
  <c r="L759" i="3"/>
  <c r="L758" i="3"/>
  <c r="L757" i="3"/>
  <c r="L756" i="3"/>
  <c r="L755" i="3"/>
  <c r="L754" i="3"/>
  <c r="L753" i="3"/>
  <c r="L752" i="3"/>
  <c r="L751" i="3"/>
  <c r="L750" i="3"/>
  <c r="L749" i="3"/>
  <c r="L748" i="3"/>
  <c r="L747" i="3"/>
  <c r="L746" i="3"/>
  <c r="L745" i="3"/>
  <c r="L744" i="3"/>
  <c r="L743" i="3"/>
  <c r="L742" i="3"/>
  <c r="L741" i="3"/>
  <c r="L740" i="3"/>
  <c r="L739" i="3"/>
  <c r="L738" i="3"/>
  <c r="L737" i="3"/>
  <c r="L736" i="3"/>
  <c r="L735" i="3"/>
  <c r="L734" i="3"/>
  <c r="L733" i="3"/>
  <c r="L732" i="3"/>
  <c r="L731" i="3"/>
  <c r="L730" i="3"/>
  <c r="L729" i="3"/>
  <c r="L728" i="3"/>
  <c r="L727" i="3"/>
  <c r="L726" i="3"/>
  <c r="L725" i="3"/>
  <c r="L724" i="3"/>
  <c r="L723" i="3"/>
  <c r="L722" i="3"/>
  <c r="L721" i="3"/>
  <c r="L720" i="3"/>
  <c r="L719" i="3"/>
  <c r="L718" i="3"/>
  <c r="L717" i="3"/>
  <c r="L716" i="3"/>
  <c r="L715" i="3"/>
  <c r="L714" i="3"/>
  <c r="L713" i="3"/>
  <c r="L712" i="3"/>
  <c r="L711" i="3"/>
  <c r="L710" i="3"/>
  <c r="L709" i="3"/>
  <c r="L708" i="3"/>
  <c r="L707" i="3"/>
  <c r="L706" i="3"/>
  <c r="L705" i="3"/>
  <c r="L704" i="3"/>
  <c r="L703" i="3"/>
  <c r="L702" i="3"/>
  <c r="L701" i="3"/>
  <c r="L700" i="3"/>
  <c r="L699" i="3"/>
  <c r="L698" i="3"/>
  <c r="L697" i="3"/>
  <c r="L696" i="3"/>
  <c r="L695" i="3"/>
  <c r="L694" i="3"/>
  <c r="L693" i="3"/>
  <c r="L692" i="3"/>
  <c r="L691" i="3"/>
  <c r="L690" i="3"/>
  <c r="L689" i="3"/>
  <c r="L688" i="3"/>
  <c r="L687" i="3"/>
  <c r="L686" i="3"/>
  <c r="L685" i="3"/>
  <c r="L684" i="3"/>
  <c r="L683" i="3"/>
  <c r="L682" i="3"/>
  <c r="L681" i="3"/>
  <c r="L680" i="3"/>
  <c r="L679" i="3"/>
  <c r="L678" i="3"/>
  <c r="L677" i="3"/>
  <c r="L676" i="3"/>
  <c r="L675" i="3"/>
  <c r="L674" i="3"/>
  <c r="L673" i="3"/>
  <c r="L672" i="3"/>
  <c r="L671" i="3"/>
  <c r="L670" i="3"/>
  <c r="L669" i="3"/>
  <c r="L668" i="3"/>
  <c r="L667" i="3"/>
  <c r="L666" i="3"/>
  <c r="L665" i="3"/>
  <c r="L664" i="3"/>
  <c r="L663" i="3"/>
  <c r="L662" i="3"/>
  <c r="L661" i="3"/>
  <c r="L660" i="3"/>
  <c r="L659" i="3"/>
  <c r="L658" i="3"/>
  <c r="L657" i="3"/>
  <c r="L656" i="3"/>
  <c r="L655" i="3"/>
  <c r="L654" i="3"/>
  <c r="L653" i="3"/>
  <c r="L652" i="3"/>
  <c r="L651" i="3"/>
  <c r="L650" i="3"/>
  <c r="L649" i="3"/>
  <c r="L648" i="3"/>
  <c r="L647" i="3"/>
  <c r="L646" i="3"/>
  <c r="L645" i="3"/>
  <c r="L644" i="3"/>
  <c r="L643" i="3"/>
  <c r="L642" i="3"/>
  <c r="L641" i="3"/>
  <c r="L640" i="3"/>
  <c r="L639" i="3"/>
  <c r="L638" i="3"/>
  <c r="L637" i="3"/>
  <c r="L636" i="3"/>
  <c r="L635" i="3"/>
  <c r="L634" i="3"/>
  <c r="L633" i="3"/>
  <c r="L632" i="3"/>
  <c r="L631" i="3"/>
  <c r="L630" i="3"/>
  <c r="L629" i="3"/>
  <c r="L628" i="3"/>
  <c r="L627" i="3"/>
  <c r="L626" i="3"/>
  <c r="L625" i="3"/>
  <c r="L624" i="3"/>
  <c r="L623" i="3"/>
  <c r="L622" i="3"/>
  <c r="L621" i="3"/>
  <c r="L620" i="3"/>
  <c r="L619" i="3"/>
  <c r="L618" i="3"/>
  <c r="L617" i="3"/>
  <c r="L616" i="3"/>
  <c r="L615" i="3"/>
  <c r="L614" i="3"/>
  <c r="L613" i="3"/>
  <c r="L612" i="3"/>
  <c r="L611" i="3"/>
  <c r="L610" i="3"/>
  <c r="L609" i="3"/>
  <c r="L608" i="3"/>
  <c r="L607" i="3"/>
  <c r="L606" i="3"/>
  <c r="L605" i="3"/>
  <c r="L604" i="3"/>
  <c r="L603" i="3"/>
  <c r="L602" i="3"/>
  <c r="L601" i="3"/>
  <c r="L600" i="3"/>
  <c r="L599" i="3"/>
  <c r="L598" i="3"/>
  <c r="L597" i="3"/>
  <c r="L596" i="3"/>
  <c r="L595" i="3"/>
  <c r="L594" i="3"/>
  <c r="L593" i="3"/>
  <c r="L592" i="3"/>
  <c r="L591" i="3"/>
  <c r="L590" i="3"/>
  <c r="L589" i="3"/>
  <c r="L588" i="3"/>
  <c r="L587" i="3"/>
  <c r="L586" i="3"/>
  <c r="L585" i="3"/>
  <c r="L584" i="3"/>
  <c r="L583" i="3"/>
  <c r="L582" i="3"/>
  <c r="L581" i="3"/>
  <c r="L580" i="3"/>
  <c r="L579" i="3"/>
  <c r="L578" i="3"/>
  <c r="L577" i="3"/>
  <c r="L576" i="3"/>
  <c r="L575" i="3"/>
  <c r="L574" i="3"/>
  <c r="L573" i="3"/>
  <c r="L572" i="3"/>
  <c r="L571" i="3"/>
  <c r="L570" i="3"/>
  <c r="L569" i="3"/>
  <c r="L568" i="3"/>
  <c r="L567" i="3"/>
  <c r="L566" i="3"/>
  <c r="L565" i="3"/>
  <c r="L564" i="3"/>
  <c r="L563" i="3"/>
  <c r="L562" i="3"/>
  <c r="L561" i="3"/>
  <c r="L560" i="3"/>
  <c r="L559" i="3"/>
  <c r="L558" i="3"/>
  <c r="L557" i="3"/>
  <c r="L556" i="3"/>
  <c r="L555" i="3"/>
  <c r="L554" i="3"/>
  <c r="L553" i="3"/>
  <c r="L552" i="3"/>
  <c r="L551" i="3"/>
  <c r="L550" i="3"/>
  <c r="L549" i="3"/>
  <c r="L548" i="3"/>
  <c r="L547" i="3"/>
  <c r="L546" i="3"/>
  <c r="L545" i="3"/>
  <c r="L544" i="3"/>
  <c r="L543" i="3"/>
  <c r="L542" i="3"/>
  <c r="L541" i="3"/>
  <c r="L540" i="3"/>
  <c r="L539" i="3"/>
  <c r="L538" i="3"/>
  <c r="L537" i="3"/>
  <c r="L536" i="3"/>
  <c r="L535" i="3"/>
  <c r="L534" i="3"/>
  <c r="L533" i="3"/>
  <c r="L532" i="3"/>
  <c r="L531" i="3"/>
  <c r="L530" i="3"/>
  <c r="L529" i="3"/>
  <c r="L528" i="3"/>
  <c r="L527" i="3"/>
  <c r="L526" i="3"/>
  <c r="L525" i="3"/>
  <c r="L524" i="3"/>
  <c r="L523" i="3"/>
  <c r="L522" i="3"/>
  <c r="L521" i="3"/>
  <c r="L520" i="3"/>
  <c r="L519" i="3"/>
  <c r="L518" i="3"/>
  <c r="L517" i="3"/>
  <c r="L516" i="3"/>
  <c r="L515" i="3"/>
  <c r="L514" i="3"/>
  <c r="L513" i="3"/>
  <c r="L512" i="3"/>
  <c r="L511" i="3"/>
  <c r="L510" i="3"/>
  <c r="L509" i="3"/>
  <c r="L508" i="3"/>
  <c r="L507" i="3"/>
  <c r="L506" i="3"/>
  <c r="L505" i="3"/>
  <c r="L504" i="3"/>
  <c r="L503" i="3"/>
  <c r="L502" i="3"/>
  <c r="L501" i="3"/>
  <c r="L500" i="3"/>
  <c r="L499" i="3"/>
  <c r="L498" i="3"/>
  <c r="L497" i="3"/>
  <c r="L496" i="3"/>
  <c r="L495" i="3"/>
  <c r="L494" i="3"/>
  <c r="L493" i="3"/>
  <c r="L492" i="3"/>
  <c r="L491" i="3"/>
  <c r="L490" i="3"/>
  <c r="L489" i="3"/>
  <c r="L488" i="3"/>
  <c r="L487" i="3"/>
  <c r="L486" i="3"/>
  <c r="L485" i="3"/>
  <c r="L484" i="3"/>
  <c r="L483" i="3"/>
  <c r="L482" i="3"/>
  <c r="L481" i="3"/>
  <c r="L480" i="3"/>
  <c r="L479" i="3"/>
  <c r="L478" i="3"/>
  <c r="L477" i="3"/>
  <c r="L476" i="3"/>
  <c r="L475" i="3"/>
  <c r="L474" i="3"/>
  <c r="L473" i="3"/>
  <c r="L472" i="3"/>
  <c r="L471" i="3"/>
  <c r="L470" i="3"/>
  <c r="L469" i="3"/>
  <c r="L468" i="3"/>
  <c r="L467" i="3"/>
  <c r="L466" i="3"/>
  <c r="L465" i="3"/>
  <c r="L464" i="3"/>
  <c r="L463" i="3"/>
  <c r="L462" i="3"/>
  <c r="L461" i="3"/>
  <c r="L460" i="3"/>
  <c r="L459" i="3"/>
  <c r="L458" i="3"/>
  <c r="L457" i="3"/>
  <c r="L456" i="3"/>
  <c r="L455" i="3"/>
  <c r="L454" i="3"/>
  <c r="L453" i="3"/>
  <c r="L452" i="3"/>
  <c r="L451" i="3"/>
  <c r="L450" i="3"/>
  <c r="L449" i="3"/>
  <c r="L448" i="3"/>
  <c r="L447" i="3"/>
  <c r="L446" i="3"/>
  <c r="L445" i="3"/>
  <c r="L444" i="3"/>
  <c r="L443" i="3"/>
  <c r="L442" i="3"/>
  <c r="L441" i="3"/>
  <c r="L440" i="3"/>
  <c r="L439" i="3"/>
  <c r="L438" i="3"/>
  <c r="L437" i="3"/>
  <c r="L436" i="3"/>
  <c r="L435" i="3"/>
  <c r="L434" i="3"/>
  <c r="L433" i="3"/>
  <c r="L432" i="3"/>
  <c r="L431" i="3"/>
  <c r="L430" i="3"/>
  <c r="L429" i="3"/>
  <c r="L428" i="3"/>
  <c r="L427" i="3"/>
  <c r="L426" i="3"/>
  <c r="L425" i="3"/>
  <c r="L424" i="3"/>
  <c r="L423" i="3"/>
  <c r="L422" i="3"/>
  <c r="L421" i="3"/>
  <c r="L420" i="3"/>
  <c r="L419" i="3"/>
  <c r="L418" i="3"/>
  <c r="L417" i="3"/>
  <c r="L416" i="3"/>
  <c r="L415" i="3"/>
  <c r="L414" i="3"/>
  <c r="L413" i="3"/>
  <c r="L412" i="3"/>
  <c r="L411" i="3"/>
  <c r="L410" i="3"/>
  <c r="L409" i="3"/>
  <c r="L408" i="3"/>
  <c r="L407" i="3"/>
  <c r="L406" i="3"/>
  <c r="L405" i="3"/>
  <c r="L404" i="3"/>
  <c r="L403" i="3"/>
  <c r="L402" i="3"/>
  <c r="L401" i="3"/>
  <c r="L400" i="3"/>
  <c r="L399" i="3"/>
  <c r="L398" i="3"/>
  <c r="L397" i="3"/>
  <c r="L396" i="3"/>
  <c r="L395" i="3"/>
  <c r="L394" i="3"/>
  <c r="L393" i="3"/>
  <c r="L392" i="3"/>
  <c r="L391" i="3"/>
  <c r="L390" i="3"/>
  <c r="L389" i="3"/>
  <c r="L388" i="3"/>
  <c r="L387" i="3"/>
  <c r="L386" i="3"/>
  <c r="L385" i="3"/>
  <c r="L384" i="3"/>
  <c r="L383" i="3"/>
  <c r="L382" i="3"/>
  <c r="L381" i="3"/>
  <c r="L380" i="3"/>
  <c r="L379" i="3"/>
  <c r="L378" i="3"/>
  <c r="L377" i="3"/>
  <c r="L376" i="3"/>
  <c r="L375" i="3"/>
  <c r="L374" i="3"/>
  <c r="L373" i="3"/>
  <c r="L372" i="3"/>
  <c r="L371" i="3"/>
  <c r="L370" i="3"/>
  <c r="L369" i="3"/>
  <c r="L368" i="3"/>
  <c r="L367" i="3"/>
  <c r="L366" i="3"/>
  <c r="L365" i="3"/>
  <c r="L364" i="3"/>
  <c r="L363" i="3"/>
  <c r="L362" i="3"/>
  <c r="L361" i="3"/>
  <c r="L360" i="3"/>
  <c r="L359" i="3"/>
  <c r="L358" i="3"/>
  <c r="L357" i="3"/>
  <c r="L356" i="3"/>
  <c r="L355" i="3"/>
  <c r="L354" i="3"/>
  <c r="L353" i="3"/>
  <c r="L352" i="3"/>
  <c r="L351" i="3"/>
  <c r="L350" i="3"/>
  <c r="L349" i="3"/>
  <c r="L348" i="3"/>
  <c r="L347" i="3"/>
  <c r="L346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L279" i="3"/>
  <c r="L278" i="3"/>
  <c r="L277" i="3"/>
  <c r="L276" i="3"/>
  <c r="L275" i="3"/>
  <c r="L274" i="3"/>
  <c r="L273" i="3"/>
  <c r="L272" i="3"/>
  <c r="L271" i="3"/>
  <c r="L270" i="3"/>
  <c r="L269" i="3"/>
  <c r="L268" i="3"/>
  <c r="L267" i="3"/>
  <c r="L266" i="3"/>
  <c r="L265" i="3"/>
  <c r="L264" i="3"/>
  <c r="L263" i="3"/>
  <c r="L262" i="3"/>
  <c r="L261" i="3"/>
  <c r="L260" i="3"/>
  <c r="L259" i="3"/>
  <c r="L258" i="3"/>
  <c r="L257" i="3"/>
  <c r="L256" i="3"/>
  <c r="L255" i="3"/>
  <c r="L254" i="3"/>
  <c r="L253" i="3"/>
  <c r="L252" i="3"/>
  <c r="L251" i="3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J8" i="2"/>
  <c r="H8" i="2"/>
  <c r="F8" i="2"/>
  <c r="F7" i="2"/>
  <c r="N1010" i="3"/>
  <c r="N1002" i="3"/>
  <c r="N994" i="3"/>
  <c r="N986" i="3"/>
  <c r="N978" i="3"/>
  <c r="N970" i="3"/>
  <c r="N962" i="3"/>
  <c r="N954" i="3"/>
  <c r="N946" i="3"/>
  <c r="N938" i="3"/>
  <c r="N930" i="3"/>
  <c r="N922" i="3"/>
  <c r="N914" i="3"/>
  <c r="N906" i="3"/>
  <c r="N898" i="3"/>
  <c r="N890" i="3"/>
  <c r="N882" i="3"/>
  <c r="N874" i="3"/>
  <c r="N866" i="3"/>
  <c r="N858" i="3"/>
  <c r="N850" i="3"/>
  <c r="N842" i="3"/>
  <c r="N834" i="3"/>
  <c r="N826" i="3"/>
  <c r="N818" i="3"/>
  <c r="N810" i="3"/>
  <c r="N802" i="3"/>
  <c r="N794" i="3"/>
  <c r="N786" i="3"/>
  <c r="N778" i="3"/>
  <c r="N770" i="3"/>
  <c r="N762" i="3"/>
  <c r="N754" i="3"/>
  <c r="N746" i="3"/>
  <c r="N738" i="3"/>
  <c r="N730" i="3"/>
  <c r="N722" i="3"/>
  <c r="N714" i="3"/>
  <c r="N706" i="3"/>
  <c r="N698" i="3"/>
  <c r="N690" i="3"/>
  <c r="N682" i="3"/>
  <c r="N674" i="3"/>
  <c r="N666" i="3"/>
  <c r="N658" i="3"/>
  <c r="N650" i="3"/>
  <c r="N642" i="3"/>
  <c r="N634" i="3"/>
  <c r="N626" i="3"/>
  <c r="N618" i="3"/>
  <c r="N610" i="3"/>
  <c r="N602" i="3"/>
  <c r="N594" i="3"/>
  <c r="N586" i="3"/>
  <c r="N578" i="3"/>
  <c r="N570" i="3"/>
  <c r="N562" i="3"/>
  <c r="N554" i="3"/>
  <c r="N546" i="3"/>
  <c r="N538" i="3"/>
  <c r="N530" i="3"/>
  <c r="N522" i="3"/>
  <c r="N514" i="3"/>
  <c r="N506" i="3"/>
  <c r="N498" i="3"/>
  <c r="N490" i="3"/>
  <c r="N482" i="3"/>
  <c r="N474" i="3"/>
  <c r="N466" i="3"/>
  <c r="N458" i="3"/>
  <c r="N450" i="3"/>
  <c r="N442" i="3"/>
  <c r="N434" i="3"/>
  <c r="N426" i="3"/>
  <c r="N418" i="3"/>
  <c r="N410" i="3"/>
  <c r="N402" i="3"/>
  <c r="N394" i="3"/>
  <c r="N386" i="3"/>
  <c r="N378" i="3"/>
  <c r="N370" i="3"/>
  <c r="N362" i="3"/>
  <c r="N354" i="3"/>
  <c r="N346" i="3"/>
  <c r="N338" i="3"/>
  <c r="N330" i="3"/>
  <c r="N322" i="3"/>
  <c r="N314" i="3"/>
  <c r="N306" i="3"/>
  <c r="N298" i="3"/>
  <c r="N290" i="3"/>
  <c r="N282" i="3"/>
  <c r="N274" i="3"/>
  <c r="N266" i="3"/>
  <c r="N258" i="3"/>
  <c r="N250" i="3"/>
  <c r="N242" i="3"/>
  <c r="N234" i="3"/>
  <c r="N226" i="3"/>
  <c r="N218" i="3"/>
  <c r="N210" i="3"/>
  <c r="N202" i="3"/>
  <c r="N186" i="3"/>
  <c r="N178" i="3"/>
  <c r="N170" i="3"/>
  <c r="N162" i="3"/>
  <c r="N154" i="3"/>
  <c r="N146" i="3"/>
  <c r="N138" i="3"/>
  <c r="N130" i="3"/>
  <c r="N122" i="3"/>
  <c r="N106" i="3"/>
  <c r="N1009" i="3"/>
  <c r="N1001" i="3"/>
  <c r="N993" i="3"/>
  <c r="N985" i="3"/>
  <c r="N977" i="3"/>
  <c r="N969" i="3"/>
  <c r="N961" i="3"/>
  <c r="N953" i="3"/>
  <c r="N945" i="3"/>
  <c r="N937" i="3"/>
  <c r="N929" i="3"/>
  <c r="N921" i="3"/>
  <c r="N913" i="3"/>
  <c r="N905" i="3"/>
  <c r="N897" i="3"/>
  <c r="N889" i="3"/>
  <c r="N881" i="3"/>
  <c r="N873" i="3"/>
  <c r="N865" i="3"/>
  <c r="N857" i="3"/>
  <c r="N849" i="3"/>
  <c r="N841" i="3"/>
  <c r="N833" i="3"/>
  <c r="N825" i="3"/>
  <c r="N817" i="3"/>
  <c r="N809" i="3"/>
  <c r="N801" i="3"/>
  <c r="N793" i="3"/>
  <c r="N785" i="3"/>
  <c r="N777" i="3"/>
  <c r="N769" i="3"/>
  <c r="N761" i="3"/>
  <c r="N753" i="3"/>
  <c r="N745" i="3"/>
  <c r="N737" i="3"/>
  <c r="N729" i="3"/>
  <c r="N721" i="3"/>
  <c r="N713" i="3"/>
  <c r="N705" i="3"/>
  <c r="N697" i="3"/>
  <c r="N689" i="3"/>
  <c r="N681" i="3"/>
  <c r="N673" i="3"/>
  <c r="N665" i="3"/>
  <c r="N657" i="3"/>
  <c r="N649" i="3"/>
  <c r="N641" i="3"/>
  <c r="N633" i="3"/>
  <c r="N625" i="3"/>
  <c r="N617" i="3"/>
  <c r="N609" i="3"/>
  <c r="N601" i="3"/>
  <c r="N593" i="3"/>
  <c r="N585" i="3"/>
  <c r="N577" i="3"/>
  <c r="N569" i="3"/>
  <c r="N561" i="3"/>
  <c r="N553" i="3"/>
  <c r="N545" i="3"/>
  <c r="N537" i="3"/>
  <c r="N529" i="3"/>
  <c r="N521" i="3"/>
  <c r="N513" i="3"/>
  <c r="N505" i="3"/>
  <c r="N497" i="3"/>
  <c r="N489" i="3"/>
  <c r="N481" i="3"/>
  <c r="N473" i="3"/>
  <c r="N465" i="3"/>
  <c r="N457" i="3"/>
  <c r="N449" i="3"/>
  <c r="N441" i="3"/>
  <c r="N433" i="3"/>
  <c r="N425" i="3"/>
  <c r="N417" i="3"/>
  <c r="N409" i="3"/>
  <c r="N401" i="3"/>
  <c r="N393" i="3"/>
  <c r="N385" i="3"/>
  <c r="N377" i="3"/>
  <c r="N369" i="3"/>
  <c r="N361" i="3"/>
  <c r="N353" i="3"/>
  <c r="N345" i="3"/>
  <c r="N337" i="3"/>
  <c r="N329" i="3"/>
  <c r="N321" i="3"/>
  <c r="N313" i="3"/>
  <c r="N305" i="3"/>
  <c r="N297" i="3"/>
  <c r="N289" i="3"/>
  <c r="N281" i="3"/>
  <c r="N273" i="3"/>
  <c r="N265" i="3"/>
  <c r="N257" i="3"/>
  <c r="N249" i="3"/>
  <c r="N241" i="3"/>
  <c r="N233" i="3"/>
  <c r="N225" i="3"/>
  <c r="N217" i="3"/>
  <c r="N209" i="3"/>
  <c r="N201" i="3"/>
  <c r="N193" i="3"/>
  <c r="N185" i="3"/>
  <c r="N177" i="3"/>
  <c r="N169" i="3"/>
  <c r="N161" i="3"/>
  <c r="N153" i="3"/>
  <c r="N145" i="3"/>
  <c r="N137" i="3"/>
  <c r="N1008" i="3"/>
  <c r="N1000" i="3"/>
  <c r="N992" i="3"/>
  <c r="N984" i="3"/>
  <c r="N976" i="3"/>
  <c r="N968" i="3"/>
  <c r="N960" i="3"/>
  <c r="N952" i="3"/>
  <c r="N944" i="3"/>
  <c r="N936" i="3"/>
  <c r="N928" i="3"/>
  <c r="N920" i="3"/>
  <c r="N912" i="3"/>
  <c r="N904" i="3"/>
  <c r="N896" i="3"/>
  <c r="N888" i="3"/>
  <c r="N880" i="3"/>
  <c r="N872" i="3"/>
  <c r="N864" i="3"/>
  <c r="N856" i="3"/>
  <c r="N848" i="3"/>
  <c r="N840" i="3"/>
  <c r="N832" i="3"/>
  <c r="N824" i="3"/>
  <c r="N816" i="3"/>
  <c r="N808" i="3"/>
  <c r="N800" i="3"/>
  <c r="N792" i="3"/>
  <c r="N784" i="3"/>
  <c r="N776" i="3"/>
  <c r="N768" i="3"/>
  <c r="N760" i="3"/>
  <c r="N752" i="3"/>
  <c r="N744" i="3"/>
  <c r="N736" i="3"/>
  <c r="N728" i="3"/>
  <c r="N720" i="3"/>
  <c r="N712" i="3"/>
  <c r="N704" i="3"/>
  <c r="N696" i="3"/>
  <c r="N688" i="3"/>
  <c r="N680" i="3"/>
  <c r="N672" i="3"/>
  <c r="N664" i="3"/>
  <c r="N656" i="3"/>
  <c r="N648" i="3"/>
  <c r="N640" i="3"/>
  <c r="N632" i="3"/>
  <c r="N624" i="3"/>
  <c r="N616" i="3"/>
  <c r="N608" i="3"/>
  <c r="N600" i="3"/>
  <c r="N592" i="3"/>
  <c r="N584" i="3"/>
  <c r="N576" i="3"/>
  <c r="N568" i="3"/>
  <c r="N560" i="3"/>
  <c r="N552" i="3"/>
  <c r="N544" i="3"/>
  <c r="N536" i="3"/>
  <c r="N528" i="3"/>
  <c r="N520" i="3"/>
  <c r="N512" i="3"/>
  <c r="N504" i="3"/>
  <c r="N496" i="3"/>
  <c r="N488" i="3"/>
  <c r="N480" i="3"/>
  <c r="N472" i="3"/>
  <c r="N464" i="3"/>
  <c r="N456" i="3"/>
  <c r="N448" i="3"/>
  <c r="N440" i="3"/>
  <c r="N432" i="3"/>
  <c r="N424" i="3"/>
  <c r="N416" i="3"/>
  <c r="N408" i="3"/>
  <c r="N400" i="3"/>
  <c r="N392" i="3"/>
  <c r="N384" i="3"/>
  <c r="N376" i="3"/>
  <c r="N368" i="3"/>
  <c r="N360" i="3"/>
  <c r="N352" i="3"/>
  <c r="N344" i="3"/>
  <c r="N336" i="3"/>
  <c r="N328" i="3"/>
  <c r="N320" i="3"/>
  <c r="N312" i="3"/>
  <c r="N304" i="3"/>
  <c r="N296" i="3"/>
  <c r="N288" i="3"/>
  <c r="N280" i="3"/>
  <c r="N272" i="3"/>
  <c r="N264" i="3"/>
  <c r="N256" i="3"/>
  <c r="N248" i="3"/>
  <c r="N240" i="3"/>
  <c r="N232" i="3"/>
  <c r="N224" i="3"/>
  <c r="N216" i="3"/>
  <c r="N208" i="3"/>
  <c r="N200" i="3"/>
  <c r="N192" i="3"/>
  <c r="N184" i="3"/>
  <c r="N176" i="3"/>
  <c r="N168" i="3"/>
  <c r="N160" i="3"/>
  <c r="N152" i="3"/>
  <c r="N144" i="3"/>
  <c r="N136" i="3"/>
  <c r="N128" i="3"/>
  <c r="N1007" i="3"/>
  <c r="N999" i="3"/>
  <c r="N991" i="3"/>
  <c r="N983" i="3"/>
  <c r="N975" i="3"/>
  <c r="N967" i="3"/>
  <c r="N959" i="3"/>
  <c r="N951" i="3"/>
  <c r="N943" i="3"/>
  <c r="N935" i="3"/>
  <c r="N927" i="3"/>
  <c r="N919" i="3"/>
  <c r="N911" i="3"/>
  <c r="N903" i="3"/>
  <c r="N895" i="3"/>
  <c r="N887" i="3"/>
  <c r="N879" i="3"/>
  <c r="N871" i="3"/>
  <c r="N863" i="3"/>
  <c r="N855" i="3"/>
  <c r="N847" i="3"/>
  <c r="N839" i="3"/>
  <c r="N831" i="3"/>
  <c r="N823" i="3"/>
  <c r="N815" i="3"/>
  <c r="N807" i="3"/>
  <c r="N799" i="3"/>
  <c r="N791" i="3"/>
  <c r="N783" i="3"/>
  <c r="N775" i="3"/>
  <c r="N767" i="3"/>
  <c r="N759" i="3"/>
  <c r="N751" i="3"/>
  <c r="N743" i="3"/>
  <c r="N735" i="3"/>
  <c r="N727" i="3"/>
  <c r="N719" i="3"/>
  <c r="N711" i="3"/>
  <c r="N703" i="3"/>
  <c r="N695" i="3"/>
  <c r="N687" i="3"/>
  <c r="N679" i="3"/>
  <c r="N671" i="3"/>
  <c r="N663" i="3"/>
  <c r="N655" i="3"/>
  <c r="N647" i="3"/>
  <c r="N639" i="3"/>
  <c r="N631" i="3"/>
  <c r="N623" i="3"/>
  <c r="N615" i="3"/>
  <c r="N607" i="3"/>
  <c r="N599" i="3"/>
  <c r="N591" i="3"/>
  <c r="N583" i="3"/>
  <c r="N575" i="3"/>
  <c r="N567" i="3"/>
  <c r="N559" i="3"/>
  <c r="N551" i="3"/>
  <c r="N543" i="3"/>
  <c r="N535" i="3"/>
  <c r="N527" i="3"/>
  <c r="N519" i="3"/>
  <c r="N511" i="3"/>
  <c r="N503" i="3"/>
  <c r="N495" i="3"/>
  <c r="N487" i="3"/>
  <c r="N479" i="3"/>
  <c r="N471" i="3"/>
  <c r="N463" i="3"/>
  <c r="N455" i="3"/>
  <c r="N447" i="3"/>
  <c r="N439" i="3"/>
  <c r="N431" i="3"/>
  <c r="N423" i="3"/>
  <c r="N415" i="3"/>
  <c r="N407" i="3"/>
  <c r="N399" i="3"/>
  <c r="N391" i="3"/>
  <c r="N383" i="3"/>
  <c r="N375" i="3"/>
  <c r="N367" i="3"/>
  <c r="N359" i="3"/>
  <c r="N351" i="3"/>
  <c r="N343" i="3"/>
  <c r="N335" i="3"/>
  <c r="N327" i="3"/>
  <c r="N319" i="3"/>
  <c r="N311" i="3"/>
  <c r="N303" i="3"/>
  <c r="N295" i="3"/>
  <c r="N287" i="3"/>
  <c r="N279" i="3"/>
  <c r="N271" i="3"/>
  <c r="N263" i="3"/>
  <c r="N255" i="3"/>
  <c r="N247" i="3"/>
  <c r="N239" i="3"/>
  <c r="N231" i="3"/>
  <c r="N223" i="3"/>
  <c r="N215" i="3"/>
  <c r="N207" i="3"/>
  <c r="N199" i="3"/>
  <c r="N191" i="3"/>
  <c r="N183" i="3"/>
  <c r="N175" i="3"/>
  <c r="N167" i="3"/>
  <c r="N159" i="3"/>
  <c r="N1006" i="3"/>
  <c r="N998" i="3"/>
  <c r="N990" i="3"/>
  <c r="N982" i="3"/>
  <c r="N974" i="3"/>
  <c r="N966" i="3"/>
  <c r="N958" i="3"/>
  <c r="N950" i="3"/>
  <c r="N942" i="3"/>
  <c r="N934" i="3"/>
  <c r="N926" i="3"/>
  <c r="N918" i="3"/>
  <c r="N910" i="3"/>
  <c r="N902" i="3"/>
  <c r="N894" i="3"/>
  <c r="N886" i="3"/>
  <c r="N878" i="3"/>
  <c r="N870" i="3"/>
  <c r="N862" i="3"/>
  <c r="N854" i="3"/>
  <c r="N846" i="3"/>
  <c r="N838" i="3"/>
  <c r="N830" i="3"/>
  <c r="N822" i="3"/>
  <c r="N814" i="3"/>
  <c r="N806" i="3"/>
  <c r="N798" i="3"/>
  <c r="N790" i="3"/>
  <c r="N782" i="3"/>
  <c r="N774" i="3"/>
  <c r="N766" i="3"/>
  <c r="N758" i="3"/>
  <c r="N750" i="3"/>
  <c r="N742" i="3"/>
  <c r="N734" i="3"/>
  <c r="N726" i="3"/>
  <c r="N718" i="3"/>
  <c r="N710" i="3"/>
  <c r="N702" i="3"/>
  <c r="N694" i="3"/>
  <c r="N686" i="3"/>
  <c r="N678" i="3"/>
  <c r="N670" i="3"/>
  <c r="N662" i="3"/>
  <c r="N654" i="3"/>
  <c r="N646" i="3"/>
  <c r="N638" i="3"/>
  <c r="N630" i="3"/>
  <c r="N622" i="3"/>
  <c r="N614" i="3"/>
  <c r="N606" i="3"/>
  <c r="N598" i="3"/>
  <c r="N590" i="3"/>
  <c r="N582" i="3"/>
  <c r="N574" i="3"/>
  <c r="N566" i="3"/>
  <c r="N558" i="3"/>
  <c r="N550" i="3"/>
  <c r="N542" i="3"/>
  <c r="N534" i="3"/>
  <c r="N526" i="3"/>
  <c r="N518" i="3"/>
  <c r="N510" i="3"/>
  <c r="N502" i="3"/>
  <c r="N494" i="3"/>
  <c r="N486" i="3"/>
  <c r="N478" i="3"/>
  <c r="N470" i="3"/>
  <c r="N462" i="3"/>
  <c r="N454" i="3"/>
  <c r="N446" i="3"/>
  <c r="N438" i="3"/>
  <c r="N430" i="3"/>
  <c r="N422" i="3"/>
  <c r="N414" i="3"/>
  <c r="N406" i="3"/>
  <c r="N398" i="3"/>
  <c r="N390" i="3"/>
  <c r="N382" i="3"/>
  <c r="N374" i="3"/>
  <c r="N366" i="3"/>
  <c r="N358" i="3"/>
  <c r="N350" i="3"/>
  <c r="N342" i="3"/>
  <c r="N334" i="3"/>
  <c r="N326" i="3"/>
  <c r="N318" i="3"/>
  <c r="N310" i="3"/>
  <c r="N302" i="3"/>
  <c r="N294" i="3"/>
  <c r="N286" i="3"/>
  <c r="N278" i="3"/>
  <c r="N270" i="3"/>
  <c r="N262" i="3"/>
  <c r="N254" i="3"/>
  <c r="N246" i="3"/>
  <c r="N238" i="3"/>
  <c r="N230" i="3"/>
  <c r="N222" i="3"/>
  <c r="N214" i="3"/>
  <c r="N206" i="3"/>
  <c r="N198" i="3"/>
  <c r="N190" i="3"/>
  <c r="N182" i="3"/>
  <c r="N174" i="3"/>
  <c r="N166" i="3"/>
  <c r="N158" i="3"/>
  <c r="N150" i="3"/>
  <c r="N142" i="3"/>
  <c r="N134" i="3"/>
  <c r="N126" i="3"/>
  <c r="N118" i="3"/>
  <c r="N110" i="3"/>
  <c r="N102" i="3"/>
  <c r="N94" i="3"/>
  <c r="N86" i="3"/>
  <c r="N78" i="3"/>
  <c r="N70" i="3"/>
  <c r="N62" i="3"/>
  <c r="N54" i="3"/>
  <c r="N46" i="3"/>
  <c r="N38" i="3"/>
  <c r="N30" i="3"/>
  <c r="N22" i="3"/>
  <c r="N14" i="3"/>
  <c r="N213" i="3"/>
  <c r="N133" i="3"/>
  <c r="N1005" i="3"/>
  <c r="N997" i="3"/>
  <c r="N989" i="3"/>
  <c r="N981" i="3"/>
  <c r="N973" i="3"/>
  <c r="N965" i="3"/>
  <c r="N957" i="3"/>
  <c r="N949" i="3"/>
  <c r="N941" i="3"/>
  <c r="N933" i="3"/>
  <c r="N925" i="3"/>
  <c r="N917" i="3"/>
  <c r="N909" i="3"/>
  <c r="N901" i="3"/>
  <c r="N893" i="3"/>
  <c r="N885" i="3"/>
  <c r="N877" i="3"/>
  <c r="N869" i="3"/>
  <c r="N861" i="3"/>
  <c r="N853" i="3"/>
  <c r="N845" i="3"/>
  <c r="N837" i="3"/>
  <c r="N829" i="3"/>
  <c r="N821" i="3"/>
  <c r="N813" i="3"/>
  <c r="N805" i="3"/>
  <c r="N797" i="3"/>
  <c r="N789" i="3"/>
  <c r="N781" i="3"/>
  <c r="N773" i="3"/>
  <c r="N765" i="3"/>
  <c r="N757" i="3"/>
  <c r="N749" i="3"/>
  <c r="N741" i="3"/>
  <c r="N733" i="3"/>
  <c r="N725" i="3"/>
  <c r="N717" i="3"/>
  <c r="N709" i="3"/>
  <c r="N701" i="3"/>
  <c r="N693" i="3"/>
  <c r="N685" i="3"/>
  <c r="N677" i="3"/>
  <c r="N669" i="3"/>
  <c r="N661" i="3"/>
  <c r="N653" i="3"/>
  <c r="N645" i="3"/>
  <c r="N637" i="3"/>
  <c r="N629" i="3"/>
  <c r="N621" i="3"/>
  <c r="N613" i="3"/>
  <c r="N605" i="3"/>
  <c r="N597" i="3"/>
  <c r="N589" i="3"/>
  <c r="N581" i="3"/>
  <c r="N573" i="3"/>
  <c r="N565" i="3"/>
  <c r="N557" i="3"/>
  <c r="N549" i="3"/>
  <c r="N541" i="3"/>
  <c r="N533" i="3"/>
  <c r="N525" i="3"/>
  <c r="N517" i="3"/>
  <c r="N509" i="3"/>
  <c r="N501" i="3"/>
  <c r="N493" i="3"/>
  <c r="N485" i="3"/>
  <c r="N477" i="3"/>
  <c r="N469" i="3"/>
  <c r="N461" i="3"/>
  <c r="N453" i="3"/>
  <c r="N445" i="3"/>
  <c r="N437" i="3"/>
  <c r="N429" i="3"/>
  <c r="N421" i="3"/>
  <c r="N413" i="3"/>
  <c r="N405" i="3"/>
  <c r="N397" i="3"/>
  <c r="N389" i="3"/>
  <c r="N381" i="3"/>
  <c r="N373" i="3"/>
  <c r="N365" i="3"/>
  <c r="N357" i="3"/>
  <c r="N349" i="3"/>
  <c r="N341" i="3"/>
  <c r="N333" i="3"/>
  <c r="N325" i="3"/>
  <c r="N317" i="3"/>
  <c r="N309" i="3"/>
  <c r="N301" i="3"/>
  <c r="N293" i="3"/>
  <c r="N285" i="3"/>
  <c r="N277" i="3"/>
  <c r="N269" i="3"/>
  <c r="N261" i="3"/>
  <c r="N253" i="3"/>
  <c r="N245" i="3"/>
  <c r="N237" i="3"/>
  <c r="N229" i="3"/>
  <c r="N221" i="3"/>
  <c r="N205" i="3"/>
  <c r="N197" i="3"/>
  <c r="N189" i="3"/>
  <c r="N181" i="3"/>
  <c r="N173" i="3"/>
  <c r="N165" i="3"/>
  <c r="N157" i="3"/>
  <c r="N149" i="3"/>
  <c r="N141" i="3"/>
  <c r="N125" i="3"/>
  <c r="N1004" i="3"/>
  <c r="N996" i="3"/>
  <c r="N988" i="3"/>
  <c r="N980" i="3"/>
  <c r="N972" i="3"/>
  <c r="N964" i="3"/>
  <c r="N956" i="3"/>
  <c r="N948" i="3"/>
  <c r="N940" i="3"/>
  <c r="N932" i="3"/>
  <c r="N924" i="3"/>
  <c r="N916" i="3"/>
  <c r="N908" i="3"/>
  <c r="N900" i="3"/>
  <c r="N892" i="3"/>
  <c r="N884" i="3"/>
  <c r="N876" i="3"/>
  <c r="N868" i="3"/>
  <c r="N860" i="3"/>
  <c r="N852" i="3"/>
  <c r="N844" i="3"/>
  <c r="N836" i="3"/>
  <c r="N828" i="3"/>
  <c r="N820" i="3"/>
  <c r="N812" i="3"/>
  <c r="N804" i="3"/>
  <c r="N796" i="3"/>
  <c r="N788" i="3"/>
  <c r="N780" i="3"/>
  <c r="N772" i="3"/>
  <c r="N764" i="3"/>
  <c r="N756" i="3"/>
  <c r="N748" i="3"/>
  <c r="N740" i="3"/>
  <c r="N732" i="3"/>
  <c r="N724" i="3"/>
  <c r="N716" i="3"/>
  <c r="N708" i="3"/>
  <c r="N700" i="3"/>
  <c r="N692" i="3"/>
  <c r="N684" i="3"/>
  <c r="N676" i="3"/>
  <c r="N668" i="3"/>
  <c r="N660" i="3"/>
  <c r="N652" i="3"/>
  <c r="N644" i="3"/>
  <c r="N636" i="3"/>
  <c r="N628" i="3"/>
  <c r="N620" i="3"/>
  <c r="N612" i="3"/>
  <c r="N604" i="3"/>
  <c r="N596" i="3"/>
  <c r="N588" i="3"/>
  <c r="N580" i="3"/>
  <c r="N572" i="3"/>
  <c r="N564" i="3"/>
  <c r="N556" i="3"/>
  <c r="N548" i="3"/>
  <c r="N540" i="3"/>
  <c r="N532" i="3"/>
  <c r="N524" i="3"/>
  <c r="N516" i="3"/>
  <c r="N508" i="3"/>
  <c r="N500" i="3"/>
  <c r="N492" i="3"/>
  <c r="N484" i="3"/>
  <c r="N476" i="3"/>
  <c r="N468" i="3"/>
  <c r="N460" i="3"/>
  <c r="N452" i="3"/>
  <c r="N444" i="3"/>
  <c r="N436" i="3"/>
  <c r="N428" i="3"/>
  <c r="N420" i="3"/>
  <c r="N412" i="3"/>
  <c r="N404" i="3"/>
  <c r="N396" i="3"/>
  <c r="N388" i="3"/>
  <c r="N380" i="3"/>
  <c r="N372" i="3"/>
  <c r="N364" i="3"/>
  <c r="N356" i="3"/>
  <c r="N348" i="3"/>
  <c r="N340" i="3"/>
  <c r="N332" i="3"/>
  <c r="N324" i="3"/>
  <c r="N316" i="3"/>
  <c r="N308" i="3"/>
  <c r="N300" i="3"/>
  <c r="N292" i="3"/>
  <c r="N284" i="3"/>
  <c r="N276" i="3"/>
  <c r="N268" i="3"/>
  <c r="N260" i="3"/>
  <c r="N252" i="3"/>
  <c r="N244" i="3"/>
  <c r="N236" i="3"/>
  <c r="N228" i="3"/>
  <c r="N220" i="3"/>
  <c r="N212" i="3"/>
  <c r="N204" i="3"/>
  <c r="N196" i="3"/>
  <c r="N188" i="3"/>
  <c r="N180" i="3"/>
  <c r="N172" i="3"/>
  <c r="N164" i="3"/>
  <c r="N156" i="3"/>
  <c r="N148" i="3"/>
  <c r="N140" i="3"/>
  <c r="N132" i="3"/>
  <c r="N124" i="3"/>
  <c r="N116" i="3"/>
  <c r="N1003" i="3"/>
  <c r="N995" i="3"/>
  <c r="N987" i="3"/>
  <c r="N979" i="3"/>
  <c r="N971" i="3"/>
  <c r="N963" i="3"/>
  <c r="N955" i="3"/>
  <c r="N947" i="3"/>
  <c r="N939" i="3"/>
  <c r="N931" i="3"/>
  <c r="N923" i="3"/>
  <c r="N915" i="3"/>
  <c r="N907" i="3"/>
  <c r="N899" i="3"/>
  <c r="N891" i="3"/>
  <c r="N883" i="3"/>
  <c r="N875" i="3"/>
  <c r="N867" i="3"/>
  <c r="N859" i="3"/>
  <c r="N851" i="3"/>
  <c r="N843" i="3"/>
  <c r="N835" i="3"/>
  <c r="N827" i="3"/>
  <c r="N819" i="3"/>
  <c r="N811" i="3"/>
  <c r="N803" i="3"/>
  <c r="N795" i="3"/>
  <c r="N787" i="3"/>
  <c r="N779" i="3"/>
  <c r="N771" i="3"/>
  <c r="N763" i="3"/>
  <c r="N755" i="3"/>
  <c r="N747" i="3"/>
  <c r="N739" i="3"/>
  <c r="N731" i="3"/>
  <c r="N723" i="3"/>
  <c r="N715" i="3"/>
  <c r="N707" i="3"/>
  <c r="N699" i="3"/>
  <c r="N691" i="3"/>
  <c r="N683" i="3"/>
  <c r="N675" i="3"/>
  <c r="N667" i="3"/>
  <c r="N659" i="3"/>
  <c r="N651" i="3"/>
  <c r="N643" i="3"/>
  <c r="N635" i="3"/>
  <c r="N627" i="3"/>
  <c r="N619" i="3"/>
  <c r="N611" i="3"/>
  <c r="N603" i="3"/>
  <c r="N595" i="3"/>
  <c r="N587" i="3"/>
  <c r="N579" i="3"/>
  <c r="N571" i="3"/>
  <c r="N563" i="3"/>
  <c r="N555" i="3"/>
  <c r="N547" i="3"/>
  <c r="N539" i="3"/>
  <c r="N531" i="3"/>
  <c r="N523" i="3"/>
  <c r="N515" i="3"/>
  <c r="N507" i="3"/>
  <c r="N499" i="3"/>
  <c r="N491" i="3"/>
  <c r="N483" i="3"/>
  <c r="N475" i="3"/>
  <c r="N467" i="3"/>
  <c r="N459" i="3"/>
  <c r="N451" i="3"/>
  <c r="N443" i="3"/>
  <c r="N435" i="3"/>
  <c r="N427" i="3"/>
  <c r="N419" i="3"/>
  <c r="N411" i="3"/>
  <c r="N403" i="3"/>
  <c r="N395" i="3"/>
  <c r="N387" i="3"/>
  <c r="N379" i="3"/>
  <c r="N371" i="3"/>
  <c r="N363" i="3"/>
  <c r="N355" i="3"/>
  <c r="N347" i="3"/>
  <c r="N339" i="3"/>
  <c r="N331" i="3"/>
  <c r="N323" i="3"/>
  <c r="N315" i="3"/>
  <c r="N307" i="3"/>
  <c r="N299" i="3"/>
  <c r="N291" i="3"/>
  <c r="N283" i="3"/>
  <c r="N275" i="3"/>
  <c r="N267" i="3"/>
  <c r="N259" i="3"/>
  <c r="N251" i="3"/>
  <c r="N243" i="3"/>
  <c r="N235" i="3"/>
  <c r="N227" i="3"/>
  <c r="N219" i="3"/>
  <c r="N211" i="3"/>
  <c r="N203" i="3"/>
  <c r="N195" i="3"/>
  <c r="N187" i="3"/>
  <c r="N179" i="3"/>
  <c r="N171" i="3"/>
  <c r="N163" i="3"/>
  <c r="N155" i="3"/>
  <c r="N147" i="3"/>
  <c r="N139" i="3"/>
  <c r="N131" i="3"/>
  <c r="N123" i="3"/>
  <c r="N115" i="3"/>
  <c r="N107" i="3"/>
  <c r="N99" i="3"/>
  <c r="N91" i="3"/>
  <c r="N83" i="3"/>
  <c r="N75" i="3"/>
  <c r="N67" i="3"/>
  <c r="N59" i="3"/>
  <c r="N51" i="3"/>
  <c r="N43" i="3"/>
  <c r="N35" i="3"/>
  <c r="N27" i="3"/>
  <c r="N19" i="3"/>
  <c r="N11" i="3"/>
  <c r="N194" i="3"/>
  <c r="N114" i="3"/>
  <c r="N117" i="3"/>
  <c r="N92" i="3"/>
  <c r="N71" i="3"/>
  <c r="N49" i="3"/>
  <c r="N28" i="3"/>
  <c r="N143" i="3"/>
  <c r="N113" i="3"/>
  <c r="N101" i="3"/>
  <c r="N90" i="3"/>
  <c r="N80" i="3"/>
  <c r="N69" i="3"/>
  <c r="N58" i="3"/>
  <c r="N48" i="3"/>
  <c r="N37" i="3"/>
  <c r="N26" i="3"/>
  <c r="N16" i="3"/>
  <c r="N135" i="3"/>
  <c r="N112" i="3"/>
  <c r="N100" i="3"/>
  <c r="N89" i="3"/>
  <c r="N79" i="3"/>
  <c r="N68" i="3"/>
  <c r="N57" i="3"/>
  <c r="N47" i="3"/>
  <c r="N36" i="3"/>
  <c r="N25" i="3"/>
  <c r="N15" i="3"/>
  <c r="N129" i="3"/>
  <c r="N111" i="3"/>
  <c r="N98" i="3"/>
  <c r="N88" i="3"/>
  <c r="N77" i="3"/>
  <c r="N66" i="3"/>
  <c r="N56" i="3"/>
  <c r="N45" i="3"/>
  <c r="N34" i="3"/>
  <c r="N24" i="3"/>
  <c r="N13" i="3"/>
  <c r="N127" i="3"/>
  <c r="N109" i="3"/>
  <c r="N97" i="3"/>
  <c r="N87" i="3"/>
  <c r="N76" i="3"/>
  <c r="N65" i="3"/>
  <c r="N55" i="3"/>
  <c r="N44" i="3"/>
  <c r="N33" i="3"/>
  <c r="N23" i="3"/>
  <c r="N12" i="3"/>
  <c r="N121" i="3"/>
  <c r="N108" i="3"/>
  <c r="N96" i="3"/>
  <c r="N85" i="3"/>
  <c r="N74" i="3"/>
  <c r="N64" i="3"/>
  <c r="N53" i="3"/>
  <c r="N42" i="3"/>
  <c r="N32" i="3"/>
  <c r="N21" i="3"/>
  <c r="N120" i="3"/>
  <c r="N95" i="3"/>
  <c r="N73" i="3"/>
  <c r="N52" i="3"/>
  <c r="N41" i="3"/>
  <c r="N20" i="3"/>
  <c r="N105" i="3"/>
  <c r="N84" i="3"/>
  <c r="N63" i="3"/>
  <c r="N31" i="3"/>
  <c r="N119" i="3"/>
  <c r="N104" i="3"/>
  <c r="N93" i="3"/>
  <c r="N82" i="3"/>
  <c r="N72" i="3"/>
  <c r="N61" i="3"/>
  <c r="N50" i="3"/>
  <c r="N40" i="3"/>
  <c r="N29" i="3"/>
  <c r="N18" i="3"/>
  <c r="N151" i="3"/>
  <c r="N103" i="3"/>
  <c r="N81" i="3"/>
  <c r="N60" i="3"/>
  <c r="N39" i="3"/>
  <c r="N17" i="3"/>
  <c r="K1010" i="3"/>
  <c r="K1002" i="3"/>
  <c r="K994" i="3"/>
  <c r="K986" i="3"/>
  <c r="K978" i="3"/>
  <c r="K970" i="3"/>
  <c r="K962" i="3"/>
  <c r="K954" i="3"/>
  <c r="K946" i="3"/>
  <c r="K938" i="3"/>
  <c r="K930" i="3"/>
  <c r="K922" i="3"/>
  <c r="K914" i="3"/>
  <c r="K906" i="3"/>
  <c r="K898" i="3"/>
  <c r="K890" i="3"/>
  <c r="K882" i="3"/>
  <c r="K874" i="3"/>
  <c r="K866" i="3"/>
  <c r="K858" i="3"/>
  <c r="K850" i="3"/>
  <c r="K842" i="3"/>
  <c r="K834" i="3"/>
  <c r="K826" i="3"/>
  <c r="K818" i="3"/>
  <c r="K810" i="3"/>
  <c r="K802" i="3"/>
  <c r="K794" i="3"/>
  <c r="K786" i="3"/>
  <c r="K778" i="3"/>
  <c r="K770" i="3"/>
  <c r="K762" i="3"/>
  <c r="K754" i="3"/>
  <c r="K746" i="3"/>
  <c r="K738" i="3"/>
  <c r="K730" i="3"/>
  <c r="K722" i="3"/>
  <c r="K714" i="3"/>
  <c r="K706" i="3"/>
  <c r="K698" i="3"/>
  <c r="K690" i="3"/>
  <c r="K682" i="3"/>
  <c r="K674" i="3"/>
  <c r="K666" i="3"/>
  <c r="K658" i="3"/>
  <c r="K650" i="3"/>
  <c r="K642" i="3"/>
  <c r="K634" i="3"/>
  <c r="K626" i="3"/>
  <c r="K618" i="3"/>
  <c r="K610" i="3"/>
  <c r="K602" i="3"/>
  <c r="K594" i="3"/>
  <c r="K586" i="3"/>
  <c r="K578" i="3"/>
  <c r="K570" i="3"/>
  <c r="K562" i="3"/>
  <c r="K554" i="3"/>
  <c r="K546" i="3"/>
  <c r="K538" i="3"/>
  <c r="K530" i="3"/>
  <c r="K522" i="3"/>
  <c r="K514" i="3"/>
  <c r="K506" i="3"/>
  <c r="K498" i="3"/>
  <c r="K490" i="3"/>
  <c r="K482" i="3"/>
  <c r="K474" i="3"/>
  <c r="K466" i="3"/>
  <c r="K458" i="3"/>
  <c r="K450" i="3"/>
  <c r="K442" i="3"/>
  <c r="K434" i="3"/>
  <c r="K426" i="3"/>
  <c r="K418" i="3"/>
  <c r="K410" i="3"/>
  <c r="K402" i="3"/>
  <c r="K394" i="3"/>
  <c r="K386" i="3"/>
  <c r="K378" i="3"/>
  <c r="K370" i="3"/>
  <c r="K362" i="3"/>
  <c r="K354" i="3"/>
  <c r="K346" i="3"/>
  <c r="K338" i="3"/>
  <c r="K330" i="3"/>
  <c r="K322" i="3"/>
  <c r="K314" i="3"/>
  <c r="K306" i="3"/>
  <c r="K298" i="3"/>
  <c r="K290" i="3"/>
  <c r="K282" i="3"/>
  <c r="K274" i="3"/>
  <c r="K266" i="3"/>
  <c r="K258" i="3"/>
  <c r="K250" i="3"/>
  <c r="K242" i="3"/>
  <c r="K234" i="3"/>
  <c r="K226" i="3"/>
  <c r="K218" i="3"/>
  <c r="K210" i="3"/>
  <c r="K202" i="3"/>
  <c r="K194" i="3"/>
  <c r="K186" i="3"/>
  <c r="K178" i="3"/>
  <c r="K170" i="3"/>
  <c r="K162" i="3"/>
  <c r="K154" i="3"/>
  <c r="K146" i="3"/>
  <c r="K138" i="3"/>
  <c r="K130" i="3"/>
  <c r="K122" i="3"/>
  <c r="K114" i="3"/>
  <c r="K106" i="3"/>
  <c r="K98" i="3"/>
  <c r="K90" i="3"/>
  <c r="K82" i="3"/>
  <c r="K74" i="3"/>
  <c r="K66" i="3"/>
  <c r="K58" i="3"/>
  <c r="K50" i="3"/>
  <c r="K42" i="3"/>
  <c r="K34" i="3"/>
  <c r="K26" i="3"/>
  <c r="K18" i="3"/>
  <c r="K25" i="3"/>
  <c r="K568" i="3"/>
  <c r="K1009" i="3"/>
  <c r="K1001" i="3"/>
  <c r="K993" i="3"/>
  <c r="K985" i="3"/>
  <c r="K977" i="3"/>
  <c r="K969" i="3"/>
  <c r="K961" i="3"/>
  <c r="K953" i="3"/>
  <c r="K945" i="3"/>
  <c r="K937" i="3"/>
  <c r="K929" i="3"/>
  <c r="K921" i="3"/>
  <c r="K913" i="3"/>
  <c r="K905" i="3"/>
  <c r="K897" i="3"/>
  <c r="K889" i="3"/>
  <c r="K881" i="3"/>
  <c r="K873" i="3"/>
  <c r="K865" i="3"/>
  <c r="K857" i="3"/>
  <c r="K849" i="3"/>
  <c r="K841" i="3"/>
  <c r="K833" i="3"/>
  <c r="K825" i="3"/>
  <c r="K817" i="3"/>
  <c r="K809" i="3"/>
  <c r="K801" i="3"/>
  <c r="K793" i="3"/>
  <c r="K785" i="3"/>
  <c r="K777" i="3"/>
  <c r="K769" i="3"/>
  <c r="K761" i="3"/>
  <c r="K753" i="3"/>
  <c r="K745" i="3"/>
  <c r="K737" i="3"/>
  <c r="K729" i="3"/>
  <c r="K721" i="3"/>
  <c r="K713" i="3"/>
  <c r="K705" i="3"/>
  <c r="K697" i="3"/>
  <c r="K689" i="3"/>
  <c r="K681" i="3"/>
  <c r="K673" i="3"/>
  <c r="K665" i="3"/>
  <c r="K657" i="3"/>
  <c r="K649" i="3"/>
  <c r="K641" i="3"/>
  <c r="K633" i="3"/>
  <c r="K625" i="3"/>
  <c r="K617" i="3"/>
  <c r="K609" i="3"/>
  <c r="K601" i="3"/>
  <c r="K593" i="3"/>
  <c r="K585" i="3"/>
  <c r="K577" i="3"/>
  <c r="K569" i="3"/>
  <c r="K561" i="3"/>
  <c r="K553" i="3"/>
  <c r="K545" i="3"/>
  <c r="K537" i="3"/>
  <c r="K529" i="3"/>
  <c r="K521" i="3"/>
  <c r="K513" i="3"/>
  <c r="K505" i="3"/>
  <c r="K497" i="3"/>
  <c r="K489" i="3"/>
  <c r="K481" i="3"/>
  <c r="K473" i="3"/>
  <c r="K465" i="3"/>
  <c r="K457" i="3"/>
  <c r="K449" i="3"/>
  <c r="K441" i="3"/>
  <c r="K433" i="3"/>
  <c r="K425" i="3"/>
  <c r="K417" i="3"/>
  <c r="K409" i="3"/>
  <c r="K401" i="3"/>
  <c r="K393" i="3"/>
  <c r="K385" i="3"/>
  <c r="K377" i="3"/>
  <c r="K369" i="3"/>
  <c r="K361" i="3"/>
  <c r="K353" i="3"/>
  <c r="K345" i="3"/>
  <c r="K337" i="3"/>
  <c r="K329" i="3"/>
  <c r="K321" i="3"/>
  <c r="K313" i="3"/>
  <c r="K305" i="3"/>
  <c r="K297" i="3"/>
  <c r="K289" i="3"/>
  <c r="K281" i="3"/>
  <c r="K273" i="3"/>
  <c r="K265" i="3"/>
  <c r="K257" i="3"/>
  <c r="K249" i="3"/>
  <c r="K241" i="3"/>
  <c r="K233" i="3"/>
  <c r="K225" i="3"/>
  <c r="K217" i="3"/>
  <c r="K209" i="3"/>
  <c r="K201" i="3"/>
  <c r="K193" i="3"/>
  <c r="K185" i="3"/>
  <c r="K177" i="3"/>
  <c r="K169" i="3"/>
  <c r="K161" i="3"/>
  <c r="K153" i="3"/>
  <c r="K145" i="3"/>
  <c r="K137" i="3"/>
  <c r="K129" i="3"/>
  <c r="K121" i="3"/>
  <c r="K113" i="3"/>
  <c r="K105" i="3"/>
  <c r="K97" i="3"/>
  <c r="K89" i="3"/>
  <c r="K81" i="3"/>
  <c r="K73" i="3"/>
  <c r="K65" i="3"/>
  <c r="K57" i="3"/>
  <c r="K49" i="3"/>
  <c r="K41" i="3"/>
  <c r="K33" i="3"/>
  <c r="K592" i="3"/>
  <c r="K536" i="3"/>
  <c r="K520" i="3"/>
  <c r="K504" i="3"/>
  <c r="K1008" i="3"/>
  <c r="K1000" i="3"/>
  <c r="K992" i="3"/>
  <c r="K984" i="3"/>
  <c r="K976" i="3"/>
  <c r="K968" i="3"/>
  <c r="K960" i="3"/>
  <c r="K952" i="3"/>
  <c r="K944" i="3"/>
  <c r="K936" i="3"/>
  <c r="K928" i="3"/>
  <c r="K920" i="3"/>
  <c r="K912" i="3"/>
  <c r="K904" i="3"/>
  <c r="K896" i="3"/>
  <c r="K888" i="3"/>
  <c r="K880" i="3"/>
  <c r="K872" i="3"/>
  <c r="K864" i="3"/>
  <c r="K856" i="3"/>
  <c r="K848" i="3"/>
  <c r="K840" i="3"/>
  <c r="K832" i="3"/>
  <c r="K824" i="3"/>
  <c r="K816" i="3"/>
  <c r="K808" i="3"/>
  <c r="K800" i="3"/>
  <c r="K792" i="3"/>
  <c r="K784" i="3"/>
  <c r="K776" i="3"/>
  <c r="K768" i="3"/>
  <c r="K760" i="3"/>
  <c r="K752" i="3"/>
  <c r="K744" i="3"/>
  <c r="K736" i="3"/>
  <c r="K728" i="3"/>
  <c r="K720" i="3"/>
  <c r="K712" i="3"/>
  <c r="K704" i="3"/>
  <c r="K696" i="3"/>
  <c r="K688" i="3"/>
  <c r="K680" i="3"/>
  <c r="K672" i="3"/>
  <c r="K664" i="3"/>
  <c r="K656" i="3"/>
  <c r="K648" i="3"/>
  <c r="K640" i="3"/>
  <c r="K632" i="3"/>
  <c r="K624" i="3"/>
  <c r="K616" i="3"/>
  <c r="K608" i="3"/>
  <c r="K600" i="3"/>
  <c r="K584" i="3"/>
  <c r="K576" i="3"/>
  <c r="K560" i="3"/>
  <c r="K544" i="3"/>
  <c r="K528" i="3"/>
  <c r="K512" i="3"/>
  <c r="K1007" i="3"/>
  <c r="K999" i="3"/>
  <c r="K991" i="3"/>
  <c r="K983" i="3"/>
  <c r="K975" i="3"/>
  <c r="K967" i="3"/>
  <c r="K959" i="3"/>
  <c r="K951" i="3"/>
  <c r="K943" i="3"/>
  <c r="K935" i="3"/>
  <c r="K927" i="3"/>
  <c r="K919" i="3"/>
  <c r="K911" i="3"/>
  <c r="K903" i="3"/>
  <c r="K895" i="3"/>
  <c r="K887" i="3"/>
  <c r="K879" i="3"/>
  <c r="K871" i="3"/>
  <c r="K863" i="3"/>
  <c r="K855" i="3"/>
  <c r="K847" i="3"/>
  <c r="K839" i="3"/>
  <c r="K831" i="3"/>
  <c r="K823" i="3"/>
  <c r="K815" i="3"/>
  <c r="K807" i="3"/>
  <c r="K799" i="3"/>
  <c r="K791" i="3"/>
  <c r="K783" i="3"/>
  <c r="K775" i="3"/>
  <c r="K767" i="3"/>
  <c r="K759" i="3"/>
  <c r="K751" i="3"/>
  <c r="K743" i="3"/>
  <c r="K735" i="3"/>
  <c r="K727" i="3"/>
  <c r="K719" i="3"/>
  <c r="K711" i="3"/>
  <c r="K703" i="3"/>
  <c r="K695" i="3"/>
  <c r="K687" i="3"/>
  <c r="K679" i="3"/>
  <c r="K671" i="3"/>
  <c r="K663" i="3"/>
  <c r="K655" i="3"/>
  <c r="K647" i="3"/>
  <c r="K639" i="3"/>
  <c r="K631" i="3"/>
  <c r="K623" i="3"/>
  <c r="K615" i="3"/>
  <c r="K607" i="3"/>
  <c r="K599" i="3"/>
  <c r="K591" i="3"/>
  <c r="K583" i="3"/>
  <c r="K575" i="3"/>
  <c r="K567" i="3"/>
  <c r="K559" i="3"/>
  <c r="K551" i="3"/>
  <c r="K543" i="3"/>
  <c r="K535" i="3"/>
  <c r="K527" i="3"/>
  <c r="K519" i="3"/>
  <c r="K511" i="3"/>
  <c r="K503" i="3"/>
  <c r="K495" i="3"/>
  <c r="K487" i="3"/>
  <c r="K479" i="3"/>
  <c r="K471" i="3"/>
  <c r="K463" i="3"/>
  <c r="K455" i="3"/>
  <c r="K447" i="3"/>
  <c r="K439" i="3"/>
  <c r="K431" i="3"/>
  <c r="K423" i="3"/>
  <c r="K415" i="3"/>
  <c r="K407" i="3"/>
  <c r="K399" i="3"/>
  <c r="K391" i="3"/>
  <c r="K383" i="3"/>
  <c r="K375" i="3"/>
  <c r="K367" i="3"/>
  <c r="K359" i="3"/>
  <c r="K351" i="3"/>
  <c r="K343" i="3"/>
  <c r="K335" i="3"/>
  <c r="K327" i="3"/>
  <c r="K319" i="3"/>
  <c r="K311" i="3"/>
  <c r="K303" i="3"/>
  <c r="K295" i="3"/>
  <c r="K287" i="3"/>
  <c r="K279" i="3"/>
  <c r="K271" i="3"/>
  <c r="K263" i="3"/>
  <c r="K255" i="3"/>
  <c r="K247" i="3"/>
  <c r="K239" i="3"/>
  <c r="K231" i="3"/>
  <c r="K223" i="3"/>
  <c r="K215" i="3"/>
  <c r="K207" i="3"/>
  <c r="K199" i="3"/>
  <c r="K191" i="3"/>
  <c r="K183" i="3"/>
  <c r="K175" i="3"/>
  <c r="K167" i="3"/>
  <c r="K159" i="3"/>
  <c r="K151" i="3"/>
  <c r="K143" i="3"/>
  <c r="K135" i="3"/>
  <c r="K127" i="3"/>
  <c r="K119" i="3"/>
  <c r="K111" i="3"/>
  <c r="K103" i="3"/>
  <c r="K95" i="3"/>
  <c r="K87" i="3"/>
  <c r="K79" i="3"/>
  <c r="K71" i="3"/>
  <c r="K63" i="3"/>
  <c r="K55" i="3"/>
  <c r="K47" i="3"/>
  <c r="K1006" i="3"/>
  <c r="K998" i="3"/>
  <c r="K990" i="3"/>
  <c r="K982" i="3"/>
  <c r="K974" i="3"/>
  <c r="K966" i="3"/>
  <c r="K958" i="3"/>
  <c r="K950" i="3"/>
  <c r="K942" i="3"/>
  <c r="K934" i="3"/>
  <c r="K926" i="3"/>
  <c r="K918" i="3"/>
  <c r="K910" i="3"/>
  <c r="K902" i="3"/>
  <c r="K894" i="3"/>
  <c r="K886" i="3"/>
  <c r="K878" i="3"/>
  <c r="K870" i="3"/>
  <c r="K862" i="3"/>
  <c r="K854" i="3"/>
  <c r="K846" i="3"/>
  <c r="K838" i="3"/>
  <c r="K830" i="3"/>
  <c r="K822" i="3"/>
  <c r="K814" i="3"/>
  <c r="K806" i="3"/>
  <c r="K798" i="3"/>
  <c r="K790" i="3"/>
  <c r="K782" i="3"/>
  <c r="K774" i="3"/>
  <c r="K766" i="3"/>
  <c r="K758" i="3"/>
  <c r="K750" i="3"/>
  <c r="K742" i="3"/>
  <c r="K734" i="3"/>
  <c r="K726" i="3"/>
  <c r="K718" i="3"/>
  <c r="K710" i="3"/>
  <c r="K702" i="3"/>
  <c r="K694" i="3"/>
  <c r="K686" i="3"/>
  <c r="K678" i="3"/>
  <c r="K670" i="3"/>
  <c r="K662" i="3"/>
  <c r="K654" i="3"/>
  <c r="K646" i="3"/>
  <c r="K638" i="3"/>
  <c r="K630" i="3"/>
  <c r="K622" i="3"/>
  <c r="K614" i="3"/>
  <c r="K606" i="3"/>
  <c r="K598" i="3"/>
  <c r="K590" i="3"/>
  <c r="K582" i="3"/>
  <c r="K574" i="3"/>
  <c r="K566" i="3"/>
  <c r="K558" i="3"/>
  <c r="K550" i="3"/>
  <c r="K542" i="3"/>
  <c r="K534" i="3"/>
  <c r="K526" i="3"/>
  <c r="K518" i="3"/>
  <c r="K510" i="3"/>
  <c r="K502" i="3"/>
  <c r="K494" i="3"/>
  <c r="K486" i="3"/>
  <c r="K478" i="3"/>
  <c r="K470" i="3"/>
  <c r="K462" i="3"/>
  <c r="K454" i="3"/>
  <c r="K446" i="3"/>
  <c r="K438" i="3"/>
  <c r="K430" i="3"/>
  <c r="K422" i="3"/>
  <c r="K414" i="3"/>
  <c r="K406" i="3"/>
  <c r="K398" i="3"/>
  <c r="K390" i="3"/>
  <c r="K382" i="3"/>
  <c r="K374" i="3"/>
  <c r="K366" i="3"/>
  <c r="K358" i="3"/>
  <c r="K350" i="3"/>
  <c r="K342" i="3"/>
  <c r="K334" i="3"/>
  <c r="K326" i="3"/>
  <c r="K318" i="3"/>
  <c r="K310" i="3"/>
  <c r="K302" i="3"/>
  <c r="K294" i="3"/>
  <c r="K286" i="3"/>
  <c r="K278" i="3"/>
  <c r="K270" i="3"/>
  <c r="K262" i="3"/>
  <c r="K254" i="3"/>
  <c r="K246" i="3"/>
  <c r="K238" i="3"/>
  <c r="K230" i="3"/>
  <c r="K222" i="3"/>
  <c r="K214" i="3"/>
  <c r="K206" i="3"/>
  <c r="K198" i="3"/>
  <c r="K190" i="3"/>
  <c r="K182" i="3"/>
  <c r="K174" i="3"/>
  <c r="K166" i="3"/>
  <c r="K158" i="3"/>
  <c r="K150" i="3"/>
  <c r="K142" i="3"/>
  <c r="K134" i="3"/>
  <c r="K126" i="3"/>
  <c r="K118" i="3"/>
  <c r="K110" i="3"/>
  <c r="K102" i="3"/>
  <c r="K94" i="3"/>
  <c r="K86" i="3"/>
  <c r="K78" i="3"/>
  <c r="K70" i="3"/>
  <c r="K62" i="3"/>
  <c r="K54" i="3"/>
  <c r="K46" i="3"/>
  <c r="K38" i="3"/>
  <c r="K30" i="3"/>
  <c r="K22" i="3"/>
  <c r="K14" i="3"/>
  <c r="K21" i="3"/>
  <c r="K572" i="3"/>
  <c r="K1005" i="3"/>
  <c r="K997" i="3"/>
  <c r="K989" i="3"/>
  <c r="K981" i="3"/>
  <c r="K973" i="3"/>
  <c r="K965" i="3"/>
  <c r="K957" i="3"/>
  <c r="K949" i="3"/>
  <c r="K941" i="3"/>
  <c r="K933" i="3"/>
  <c r="K925" i="3"/>
  <c r="K917" i="3"/>
  <c r="K909" i="3"/>
  <c r="K901" i="3"/>
  <c r="K893" i="3"/>
  <c r="K885" i="3"/>
  <c r="K877" i="3"/>
  <c r="K869" i="3"/>
  <c r="K861" i="3"/>
  <c r="K853" i="3"/>
  <c r="K845" i="3"/>
  <c r="K837" i="3"/>
  <c r="K829" i="3"/>
  <c r="K821" i="3"/>
  <c r="K813" i="3"/>
  <c r="K805" i="3"/>
  <c r="K797" i="3"/>
  <c r="K789" i="3"/>
  <c r="K781" i="3"/>
  <c r="K773" i="3"/>
  <c r="K765" i="3"/>
  <c r="K757" i="3"/>
  <c r="K749" i="3"/>
  <c r="K741" i="3"/>
  <c r="K733" i="3"/>
  <c r="K725" i="3"/>
  <c r="K717" i="3"/>
  <c r="K709" i="3"/>
  <c r="K701" i="3"/>
  <c r="K693" i="3"/>
  <c r="K685" i="3"/>
  <c r="K677" i="3"/>
  <c r="K669" i="3"/>
  <c r="K661" i="3"/>
  <c r="K653" i="3"/>
  <c r="K645" i="3"/>
  <c r="K637" i="3"/>
  <c r="K629" i="3"/>
  <c r="K621" i="3"/>
  <c r="K613" i="3"/>
  <c r="K605" i="3"/>
  <c r="K597" i="3"/>
  <c r="K589" i="3"/>
  <c r="K581" i="3"/>
  <c r="K573" i="3"/>
  <c r="K565" i="3"/>
  <c r="K557" i="3"/>
  <c r="K549" i="3"/>
  <c r="K541" i="3"/>
  <c r="K533" i="3"/>
  <c r="K525" i="3"/>
  <c r="K517" i="3"/>
  <c r="K509" i="3"/>
  <c r="K501" i="3"/>
  <c r="K493" i="3"/>
  <c r="K485" i="3"/>
  <c r="K477" i="3"/>
  <c r="K469" i="3"/>
  <c r="K461" i="3"/>
  <c r="K453" i="3"/>
  <c r="K445" i="3"/>
  <c r="K437" i="3"/>
  <c r="K429" i="3"/>
  <c r="K421" i="3"/>
  <c r="K413" i="3"/>
  <c r="K405" i="3"/>
  <c r="K397" i="3"/>
  <c r="K389" i="3"/>
  <c r="K381" i="3"/>
  <c r="K373" i="3"/>
  <c r="K365" i="3"/>
  <c r="K357" i="3"/>
  <c r="K349" i="3"/>
  <c r="K341" i="3"/>
  <c r="K333" i="3"/>
  <c r="K325" i="3"/>
  <c r="K317" i="3"/>
  <c r="K309" i="3"/>
  <c r="K301" i="3"/>
  <c r="K293" i="3"/>
  <c r="K285" i="3"/>
  <c r="K277" i="3"/>
  <c r="K269" i="3"/>
  <c r="K261" i="3"/>
  <c r="K253" i="3"/>
  <c r="K245" i="3"/>
  <c r="K237" i="3"/>
  <c r="K229" i="3"/>
  <c r="K221" i="3"/>
  <c r="K213" i="3"/>
  <c r="K205" i="3"/>
  <c r="K197" i="3"/>
  <c r="K189" i="3"/>
  <c r="K181" i="3"/>
  <c r="K173" i="3"/>
  <c r="K165" i="3"/>
  <c r="K157" i="3"/>
  <c r="K149" i="3"/>
  <c r="K141" i="3"/>
  <c r="K133" i="3"/>
  <c r="K125" i="3"/>
  <c r="K117" i="3"/>
  <c r="K109" i="3"/>
  <c r="K101" i="3"/>
  <c r="K93" i="3"/>
  <c r="K85" i="3"/>
  <c r="K77" i="3"/>
  <c r="K69" i="3"/>
  <c r="K61" i="3"/>
  <c r="K53" i="3"/>
  <c r="K45" i="3"/>
  <c r="K37" i="3"/>
  <c r="K29" i="3"/>
  <c r="K13" i="3"/>
  <c r="K596" i="3"/>
  <c r="K548" i="3"/>
  <c r="K532" i="3"/>
  <c r="K1004" i="3"/>
  <c r="K996" i="3"/>
  <c r="K988" i="3"/>
  <c r="K980" i="3"/>
  <c r="K972" i="3"/>
  <c r="K964" i="3"/>
  <c r="K956" i="3"/>
  <c r="K948" i="3"/>
  <c r="K940" i="3"/>
  <c r="K932" i="3"/>
  <c r="K924" i="3"/>
  <c r="K916" i="3"/>
  <c r="K908" i="3"/>
  <c r="K900" i="3"/>
  <c r="K892" i="3"/>
  <c r="K884" i="3"/>
  <c r="K876" i="3"/>
  <c r="K868" i="3"/>
  <c r="K860" i="3"/>
  <c r="K852" i="3"/>
  <c r="K844" i="3"/>
  <c r="K836" i="3"/>
  <c r="K828" i="3"/>
  <c r="K820" i="3"/>
  <c r="K812" i="3"/>
  <c r="K804" i="3"/>
  <c r="K796" i="3"/>
  <c r="K788" i="3"/>
  <c r="K780" i="3"/>
  <c r="K772" i="3"/>
  <c r="K764" i="3"/>
  <c r="K756" i="3"/>
  <c r="K748" i="3"/>
  <c r="K740" i="3"/>
  <c r="K732" i="3"/>
  <c r="K724" i="3"/>
  <c r="K716" i="3"/>
  <c r="K708" i="3"/>
  <c r="K700" i="3"/>
  <c r="K692" i="3"/>
  <c r="K684" i="3"/>
  <c r="K676" i="3"/>
  <c r="K668" i="3"/>
  <c r="K660" i="3"/>
  <c r="K652" i="3"/>
  <c r="K644" i="3"/>
  <c r="K636" i="3"/>
  <c r="K628" i="3"/>
  <c r="K620" i="3"/>
  <c r="K612" i="3"/>
  <c r="K604" i="3"/>
  <c r="K588" i="3"/>
  <c r="K580" i="3"/>
  <c r="K564" i="3"/>
  <c r="K556" i="3"/>
  <c r="K540" i="3"/>
  <c r="K524" i="3"/>
  <c r="K1003" i="3"/>
  <c r="K995" i="3"/>
  <c r="K987" i="3"/>
  <c r="K979" i="3"/>
  <c r="K971" i="3"/>
  <c r="K963" i="3"/>
  <c r="K955" i="3"/>
  <c r="K947" i="3"/>
  <c r="K939" i="3"/>
  <c r="K931" i="3"/>
  <c r="K923" i="3"/>
  <c r="K915" i="3"/>
  <c r="K907" i="3"/>
  <c r="K899" i="3"/>
  <c r="K891" i="3"/>
  <c r="K883" i="3"/>
  <c r="K875" i="3"/>
  <c r="K867" i="3"/>
  <c r="K859" i="3"/>
  <c r="K851" i="3"/>
  <c r="K843" i="3"/>
  <c r="K835" i="3"/>
  <c r="K827" i="3"/>
  <c r="K819" i="3"/>
  <c r="K811" i="3"/>
  <c r="K803" i="3"/>
  <c r="K795" i="3"/>
  <c r="K787" i="3"/>
  <c r="K779" i="3"/>
  <c r="K771" i="3"/>
  <c r="K763" i="3"/>
  <c r="K755" i="3"/>
  <c r="K747" i="3"/>
  <c r="K739" i="3"/>
  <c r="K731" i="3"/>
  <c r="K723" i="3"/>
  <c r="K715" i="3"/>
  <c r="K707" i="3"/>
  <c r="K699" i="3"/>
  <c r="K691" i="3"/>
  <c r="K683" i="3"/>
  <c r="K675" i="3"/>
  <c r="K667" i="3"/>
  <c r="K659" i="3"/>
  <c r="K651" i="3"/>
  <c r="K643" i="3"/>
  <c r="K635" i="3"/>
  <c r="K627" i="3"/>
  <c r="K619" i="3"/>
  <c r="K611" i="3"/>
  <c r="K603" i="3"/>
  <c r="K595" i="3"/>
  <c r="K587" i="3"/>
  <c r="K579" i="3"/>
  <c r="K571" i="3"/>
  <c r="K563" i="3"/>
  <c r="K555" i="3"/>
  <c r="K547" i="3"/>
  <c r="K539" i="3"/>
  <c r="K531" i="3"/>
  <c r="K523" i="3"/>
  <c r="K515" i="3"/>
  <c r="K507" i="3"/>
  <c r="K499" i="3"/>
  <c r="K491" i="3"/>
  <c r="K483" i="3"/>
  <c r="K475" i="3"/>
  <c r="K467" i="3"/>
  <c r="K459" i="3"/>
  <c r="K451" i="3"/>
  <c r="K443" i="3"/>
  <c r="K435" i="3"/>
  <c r="K427" i="3"/>
  <c r="K419" i="3"/>
  <c r="K411" i="3"/>
  <c r="K403" i="3"/>
  <c r="K395" i="3"/>
  <c r="K387" i="3"/>
  <c r="K379" i="3"/>
  <c r="K371" i="3"/>
  <c r="K363" i="3"/>
  <c r="K355" i="3"/>
  <c r="K347" i="3"/>
  <c r="K339" i="3"/>
  <c r="K331" i="3"/>
  <c r="K323" i="3"/>
  <c r="K315" i="3"/>
  <c r="K307" i="3"/>
  <c r="K299" i="3"/>
  <c r="K291" i="3"/>
  <c r="K283" i="3"/>
  <c r="K275" i="3"/>
  <c r="K267" i="3"/>
  <c r="K259" i="3"/>
  <c r="K251" i="3"/>
  <c r="K243" i="3"/>
  <c r="K235" i="3"/>
  <c r="K227" i="3"/>
  <c r="K219" i="3"/>
  <c r="K211" i="3"/>
  <c r="K203" i="3"/>
  <c r="K195" i="3"/>
  <c r="K187" i="3"/>
  <c r="K179" i="3"/>
  <c r="K171" i="3"/>
  <c r="K163" i="3"/>
  <c r="K155" i="3"/>
  <c r="K147" i="3"/>
  <c r="K139" i="3"/>
  <c r="K131" i="3"/>
  <c r="K123" i="3"/>
  <c r="K115" i="3"/>
  <c r="K107" i="3"/>
  <c r="K99" i="3"/>
  <c r="K91" i="3"/>
  <c r="K83" i="3"/>
  <c r="K75" i="3"/>
  <c r="K67" i="3"/>
  <c r="K59" i="3"/>
  <c r="K51" i="3"/>
  <c r="K43" i="3"/>
  <c r="K35" i="3"/>
  <c r="K27" i="3"/>
  <c r="K19" i="3"/>
  <c r="K11" i="3"/>
  <c r="K17" i="3"/>
  <c r="K552" i="3"/>
  <c r="K516" i="3"/>
  <c r="K476" i="3"/>
  <c r="K444" i="3"/>
  <c r="K412" i="3"/>
  <c r="K380" i="3"/>
  <c r="K348" i="3"/>
  <c r="K316" i="3"/>
  <c r="K284" i="3"/>
  <c r="K252" i="3"/>
  <c r="K220" i="3"/>
  <c r="K188" i="3"/>
  <c r="K156" i="3"/>
  <c r="K124" i="3"/>
  <c r="K92" i="3"/>
  <c r="K60" i="3"/>
  <c r="K32" i="3"/>
  <c r="K12" i="3"/>
  <c r="K320" i="3"/>
  <c r="K36" i="3"/>
  <c r="K508" i="3"/>
  <c r="K472" i="3"/>
  <c r="K440" i="3"/>
  <c r="K408" i="3"/>
  <c r="K376" i="3"/>
  <c r="K344" i="3"/>
  <c r="K312" i="3"/>
  <c r="K280" i="3"/>
  <c r="K248" i="3"/>
  <c r="K216" i="3"/>
  <c r="K184" i="3"/>
  <c r="K152" i="3"/>
  <c r="K120" i="3"/>
  <c r="K88" i="3"/>
  <c r="K56" i="3"/>
  <c r="K31" i="3"/>
  <c r="K352" i="3"/>
  <c r="K15" i="3"/>
  <c r="K500" i="3"/>
  <c r="K468" i="3"/>
  <c r="K436" i="3"/>
  <c r="K404" i="3"/>
  <c r="K372" i="3"/>
  <c r="K340" i="3"/>
  <c r="K308" i="3"/>
  <c r="K276" i="3"/>
  <c r="K244" i="3"/>
  <c r="K212" i="3"/>
  <c r="K180" i="3"/>
  <c r="K148" i="3"/>
  <c r="K116" i="3"/>
  <c r="K84" i="3"/>
  <c r="K52" i="3"/>
  <c r="K28" i="3"/>
  <c r="K416" i="3"/>
  <c r="K96" i="3"/>
  <c r="K496" i="3"/>
  <c r="K464" i="3"/>
  <c r="K432" i="3"/>
  <c r="K400" i="3"/>
  <c r="K368" i="3"/>
  <c r="K336" i="3"/>
  <c r="K304" i="3"/>
  <c r="K272" i="3"/>
  <c r="K240" i="3"/>
  <c r="K208" i="3"/>
  <c r="K176" i="3"/>
  <c r="K144" i="3"/>
  <c r="K112" i="3"/>
  <c r="K80" i="3"/>
  <c r="K48" i="3"/>
  <c r="K24" i="3"/>
  <c r="K384" i="3"/>
  <c r="K128" i="3"/>
  <c r="K492" i="3"/>
  <c r="K460" i="3"/>
  <c r="K428" i="3"/>
  <c r="K396" i="3"/>
  <c r="K364" i="3"/>
  <c r="K332" i="3"/>
  <c r="K300" i="3"/>
  <c r="K268" i="3"/>
  <c r="K236" i="3"/>
  <c r="K204" i="3"/>
  <c r="K172" i="3"/>
  <c r="K140" i="3"/>
  <c r="K108" i="3"/>
  <c r="K76" i="3"/>
  <c r="K44" i="3"/>
  <c r="K23" i="3"/>
  <c r="K256" i="3"/>
  <c r="K488" i="3"/>
  <c r="K456" i="3"/>
  <c r="K424" i="3"/>
  <c r="K392" i="3"/>
  <c r="K360" i="3"/>
  <c r="K328" i="3"/>
  <c r="K296" i="3"/>
  <c r="K264" i="3"/>
  <c r="K232" i="3"/>
  <c r="K200" i="3"/>
  <c r="K168" i="3"/>
  <c r="K136" i="3"/>
  <c r="K104" i="3"/>
  <c r="K72" i="3"/>
  <c r="K40" i="3"/>
  <c r="K20" i="3"/>
  <c r="K448" i="3"/>
  <c r="K160" i="3"/>
  <c r="K484" i="3"/>
  <c r="K452" i="3"/>
  <c r="K420" i="3"/>
  <c r="K388" i="3"/>
  <c r="K356" i="3"/>
  <c r="K324" i="3"/>
  <c r="K292" i="3"/>
  <c r="K260" i="3"/>
  <c r="K228" i="3"/>
  <c r="K196" i="3"/>
  <c r="K164" i="3"/>
  <c r="K132" i="3"/>
  <c r="K100" i="3"/>
  <c r="K68" i="3"/>
  <c r="K39" i="3"/>
  <c r="K16" i="3"/>
  <c r="K480" i="3"/>
  <c r="K288" i="3"/>
  <c r="K224" i="3"/>
  <c r="K192" i="3"/>
  <c r="K64" i="3"/>
  <c r="J1010" i="3"/>
  <c r="J1002" i="3"/>
  <c r="J994" i="3"/>
  <c r="J986" i="3"/>
  <c r="J978" i="3"/>
  <c r="J970" i="3"/>
  <c r="J962" i="3"/>
  <c r="J954" i="3"/>
  <c r="J946" i="3"/>
  <c r="J938" i="3"/>
  <c r="J930" i="3"/>
  <c r="J922" i="3"/>
  <c r="J914" i="3"/>
  <c r="J906" i="3"/>
  <c r="J898" i="3"/>
  <c r="J890" i="3"/>
  <c r="J882" i="3"/>
  <c r="J874" i="3"/>
  <c r="J866" i="3"/>
  <c r="J858" i="3"/>
  <c r="J850" i="3"/>
  <c r="J842" i="3"/>
  <c r="J834" i="3"/>
  <c r="J826" i="3"/>
  <c r="J818" i="3"/>
  <c r="J810" i="3"/>
  <c r="J802" i="3"/>
  <c r="J794" i="3"/>
  <c r="J786" i="3"/>
  <c r="J778" i="3"/>
  <c r="J770" i="3"/>
  <c r="J762" i="3"/>
  <c r="J754" i="3"/>
  <c r="J746" i="3"/>
  <c r="J738" i="3"/>
  <c r="J730" i="3"/>
  <c r="J722" i="3"/>
  <c r="J714" i="3"/>
  <c r="J706" i="3"/>
  <c r="J698" i="3"/>
  <c r="J690" i="3"/>
  <c r="J682" i="3"/>
  <c r="J674" i="3"/>
  <c r="J666" i="3"/>
  <c r="J658" i="3"/>
  <c r="J650" i="3"/>
  <c r="J642" i="3"/>
  <c r="J634" i="3"/>
  <c r="J626" i="3"/>
  <c r="J618" i="3"/>
  <c r="J610" i="3"/>
  <c r="J602" i="3"/>
  <c r="J594" i="3"/>
  <c r="J586" i="3"/>
  <c r="J578" i="3"/>
  <c r="J570" i="3"/>
  <c r="J562" i="3"/>
  <c r="J554" i="3"/>
  <c r="J546" i="3"/>
  <c r="J538" i="3"/>
  <c r="J530" i="3"/>
  <c r="J522" i="3"/>
  <c r="J514" i="3"/>
  <c r="J506" i="3"/>
  <c r="J498" i="3"/>
  <c r="J490" i="3"/>
  <c r="J482" i="3"/>
  <c r="J474" i="3"/>
  <c r="J466" i="3"/>
  <c r="J458" i="3"/>
  <c r="J450" i="3"/>
  <c r="J442" i="3"/>
  <c r="J434" i="3"/>
  <c r="J426" i="3"/>
  <c r="J418" i="3"/>
  <c r="J410" i="3"/>
  <c r="J402" i="3"/>
  <c r="J394" i="3"/>
  <c r="J386" i="3"/>
  <c r="J378" i="3"/>
  <c r="J370" i="3"/>
  <c r="J362" i="3"/>
  <c r="J354" i="3"/>
  <c r="J346" i="3"/>
  <c r="J338" i="3"/>
  <c r="J330" i="3"/>
  <c r="J322" i="3"/>
  <c r="J314" i="3"/>
  <c r="J306" i="3"/>
  <c r="J298" i="3"/>
  <c r="J290" i="3"/>
  <c r="J282" i="3"/>
  <c r="J274" i="3"/>
  <c r="J266" i="3"/>
  <c r="J258" i="3"/>
  <c r="J250" i="3"/>
  <c r="J242" i="3"/>
  <c r="J234" i="3"/>
  <c r="J226" i="3"/>
  <c r="J218" i="3"/>
  <c r="J210" i="3"/>
  <c r="J202" i="3"/>
  <c r="J194" i="3"/>
  <c r="J186" i="3"/>
  <c r="J178" i="3"/>
  <c r="J170" i="3"/>
  <c r="J162" i="3"/>
  <c r="J154" i="3"/>
  <c r="J146" i="3"/>
  <c r="J138" i="3"/>
  <c r="J130" i="3"/>
  <c r="J122" i="3"/>
  <c r="J114" i="3"/>
  <c r="J106" i="3"/>
  <c r="J98" i="3"/>
  <c r="J90" i="3"/>
  <c r="J82" i="3"/>
  <c r="J74" i="3"/>
  <c r="J66" i="3"/>
  <c r="J58" i="3"/>
  <c r="J50" i="3"/>
  <c r="J42" i="3"/>
  <c r="J34" i="3"/>
  <c r="J26" i="3"/>
  <c r="J18" i="3"/>
  <c r="J1009" i="3"/>
  <c r="J1001" i="3"/>
  <c r="J993" i="3"/>
  <c r="J985" i="3"/>
  <c r="J977" i="3"/>
  <c r="J969" i="3"/>
  <c r="J961" i="3"/>
  <c r="J953" i="3"/>
  <c r="J945" i="3"/>
  <c r="J937" i="3"/>
  <c r="J929" i="3"/>
  <c r="J921" i="3"/>
  <c r="J913" i="3"/>
  <c r="J905" i="3"/>
  <c r="J897" i="3"/>
  <c r="J889" i="3"/>
  <c r="J881" i="3"/>
  <c r="J873" i="3"/>
  <c r="J865" i="3"/>
  <c r="J857" i="3"/>
  <c r="J849" i="3"/>
  <c r="J841" i="3"/>
  <c r="J833" i="3"/>
  <c r="J825" i="3"/>
  <c r="J817" i="3"/>
  <c r="J809" i="3"/>
  <c r="J801" i="3"/>
  <c r="J793" i="3"/>
  <c r="J785" i="3"/>
  <c r="J777" i="3"/>
  <c r="J769" i="3"/>
  <c r="J761" i="3"/>
  <c r="J753" i="3"/>
  <c r="J745" i="3"/>
  <c r="J737" i="3"/>
  <c r="J729" i="3"/>
  <c r="J721" i="3"/>
  <c r="J713" i="3"/>
  <c r="J705" i="3"/>
  <c r="J697" i="3"/>
  <c r="J689" i="3"/>
  <c r="J681" i="3"/>
  <c r="J673" i="3"/>
  <c r="J665" i="3"/>
  <c r="J657" i="3"/>
  <c r="J649" i="3"/>
  <c r="J641" i="3"/>
  <c r="J633" i="3"/>
  <c r="J625" i="3"/>
  <c r="J617" i="3"/>
  <c r="J609" i="3"/>
  <c r="J601" i="3"/>
  <c r="J593" i="3"/>
  <c r="J585" i="3"/>
  <c r="J577" i="3"/>
  <c r="J569" i="3"/>
  <c r="J561" i="3"/>
  <c r="J553" i="3"/>
  <c r="J545" i="3"/>
  <c r="J537" i="3"/>
  <c r="J529" i="3"/>
  <c r="J521" i="3"/>
  <c r="J513" i="3"/>
  <c r="J505" i="3"/>
  <c r="J497" i="3"/>
  <c r="J489" i="3"/>
  <c r="J481" i="3"/>
  <c r="J473" i="3"/>
  <c r="J465" i="3"/>
  <c r="J457" i="3"/>
  <c r="J449" i="3"/>
  <c r="J441" i="3"/>
  <c r="J433" i="3"/>
  <c r="J425" i="3"/>
  <c r="J417" i="3"/>
  <c r="J409" i="3"/>
  <c r="J401" i="3"/>
  <c r="J393" i="3"/>
  <c r="J385" i="3"/>
  <c r="J377" i="3"/>
  <c r="J369" i="3"/>
  <c r="J361" i="3"/>
  <c r="J353" i="3"/>
  <c r="J345" i="3"/>
  <c r="J337" i="3"/>
  <c r="J329" i="3"/>
  <c r="J321" i="3"/>
  <c r="J313" i="3"/>
  <c r="J305" i="3"/>
  <c r="J297" i="3"/>
  <c r="J289" i="3"/>
  <c r="J281" i="3"/>
  <c r="J273" i="3"/>
  <c r="J265" i="3"/>
  <c r="J257" i="3"/>
  <c r="J249" i="3"/>
  <c r="J241" i="3"/>
  <c r="J233" i="3"/>
  <c r="J225" i="3"/>
  <c r="J217" i="3"/>
  <c r="J209" i="3"/>
  <c r="J201" i="3"/>
  <c r="J193" i="3"/>
  <c r="J185" i="3"/>
  <c r="J177" i="3"/>
  <c r="J169" i="3"/>
  <c r="J161" i="3"/>
  <c r="J153" i="3"/>
  <c r="J145" i="3"/>
  <c r="J137" i="3"/>
  <c r="J129" i="3"/>
  <c r="J121" i="3"/>
  <c r="J113" i="3"/>
  <c r="J105" i="3"/>
  <c r="J97" i="3"/>
  <c r="J89" i="3"/>
  <c r="J81" i="3"/>
  <c r="J73" i="3"/>
  <c r="J65" i="3"/>
  <c r="J57" i="3"/>
  <c r="J49" i="3"/>
  <c r="J41" i="3"/>
  <c r="J33" i="3"/>
  <c r="J25" i="3"/>
  <c r="J17" i="3"/>
  <c r="J1008" i="3"/>
  <c r="J1000" i="3"/>
  <c r="J992" i="3"/>
  <c r="J984" i="3"/>
  <c r="J976" i="3"/>
  <c r="J968" i="3"/>
  <c r="J960" i="3"/>
  <c r="J952" i="3"/>
  <c r="J944" i="3"/>
  <c r="J936" i="3"/>
  <c r="J928" i="3"/>
  <c r="J920" i="3"/>
  <c r="J912" i="3"/>
  <c r="J904" i="3"/>
  <c r="J896" i="3"/>
  <c r="J888" i="3"/>
  <c r="J880" i="3"/>
  <c r="J872" i="3"/>
  <c r="J864" i="3"/>
  <c r="J856" i="3"/>
  <c r="J848" i="3"/>
  <c r="J840" i="3"/>
  <c r="J832" i="3"/>
  <c r="J824" i="3"/>
  <c r="J816" i="3"/>
  <c r="J808" i="3"/>
  <c r="J800" i="3"/>
  <c r="J792" i="3"/>
  <c r="J784" i="3"/>
  <c r="J776" i="3"/>
  <c r="J768" i="3"/>
  <c r="J760" i="3"/>
  <c r="J752" i="3"/>
  <c r="J744" i="3"/>
  <c r="J736" i="3"/>
  <c r="J728" i="3"/>
  <c r="J720" i="3"/>
  <c r="J712" i="3"/>
  <c r="J704" i="3"/>
  <c r="J696" i="3"/>
  <c r="J688" i="3"/>
  <c r="J680" i="3"/>
  <c r="J672" i="3"/>
  <c r="J664" i="3"/>
  <c r="J656" i="3"/>
  <c r="J648" i="3"/>
  <c r="J640" i="3"/>
  <c r="J632" i="3"/>
  <c r="J624" i="3"/>
  <c r="J616" i="3"/>
  <c r="J608" i="3"/>
  <c r="J600" i="3"/>
  <c r="J592" i="3"/>
  <c r="J584" i="3"/>
  <c r="J576" i="3"/>
  <c r="J568" i="3"/>
  <c r="J560" i="3"/>
  <c r="J552" i="3"/>
  <c r="J544" i="3"/>
  <c r="J536" i="3"/>
  <c r="J528" i="3"/>
  <c r="J520" i="3"/>
  <c r="J512" i="3"/>
  <c r="J504" i="3"/>
  <c r="J496" i="3"/>
  <c r="J488" i="3"/>
  <c r="J480" i="3"/>
  <c r="J472" i="3"/>
  <c r="J464" i="3"/>
  <c r="J456" i="3"/>
  <c r="J448" i="3"/>
  <c r="J440" i="3"/>
  <c r="J432" i="3"/>
  <c r="J424" i="3"/>
  <c r="J416" i="3"/>
  <c r="J408" i="3"/>
  <c r="J400" i="3"/>
  <c r="J392" i="3"/>
  <c r="J384" i="3"/>
  <c r="J376" i="3"/>
  <c r="J368" i="3"/>
  <c r="J360" i="3"/>
  <c r="J352" i="3"/>
  <c r="J344" i="3"/>
  <c r="J336" i="3"/>
  <c r="J328" i="3"/>
  <c r="J320" i="3"/>
  <c r="J312" i="3"/>
  <c r="J304" i="3"/>
  <c r="J296" i="3"/>
  <c r="J288" i="3"/>
  <c r="J280" i="3"/>
  <c r="J272" i="3"/>
  <c r="J264" i="3"/>
  <c r="J256" i="3"/>
  <c r="J248" i="3"/>
  <c r="J240" i="3"/>
  <c r="J232" i="3"/>
  <c r="J224" i="3"/>
  <c r="J216" i="3"/>
  <c r="J208" i="3"/>
  <c r="J200" i="3"/>
  <c r="J192" i="3"/>
  <c r="J184" i="3"/>
  <c r="J176" i="3"/>
  <c r="J168" i="3"/>
  <c r="J160" i="3"/>
  <c r="J152" i="3"/>
  <c r="J144" i="3"/>
  <c r="J136" i="3"/>
  <c r="J128" i="3"/>
  <c r="J120" i="3"/>
  <c r="J112" i="3"/>
  <c r="J104" i="3"/>
  <c r="J96" i="3"/>
  <c r="J88" i="3"/>
  <c r="J80" i="3"/>
  <c r="J72" i="3"/>
  <c r="J64" i="3"/>
  <c r="J56" i="3"/>
  <c r="J48" i="3"/>
  <c r="J40" i="3"/>
  <c r="J32" i="3"/>
  <c r="J24" i="3"/>
  <c r="J16" i="3"/>
  <c r="J1007" i="3"/>
  <c r="J999" i="3"/>
  <c r="J991" i="3"/>
  <c r="J983" i="3"/>
  <c r="J975" i="3"/>
  <c r="J967" i="3"/>
  <c r="J959" i="3"/>
  <c r="J951" i="3"/>
  <c r="J943" i="3"/>
  <c r="J935" i="3"/>
  <c r="J927" i="3"/>
  <c r="J919" i="3"/>
  <c r="J911" i="3"/>
  <c r="J903" i="3"/>
  <c r="J895" i="3"/>
  <c r="J887" i="3"/>
  <c r="J879" i="3"/>
  <c r="J871" i="3"/>
  <c r="J863" i="3"/>
  <c r="J855" i="3"/>
  <c r="J847" i="3"/>
  <c r="J839" i="3"/>
  <c r="J831" i="3"/>
  <c r="J823" i="3"/>
  <c r="J815" i="3"/>
  <c r="J807" i="3"/>
  <c r="J799" i="3"/>
  <c r="J791" i="3"/>
  <c r="J783" i="3"/>
  <c r="J775" i="3"/>
  <c r="J767" i="3"/>
  <c r="J759" i="3"/>
  <c r="J751" i="3"/>
  <c r="J743" i="3"/>
  <c r="J735" i="3"/>
  <c r="J727" i="3"/>
  <c r="J719" i="3"/>
  <c r="J711" i="3"/>
  <c r="J703" i="3"/>
  <c r="J695" i="3"/>
  <c r="J687" i="3"/>
  <c r="J679" i="3"/>
  <c r="J671" i="3"/>
  <c r="J663" i="3"/>
  <c r="J655" i="3"/>
  <c r="J647" i="3"/>
  <c r="J639" i="3"/>
  <c r="J631" i="3"/>
  <c r="J623" i="3"/>
  <c r="J615" i="3"/>
  <c r="J607" i="3"/>
  <c r="J599" i="3"/>
  <c r="J591" i="3"/>
  <c r="J583" i="3"/>
  <c r="J575" i="3"/>
  <c r="J567" i="3"/>
  <c r="J559" i="3"/>
  <c r="J551" i="3"/>
  <c r="J543" i="3"/>
  <c r="J535" i="3"/>
  <c r="J527" i="3"/>
  <c r="J519" i="3"/>
  <c r="J511" i="3"/>
  <c r="J503" i="3"/>
  <c r="J495" i="3"/>
  <c r="J487" i="3"/>
  <c r="J479" i="3"/>
  <c r="J471" i="3"/>
  <c r="J463" i="3"/>
  <c r="J455" i="3"/>
  <c r="J447" i="3"/>
  <c r="J439" i="3"/>
  <c r="J431" i="3"/>
  <c r="J423" i="3"/>
  <c r="J415" i="3"/>
  <c r="J407" i="3"/>
  <c r="J399" i="3"/>
  <c r="J391" i="3"/>
  <c r="J383" i="3"/>
  <c r="J375" i="3"/>
  <c r="J367" i="3"/>
  <c r="J359" i="3"/>
  <c r="J351" i="3"/>
  <c r="J343" i="3"/>
  <c r="J335" i="3"/>
  <c r="J327" i="3"/>
  <c r="J319" i="3"/>
  <c r="J311" i="3"/>
  <c r="J303" i="3"/>
  <c r="J295" i="3"/>
  <c r="J287" i="3"/>
  <c r="J279" i="3"/>
  <c r="J271" i="3"/>
  <c r="J263" i="3"/>
  <c r="J255" i="3"/>
  <c r="J247" i="3"/>
  <c r="J239" i="3"/>
  <c r="J231" i="3"/>
  <c r="J223" i="3"/>
  <c r="J215" i="3"/>
  <c r="J207" i="3"/>
  <c r="J199" i="3"/>
  <c r="J191" i="3"/>
  <c r="J183" i="3"/>
  <c r="J175" i="3"/>
  <c r="J167" i="3"/>
  <c r="J159" i="3"/>
  <c r="J151" i="3"/>
  <c r="J143" i="3"/>
  <c r="J135" i="3"/>
  <c r="J127" i="3"/>
  <c r="J119" i="3"/>
  <c r="J111" i="3"/>
  <c r="J103" i="3"/>
  <c r="J95" i="3"/>
  <c r="J87" i="3"/>
  <c r="J79" i="3"/>
  <c r="J71" i="3"/>
  <c r="J63" i="3"/>
  <c r="J55" i="3"/>
  <c r="J47" i="3"/>
  <c r="J39" i="3"/>
  <c r="J31" i="3"/>
  <c r="J23" i="3"/>
  <c r="J15" i="3"/>
  <c r="J1006" i="3"/>
  <c r="J998" i="3"/>
  <c r="J990" i="3"/>
  <c r="J982" i="3"/>
  <c r="J974" i="3"/>
  <c r="J966" i="3"/>
  <c r="J958" i="3"/>
  <c r="J950" i="3"/>
  <c r="J942" i="3"/>
  <c r="J934" i="3"/>
  <c r="J926" i="3"/>
  <c r="J918" i="3"/>
  <c r="J910" i="3"/>
  <c r="J902" i="3"/>
  <c r="J894" i="3"/>
  <c r="J886" i="3"/>
  <c r="J878" i="3"/>
  <c r="J870" i="3"/>
  <c r="J862" i="3"/>
  <c r="J854" i="3"/>
  <c r="J846" i="3"/>
  <c r="J838" i="3"/>
  <c r="J830" i="3"/>
  <c r="J822" i="3"/>
  <c r="J814" i="3"/>
  <c r="J806" i="3"/>
  <c r="J798" i="3"/>
  <c r="J790" i="3"/>
  <c r="J782" i="3"/>
  <c r="J774" i="3"/>
  <c r="J766" i="3"/>
  <c r="J758" i="3"/>
  <c r="J750" i="3"/>
  <c r="J742" i="3"/>
  <c r="J734" i="3"/>
  <c r="J726" i="3"/>
  <c r="J718" i="3"/>
  <c r="J710" i="3"/>
  <c r="J702" i="3"/>
  <c r="J694" i="3"/>
  <c r="J686" i="3"/>
  <c r="J678" i="3"/>
  <c r="J670" i="3"/>
  <c r="J662" i="3"/>
  <c r="J654" i="3"/>
  <c r="J646" i="3"/>
  <c r="J638" i="3"/>
  <c r="J630" i="3"/>
  <c r="J622" i="3"/>
  <c r="J614" i="3"/>
  <c r="J606" i="3"/>
  <c r="J598" i="3"/>
  <c r="J590" i="3"/>
  <c r="J582" i="3"/>
  <c r="J574" i="3"/>
  <c r="J566" i="3"/>
  <c r="J558" i="3"/>
  <c r="J550" i="3"/>
  <c r="J542" i="3"/>
  <c r="J534" i="3"/>
  <c r="J526" i="3"/>
  <c r="J518" i="3"/>
  <c r="J510" i="3"/>
  <c r="J502" i="3"/>
  <c r="J494" i="3"/>
  <c r="J486" i="3"/>
  <c r="J478" i="3"/>
  <c r="J470" i="3"/>
  <c r="J462" i="3"/>
  <c r="J454" i="3"/>
  <c r="J446" i="3"/>
  <c r="J438" i="3"/>
  <c r="J430" i="3"/>
  <c r="J422" i="3"/>
  <c r="J414" i="3"/>
  <c r="J406" i="3"/>
  <c r="J398" i="3"/>
  <c r="J390" i="3"/>
  <c r="J382" i="3"/>
  <c r="J374" i="3"/>
  <c r="J366" i="3"/>
  <c r="J358" i="3"/>
  <c r="J350" i="3"/>
  <c r="J342" i="3"/>
  <c r="J334" i="3"/>
  <c r="J326" i="3"/>
  <c r="J318" i="3"/>
  <c r="J310" i="3"/>
  <c r="J302" i="3"/>
  <c r="J294" i="3"/>
  <c r="J286" i="3"/>
  <c r="J278" i="3"/>
  <c r="J270" i="3"/>
  <c r="J262" i="3"/>
  <c r="J254" i="3"/>
  <c r="J246" i="3"/>
  <c r="J238" i="3"/>
  <c r="J230" i="3"/>
  <c r="J222" i="3"/>
  <c r="J214" i="3"/>
  <c r="J206" i="3"/>
  <c r="J198" i="3"/>
  <c r="J190" i="3"/>
  <c r="J182" i="3"/>
  <c r="J174" i="3"/>
  <c r="J166" i="3"/>
  <c r="J158" i="3"/>
  <c r="J150" i="3"/>
  <c r="J142" i="3"/>
  <c r="J134" i="3"/>
  <c r="J126" i="3"/>
  <c r="J118" i="3"/>
  <c r="J110" i="3"/>
  <c r="J102" i="3"/>
  <c r="J94" i="3"/>
  <c r="J86" i="3"/>
  <c r="J78" i="3"/>
  <c r="J70" i="3"/>
  <c r="J62" i="3"/>
  <c r="J54" i="3"/>
  <c r="J46" i="3"/>
  <c r="J38" i="3"/>
  <c r="J30" i="3"/>
  <c r="J22" i="3"/>
  <c r="J14" i="3"/>
  <c r="J1005" i="3"/>
  <c r="J997" i="3"/>
  <c r="J1004" i="3"/>
  <c r="J996" i="3"/>
  <c r="J988" i="3"/>
  <c r="J980" i="3"/>
  <c r="J972" i="3"/>
  <c r="J964" i="3"/>
  <c r="J956" i="3"/>
  <c r="J948" i="3"/>
  <c r="J940" i="3"/>
  <c r="J932" i="3"/>
  <c r="J924" i="3"/>
  <c r="J916" i="3"/>
  <c r="J908" i="3"/>
  <c r="J900" i="3"/>
  <c r="J892" i="3"/>
  <c r="J884" i="3"/>
  <c r="J876" i="3"/>
  <c r="J868" i="3"/>
  <c r="J860" i="3"/>
  <c r="J852" i="3"/>
  <c r="J844" i="3"/>
  <c r="J836" i="3"/>
  <c r="J828" i="3"/>
  <c r="J820" i="3"/>
  <c r="J812" i="3"/>
  <c r="J804" i="3"/>
  <c r="J796" i="3"/>
  <c r="J788" i="3"/>
  <c r="J780" i="3"/>
  <c r="J772" i="3"/>
  <c r="J764" i="3"/>
  <c r="J756" i="3"/>
  <c r="J748" i="3"/>
  <c r="J740" i="3"/>
  <c r="J732" i="3"/>
  <c r="J724" i="3"/>
  <c r="J716" i="3"/>
  <c r="J708" i="3"/>
  <c r="J700" i="3"/>
  <c r="J692" i="3"/>
  <c r="J684" i="3"/>
  <c r="J676" i="3"/>
  <c r="J668" i="3"/>
  <c r="J660" i="3"/>
  <c r="J652" i="3"/>
  <c r="J644" i="3"/>
  <c r="J636" i="3"/>
  <c r="J628" i="3"/>
  <c r="J620" i="3"/>
  <c r="J612" i="3"/>
  <c r="J604" i="3"/>
  <c r="J596" i="3"/>
  <c r="J588" i="3"/>
  <c r="J580" i="3"/>
  <c r="J572" i="3"/>
  <c r="J564" i="3"/>
  <c r="J556" i="3"/>
  <c r="J548" i="3"/>
  <c r="J540" i="3"/>
  <c r="J532" i="3"/>
  <c r="J524" i="3"/>
  <c r="J516" i="3"/>
  <c r="J508" i="3"/>
  <c r="J500" i="3"/>
  <c r="J492" i="3"/>
  <c r="J484" i="3"/>
  <c r="J476" i="3"/>
  <c r="J468" i="3"/>
  <c r="J460" i="3"/>
  <c r="J452" i="3"/>
  <c r="J444" i="3"/>
  <c r="J436" i="3"/>
  <c r="J428" i="3"/>
  <c r="J420" i="3"/>
  <c r="J412" i="3"/>
  <c r="J404" i="3"/>
  <c r="J396" i="3"/>
  <c r="J388" i="3"/>
  <c r="J380" i="3"/>
  <c r="J372" i="3"/>
  <c r="J364" i="3"/>
  <c r="J356" i="3"/>
  <c r="J348" i="3"/>
  <c r="J340" i="3"/>
  <c r="J332" i="3"/>
  <c r="J324" i="3"/>
  <c r="J316" i="3"/>
  <c r="J308" i="3"/>
  <c r="J300" i="3"/>
  <c r="J292" i="3"/>
  <c r="J284" i="3"/>
  <c r="J276" i="3"/>
  <c r="J268" i="3"/>
  <c r="J260" i="3"/>
  <c r="J252" i="3"/>
  <c r="J244" i="3"/>
  <c r="J236" i="3"/>
  <c r="J228" i="3"/>
  <c r="J220" i="3"/>
  <c r="J212" i="3"/>
  <c r="J204" i="3"/>
  <c r="J196" i="3"/>
  <c r="J188" i="3"/>
  <c r="J180" i="3"/>
  <c r="J172" i="3"/>
  <c r="J164" i="3"/>
  <c r="J156" i="3"/>
  <c r="J148" i="3"/>
  <c r="J140" i="3"/>
  <c r="J132" i="3"/>
  <c r="J124" i="3"/>
  <c r="J116" i="3"/>
  <c r="J108" i="3"/>
  <c r="J100" i="3"/>
  <c r="J92" i="3"/>
  <c r="J84" i="3"/>
  <c r="J76" i="3"/>
  <c r="J68" i="3"/>
  <c r="J60" i="3"/>
  <c r="J52" i="3"/>
  <c r="J44" i="3"/>
  <c r="J36" i="3"/>
  <c r="J28" i="3"/>
  <c r="J20" i="3"/>
  <c r="J12" i="3"/>
  <c r="J1003" i="3"/>
  <c r="J995" i="3"/>
  <c r="J987" i="3"/>
  <c r="J979" i="3"/>
  <c r="J971" i="3"/>
  <c r="J963" i="3"/>
  <c r="J955" i="3"/>
  <c r="J947" i="3"/>
  <c r="J939" i="3"/>
  <c r="J931" i="3"/>
  <c r="J923" i="3"/>
  <c r="J915" i="3"/>
  <c r="J907" i="3"/>
  <c r="J899" i="3"/>
  <c r="J891" i="3"/>
  <c r="J883" i="3"/>
  <c r="J875" i="3"/>
  <c r="J867" i="3"/>
  <c r="J859" i="3"/>
  <c r="J851" i="3"/>
  <c r="J843" i="3"/>
  <c r="J835" i="3"/>
  <c r="J827" i="3"/>
  <c r="J819" i="3"/>
  <c r="J811" i="3"/>
  <c r="J803" i="3"/>
  <c r="J795" i="3"/>
  <c r="J787" i="3"/>
  <c r="J779" i="3"/>
  <c r="J771" i="3"/>
  <c r="J763" i="3"/>
  <c r="J755" i="3"/>
  <c r="J747" i="3"/>
  <c r="J739" i="3"/>
  <c r="J731" i="3"/>
  <c r="J723" i="3"/>
  <c r="J715" i="3"/>
  <c r="J707" i="3"/>
  <c r="J699" i="3"/>
  <c r="J691" i="3"/>
  <c r="J683" i="3"/>
  <c r="J675" i="3"/>
  <c r="J667" i="3"/>
  <c r="J659" i="3"/>
  <c r="J651" i="3"/>
  <c r="J643" i="3"/>
  <c r="J635" i="3"/>
  <c r="J627" i="3"/>
  <c r="J619" i="3"/>
  <c r="J611" i="3"/>
  <c r="J603" i="3"/>
  <c r="J595" i="3"/>
  <c r="J587" i="3"/>
  <c r="J579" i="3"/>
  <c r="J571" i="3"/>
  <c r="J563" i="3"/>
  <c r="J555" i="3"/>
  <c r="J547" i="3"/>
  <c r="J539" i="3"/>
  <c r="J531" i="3"/>
  <c r="J523" i="3"/>
  <c r="J515" i="3"/>
  <c r="J507" i="3"/>
  <c r="J499" i="3"/>
  <c r="J491" i="3"/>
  <c r="J483" i="3"/>
  <c r="J475" i="3"/>
  <c r="J467" i="3"/>
  <c r="J459" i="3"/>
  <c r="J451" i="3"/>
  <c r="J443" i="3"/>
  <c r="J435" i="3"/>
  <c r="J427" i="3"/>
  <c r="J419" i="3"/>
  <c r="J411" i="3"/>
  <c r="J403" i="3"/>
  <c r="J395" i="3"/>
  <c r="J387" i="3"/>
  <c r="J379" i="3"/>
  <c r="J371" i="3"/>
  <c r="J363" i="3"/>
  <c r="J355" i="3"/>
  <c r="J347" i="3"/>
  <c r="J339" i="3"/>
  <c r="J331" i="3"/>
  <c r="J323" i="3"/>
  <c r="J315" i="3"/>
  <c r="J307" i="3"/>
  <c r="J299" i="3"/>
  <c r="J291" i="3"/>
  <c r="J283" i="3"/>
  <c r="J275" i="3"/>
  <c r="J267" i="3"/>
  <c r="J259" i="3"/>
  <c r="J251" i="3"/>
  <c r="J243" i="3"/>
  <c r="J235" i="3"/>
  <c r="J227" i="3"/>
  <c r="J219" i="3"/>
  <c r="J211" i="3"/>
  <c r="J203" i="3"/>
  <c r="J195" i="3"/>
  <c r="J187" i="3"/>
  <c r="J179" i="3"/>
  <c r="J171" i="3"/>
  <c r="J163" i="3"/>
  <c r="J155" i="3"/>
  <c r="J147" i="3"/>
  <c r="J139" i="3"/>
  <c r="J131" i="3"/>
  <c r="J123" i="3"/>
  <c r="J115" i="3"/>
  <c r="J107" i="3"/>
  <c r="J99" i="3"/>
  <c r="J91" i="3"/>
  <c r="J83" i="3"/>
  <c r="J75" i="3"/>
  <c r="J989" i="3"/>
  <c r="J925" i="3"/>
  <c r="J861" i="3"/>
  <c r="J797" i="3"/>
  <c r="J733" i="3"/>
  <c r="J669" i="3"/>
  <c r="J605" i="3"/>
  <c r="J541" i="3"/>
  <c r="J477" i="3"/>
  <c r="J413" i="3"/>
  <c r="J349" i="3"/>
  <c r="J285" i="3"/>
  <c r="J221" i="3"/>
  <c r="J157" i="3"/>
  <c r="J93" i="3"/>
  <c r="J51" i="3"/>
  <c r="J19" i="3"/>
  <c r="J253" i="3"/>
  <c r="J981" i="3"/>
  <c r="J917" i="3"/>
  <c r="J853" i="3"/>
  <c r="J789" i="3"/>
  <c r="J725" i="3"/>
  <c r="J661" i="3"/>
  <c r="J597" i="3"/>
  <c r="J533" i="3"/>
  <c r="J469" i="3"/>
  <c r="J405" i="3"/>
  <c r="J341" i="3"/>
  <c r="J277" i="3"/>
  <c r="J213" i="3"/>
  <c r="J149" i="3"/>
  <c r="J85" i="3"/>
  <c r="J45" i="3"/>
  <c r="J13" i="3"/>
  <c r="J269" i="3"/>
  <c r="J509" i="3"/>
  <c r="J973" i="3"/>
  <c r="J909" i="3"/>
  <c r="J845" i="3"/>
  <c r="J781" i="3"/>
  <c r="J717" i="3"/>
  <c r="J653" i="3"/>
  <c r="J589" i="3"/>
  <c r="J525" i="3"/>
  <c r="J461" i="3"/>
  <c r="J397" i="3"/>
  <c r="J333" i="3"/>
  <c r="J205" i="3"/>
  <c r="J141" i="3"/>
  <c r="J77" i="3"/>
  <c r="J43" i="3"/>
  <c r="J11" i="3"/>
  <c r="J317" i="3"/>
  <c r="J965" i="3"/>
  <c r="J901" i="3"/>
  <c r="J837" i="3"/>
  <c r="J773" i="3"/>
  <c r="J709" i="3"/>
  <c r="J645" i="3"/>
  <c r="J581" i="3"/>
  <c r="J517" i="3"/>
  <c r="J453" i="3"/>
  <c r="J389" i="3"/>
  <c r="J325" i="3"/>
  <c r="J261" i="3"/>
  <c r="J197" i="3"/>
  <c r="J133" i="3"/>
  <c r="J69" i="3"/>
  <c r="J37" i="3"/>
  <c r="J957" i="3"/>
  <c r="J893" i="3"/>
  <c r="J829" i="3"/>
  <c r="J765" i="3"/>
  <c r="J701" i="3"/>
  <c r="J637" i="3"/>
  <c r="J573" i="3"/>
  <c r="J445" i="3"/>
  <c r="J381" i="3"/>
  <c r="J189" i="3"/>
  <c r="J125" i="3"/>
  <c r="J67" i="3"/>
  <c r="J35" i="3"/>
  <c r="J949" i="3"/>
  <c r="J885" i="3"/>
  <c r="J821" i="3"/>
  <c r="J757" i="3"/>
  <c r="J693" i="3"/>
  <c r="J629" i="3"/>
  <c r="J565" i="3"/>
  <c r="J501" i="3"/>
  <c r="J437" i="3"/>
  <c r="J373" i="3"/>
  <c r="J309" i="3"/>
  <c r="J245" i="3"/>
  <c r="J181" i="3"/>
  <c r="J117" i="3"/>
  <c r="J61" i="3"/>
  <c r="J29" i="3"/>
  <c r="J869" i="3"/>
  <c r="J741" i="3"/>
  <c r="J613" i="3"/>
  <c r="J485" i="3"/>
  <c r="J421" i="3"/>
  <c r="J293" i="3"/>
  <c r="J165" i="3"/>
  <c r="J101" i="3"/>
  <c r="J21" i="3"/>
  <c r="J941" i="3"/>
  <c r="J877" i="3"/>
  <c r="J813" i="3"/>
  <c r="J749" i="3"/>
  <c r="J685" i="3"/>
  <c r="J621" i="3"/>
  <c r="J557" i="3"/>
  <c r="J493" i="3"/>
  <c r="J429" i="3"/>
  <c r="J365" i="3"/>
  <c r="J301" i="3"/>
  <c r="J237" i="3"/>
  <c r="J173" i="3"/>
  <c r="J109" i="3"/>
  <c r="J59" i="3"/>
  <c r="J27" i="3"/>
  <c r="J933" i="3"/>
  <c r="J805" i="3"/>
  <c r="J677" i="3"/>
  <c r="J549" i="3"/>
  <c r="J357" i="3"/>
  <c r="J229" i="3"/>
  <c r="J53" i="3"/>
  <c r="I1010" i="3"/>
  <c r="I1002" i="3"/>
  <c r="I994" i="3"/>
  <c r="I986" i="3"/>
  <c r="I978" i="3"/>
  <c r="I970" i="3"/>
  <c r="I962" i="3"/>
  <c r="I954" i="3"/>
  <c r="I946" i="3"/>
  <c r="I938" i="3"/>
  <c r="I930" i="3"/>
  <c r="I922" i="3"/>
  <c r="I914" i="3"/>
  <c r="I906" i="3"/>
  <c r="I898" i="3"/>
  <c r="I890" i="3"/>
  <c r="I882" i="3"/>
  <c r="I874" i="3"/>
  <c r="I866" i="3"/>
  <c r="I858" i="3"/>
  <c r="I850" i="3"/>
  <c r="I842" i="3"/>
  <c r="I834" i="3"/>
  <c r="I826" i="3"/>
  <c r="I818" i="3"/>
  <c r="I810" i="3"/>
  <c r="I802" i="3"/>
  <c r="I794" i="3"/>
  <c r="I786" i="3"/>
  <c r="I778" i="3"/>
  <c r="I770" i="3"/>
  <c r="I762" i="3"/>
  <c r="I754" i="3"/>
  <c r="I746" i="3"/>
  <c r="I738" i="3"/>
  <c r="I730" i="3"/>
  <c r="I722" i="3"/>
  <c r="I714" i="3"/>
  <c r="I706" i="3"/>
  <c r="I698" i="3"/>
  <c r="I690" i="3"/>
  <c r="I682" i="3"/>
  <c r="I674" i="3"/>
  <c r="I666" i="3"/>
  <c r="I658" i="3"/>
  <c r="I650" i="3"/>
  <c r="I642" i="3"/>
  <c r="I634" i="3"/>
  <c r="I626" i="3"/>
  <c r="I618" i="3"/>
  <c r="I610" i="3"/>
  <c r="I602" i="3"/>
  <c r="I594" i="3"/>
  <c r="I586" i="3"/>
  <c r="I578" i="3"/>
  <c r="I570" i="3"/>
  <c r="I562" i="3"/>
  <c r="I554" i="3"/>
  <c r="I546" i="3"/>
  <c r="I538" i="3"/>
  <c r="I530" i="3"/>
  <c r="I522" i="3"/>
  <c r="I514" i="3"/>
  <c r="I506" i="3"/>
  <c r="I498" i="3"/>
  <c r="I490" i="3"/>
  <c r="I482" i="3"/>
  <c r="I474" i="3"/>
  <c r="I466" i="3"/>
  <c r="I458" i="3"/>
  <c r="I450" i="3"/>
  <c r="I442" i="3"/>
  <c r="I434" i="3"/>
  <c r="I426" i="3"/>
  <c r="I418" i="3"/>
  <c r="I410" i="3"/>
  <c r="I402" i="3"/>
  <c r="I394" i="3"/>
  <c r="I386" i="3"/>
  <c r="I378" i="3"/>
  <c r="I370" i="3"/>
  <c r="I362" i="3"/>
  <c r="I354" i="3"/>
  <c r="I346" i="3"/>
  <c r="I338" i="3"/>
  <c r="I330" i="3"/>
  <c r="I322" i="3"/>
  <c r="I314" i="3"/>
  <c r="I306" i="3"/>
  <c r="I298" i="3"/>
  <c r="I290" i="3"/>
  <c r="I282" i="3"/>
  <c r="I274" i="3"/>
  <c r="I266" i="3"/>
  <c r="I258" i="3"/>
  <c r="I250" i="3"/>
  <c r="I242" i="3"/>
  <c r="I234" i="3"/>
  <c r="I226" i="3"/>
  <c r="I218" i="3"/>
  <c r="I210" i="3"/>
  <c r="I194" i="3"/>
  <c r="I186" i="3"/>
  <c r="I178" i="3"/>
  <c r="I170" i="3"/>
  <c r="I162" i="3"/>
  <c r="I154" i="3"/>
  <c r="I146" i="3"/>
  <c r="I138" i="3"/>
  <c r="I122" i="3"/>
  <c r="I1009" i="3"/>
  <c r="I1001" i="3"/>
  <c r="I993" i="3"/>
  <c r="I985" i="3"/>
  <c r="I977" i="3"/>
  <c r="I969" i="3"/>
  <c r="I961" i="3"/>
  <c r="I953" i="3"/>
  <c r="I945" i="3"/>
  <c r="I937" i="3"/>
  <c r="I929" i="3"/>
  <c r="I921" i="3"/>
  <c r="I913" i="3"/>
  <c r="I905" i="3"/>
  <c r="I897" i="3"/>
  <c r="I889" i="3"/>
  <c r="I881" i="3"/>
  <c r="I873" i="3"/>
  <c r="I865" i="3"/>
  <c r="I857" i="3"/>
  <c r="I849" i="3"/>
  <c r="I841" i="3"/>
  <c r="I833" i="3"/>
  <c r="I825" i="3"/>
  <c r="I817" i="3"/>
  <c r="I809" i="3"/>
  <c r="I801" i="3"/>
  <c r="I793" i="3"/>
  <c r="I785" i="3"/>
  <c r="I777" i="3"/>
  <c r="I769" i="3"/>
  <c r="I761" i="3"/>
  <c r="I753" i="3"/>
  <c r="I745" i="3"/>
  <c r="I737" i="3"/>
  <c r="I729" i="3"/>
  <c r="I721" i="3"/>
  <c r="I713" i="3"/>
  <c r="I705" i="3"/>
  <c r="I697" i="3"/>
  <c r="I689" i="3"/>
  <c r="I681" i="3"/>
  <c r="I673" i="3"/>
  <c r="I665" i="3"/>
  <c r="I657" i="3"/>
  <c r="I649" i="3"/>
  <c r="I641" i="3"/>
  <c r="I633" i="3"/>
  <c r="I625" i="3"/>
  <c r="I617" i="3"/>
  <c r="I609" i="3"/>
  <c r="I601" i="3"/>
  <c r="I593" i="3"/>
  <c r="I585" i="3"/>
  <c r="I577" i="3"/>
  <c r="I569" i="3"/>
  <c r="I561" i="3"/>
  <c r="I553" i="3"/>
  <c r="I545" i="3"/>
  <c r="I537" i="3"/>
  <c r="I529" i="3"/>
  <c r="I521" i="3"/>
  <c r="I513" i="3"/>
  <c r="I505" i="3"/>
  <c r="I497" i="3"/>
  <c r="I489" i="3"/>
  <c r="I481" i="3"/>
  <c r="I473" i="3"/>
  <c r="I465" i="3"/>
  <c r="I457" i="3"/>
  <c r="I449" i="3"/>
  <c r="I441" i="3"/>
  <c r="I433" i="3"/>
  <c r="I425" i="3"/>
  <c r="I417" i="3"/>
  <c r="I409" i="3"/>
  <c r="I401" i="3"/>
  <c r="I393" i="3"/>
  <c r="I385" i="3"/>
  <c r="I377" i="3"/>
  <c r="I369" i="3"/>
  <c r="I361" i="3"/>
  <c r="I353" i="3"/>
  <c r="I345" i="3"/>
  <c r="I337" i="3"/>
  <c r="I329" i="3"/>
  <c r="I321" i="3"/>
  <c r="I1008" i="3"/>
  <c r="I1000" i="3"/>
  <c r="I992" i="3"/>
  <c r="I984" i="3"/>
  <c r="I976" i="3"/>
  <c r="I968" i="3"/>
  <c r="I960" i="3"/>
  <c r="I952" i="3"/>
  <c r="I944" i="3"/>
  <c r="I936" i="3"/>
  <c r="I928" i="3"/>
  <c r="I920" i="3"/>
  <c r="I912" i="3"/>
  <c r="I904" i="3"/>
  <c r="I896" i="3"/>
  <c r="I888" i="3"/>
  <c r="I880" i="3"/>
  <c r="I872" i="3"/>
  <c r="I864" i="3"/>
  <c r="I856" i="3"/>
  <c r="I848" i="3"/>
  <c r="I840" i="3"/>
  <c r="I832" i="3"/>
  <c r="I824" i="3"/>
  <c r="I816" i="3"/>
  <c r="I808" i="3"/>
  <c r="I800" i="3"/>
  <c r="I792" i="3"/>
  <c r="I784" i="3"/>
  <c r="I776" i="3"/>
  <c r="I768" i="3"/>
  <c r="I760" i="3"/>
  <c r="I752" i="3"/>
  <c r="I744" i="3"/>
  <c r="I736" i="3"/>
  <c r="I728" i="3"/>
  <c r="I720" i="3"/>
  <c r="I712" i="3"/>
  <c r="I704" i="3"/>
  <c r="I696" i="3"/>
  <c r="I688" i="3"/>
  <c r="I680" i="3"/>
  <c r="I672" i="3"/>
  <c r="I664" i="3"/>
  <c r="I656" i="3"/>
  <c r="I648" i="3"/>
  <c r="I640" i="3"/>
  <c r="I632" i="3"/>
  <c r="I624" i="3"/>
  <c r="I616" i="3"/>
  <c r="I608" i="3"/>
  <c r="I600" i="3"/>
  <c r="I592" i="3"/>
  <c r="I584" i="3"/>
  <c r="I576" i="3"/>
  <c r="I568" i="3"/>
  <c r="I560" i="3"/>
  <c r="I552" i="3"/>
  <c r="I544" i="3"/>
  <c r="I536" i="3"/>
  <c r="I528" i="3"/>
  <c r="I520" i="3"/>
  <c r="I512" i="3"/>
  <c r="I504" i="3"/>
  <c r="I496" i="3"/>
  <c r="I488" i="3"/>
  <c r="I480" i="3"/>
  <c r="I472" i="3"/>
  <c r="I464" i="3"/>
  <c r="I456" i="3"/>
  <c r="I448" i="3"/>
  <c r="I440" i="3"/>
  <c r="I432" i="3"/>
  <c r="I424" i="3"/>
  <c r="I416" i="3"/>
  <c r="I408" i="3"/>
  <c r="I400" i="3"/>
  <c r="I392" i="3"/>
  <c r="I384" i="3"/>
  <c r="I376" i="3"/>
  <c r="I368" i="3"/>
  <c r="I360" i="3"/>
  <c r="I352" i="3"/>
  <c r="I344" i="3"/>
  <c r="I336" i="3"/>
  <c r="I1007" i="3"/>
  <c r="I999" i="3"/>
  <c r="I991" i="3"/>
  <c r="I983" i="3"/>
  <c r="I975" i="3"/>
  <c r="I967" i="3"/>
  <c r="I959" i="3"/>
  <c r="I951" i="3"/>
  <c r="I943" i="3"/>
  <c r="I935" i="3"/>
  <c r="I927" i="3"/>
  <c r="I919" i="3"/>
  <c r="I911" i="3"/>
  <c r="I903" i="3"/>
  <c r="I895" i="3"/>
  <c r="I887" i="3"/>
  <c r="I879" i="3"/>
  <c r="I871" i="3"/>
  <c r="I863" i="3"/>
  <c r="I855" i="3"/>
  <c r="I847" i="3"/>
  <c r="I839" i="3"/>
  <c r="I831" i="3"/>
  <c r="I823" i="3"/>
  <c r="I815" i="3"/>
  <c r="I807" i="3"/>
  <c r="I799" i="3"/>
  <c r="I791" i="3"/>
  <c r="I783" i="3"/>
  <c r="I775" i="3"/>
  <c r="I767" i="3"/>
  <c r="I759" i="3"/>
  <c r="I751" i="3"/>
  <c r="I743" i="3"/>
  <c r="I735" i="3"/>
  <c r="I727" i="3"/>
  <c r="I719" i="3"/>
  <c r="I711" i="3"/>
  <c r="I703" i="3"/>
  <c r="I695" i="3"/>
  <c r="I687" i="3"/>
  <c r="I679" i="3"/>
  <c r="I671" i="3"/>
  <c r="I663" i="3"/>
  <c r="I655" i="3"/>
  <c r="I647" i="3"/>
  <c r="I639" i="3"/>
  <c r="I631" i="3"/>
  <c r="I623" i="3"/>
  <c r="I615" i="3"/>
  <c r="I607" i="3"/>
  <c r="I599" i="3"/>
  <c r="I591" i="3"/>
  <c r="I583" i="3"/>
  <c r="I575" i="3"/>
  <c r="I567" i="3"/>
  <c r="I559" i="3"/>
  <c r="I551" i="3"/>
  <c r="I543" i="3"/>
  <c r="I535" i="3"/>
  <c r="I527" i="3"/>
  <c r="I519" i="3"/>
  <c r="I511" i="3"/>
  <c r="I503" i="3"/>
  <c r="I495" i="3"/>
  <c r="I487" i="3"/>
  <c r="I479" i="3"/>
  <c r="I471" i="3"/>
  <c r="I463" i="3"/>
  <c r="I455" i="3"/>
  <c r="I447" i="3"/>
  <c r="I439" i="3"/>
  <c r="I431" i="3"/>
  <c r="I423" i="3"/>
  <c r="I415" i="3"/>
  <c r="I407" i="3"/>
  <c r="I399" i="3"/>
  <c r="I391" i="3"/>
  <c r="I383" i="3"/>
  <c r="I375" i="3"/>
  <c r="I367" i="3"/>
  <c r="I359" i="3"/>
  <c r="I351" i="3"/>
  <c r="I343" i="3"/>
  <c r="I335" i="3"/>
  <c r="I1006" i="3"/>
  <c r="I998" i="3"/>
  <c r="I990" i="3"/>
  <c r="I982" i="3"/>
  <c r="I974" i="3"/>
  <c r="I966" i="3"/>
  <c r="I958" i="3"/>
  <c r="I950" i="3"/>
  <c r="I942" i="3"/>
  <c r="I934" i="3"/>
  <c r="I926" i="3"/>
  <c r="I918" i="3"/>
  <c r="I910" i="3"/>
  <c r="I902" i="3"/>
  <c r="I894" i="3"/>
  <c r="I886" i="3"/>
  <c r="I878" i="3"/>
  <c r="I870" i="3"/>
  <c r="I862" i="3"/>
  <c r="I854" i="3"/>
  <c r="I846" i="3"/>
  <c r="I838" i="3"/>
  <c r="I830" i="3"/>
  <c r="I822" i="3"/>
  <c r="I814" i="3"/>
  <c r="I806" i="3"/>
  <c r="I798" i="3"/>
  <c r="I790" i="3"/>
  <c r="I782" i="3"/>
  <c r="I774" i="3"/>
  <c r="I766" i="3"/>
  <c r="I758" i="3"/>
  <c r="I750" i="3"/>
  <c r="I742" i="3"/>
  <c r="I734" i="3"/>
  <c r="I726" i="3"/>
  <c r="I718" i="3"/>
  <c r="I710" i="3"/>
  <c r="I702" i="3"/>
  <c r="I694" i="3"/>
  <c r="I686" i="3"/>
  <c r="I678" i="3"/>
  <c r="I670" i="3"/>
  <c r="I662" i="3"/>
  <c r="I654" i="3"/>
  <c r="I646" i="3"/>
  <c r="I638" i="3"/>
  <c r="I630" i="3"/>
  <c r="I622" i="3"/>
  <c r="I614" i="3"/>
  <c r="I606" i="3"/>
  <c r="I598" i="3"/>
  <c r="I590" i="3"/>
  <c r="I582" i="3"/>
  <c r="I574" i="3"/>
  <c r="I566" i="3"/>
  <c r="I558" i="3"/>
  <c r="I550" i="3"/>
  <c r="I542" i="3"/>
  <c r="I534" i="3"/>
  <c r="I526" i="3"/>
  <c r="I518" i="3"/>
  <c r="I510" i="3"/>
  <c r="I502" i="3"/>
  <c r="I494" i="3"/>
  <c r="I486" i="3"/>
  <c r="I478" i="3"/>
  <c r="I470" i="3"/>
  <c r="I462" i="3"/>
  <c r="I454" i="3"/>
  <c r="I446" i="3"/>
  <c r="I438" i="3"/>
  <c r="I430" i="3"/>
  <c r="I422" i="3"/>
  <c r="I414" i="3"/>
  <c r="I406" i="3"/>
  <c r="I398" i="3"/>
  <c r="I390" i="3"/>
  <c r="I382" i="3"/>
  <c r="I374" i="3"/>
  <c r="I366" i="3"/>
  <c r="I358" i="3"/>
  <c r="I350" i="3"/>
  <c r="I342" i="3"/>
  <c r="I334" i="3"/>
  <c r="I326" i="3"/>
  <c r="I318" i="3"/>
  <c r="I310" i="3"/>
  <c r="I302" i="3"/>
  <c r="I294" i="3"/>
  <c r="I286" i="3"/>
  <c r="I278" i="3"/>
  <c r="I270" i="3"/>
  <c r="I262" i="3"/>
  <c r="I254" i="3"/>
  <c r="I246" i="3"/>
  <c r="I238" i="3"/>
  <c r="I230" i="3"/>
  <c r="I222" i="3"/>
  <c r="I214" i="3"/>
  <c r="I206" i="3"/>
  <c r="I198" i="3"/>
  <c r="I190" i="3"/>
  <c r="I182" i="3"/>
  <c r="I174" i="3"/>
  <c r="I166" i="3"/>
  <c r="I158" i="3"/>
  <c r="I150" i="3"/>
  <c r="I142" i="3"/>
  <c r="I134" i="3"/>
  <c r="I126" i="3"/>
  <c r="I118" i="3"/>
  <c r="I110" i="3"/>
  <c r="I102" i="3"/>
  <c r="I94" i="3"/>
  <c r="I86" i="3"/>
  <c r="I78" i="3"/>
  <c r="I70" i="3"/>
  <c r="I62" i="3"/>
  <c r="I54" i="3"/>
  <c r="I46" i="3"/>
  <c r="I38" i="3"/>
  <c r="I30" i="3"/>
  <c r="I22" i="3"/>
  <c r="I14" i="3"/>
  <c r="I205" i="3"/>
  <c r="I133" i="3"/>
  <c r="I1005" i="3"/>
  <c r="I997" i="3"/>
  <c r="I989" i="3"/>
  <c r="I981" i="3"/>
  <c r="I973" i="3"/>
  <c r="I965" i="3"/>
  <c r="I957" i="3"/>
  <c r="I949" i="3"/>
  <c r="I941" i="3"/>
  <c r="I933" i="3"/>
  <c r="I925" i="3"/>
  <c r="I917" i="3"/>
  <c r="I909" i="3"/>
  <c r="I901" i="3"/>
  <c r="I893" i="3"/>
  <c r="I885" i="3"/>
  <c r="I877" i="3"/>
  <c r="I869" i="3"/>
  <c r="I861" i="3"/>
  <c r="I853" i="3"/>
  <c r="I845" i="3"/>
  <c r="I837" i="3"/>
  <c r="I829" i="3"/>
  <c r="I821" i="3"/>
  <c r="I813" i="3"/>
  <c r="I805" i="3"/>
  <c r="I797" i="3"/>
  <c r="I789" i="3"/>
  <c r="I781" i="3"/>
  <c r="I773" i="3"/>
  <c r="I765" i="3"/>
  <c r="I757" i="3"/>
  <c r="I749" i="3"/>
  <c r="I741" i="3"/>
  <c r="I733" i="3"/>
  <c r="I725" i="3"/>
  <c r="I717" i="3"/>
  <c r="I709" i="3"/>
  <c r="I701" i="3"/>
  <c r="I693" i="3"/>
  <c r="I685" i="3"/>
  <c r="I677" i="3"/>
  <c r="I669" i="3"/>
  <c r="I661" i="3"/>
  <c r="I653" i="3"/>
  <c r="I645" i="3"/>
  <c r="I637" i="3"/>
  <c r="I629" i="3"/>
  <c r="I621" i="3"/>
  <c r="I613" i="3"/>
  <c r="I605" i="3"/>
  <c r="I597" i="3"/>
  <c r="I589" i="3"/>
  <c r="I581" i="3"/>
  <c r="I573" i="3"/>
  <c r="I565" i="3"/>
  <c r="I557" i="3"/>
  <c r="I549" i="3"/>
  <c r="I541" i="3"/>
  <c r="I533" i="3"/>
  <c r="I525" i="3"/>
  <c r="I517" i="3"/>
  <c r="I509" i="3"/>
  <c r="I501" i="3"/>
  <c r="I493" i="3"/>
  <c r="I485" i="3"/>
  <c r="I477" i="3"/>
  <c r="I469" i="3"/>
  <c r="I461" i="3"/>
  <c r="I453" i="3"/>
  <c r="I445" i="3"/>
  <c r="I437" i="3"/>
  <c r="I429" i="3"/>
  <c r="I421" i="3"/>
  <c r="I413" i="3"/>
  <c r="I405" i="3"/>
  <c r="I397" i="3"/>
  <c r="I389" i="3"/>
  <c r="I381" i="3"/>
  <c r="I373" i="3"/>
  <c r="I365" i="3"/>
  <c r="I357" i="3"/>
  <c r="I349" i="3"/>
  <c r="I341" i="3"/>
  <c r="I333" i="3"/>
  <c r="I325" i="3"/>
  <c r="I317" i="3"/>
  <c r="I309" i="3"/>
  <c r="I301" i="3"/>
  <c r="I293" i="3"/>
  <c r="I285" i="3"/>
  <c r="I277" i="3"/>
  <c r="I269" i="3"/>
  <c r="I261" i="3"/>
  <c r="I253" i="3"/>
  <c r="I245" i="3"/>
  <c r="I237" i="3"/>
  <c r="I229" i="3"/>
  <c r="I221" i="3"/>
  <c r="I213" i="3"/>
  <c r="I197" i="3"/>
  <c r="I189" i="3"/>
  <c r="I181" i="3"/>
  <c r="I173" i="3"/>
  <c r="I165" i="3"/>
  <c r="I157" i="3"/>
  <c r="I149" i="3"/>
  <c r="I141" i="3"/>
  <c r="I125" i="3"/>
  <c r="I1004" i="3"/>
  <c r="I996" i="3"/>
  <c r="I988" i="3"/>
  <c r="I980" i="3"/>
  <c r="I972" i="3"/>
  <c r="I964" i="3"/>
  <c r="I956" i="3"/>
  <c r="I948" i="3"/>
  <c r="I940" i="3"/>
  <c r="I932" i="3"/>
  <c r="I924" i="3"/>
  <c r="I916" i="3"/>
  <c r="I908" i="3"/>
  <c r="I900" i="3"/>
  <c r="I892" i="3"/>
  <c r="I884" i="3"/>
  <c r="I876" i="3"/>
  <c r="I868" i="3"/>
  <c r="I860" i="3"/>
  <c r="I852" i="3"/>
  <c r="I844" i="3"/>
  <c r="I836" i="3"/>
  <c r="I828" i="3"/>
  <c r="I820" i="3"/>
  <c r="I812" i="3"/>
  <c r="I804" i="3"/>
  <c r="I796" i="3"/>
  <c r="I788" i="3"/>
  <c r="I780" i="3"/>
  <c r="I772" i="3"/>
  <c r="I764" i="3"/>
  <c r="I756" i="3"/>
  <c r="I748" i="3"/>
  <c r="I740" i="3"/>
  <c r="I732" i="3"/>
  <c r="I724" i="3"/>
  <c r="I716" i="3"/>
  <c r="I708" i="3"/>
  <c r="I700" i="3"/>
  <c r="I692" i="3"/>
  <c r="I684" i="3"/>
  <c r="I676" i="3"/>
  <c r="I668" i="3"/>
  <c r="I660" i="3"/>
  <c r="I652" i="3"/>
  <c r="I644" i="3"/>
  <c r="I636" i="3"/>
  <c r="I628" i="3"/>
  <c r="I620" i="3"/>
  <c r="I612" i="3"/>
  <c r="I604" i="3"/>
  <c r="I596" i="3"/>
  <c r="I588" i="3"/>
  <c r="I580" i="3"/>
  <c r="I572" i="3"/>
  <c r="I564" i="3"/>
  <c r="I556" i="3"/>
  <c r="I548" i="3"/>
  <c r="I540" i="3"/>
  <c r="I532" i="3"/>
  <c r="I524" i="3"/>
  <c r="I516" i="3"/>
  <c r="I508" i="3"/>
  <c r="I500" i="3"/>
  <c r="I492" i="3"/>
  <c r="I484" i="3"/>
  <c r="I476" i="3"/>
  <c r="I468" i="3"/>
  <c r="I460" i="3"/>
  <c r="I452" i="3"/>
  <c r="I444" i="3"/>
  <c r="I436" i="3"/>
  <c r="I428" i="3"/>
  <c r="I420" i="3"/>
  <c r="I412" i="3"/>
  <c r="I404" i="3"/>
  <c r="I396" i="3"/>
  <c r="I388" i="3"/>
  <c r="I380" i="3"/>
  <c r="I372" i="3"/>
  <c r="I364" i="3"/>
  <c r="I356" i="3"/>
  <c r="I348" i="3"/>
  <c r="I340" i="3"/>
  <c r="I332" i="3"/>
  <c r="I324" i="3"/>
  <c r="I1003" i="3"/>
  <c r="I995" i="3"/>
  <c r="I987" i="3"/>
  <c r="I979" i="3"/>
  <c r="I971" i="3"/>
  <c r="I963" i="3"/>
  <c r="I955" i="3"/>
  <c r="I947" i="3"/>
  <c r="I939" i="3"/>
  <c r="I931" i="3"/>
  <c r="I923" i="3"/>
  <c r="I915" i="3"/>
  <c r="I907" i="3"/>
  <c r="I899" i="3"/>
  <c r="I891" i="3"/>
  <c r="I883" i="3"/>
  <c r="I875" i="3"/>
  <c r="I867" i="3"/>
  <c r="I859" i="3"/>
  <c r="I851" i="3"/>
  <c r="I843" i="3"/>
  <c r="I835" i="3"/>
  <c r="I827" i="3"/>
  <c r="I819" i="3"/>
  <c r="I811" i="3"/>
  <c r="I803" i="3"/>
  <c r="I795" i="3"/>
  <c r="I787" i="3"/>
  <c r="I779" i="3"/>
  <c r="I771" i="3"/>
  <c r="I763" i="3"/>
  <c r="I755" i="3"/>
  <c r="I747" i="3"/>
  <c r="I739" i="3"/>
  <c r="I731" i="3"/>
  <c r="I723" i="3"/>
  <c r="I715" i="3"/>
  <c r="I707" i="3"/>
  <c r="I699" i="3"/>
  <c r="I691" i="3"/>
  <c r="I683" i="3"/>
  <c r="I675" i="3"/>
  <c r="I667" i="3"/>
  <c r="I659" i="3"/>
  <c r="I651" i="3"/>
  <c r="I643" i="3"/>
  <c r="I635" i="3"/>
  <c r="I627" i="3"/>
  <c r="I619" i="3"/>
  <c r="I611" i="3"/>
  <c r="I603" i="3"/>
  <c r="I595" i="3"/>
  <c r="I587" i="3"/>
  <c r="I579" i="3"/>
  <c r="I571" i="3"/>
  <c r="I563" i="3"/>
  <c r="I555" i="3"/>
  <c r="I547" i="3"/>
  <c r="I539" i="3"/>
  <c r="I531" i="3"/>
  <c r="I523" i="3"/>
  <c r="I515" i="3"/>
  <c r="I507" i="3"/>
  <c r="I499" i="3"/>
  <c r="I491" i="3"/>
  <c r="I483" i="3"/>
  <c r="I475" i="3"/>
  <c r="I467" i="3"/>
  <c r="I459" i="3"/>
  <c r="I451" i="3"/>
  <c r="I443" i="3"/>
  <c r="I435" i="3"/>
  <c r="I427" i="3"/>
  <c r="I419" i="3"/>
  <c r="I411" i="3"/>
  <c r="I403" i="3"/>
  <c r="I395" i="3"/>
  <c r="I387" i="3"/>
  <c r="I379" i="3"/>
  <c r="I371" i="3"/>
  <c r="I363" i="3"/>
  <c r="I355" i="3"/>
  <c r="I347" i="3"/>
  <c r="I339" i="3"/>
  <c r="I331" i="3"/>
  <c r="I323" i="3"/>
  <c r="I315" i="3"/>
  <c r="I307" i="3"/>
  <c r="I299" i="3"/>
  <c r="I291" i="3"/>
  <c r="I283" i="3"/>
  <c r="I275" i="3"/>
  <c r="I267" i="3"/>
  <c r="I259" i="3"/>
  <c r="I251" i="3"/>
  <c r="I243" i="3"/>
  <c r="I235" i="3"/>
  <c r="I227" i="3"/>
  <c r="I219" i="3"/>
  <c r="I211" i="3"/>
  <c r="I203" i="3"/>
  <c r="I195" i="3"/>
  <c r="I187" i="3"/>
  <c r="I179" i="3"/>
  <c r="I171" i="3"/>
  <c r="I163" i="3"/>
  <c r="I155" i="3"/>
  <c r="I147" i="3"/>
  <c r="I139" i="3"/>
  <c r="I131" i="3"/>
  <c r="I123" i="3"/>
  <c r="I115" i="3"/>
  <c r="I107" i="3"/>
  <c r="I99" i="3"/>
  <c r="I91" i="3"/>
  <c r="I83" i="3"/>
  <c r="I75" i="3"/>
  <c r="I67" i="3"/>
  <c r="I59" i="3"/>
  <c r="I51" i="3"/>
  <c r="I43" i="3"/>
  <c r="I35" i="3"/>
  <c r="I27" i="3"/>
  <c r="I19" i="3"/>
  <c r="I11" i="3"/>
  <c r="I202" i="3"/>
  <c r="I130" i="3"/>
  <c r="I292" i="3"/>
  <c r="I244" i="3"/>
  <c r="I196" i="3"/>
  <c r="I148" i="3"/>
  <c r="I106" i="3"/>
  <c r="I74" i="3"/>
  <c r="I32" i="3"/>
  <c r="I327" i="3"/>
  <c r="I305" i="3"/>
  <c r="I289" i="3"/>
  <c r="I273" i="3"/>
  <c r="I257" i="3"/>
  <c r="I241" i="3"/>
  <c r="I225" i="3"/>
  <c r="I209" i="3"/>
  <c r="I193" i="3"/>
  <c r="I177" i="3"/>
  <c r="I161" i="3"/>
  <c r="I145" i="3"/>
  <c r="I129" i="3"/>
  <c r="I116" i="3"/>
  <c r="I105" i="3"/>
  <c r="I95" i="3"/>
  <c r="I84" i="3"/>
  <c r="I73" i="3"/>
  <c r="I63" i="3"/>
  <c r="I52" i="3"/>
  <c r="I41" i="3"/>
  <c r="I320" i="3"/>
  <c r="I304" i="3"/>
  <c r="I288" i="3"/>
  <c r="I272" i="3"/>
  <c r="I256" i="3"/>
  <c r="I240" i="3"/>
  <c r="I224" i="3"/>
  <c r="I208" i="3"/>
  <c r="I192" i="3"/>
  <c r="I176" i="3"/>
  <c r="I160" i="3"/>
  <c r="I144" i="3"/>
  <c r="I128" i="3"/>
  <c r="I114" i="3"/>
  <c r="I104" i="3"/>
  <c r="I93" i="3"/>
  <c r="I82" i="3"/>
  <c r="I72" i="3"/>
  <c r="I61" i="3"/>
  <c r="I50" i="3"/>
  <c r="I40" i="3"/>
  <c r="I29" i="3"/>
  <c r="I18" i="3"/>
  <c r="I319" i="3"/>
  <c r="I303" i="3"/>
  <c r="I287" i="3"/>
  <c r="I271" i="3"/>
  <c r="I255" i="3"/>
  <c r="I239" i="3"/>
  <c r="I223" i="3"/>
  <c r="I207" i="3"/>
  <c r="I191" i="3"/>
  <c r="I175" i="3"/>
  <c r="I159" i="3"/>
  <c r="I143" i="3"/>
  <c r="I127" i="3"/>
  <c r="I113" i="3"/>
  <c r="I103" i="3"/>
  <c r="I92" i="3"/>
  <c r="I81" i="3"/>
  <c r="I71" i="3"/>
  <c r="I60" i="3"/>
  <c r="I49" i="3"/>
  <c r="I39" i="3"/>
  <c r="I28" i="3"/>
  <c r="I17" i="3"/>
  <c r="I316" i="3"/>
  <c r="I300" i="3"/>
  <c r="I284" i="3"/>
  <c r="I268" i="3"/>
  <c r="I252" i="3"/>
  <c r="I236" i="3"/>
  <c r="I220" i="3"/>
  <c r="I204" i="3"/>
  <c r="I188" i="3"/>
  <c r="I172" i="3"/>
  <c r="I156" i="3"/>
  <c r="I140" i="3"/>
  <c r="I124" i="3"/>
  <c r="I112" i="3"/>
  <c r="I101" i="3"/>
  <c r="I90" i="3"/>
  <c r="I80" i="3"/>
  <c r="I69" i="3"/>
  <c r="I58" i="3"/>
  <c r="I48" i="3"/>
  <c r="I37" i="3"/>
  <c r="I26" i="3"/>
  <c r="I16" i="3"/>
  <c r="I313" i="3"/>
  <c r="I297" i="3"/>
  <c r="I281" i="3"/>
  <c r="I265" i="3"/>
  <c r="I249" i="3"/>
  <c r="I233" i="3"/>
  <c r="I217" i="3"/>
  <c r="I201" i="3"/>
  <c r="I185" i="3"/>
  <c r="I169" i="3"/>
  <c r="I153" i="3"/>
  <c r="I137" i="3"/>
  <c r="I121" i="3"/>
  <c r="I111" i="3"/>
  <c r="I100" i="3"/>
  <c r="I89" i="3"/>
  <c r="I79" i="3"/>
  <c r="I68" i="3"/>
  <c r="I57" i="3"/>
  <c r="I47" i="3"/>
  <c r="I36" i="3"/>
  <c r="I25" i="3"/>
  <c r="I15" i="3"/>
  <c r="I312" i="3"/>
  <c r="I296" i="3"/>
  <c r="I280" i="3"/>
  <c r="I264" i="3"/>
  <c r="I248" i="3"/>
  <c r="I232" i="3"/>
  <c r="I216" i="3"/>
  <c r="I200" i="3"/>
  <c r="I184" i="3"/>
  <c r="I168" i="3"/>
  <c r="I152" i="3"/>
  <c r="I136" i="3"/>
  <c r="I120" i="3"/>
  <c r="I109" i="3"/>
  <c r="I98" i="3"/>
  <c r="I88" i="3"/>
  <c r="I77" i="3"/>
  <c r="I66" i="3"/>
  <c r="I56" i="3"/>
  <c r="I45" i="3"/>
  <c r="I34" i="3"/>
  <c r="I24" i="3"/>
  <c r="I13" i="3"/>
  <c r="I308" i="3"/>
  <c r="I276" i="3"/>
  <c r="I228" i="3"/>
  <c r="I180" i="3"/>
  <c r="I132" i="3"/>
  <c r="I96" i="3"/>
  <c r="I64" i="3"/>
  <c r="I42" i="3"/>
  <c r="I20" i="3"/>
  <c r="I311" i="3"/>
  <c r="I295" i="3"/>
  <c r="I279" i="3"/>
  <c r="I263" i="3"/>
  <c r="I247" i="3"/>
  <c r="I231" i="3"/>
  <c r="I215" i="3"/>
  <c r="I199" i="3"/>
  <c r="I183" i="3"/>
  <c r="I167" i="3"/>
  <c r="I151" i="3"/>
  <c r="I135" i="3"/>
  <c r="I119" i="3"/>
  <c r="I108" i="3"/>
  <c r="I97" i="3"/>
  <c r="I87" i="3"/>
  <c r="I76" i="3"/>
  <c r="I65" i="3"/>
  <c r="I55" i="3"/>
  <c r="I44" i="3"/>
  <c r="I33" i="3"/>
  <c r="I23" i="3"/>
  <c r="I12" i="3"/>
  <c r="I328" i="3"/>
  <c r="I260" i="3"/>
  <c r="I212" i="3"/>
  <c r="I164" i="3"/>
  <c r="I117" i="3"/>
  <c r="I85" i="3"/>
  <c r="I53" i="3"/>
  <c r="I21" i="3"/>
  <c r="I31" i="3"/>
  <c r="H1010" i="3"/>
  <c r="H1002" i="3"/>
  <c r="H994" i="3"/>
  <c r="H986" i="3"/>
  <c r="H978" i="3"/>
  <c r="H970" i="3"/>
  <c r="H962" i="3"/>
  <c r="H954" i="3"/>
  <c r="H946" i="3"/>
  <c r="H938" i="3"/>
  <c r="H930" i="3"/>
  <c r="H922" i="3"/>
  <c r="H914" i="3"/>
  <c r="H906" i="3"/>
  <c r="H898" i="3"/>
  <c r="H890" i="3"/>
  <c r="H882" i="3"/>
  <c r="H874" i="3"/>
  <c r="H866" i="3"/>
  <c r="H858" i="3"/>
  <c r="H850" i="3"/>
  <c r="H842" i="3"/>
  <c r="H834" i="3"/>
  <c r="H826" i="3"/>
  <c r="H818" i="3"/>
  <c r="H810" i="3"/>
  <c r="H802" i="3"/>
  <c r="H794" i="3"/>
  <c r="H786" i="3"/>
  <c r="H778" i="3"/>
  <c r="H770" i="3"/>
  <c r="H762" i="3"/>
  <c r="H754" i="3"/>
  <c r="H746" i="3"/>
  <c r="H738" i="3"/>
  <c r="H730" i="3"/>
  <c r="H722" i="3"/>
  <c r="H714" i="3"/>
  <c r="H706" i="3"/>
  <c r="H698" i="3"/>
  <c r="H690" i="3"/>
  <c r="H682" i="3"/>
  <c r="H674" i="3"/>
  <c r="H666" i="3"/>
  <c r="H658" i="3"/>
  <c r="H650" i="3"/>
  <c r="H642" i="3"/>
  <c r="H634" i="3"/>
  <c r="H626" i="3"/>
  <c r="H618" i="3"/>
  <c r="H610" i="3"/>
  <c r="H602" i="3"/>
  <c r="H594" i="3"/>
  <c r="H586" i="3"/>
  <c r="H578" i="3"/>
  <c r="H570" i="3"/>
  <c r="H562" i="3"/>
  <c r="H554" i="3"/>
  <c r="H546" i="3"/>
  <c r="H538" i="3"/>
  <c r="H530" i="3"/>
  <c r="H522" i="3"/>
  <c r="H514" i="3"/>
  <c r="H506" i="3"/>
  <c r="H498" i="3"/>
  <c r="H490" i="3"/>
  <c r="H482" i="3"/>
  <c r="H474" i="3"/>
  <c r="H466" i="3"/>
  <c r="H458" i="3"/>
  <c r="H450" i="3"/>
  <c r="H442" i="3"/>
  <c r="H434" i="3"/>
  <c r="H426" i="3"/>
  <c r="H418" i="3"/>
  <c r="H410" i="3"/>
  <c r="H402" i="3"/>
  <c r="H394" i="3"/>
  <c r="H386" i="3"/>
  <c r="H378" i="3"/>
  <c r="H370" i="3"/>
  <c r="H362" i="3"/>
  <c r="H354" i="3"/>
  <c r="H346" i="3"/>
  <c r="H338" i="3"/>
  <c r="H330" i="3"/>
  <c r="H322" i="3"/>
  <c r="H314" i="3"/>
  <c r="H306" i="3"/>
  <c r="H298" i="3"/>
  <c r="H290" i="3"/>
  <c r="H266" i="3"/>
  <c r="H258" i="3"/>
  <c r="H250" i="3"/>
  <c r="H242" i="3"/>
  <c r="H234" i="3"/>
  <c r="H226" i="3"/>
  <c r="H218" i="3"/>
  <c r="H194" i="3"/>
  <c r="H1009" i="3"/>
  <c r="H1001" i="3"/>
  <c r="H993" i="3"/>
  <c r="H985" i="3"/>
  <c r="H977" i="3"/>
  <c r="H969" i="3"/>
  <c r="H961" i="3"/>
  <c r="H953" i="3"/>
  <c r="H945" i="3"/>
  <c r="H937" i="3"/>
  <c r="H929" i="3"/>
  <c r="H921" i="3"/>
  <c r="H913" i="3"/>
  <c r="H905" i="3"/>
  <c r="H897" i="3"/>
  <c r="H889" i="3"/>
  <c r="H881" i="3"/>
  <c r="H873" i="3"/>
  <c r="H865" i="3"/>
  <c r="H857" i="3"/>
  <c r="H849" i="3"/>
  <c r="H841" i="3"/>
  <c r="H833" i="3"/>
  <c r="H825" i="3"/>
  <c r="H817" i="3"/>
  <c r="H809" i="3"/>
  <c r="H801" i="3"/>
  <c r="H793" i="3"/>
  <c r="H785" i="3"/>
  <c r="H777" i="3"/>
  <c r="H769" i="3"/>
  <c r="H761" i="3"/>
  <c r="H753" i="3"/>
  <c r="H745" i="3"/>
  <c r="H737" i="3"/>
  <c r="H729" i="3"/>
  <c r="H721" i="3"/>
  <c r="H713" i="3"/>
  <c r="H705" i="3"/>
  <c r="H697" i="3"/>
  <c r="H689" i="3"/>
  <c r="H681" i="3"/>
  <c r="H673" i="3"/>
  <c r="H665" i="3"/>
  <c r="H657" i="3"/>
  <c r="H649" i="3"/>
  <c r="H641" i="3"/>
  <c r="H633" i="3"/>
  <c r="H625" i="3"/>
  <c r="H617" i="3"/>
  <c r="H609" i="3"/>
  <c r="H601" i="3"/>
  <c r="H593" i="3"/>
  <c r="H585" i="3"/>
  <c r="H577" i="3"/>
  <c r="H569" i="3"/>
  <c r="H561" i="3"/>
  <c r="H553" i="3"/>
  <c r="H545" i="3"/>
  <c r="H537" i="3"/>
  <c r="H529" i="3"/>
  <c r="H521" i="3"/>
  <c r="H513" i="3"/>
  <c r="H505" i="3"/>
  <c r="H497" i="3"/>
  <c r="H489" i="3"/>
  <c r="H481" i="3"/>
  <c r="H473" i="3"/>
  <c r="H465" i="3"/>
  <c r="H457" i="3"/>
  <c r="H449" i="3"/>
  <c r="H441" i="3"/>
  <c r="H433" i="3"/>
  <c r="H425" i="3"/>
  <c r="H417" i="3"/>
  <c r="H409" i="3"/>
  <c r="H401" i="3"/>
  <c r="H393" i="3"/>
  <c r="H385" i="3"/>
  <c r="H377" i="3"/>
  <c r="H369" i="3"/>
  <c r="H361" i="3"/>
  <c r="H353" i="3"/>
  <c r="H345" i="3"/>
  <c r="H337" i="3"/>
  <c r="H329" i="3"/>
  <c r="H321" i="3"/>
  <c r="H313" i="3"/>
  <c r="H305" i="3"/>
  <c r="H297" i="3"/>
  <c r="H289" i="3"/>
  <c r="H281" i="3"/>
  <c r="H273" i="3"/>
  <c r="H265" i="3"/>
  <c r="H257" i="3"/>
  <c r="H249" i="3"/>
  <c r="H241" i="3"/>
  <c r="H233" i="3"/>
  <c r="H225" i="3"/>
  <c r="H217" i="3"/>
  <c r="H1008" i="3"/>
  <c r="H1000" i="3"/>
  <c r="H992" i="3"/>
  <c r="H984" i="3"/>
  <c r="H976" i="3"/>
  <c r="H968" i="3"/>
  <c r="H960" i="3"/>
  <c r="H952" i="3"/>
  <c r="H944" i="3"/>
  <c r="H936" i="3"/>
  <c r="H928" i="3"/>
  <c r="H920" i="3"/>
  <c r="H912" i="3"/>
  <c r="H904" i="3"/>
  <c r="H896" i="3"/>
  <c r="H888" i="3"/>
  <c r="H880" i="3"/>
  <c r="H872" i="3"/>
  <c r="H864" i="3"/>
  <c r="H856" i="3"/>
  <c r="H848" i="3"/>
  <c r="H840" i="3"/>
  <c r="H832" i="3"/>
  <c r="H824" i="3"/>
  <c r="H816" i="3"/>
  <c r="H808" i="3"/>
  <c r="H800" i="3"/>
  <c r="H792" i="3"/>
  <c r="H784" i="3"/>
  <c r="H776" i="3"/>
  <c r="H768" i="3"/>
  <c r="H760" i="3"/>
  <c r="H752" i="3"/>
  <c r="H744" i="3"/>
  <c r="H736" i="3"/>
  <c r="H728" i="3"/>
  <c r="H720" i="3"/>
  <c r="H712" i="3"/>
  <c r="H704" i="3"/>
  <c r="H696" i="3"/>
  <c r="H688" i="3"/>
  <c r="H680" i="3"/>
  <c r="H672" i="3"/>
  <c r="H664" i="3"/>
  <c r="H656" i="3"/>
  <c r="H648" i="3"/>
  <c r="H640" i="3"/>
  <c r="H632" i="3"/>
  <c r="H624" i="3"/>
  <c r="H616" i="3"/>
  <c r="H608" i="3"/>
  <c r="H600" i="3"/>
  <c r="H592" i="3"/>
  <c r="H584" i="3"/>
  <c r="H576" i="3"/>
  <c r="H568" i="3"/>
  <c r="H560" i="3"/>
  <c r="H552" i="3"/>
  <c r="H544" i="3"/>
  <c r="H536" i="3"/>
  <c r="H528" i="3"/>
  <c r="H520" i="3"/>
  <c r="H512" i="3"/>
  <c r="H504" i="3"/>
  <c r="H496" i="3"/>
  <c r="H488" i="3"/>
  <c r="H480" i="3"/>
  <c r="H472" i="3"/>
  <c r="H464" i="3"/>
  <c r="H456" i="3"/>
  <c r="H448" i="3"/>
  <c r="H440" i="3"/>
  <c r="H432" i="3"/>
  <c r="H424" i="3"/>
  <c r="H416" i="3"/>
  <c r="H408" i="3"/>
  <c r="H400" i="3"/>
  <c r="H392" i="3"/>
  <c r="H384" i="3"/>
  <c r="H376" i="3"/>
  <c r="H368" i="3"/>
  <c r="H360" i="3"/>
  <c r="H352" i="3"/>
  <c r="H344" i="3"/>
  <c r="H336" i="3"/>
  <c r="H328" i="3"/>
  <c r="H320" i="3"/>
  <c r="H312" i="3"/>
  <c r="H304" i="3"/>
  <c r="H296" i="3"/>
  <c r="H288" i="3"/>
  <c r="H280" i="3"/>
  <c r="H272" i="3"/>
  <c r="H264" i="3"/>
  <c r="H256" i="3"/>
  <c r="H248" i="3"/>
  <c r="H240" i="3"/>
  <c r="H232" i="3"/>
  <c r="H224" i="3"/>
  <c r="H1007" i="3"/>
  <c r="H999" i="3"/>
  <c r="H991" i="3"/>
  <c r="H983" i="3"/>
  <c r="H975" i="3"/>
  <c r="H967" i="3"/>
  <c r="H959" i="3"/>
  <c r="H951" i="3"/>
  <c r="H943" i="3"/>
  <c r="H935" i="3"/>
  <c r="H927" i="3"/>
  <c r="H919" i="3"/>
  <c r="H911" i="3"/>
  <c r="H903" i="3"/>
  <c r="H895" i="3"/>
  <c r="H887" i="3"/>
  <c r="H879" i="3"/>
  <c r="H871" i="3"/>
  <c r="H863" i="3"/>
  <c r="H855" i="3"/>
  <c r="H847" i="3"/>
  <c r="H839" i="3"/>
  <c r="H831" i="3"/>
  <c r="H823" i="3"/>
  <c r="H815" i="3"/>
  <c r="H807" i="3"/>
  <c r="H799" i="3"/>
  <c r="H791" i="3"/>
  <c r="H783" i="3"/>
  <c r="H775" i="3"/>
  <c r="H767" i="3"/>
  <c r="H759" i="3"/>
  <c r="H751" i="3"/>
  <c r="H743" i="3"/>
  <c r="H735" i="3"/>
  <c r="H727" i="3"/>
  <c r="H719" i="3"/>
  <c r="H711" i="3"/>
  <c r="H703" i="3"/>
  <c r="H695" i="3"/>
  <c r="H687" i="3"/>
  <c r="H679" i="3"/>
  <c r="H671" i="3"/>
  <c r="H663" i="3"/>
  <c r="H655" i="3"/>
  <c r="H647" i="3"/>
  <c r="H639" i="3"/>
  <c r="H631" i="3"/>
  <c r="H623" i="3"/>
  <c r="H615" i="3"/>
  <c r="H607" i="3"/>
  <c r="H599" i="3"/>
  <c r="H591" i="3"/>
  <c r="H583" i="3"/>
  <c r="H575" i="3"/>
  <c r="H567" i="3"/>
  <c r="H559" i="3"/>
  <c r="H551" i="3"/>
  <c r="H543" i="3"/>
  <c r="H535" i="3"/>
  <c r="H527" i="3"/>
  <c r="H519" i="3"/>
  <c r="H511" i="3"/>
  <c r="H503" i="3"/>
  <c r="H495" i="3"/>
  <c r="H487" i="3"/>
  <c r="H479" i="3"/>
  <c r="H471" i="3"/>
  <c r="H463" i="3"/>
  <c r="H455" i="3"/>
  <c r="H447" i="3"/>
  <c r="H439" i="3"/>
  <c r="H431" i="3"/>
  <c r="H423" i="3"/>
  <c r="H415" i="3"/>
  <c r="H407" i="3"/>
  <c r="H399" i="3"/>
  <c r="H391" i="3"/>
  <c r="H383" i="3"/>
  <c r="H375" i="3"/>
  <c r="H367" i="3"/>
  <c r="H359" i="3"/>
  <c r="H351" i="3"/>
  <c r="H343" i="3"/>
  <c r="H335" i="3"/>
  <c r="H327" i="3"/>
  <c r="H319" i="3"/>
  <c r="H311" i="3"/>
  <c r="H303" i="3"/>
  <c r="H295" i="3"/>
  <c r="H287" i="3"/>
  <c r="H279" i="3"/>
  <c r="H271" i="3"/>
  <c r="H263" i="3"/>
  <c r="H255" i="3"/>
  <c r="H247" i="3"/>
  <c r="H239" i="3"/>
  <c r="H1006" i="3"/>
  <c r="H998" i="3"/>
  <c r="H990" i="3"/>
  <c r="H982" i="3"/>
  <c r="H974" i="3"/>
  <c r="H966" i="3"/>
  <c r="H958" i="3"/>
  <c r="H950" i="3"/>
  <c r="H942" i="3"/>
  <c r="H934" i="3"/>
  <c r="H926" i="3"/>
  <c r="H918" i="3"/>
  <c r="H910" i="3"/>
  <c r="H902" i="3"/>
  <c r="H894" i="3"/>
  <c r="H886" i="3"/>
  <c r="H878" i="3"/>
  <c r="H870" i="3"/>
  <c r="H862" i="3"/>
  <c r="H854" i="3"/>
  <c r="H846" i="3"/>
  <c r="H838" i="3"/>
  <c r="H830" i="3"/>
  <c r="H822" i="3"/>
  <c r="H814" i="3"/>
  <c r="H806" i="3"/>
  <c r="H798" i="3"/>
  <c r="H790" i="3"/>
  <c r="H782" i="3"/>
  <c r="H774" i="3"/>
  <c r="H766" i="3"/>
  <c r="H758" i="3"/>
  <c r="H750" i="3"/>
  <c r="H742" i="3"/>
  <c r="H734" i="3"/>
  <c r="H726" i="3"/>
  <c r="H718" i="3"/>
  <c r="H710" i="3"/>
  <c r="H702" i="3"/>
  <c r="H694" i="3"/>
  <c r="H686" i="3"/>
  <c r="H678" i="3"/>
  <c r="H670" i="3"/>
  <c r="H662" i="3"/>
  <c r="H654" i="3"/>
  <c r="H646" i="3"/>
  <c r="H638" i="3"/>
  <c r="H630" i="3"/>
  <c r="H622" i="3"/>
  <c r="H614" i="3"/>
  <c r="H606" i="3"/>
  <c r="H598" i="3"/>
  <c r="H590" i="3"/>
  <c r="H582" i="3"/>
  <c r="H574" i="3"/>
  <c r="H566" i="3"/>
  <c r="H558" i="3"/>
  <c r="H550" i="3"/>
  <c r="H542" i="3"/>
  <c r="H534" i="3"/>
  <c r="H526" i="3"/>
  <c r="H518" i="3"/>
  <c r="H510" i="3"/>
  <c r="H502" i="3"/>
  <c r="H494" i="3"/>
  <c r="H486" i="3"/>
  <c r="H478" i="3"/>
  <c r="H470" i="3"/>
  <c r="H462" i="3"/>
  <c r="H454" i="3"/>
  <c r="H446" i="3"/>
  <c r="H438" i="3"/>
  <c r="H430" i="3"/>
  <c r="H422" i="3"/>
  <c r="H414" i="3"/>
  <c r="H406" i="3"/>
  <c r="H398" i="3"/>
  <c r="H390" i="3"/>
  <c r="H382" i="3"/>
  <c r="H374" i="3"/>
  <c r="H366" i="3"/>
  <c r="H358" i="3"/>
  <c r="H350" i="3"/>
  <c r="H342" i="3"/>
  <c r="H334" i="3"/>
  <c r="H326" i="3"/>
  <c r="H318" i="3"/>
  <c r="H310" i="3"/>
  <c r="H302" i="3"/>
  <c r="H294" i="3"/>
  <c r="H286" i="3"/>
  <c r="H278" i="3"/>
  <c r="H270" i="3"/>
  <c r="H262" i="3"/>
  <c r="H254" i="3"/>
  <c r="H246" i="3"/>
  <c r="H238" i="3"/>
  <c r="H230" i="3"/>
  <c r="H222" i="3"/>
  <c r="H214" i="3"/>
  <c r="H1005" i="3"/>
  <c r="H997" i="3"/>
  <c r="H989" i="3"/>
  <c r="H981" i="3"/>
  <c r="H973" i="3"/>
  <c r="H965" i="3"/>
  <c r="H957" i="3"/>
  <c r="H949" i="3"/>
  <c r="H941" i="3"/>
  <c r="H933" i="3"/>
  <c r="H925" i="3"/>
  <c r="H917" i="3"/>
  <c r="H909" i="3"/>
  <c r="H901" i="3"/>
  <c r="H893" i="3"/>
  <c r="H885" i="3"/>
  <c r="H877" i="3"/>
  <c r="H869" i="3"/>
  <c r="H861" i="3"/>
  <c r="H853" i="3"/>
  <c r="H845" i="3"/>
  <c r="H837" i="3"/>
  <c r="H829" i="3"/>
  <c r="H821" i="3"/>
  <c r="H813" i="3"/>
  <c r="H805" i="3"/>
  <c r="H797" i="3"/>
  <c r="H789" i="3"/>
  <c r="H781" i="3"/>
  <c r="H773" i="3"/>
  <c r="H765" i="3"/>
  <c r="H757" i="3"/>
  <c r="H749" i="3"/>
  <c r="H741" i="3"/>
  <c r="H733" i="3"/>
  <c r="H725" i="3"/>
  <c r="H717" i="3"/>
  <c r="H709" i="3"/>
  <c r="H701" i="3"/>
  <c r="H693" i="3"/>
  <c r="H685" i="3"/>
  <c r="H677" i="3"/>
  <c r="H669" i="3"/>
  <c r="H661" i="3"/>
  <c r="H653" i="3"/>
  <c r="H645" i="3"/>
  <c r="H637" i="3"/>
  <c r="H629" i="3"/>
  <c r="H621" i="3"/>
  <c r="H613" i="3"/>
  <c r="H605" i="3"/>
  <c r="H597" i="3"/>
  <c r="H589" i="3"/>
  <c r="H581" i="3"/>
  <c r="H573" i="3"/>
  <c r="H565" i="3"/>
  <c r="H557" i="3"/>
  <c r="H549" i="3"/>
  <c r="H541" i="3"/>
  <c r="H533" i="3"/>
  <c r="H525" i="3"/>
  <c r="H517" i="3"/>
  <c r="H509" i="3"/>
  <c r="H501" i="3"/>
  <c r="H493" i="3"/>
  <c r="H485" i="3"/>
  <c r="H477" i="3"/>
  <c r="H469" i="3"/>
  <c r="H461" i="3"/>
  <c r="H453" i="3"/>
  <c r="H445" i="3"/>
  <c r="H437" i="3"/>
  <c r="H429" i="3"/>
  <c r="H421" i="3"/>
  <c r="H413" i="3"/>
  <c r="H405" i="3"/>
  <c r="H397" i="3"/>
  <c r="H389" i="3"/>
  <c r="H381" i="3"/>
  <c r="H373" i="3"/>
  <c r="H365" i="3"/>
  <c r="H357" i="3"/>
  <c r="H349" i="3"/>
  <c r="H341" i="3"/>
  <c r="H333" i="3"/>
  <c r="H325" i="3"/>
  <c r="H317" i="3"/>
  <c r="H309" i="3"/>
  <c r="H301" i="3"/>
  <c r="H293" i="3"/>
  <c r="H285" i="3"/>
  <c r="H277" i="3"/>
  <c r="H269" i="3"/>
  <c r="H261" i="3"/>
  <c r="H253" i="3"/>
  <c r="H245" i="3"/>
  <c r="H237" i="3"/>
  <c r="H229" i="3"/>
  <c r="H221" i="3"/>
  <c r="H213" i="3"/>
  <c r="H1004" i="3"/>
  <c r="H996" i="3"/>
  <c r="H988" i="3"/>
  <c r="H980" i="3"/>
  <c r="H972" i="3"/>
  <c r="H964" i="3"/>
  <c r="H956" i="3"/>
  <c r="H948" i="3"/>
  <c r="H940" i="3"/>
  <c r="H932" i="3"/>
  <c r="H924" i="3"/>
  <c r="H916" i="3"/>
  <c r="H908" i="3"/>
  <c r="H900" i="3"/>
  <c r="H892" i="3"/>
  <c r="H884" i="3"/>
  <c r="H876" i="3"/>
  <c r="H868" i="3"/>
  <c r="H860" i="3"/>
  <c r="H852" i="3"/>
  <c r="H844" i="3"/>
  <c r="H836" i="3"/>
  <c r="H828" i="3"/>
  <c r="H820" i="3"/>
  <c r="H812" i="3"/>
  <c r="H804" i="3"/>
  <c r="H796" i="3"/>
  <c r="H788" i="3"/>
  <c r="H780" i="3"/>
  <c r="H772" i="3"/>
  <c r="H764" i="3"/>
  <c r="H756" i="3"/>
  <c r="H748" i="3"/>
  <c r="H740" i="3"/>
  <c r="H732" i="3"/>
  <c r="H724" i="3"/>
  <c r="H716" i="3"/>
  <c r="H708" i="3"/>
  <c r="H700" i="3"/>
  <c r="H692" i="3"/>
  <c r="H684" i="3"/>
  <c r="H676" i="3"/>
  <c r="H668" i="3"/>
  <c r="H660" i="3"/>
  <c r="H652" i="3"/>
  <c r="H644" i="3"/>
  <c r="H636" i="3"/>
  <c r="H628" i="3"/>
  <c r="H620" i="3"/>
  <c r="H612" i="3"/>
  <c r="H604" i="3"/>
  <c r="H596" i="3"/>
  <c r="H588" i="3"/>
  <c r="H580" i="3"/>
  <c r="H572" i="3"/>
  <c r="H564" i="3"/>
  <c r="H556" i="3"/>
  <c r="H548" i="3"/>
  <c r="H540" i="3"/>
  <c r="H532" i="3"/>
  <c r="H524" i="3"/>
  <c r="H516" i="3"/>
  <c r="H508" i="3"/>
  <c r="H500" i="3"/>
  <c r="H492" i="3"/>
  <c r="H484" i="3"/>
  <c r="H476" i="3"/>
  <c r="H468" i="3"/>
  <c r="H460" i="3"/>
  <c r="H452" i="3"/>
  <c r="H444" i="3"/>
  <c r="H436" i="3"/>
  <c r="H428" i="3"/>
  <c r="H420" i="3"/>
  <c r="H412" i="3"/>
  <c r="H404" i="3"/>
  <c r="H396" i="3"/>
  <c r="H388" i="3"/>
  <c r="H380" i="3"/>
  <c r="H372" i="3"/>
  <c r="H364" i="3"/>
  <c r="H356" i="3"/>
  <c r="H348" i="3"/>
  <c r="H340" i="3"/>
  <c r="H332" i="3"/>
  <c r="H324" i="3"/>
  <c r="H316" i="3"/>
  <c r="H308" i="3"/>
  <c r="H300" i="3"/>
  <c r="H292" i="3"/>
  <c r="H284" i="3"/>
  <c r="H276" i="3"/>
  <c r="H268" i="3"/>
  <c r="H260" i="3"/>
  <c r="H252" i="3"/>
  <c r="H244" i="3"/>
  <c r="H236" i="3"/>
  <c r="H228" i="3"/>
  <c r="H220" i="3"/>
  <c r="H212" i="3"/>
  <c r="H204" i="3"/>
  <c r="H196" i="3"/>
  <c r="H188" i="3"/>
  <c r="H180" i="3"/>
  <c r="H172" i="3"/>
  <c r="H164" i="3"/>
  <c r="H156" i="3"/>
  <c r="H148" i="3"/>
  <c r="H140" i="3"/>
  <c r="H132" i="3"/>
  <c r="H124" i="3"/>
  <c r="H116" i="3"/>
  <c r="H108" i="3"/>
  <c r="H100" i="3"/>
  <c r="H92" i="3"/>
  <c r="H84" i="3"/>
  <c r="H76" i="3"/>
  <c r="H68" i="3"/>
  <c r="H60" i="3"/>
  <c r="H52" i="3"/>
  <c r="H44" i="3"/>
  <c r="H36" i="3"/>
  <c r="H28" i="3"/>
  <c r="H20" i="3"/>
  <c r="H12" i="3"/>
  <c r="H274" i="3"/>
  <c r="H202" i="3"/>
  <c r="H1003" i="3"/>
  <c r="H995" i="3"/>
  <c r="H987" i="3"/>
  <c r="H979" i="3"/>
  <c r="H971" i="3"/>
  <c r="H963" i="3"/>
  <c r="H955" i="3"/>
  <c r="H947" i="3"/>
  <c r="H939" i="3"/>
  <c r="H931" i="3"/>
  <c r="H923" i="3"/>
  <c r="H915" i="3"/>
  <c r="H907" i="3"/>
  <c r="H899" i="3"/>
  <c r="H891" i="3"/>
  <c r="H883" i="3"/>
  <c r="H875" i="3"/>
  <c r="H867" i="3"/>
  <c r="H859" i="3"/>
  <c r="H851" i="3"/>
  <c r="H843" i="3"/>
  <c r="H835" i="3"/>
  <c r="H827" i="3"/>
  <c r="H819" i="3"/>
  <c r="H811" i="3"/>
  <c r="H803" i="3"/>
  <c r="H795" i="3"/>
  <c r="H787" i="3"/>
  <c r="H779" i="3"/>
  <c r="H771" i="3"/>
  <c r="H763" i="3"/>
  <c r="H755" i="3"/>
  <c r="H747" i="3"/>
  <c r="H739" i="3"/>
  <c r="H731" i="3"/>
  <c r="H723" i="3"/>
  <c r="H715" i="3"/>
  <c r="H707" i="3"/>
  <c r="H699" i="3"/>
  <c r="H691" i="3"/>
  <c r="H683" i="3"/>
  <c r="H675" i="3"/>
  <c r="H667" i="3"/>
  <c r="H659" i="3"/>
  <c r="H651" i="3"/>
  <c r="H643" i="3"/>
  <c r="H635" i="3"/>
  <c r="H627" i="3"/>
  <c r="H619" i="3"/>
  <c r="H611" i="3"/>
  <c r="H603" i="3"/>
  <c r="H595" i="3"/>
  <c r="H587" i="3"/>
  <c r="H579" i="3"/>
  <c r="H571" i="3"/>
  <c r="H563" i="3"/>
  <c r="H555" i="3"/>
  <c r="H547" i="3"/>
  <c r="H539" i="3"/>
  <c r="H531" i="3"/>
  <c r="H523" i="3"/>
  <c r="H515" i="3"/>
  <c r="H507" i="3"/>
  <c r="H499" i="3"/>
  <c r="H491" i="3"/>
  <c r="H483" i="3"/>
  <c r="H475" i="3"/>
  <c r="H467" i="3"/>
  <c r="H459" i="3"/>
  <c r="H451" i="3"/>
  <c r="H443" i="3"/>
  <c r="H435" i="3"/>
  <c r="H427" i="3"/>
  <c r="H419" i="3"/>
  <c r="H411" i="3"/>
  <c r="H403" i="3"/>
  <c r="H395" i="3"/>
  <c r="H387" i="3"/>
  <c r="H379" i="3"/>
  <c r="H371" i="3"/>
  <c r="H363" i="3"/>
  <c r="H355" i="3"/>
  <c r="H347" i="3"/>
  <c r="H339" i="3"/>
  <c r="H331" i="3"/>
  <c r="H323" i="3"/>
  <c r="H315" i="3"/>
  <c r="H307" i="3"/>
  <c r="H299" i="3"/>
  <c r="H291" i="3"/>
  <c r="H283" i="3"/>
  <c r="H275" i="3"/>
  <c r="H267" i="3"/>
  <c r="H259" i="3"/>
  <c r="H251" i="3"/>
  <c r="H243" i="3"/>
  <c r="H235" i="3"/>
  <c r="H227" i="3"/>
  <c r="H219" i="3"/>
  <c r="H211" i="3"/>
  <c r="H203" i="3"/>
  <c r="H195" i="3"/>
  <c r="H187" i="3"/>
  <c r="H179" i="3"/>
  <c r="H171" i="3"/>
  <c r="H163" i="3"/>
  <c r="H155" i="3"/>
  <c r="H147" i="3"/>
  <c r="H139" i="3"/>
  <c r="H131" i="3"/>
  <c r="H123" i="3"/>
  <c r="H115" i="3"/>
  <c r="H107" i="3"/>
  <c r="H99" i="3"/>
  <c r="H91" i="3"/>
  <c r="H83" i="3"/>
  <c r="H75" i="3"/>
  <c r="H67" i="3"/>
  <c r="H59" i="3"/>
  <c r="H51" i="3"/>
  <c r="H43" i="3"/>
  <c r="H35" i="3"/>
  <c r="H27" i="3"/>
  <c r="H19" i="3"/>
  <c r="H11" i="3"/>
  <c r="H282" i="3"/>
  <c r="H210" i="3"/>
  <c r="H159" i="3"/>
  <c r="H95" i="3"/>
  <c r="H73" i="3"/>
  <c r="H41" i="3"/>
  <c r="H21" i="3"/>
  <c r="H223" i="3"/>
  <c r="H201" i="3"/>
  <c r="H190" i="3"/>
  <c r="H178" i="3"/>
  <c r="H168" i="3"/>
  <c r="H158" i="3"/>
  <c r="H146" i="3"/>
  <c r="H136" i="3"/>
  <c r="H126" i="3"/>
  <c r="H114" i="3"/>
  <c r="H104" i="3"/>
  <c r="H94" i="3"/>
  <c r="H82" i="3"/>
  <c r="H72" i="3"/>
  <c r="H50" i="3"/>
  <c r="H40" i="3"/>
  <c r="H30" i="3"/>
  <c r="H18" i="3"/>
  <c r="H216" i="3"/>
  <c r="H200" i="3"/>
  <c r="H189" i="3"/>
  <c r="H177" i="3"/>
  <c r="H167" i="3"/>
  <c r="H157" i="3"/>
  <c r="H145" i="3"/>
  <c r="H135" i="3"/>
  <c r="H125" i="3"/>
  <c r="H113" i="3"/>
  <c r="H103" i="3"/>
  <c r="H93" i="3"/>
  <c r="H81" i="3"/>
  <c r="H71" i="3"/>
  <c r="H61" i="3"/>
  <c r="H49" i="3"/>
  <c r="H39" i="3"/>
  <c r="H29" i="3"/>
  <c r="H17" i="3"/>
  <c r="H215" i="3"/>
  <c r="H199" i="3"/>
  <c r="H186" i="3"/>
  <c r="H176" i="3"/>
  <c r="H166" i="3"/>
  <c r="H154" i="3"/>
  <c r="H144" i="3"/>
  <c r="H134" i="3"/>
  <c r="H122" i="3"/>
  <c r="H112" i="3"/>
  <c r="H102" i="3"/>
  <c r="H90" i="3"/>
  <c r="H80" i="3"/>
  <c r="H70" i="3"/>
  <c r="H58" i="3"/>
  <c r="H48" i="3"/>
  <c r="H38" i="3"/>
  <c r="H26" i="3"/>
  <c r="H16" i="3"/>
  <c r="H209" i="3"/>
  <c r="H198" i="3"/>
  <c r="H185" i="3"/>
  <c r="H175" i="3"/>
  <c r="H165" i="3"/>
  <c r="H143" i="3"/>
  <c r="H133" i="3"/>
  <c r="H121" i="3"/>
  <c r="H111" i="3"/>
  <c r="H101" i="3"/>
  <c r="H79" i="3"/>
  <c r="H57" i="3"/>
  <c r="H37" i="3"/>
  <c r="H25" i="3"/>
  <c r="H56" i="3"/>
  <c r="H153" i="3"/>
  <c r="H89" i="3"/>
  <c r="H69" i="3"/>
  <c r="H47" i="3"/>
  <c r="H15" i="3"/>
  <c r="H208" i="3"/>
  <c r="H197" i="3"/>
  <c r="H184" i="3"/>
  <c r="H174" i="3"/>
  <c r="H162" i="3"/>
  <c r="H152" i="3"/>
  <c r="H142" i="3"/>
  <c r="H130" i="3"/>
  <c r="H120" i="3"/>
  <c r="H110" i="3"/>
  <c r="H98" i="3"/>
  <c r="H88" i="3"/>
  <c r="H78" i="3"/>
  <c r="H66" i="3"/>
  <c r="H46" i="3"/>
  <c r="H34" i="3"/>
  <c r="H24" i="3"/>
  <c r="H14" i="3"/>
  <c r="H207" i="3"/>
  <c r="H193" i="3"/>
  <c r="H183" i="3"/>
  <c r="H173" i="3"/>
  <c r="H161" i="3"/>
  <c r="H151" i="3"/>
  <c r="H141" i="3"/>
  <c r="H129" i="3"/>
  <c r="H119" i="3"/>
  <c r="H109" i="3"/>
  <c r="H97" i="3"/>
  <c r="H87" i="3"/>
  <c r="H77" i="3"/>
  <c r="H65" i="3"/>
  <c r="H55" i="3"/>
  <c r="H45" i="3"/>
  <c r="H33" i="3"/>
  <c r="H23" i="3"/>
  <c r="H13" i="3"/>
  <c r="H206" i="3"/>
  <c r="H192" i="3"/>
  <c r="H182" i="3"/>
  <c r="H170" i="3"/>
  <c r="H160" i="3"/>
  <c r="H150" i="3"/>
  <c r="H138" i="3"/>
  <c r="H128" i="3"/>
  <c r="H118" i="3"/>
  <c r="H106" i="3"/>
  <c r="H96" i="3"/>
  <c r="H86" i="3"/>
  <c r="H74" i="3"/>
  <c r="H64" i="3"/>
  <c r="H54" i="3"/>
  <c r="H42" i="3"/>
  <c r="H32" i="3"/>
  <c r="H22" i="3"/>
  <c r="H231" i="3"/>
  <c r="H205" i="3"/>
  <c r="H191" i="3"/>
  <c r="H181" i="3"/>
  <c r="H169" i="3"/>
  <c r="H149" i="3"/>
  <c r="H137" i="3"/>
  <c r="H127" i="3"/>
  <c r="H117" i="3"/>
  <c r="H105" i="3"/>
  <c r="H85" i="3"/>
  <c r="H63" i="3"/>
  <c r="H53" i="3"/>
  <c r="H31" i="3"/>
  <c r="H62" i="3"/>
  <c r="D12" i="2" l="1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P1" i="3" l="1"/>
  <c r="A3" i="2" l="1"/>
  <c r="D11" i="2" l="1"/>
  <c r="D10" i="2"/>
  <c r="D9" i="2"/>
  <c r="D8" i="2"/>
  <c r="D7" i="2"/>
  <c r="C4" i="3" l="1"/>
  <c r="A2" i="3"/>
  <c r="A1" i="3"/>
  <c r="C7" i="2" l="1"/>
  <c r="C8" i="2" s="1"/>
  <c r="C9" i="2" l="1"/>
  <c r="C10" i="2" l="1"/>
  <c r="C11" i="2" l="1"/>
  <c r="C12" i="2" l="1"/>
  <c r="C13" i="2" l="1"/>
  <c r="C14" i="2" l="1"/>
  <c r="C15" i="2" l="1"/>
  <c r="C16" i="2"/>
  <c r="C17" i="2"/>
  <c r="C18" i="2" s="1"/>
  <c r="C19" i="2" s="1"/>
  <c r="C20" i="2" s="1"/>
  <c r="C21" i="2" s="1"/>
  <c r="C22" i="2" s="1"/>
  <c r="C23" i="2" s="1"/>
  <c r="C24" i="2" s="1"/>
  <c r="C25" i="2" s="1"/>
  <c r="C26" i="2" l="1"/>
  <c r="N5" i="3" l="1"/>
  <c r="L5" i="3"/>
  <c r="N6" i="3"/>
  <c r="L6" i="3"/>
  <c r="N7" i="3"/>
  <c r="J4" i="3" l="1"/>
  <c r="L7" i="3"/>
</calcChain>
</file>

<file path=xl/sharedStrings.xml><?xml version="1.0" encoding="utf-8"?>
<sst xmlns="http://schemas.openxmlformats.org/spreadsheetml/2006/main" count="258" uniqueCount="182">
  <si>
    <t>H</t>
  </si>
  <si>
    <t>D</t>
  </si>
  <si>
    <t>Q</t>
  </si>
  <si>
    <t>N</t>
  </si>
  <si>
    <t>B</t>
  </si>
  <si>
    <t>-</t>
  </si>
  <si>
    <t>Turbine Blade Strike Analysis</t>
  </si>
  <si>
    <t>w</t>
  </si>
  <si>
    <t>(ft)</t>
  </si>
  <si>
    <t>(in)</t>
  </si>
  <si>
    <t>(#)</t>
  </si>
  <si>
    <t>Route Seed</t>
  </si>
  <si>
    <t>Route Selection</t>
  </si>
  <si>
    <t>( - )</t>
  </si>
  <si>
    <t>Route Name</t>
  </si>
  <si>
    <t>Calc. Type</t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</si>
  <si>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</si>
  <si>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"/>
        <family val="2"/>
        <scheme val="minor"/>
      </rPr>
      <t>d</t>
    </r>
  </si>
  <si>
    <t>b</t>
  </si>
  <si>
    <t>(rad)</t>
  </si>
  <si>
    <t>l</t>
  </si>
  <si>
    <t>Correlation Coeff. ( - )</t>
  </si>
  <si>
    <t>Turbine 
Eff. ( - )</t>
  </si>
  <si>
    <t>h</t>
  </si>
  <si>
    <t>m</t>
  </si>
  <si>
    <t>s</t>
  </si>
  <si>
    <t>Number of fish</t>
  </si>
  <si>
    <t>Mean length (inches)</t>
  </si>
  <si>
    <t>SD in length (inches)</t>
  </si>
  <si>
    <r>
      <t>n</t>
    </r>
    <r>
      <rPr>
        <vertAlign val="subscript"/>
        <sz val="11"/>
        <color theme="1"/>
        <rFont val="Calibri"/>
        <family val="2"/>
        <scheme val="minor"/>
      </rPr>
      <t>f</t>
    </r>
  </si>
  <si>
    <t>Passed:</t>
  </si>
  <si>
    <t>Fish
ID</t>
  </si>
  <si>
    <t>Runner Dia. 
(ft)</t>
  </si>
  <si>
    <t>Discharge at Opt. Eff.
(%)</t>
  </si>
  <si>
    <t>ROUTE SELECTION</t>
  </si>
  <si>
    <t>TURBINE DATA</t>
  </si>
  <si>
    <t>Prob.
Lower Bound</t>
  </si>
  <si>
    <t>Route Selection Prob.</t>
  </si>
  <si>
    <r>
      <t>P</t>
    </r>
    <r>
      <rPr>
        <vertAlign val="subscript"/>
        <sz val="11"/>
        <color theme="1"/>
        <rFont val="Calibri"/>
        <family val="2"/>
        <scheme val="minor"/>
      </rPr>
      <t>B</t>
    </r>
  </si>
  <si>
    <t>BYPASS</t>
  </si>
  <si>
    <t>Route
Name</t>
  </si>
  <si>
    <t>Mortality probabilities can be prescribed to bypasses, which are used to represent spillways, fishways, and other water intakes.</t>
  </si>
  <si>
    <t>Fish can be subjected up to 20 different hazards (routes) including 3 types of turbines (Francis, Kaplan and propeller) and bypasses.</t>
  </si>
  <si>
    <r>
      <t xml:space="preserve">Simulation results can be archived and permanently saved by exporting the </t>
    </r>
    <r>
      <rPr>
        <b/>
        <sz val="11"/>
        <color theme="1"/>
        <rFont val="Calibri"/>
        <family val="2"/>
        <scheme val="minor"/>
      </rPr>
      <t>Archive</t>
    </r>
    <r>
      <rPr>
        <sz val="11"/>
        <color theme="1"/>
        <rFont val="Calibri"/>
        <family val="2"/>
        <scheme val="minor"/>
      </rPr>
      <t xml:space="preserve"> to another Excel (macro free) file.</t>
    </r>
  </si>
  <si>
    <r>
      <t xml:space="preserve">Blade strike analyses are run from, and temporarily stored on, the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 using the equations shown below.</t>
    </r>
  </si>
  <si>
    <t xml:space="preserve">THE WARRANTIES OF MERCHANTABILITY, FITNESS FOR A PARTICULAR PURPOSE AND NONINFRINGEMENT. IN NO EVENT SHALL </t>
  </si>
  <si>
    <t>TORT OR OTHERWISE, ARISING FROM, OUT OF OR IN CONNECTION WITH THE SOFTWARE OR THE USE OR OTHER DEALINGS IN THE SOFTWARE.</t>
  </si>
  <si>
    <t>THE AUTHORS OR COPYRIGHT HOLDERS BE LIABLE FOR ANY CLAIM, DAMAGES OR OTHER LIABILITY, WHETHER IN AN ACTION OF CONTRACT,</t>
  </si>
  <si>
    <r>
      <rPr>
        <b/>
        <u/>
        <sz val="11"/>
        <color theme="1"/>
        <rFont val="Calibri"/>
        <family val="2"/>
        <scheme val="minor"/>
      </rPr>
      <t>Francis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</si>
  <si>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Kaplan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</si>
  <si>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r>
      <rPr>
        <b/>
        <u/>
        <sz val="11"/>
        <color theme="1"/>
        <rFont val="Calibri"/>
        <family val="2"/>
        <scheme val="minor"/>
      </rPr>
      <t>Propeller Turbine</t>
    </r>
    <r>
      <rPr>
        <u/>
        <sz val="11"/>
        <color theme="1"/>
        <rFont val="Calibri"/>
        <family val="2"/>
        <scheme val="minor"/>
      </rPr>
      <t xml:space="preserve"> Blade Strike equations (Franke et al., 1997):</t>
    </r>
  </si>
  <si>
    <t>GLOSSARY OF TERMS USED IN THIS MODEL</t>
  </si>
  <si>
    <t>Term</t>
  </si>
  <si>
    <t>Parameter</t>
  </si>
  <si>
    <t>Units</t>
  </si>
  <si>
    <t>Description</t>
  </si>
  <si>
    <t>(cfs)</t>
  </si>
  <si>
    <t>(%)</t>
  </si>
  <si>
    <t>(rpm)</t>
  </si>
  <si>
    <r>
      <t>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>/Q</t>
    </r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</si>
  <si>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t</t>
    </r>
  </si>
  <si>
    <r>
      <t>D</t>
    </r>
    <r>
      <rPr>
        <vertAlign val="subscript"/>
        <sz val="11"/>
        <color theme="1"/>
        <rFont val="Arial Narrow"/>
        <family val="2"/>
      </rPr>
      <t>1</t>
    </r>
  </si>
  <si>
    <r>
      <t>D</t>
    </r>
    <r>
      <rPr>
        <vertAlign val="subscript"/>
        <sz val="11"/>
        <color theme="1"/>
        <rFont val="Arial Narrow"/>
        <family val="2"/>
      </rPr>
      <t>2</t>
    </r>
  </si>
  <si>
    <r>
      <t>P</t>
    </r>
    <r>
      <rPr>
        <vertAlign val="subscript"/>
        <sz val="11"/>
        <color theme="1"/>
        <rFont val="Arial Narrow"/>
        <family val="2"/>
      </rPr>
      <t>B</t>
    </r>
  </si>
  <si>
    <r>
      <t>n</t>
    </r>
    <r>
      <rPr>
        <vertAlign val="subscript"/>
        <sz val="11"/>
        <color theme="1"/>
        <rFont val="Arial Narrow"/>
        <family val="2"/>
      </rPr>
      <t>f</t>
    </r>
  </si>
  <si>
    <r>
      <t>E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Calibri Light"/>
        <family val="2"/>
      </rPr>
      <t>d</t>
    </r>
  </si>
  <si>
    <r>
      <t>Q</t>
    </r>
    <r>
      <rPr>
        <vertAlign val="subscript"/>
        <sz val="11"/>
        <color theme="1"/>
        <rFont val="Symbol"/>
        <family val="1"/>
        <charset val="2"/>
      </rPr>
      <t>w</t>
    </r>
    <r>
      <rPr>
        <vertAlign val="subscript"/>
        <sz val="11"/>
        <color theme="1"/>
        <rFont val="Arial Narrow"/>
        <family val="2"/>
      </rPr>
      <t>d</t>
    </r>
  </si>
  <si>
    <t>Turbine discharge</t>
  </si>
  <si>
    <t>Ratio of turbine discharge at best efficiency to hydraulic capacity</t>
  </si>
  <si>
    <t>Franke et al. (1997) "Development of environmentally advanced hydropower turbine system design concepts"</t>
  </si>
  <si>
    <t>Number of blades on the turbine runner</t>
  </si>
  <si>
    <t>Ratio of output shaft power to input fluid power; typ. from vendor curves or index testing</t>
  </si>
  <si>
    <t>Estimate of the mortality rate through bypass (e.g., downstream fishway, spillway, water intake)</t>
  </si>
  <si>
    <t>Route type; selected by user from drop-down list</t>
  </si>
  <si>
    <t>Net head on the turbine; HW to TW, less head loss through system</t>
  </si>
  <si>
    <t>A name selected by the user to help identify pathway; Route Name will not effect simulations</t>
  </si>
  <si>
    <t>Probability that fish will select this route; typ. based on flow distribution and/or fish behavior</t>
  </si>
  <si>
    <t>Lower bound on the cumulative probability of all listed routes (note: prob. of all routes must add to 1.0)</t>
  </si>
  <si>
    <t>Runner height at inlet (see Figure 4.3.2-3 in Franke et al., 1997 for clarification)</t>
  </si>
  <si>
    <t>Diameter at the intake of the runner (typ. beyond the guide vanes; see Figure 4.3.2-3 in Franke et al., 1997)</t>
  </si>
  <si>
    <t>Diameter at the outlet of the runner (typ. before the draft tube; see Figure 4.3.2-3 in Franke et al., 1997)</t>
  </si>
  <si>
    <t>Runner revolutions per minute (model automatically converts to radians per second)</t>
  </si>
  <si>
    <t>A normally distributed population of fish described by its number, mean length, and standard deviation of length is routed through hazards at the project.</t>
  </si>
  <si>
    <r>
      <t xml:space="preserve">Blade strike probabilities are based on turbine information (entered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tab) and calculated using methods outlined in Franke et al. (1997).</t>
    </r>
  </si>
  <si>
    <t>Number of fish in population applied to simulation; code will generate a normally distributed pop.</t>
  </si>
  <si>
    <t>Mean length of the normally distributed fish population (no distinction is made between tail and fork length)</t>
  </si>
  <si>
    <t>An index used to reference individual simulated fish and the associated strike/passage results</t>
  </si>
  <si>
    <t>Length of individual fish in inches (no distinction is made between tail and fork length)</t>
  </si>
  <si>
    <t>Length of individual fish in feet (no distinction is made between tail and fork length)</t>
  </si>
  <si>
    <t>Standard deviation of the length of fish in the population</t>
  </si>
  <si>
    <t>Energy Coefficient</t>
  </si>
  <si>
    <t>Discharge Coefficient</t>
  </si>
  <si>
    <t>Non-dimensional energy coefficient term incorporated into strike equations</t>
  </si>
  <si>
    <t>Non-dimensional discharge coefficient term incorporated into strike equations</t>
  </si>
  <si>
    <t>Relative flow angle at turbine discharge; used in strike equations</t>
  </si>
  <si>
    <t>Beta</t>
  </si>
  <si>
    <t>Alpha-t</t>
  </si>
  <si>
    <t>Angle to tangential of absolute flow upstream of runner (for Axial flow runners only)</t>
  </si>
  <si>
    <t>Alpha-a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</si>
  <si>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Arial Narrow"/>
        <family val="2"/>
      </rPr>
      <t>a</t>
    </r>
  </si>
  <si>
    <t>Maximum Radius</t>
  </si>
  <si>
    <t xml:space="preserve">Radius at mid-blade </t>
  </si>
  <si>
    <t>R</t>
  </si>
  <si>
    <t>r</t>
  </si>
  <si>
    <t>Nominal diameter of runner; maximum radius is assumed to be 1/2 of diameter</t>
  </si>
  <si>
    <t>Radius at mid-blade of a Kaplan runner; code assumes r = 0.75 R based on Franke et al. (1997)</t>
  </si>
  <si>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 xml:space="preserve"> </t>
    </r>
    <r>
      <rPr>
        <sz val="10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Symbol"/>
        <family val="1"/>
        <charset val="2"/>
      </rPr>
      <t>a</t>
    </r>
    <r>
      <rPr>
        <vertAlign val="subscript"/>
        <sz val="11"/>
        <color theme="1"/>
        <rFont val="Calibri"/>
        <family val="2"/>
        <scheme val="minor"/>
      </rPr>
      <t>a</t>
    </r>
  </si>
  <si>
    <t>INSTRUCTIONS: RUNNING A SIMULATION AND USE OF THE COMMAND BUTTONS</t>
  </si>
  <si>
    <r>
      <t xml:space="preserve">2.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Enter the fish population information (in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>) under SIMULATION INPUT PARAMETERS.  Population size must be 10,000 fish or less.</t>
    </r>
  </si>
  <si>
    <r>
      <t xml:space="preserve">4.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Temporarily store the simulation results by clicking the ARCHIVE RUN command button.  This will move the values to a new tab [ .N000 L00 S00].</t>
    </r>
  </si>
  <si>
    <r>
      <t xml:space="preserve">5.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Permanently save all currently archived simulations by clicking the EXPORT ARCHIVES command button.  You will be prompted for a file name.</t>
    </r>
  </si>
  <si>
    <r>
      <t xml:space="preserve">6.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delete all temporarily saved archives (i.e., all ".N000 L00 S00" tabs) by clicking the CLEAR ARCHIVES command button.</t>
    </r>
  </si>
  <si>
    <r>
      <t xml:space="preserve">7.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</t>
    </r>
    <r>
      <rPr>
        <i/>
        <sz val="11"/>
        <color theme="1"/>
        <rFont val="Arial Narrow"/>
        <family val="2"/>
      </rPr>
      <t>Optional</t>
    </r>
    <r>
      <rPr>
        <sz val="11"/>
        <color theme="1"/>
        <rFont val="Arial Narrow"/>
        <family val="2"/>
      </rPr>
      <t>.  You may clear the current results from the Simulation tab by clicking the RESET RUN RESULTS command button.</t>
    </r>
  </si>
  <si>
    <t>TECHNICAL BACKGROUND: TURBINE BLADE STRIKE EQUATIONS</t>
  </si>
  <si>
    <t>TECHNICAL BACKGROUND: SIMULATED FISH POPULATIONS</t>
  </si>
  <si>
    <t>(-1, 0, 1)</t>
  </si>
  <si>
    <r>
      <t>1. [</t>
    </r>
    <r>
      <rPr>
        <b/>
        <sz val="11"/>
        <color theme="1"/>
        <rFont val="Arial Narrow"/>
        <family val="2"/>
      </rPr>
      <t xml:space="preserve"> Route Data</t>
    </r>
    <r>
      <rPr>
        <sz val="11"/>
        <color theme="1"/>
        <rFont val="Arial Narrow"/>
        <family val="2"/>
      </rPr>
      <t xml:space="preserve"> tab ]  Enter information for up to 20 turbines or bypasses.  Data required depends upon route type.  User input is identified by </t>
    </r>
    <r>
      <rPr>
        <b/>
        <sz val="11"/>
        <color rgb="FF005696"/>
        <rFont val="Arial Narrow"/>
        <family val="2"/>
      </rPr>
      <t>blue</t>
    </r>
    <r>
      <rPr>
        <sz val="11"/>
        <color theme="1"/>
        <rFont val="Arial Narrow"/>
        <family val="2"/>
      </rPr>
      <t xml:space="preserve"> font.</t>
    </r>
  </si>
  <si>
    <r>
      <t xml:space="preserve">3. [ </t>
    </r>
    <r>
      <rPr>
        <b/>
        <sz val="11"/>
        <color theme="1"/>
        <rFont val="Arial Narrow"/>
        <family val="2"/>
      </rPr>
      <t>Simulation</t>
    </r>
    <r>
      <rPr>
        <sz val="11"/>
        <color theme="1"/>
        <rFont val="Arial Narrow"/>
        <family val="2"/>
      </rPr>
      <t xml:space="preserve"> tab ]  Click the RUN SIMULATION command button.  The simulation results will populate the table below row 11.  Run time depends on population size.</t>
    </r>
  </si>
  <si>
    <t>Monte Carlo simulations (i.e., probability simulations) are performed to determine the percentage subjected to blade strike or bypass mortality.</t>
  </si>
  <si>
    <t>Max. radius of runner typ. of Kaplan; measured from axis to blade tip; calculated from Runner Dia., D</t>
  </si>
  <si>
    <t>An evenly distributed random number from 0 to 1 (i.e., probability) used to determine the route taken by a fish</t>
  </si>
  <si>
    <t>The path (or hazard) selected by the individual fish based on the route seed</t>
  </si>
  <si>
    <t>Individual results in text and symbolic forms (check is pass, x is blade strike, exclamation is bypass death)</t>
  </si>
  <si>
    <t>Angle to tangential of absolute flow upstream of runner (for Francis runners only)</t>
  </si>
  <si>
    <t>Blade strike probability; compared with mortality seed to determine individual fish mortality</t>
  </si>
  <si>
    <t>z</t>
  </si>
  <si>
    <t>Swirl Coeff.
( - )</t>
  </si>
  <si>
    <t>Correlation Coeff.</t>
  </si>
  <si>
    <t>Runner Dia. at Inlet</t>
  </si>
  <si>
    <t>Speed</t>
  </si>
  <si>
    <t>Discharge at Opt. Eff.</t>
  </si>
  <si>
    <t>Turbine Discharge</t>
  </si>
  <si>
    <t>Blades</t>
  </si>
  <si>
    <t>Runner Height</t>
  </si>
  <si>
    <t>SD in length</t>
  </si>
  <si>
    <t>x</t>
  </si>
  <si>
    <t>Calc.
Type</t>
  </si>
  <si>
    <t>Turbine Strikes:</t>
  </si>
  <si>
    <t>Bypass Failures:</t>
  </si>
  <si>
    <t>Parameter used by VBA code in calculations (0 = Bypass, 1=Francis, 2=Kaplan, 3=propeller)</t>
  </si>
  <si>
    <r>
      <t>Ratio between Q with no exit swirl and Q</t>
    </r>
    <r>
      <rPr>
        <vertAlign val="subscript"/>
        <sz val="11"/>
        <color theme="1"/>
        <rFont val="Arial Narrow"/>
        <family val="2"/>
      </rPr>
      <t>OPT</t>
    </r>
    <r>
      <rPr>
        <sz val="11"/>
        <color theme="1"/>
        <rFont val="Arial Narrow"/>
        <family val="2"/>
      </rPr>
      <t xml:space="preserve"> (recommended </t>
    </r>
    <r>
      <rPr>
        <sz val="11"/>
        <color theme="1"/>
        <rFont val="Symbol"/>
        <family val="1"/>
        <charset val="2"/>
      </rPr>
      <t>x</t>
    </r>
    <r>
      <rPr>
        <sz val="11"/>
        <color theme="1"/>
        <rFont val="Arial Narrow"/>
        <family val="2"/>
      </rPr>
      <t>=1.1 for Francis turbines)</t>
    </r>
  </si>
  <si>
    <r>
      <t xml:space="preserve">User input on </t>
    </r>
    <r>
      <rPr>
        <b/>
        <sz val="11"/>
        <color theme="1"/>
        <rFont val="Calibri"/>
        <family val="2"/>
        <scheme val="minor"/>
      </rPr>
      <t>Route Data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Simulation</t>
    </r>
    <r>
      <rPr>
        <sz val="11"/>
        <color theme="1"/>
        <rFont val="Calibri"/>
        <family val="2"/>
        <scheme val="minor"/>
      </rPr>
      <t xml:space="preserve"> tabs is indicated by a </t>
    </r>
    <r>
      <rPr>
        <b/>
        <sz val="11"/>
        <color rgb="FF005696"/>
        <rFont val="Calibri"/>
        <family val="2"/>
        <scheme val="minor"/>
      </rPr>
      <t>blue</t>
    </r>
    <r>
      <rPr>
        <sz val="11"/>
        <color theme="1"/>
        <rFont val="Calibri"/>
        <family val="2"/>
        <scheme val="minor"/>
      </rPr>
      <t xml:space="preserve"> font (see INSTRUCTIONS below).</t>
    </r>
  </si>
  <si>
    <t>The TBSA model determines the fraction of a population of fish that are killed (by blade strike) passing through a hydroelectric project.</t>
  </si>
  <si>
    <r>
      <t>Route
Type</t>
    </r>
    <r>
      <rPr>
        <vertAlign val="superscript"/>
        <sz val="11"/>
        <color theme="1"/>
        <rFont val="Calibri"/>
        <family val="2"/>
        <scheme val="minor"/>
      </rPr>
      <t xml:space="preserve"> </t>
    </r>
  </si>
  <si>
    <t>Strike Prob.</t>
  </si>
  <si>
    <t>Mortality
Seed</t>
  </si>
  <si>
    <t>Mortality Seed</t>
  </si>
  <si>
    <t>Fish Length</t>
  </si>
  <si>
    <t>Fish
Length</t>
  </si>
  <si>
    <t>Individual Results</t>
  </si>
  <si>
    <t>Est. Mortality
Mort.</t>
  </si>
  <si>
    <t>Evenly distributed random number from 0 to 1; compared to strike/bypass probabilities to est. mortality</t>
  </si>
  <si>
    <t>Turbine Efficiency</t>
  </si>
  <si>
    <t>Runner Diameter</t>
  </si>
  <si>
    <t>Runner Dia. at Discharge</t>
  </si>
  <si>
    <t>Swirl Coefficient</t>
  </si>
  <si>
    <t xml:space="preserve">Route Type </t>
  </si>
  <si>
    <t>Fish ID</t>
  </si>
  <si>
    <t>Mean Length</t>
  </si>
  <si>
    <t>Net Head</t>
  </si>
  <si>
    <t>Estimated
Mortality ( - )</t>
  </si>
  <si>
    <t>Strike
Prob.</t>
  </si>
  <si>
    <t>Route
Selection</t>
  </si>
  <si>
    <t>Route
Seed</t>
  </si>
  <si>
    <t>Net. Head
(ft)</t>
  </si>
  <si>
    <t>Runner Dia. at Inlet (ft)</t>
  </si>
  <si>
    <t>Runner Dia. at Disch. (ft)</t>
  </si>
  <si>
    <r>
      <t>Blades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(#)</t>
    </r>
  </si>
  <si>
    <r>
      <t>Runner
Height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(ft)</t>
    </r>
  </si>
  <si>
    <r>
      <t>Turbine Discharge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(cfs)</t>
    </r>
  </si>
  <si>
    <r>
      <t>Speed</t>
    </r>
    <r>
      <rPr>
        <vertAlign val="superscript"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 xml:space="preserve">
(rpm)</t>
    </r>
  </si>
  <si>
    <r>
      <t>Q</t>
    </r>
    <r>
      <rPr>
        <vertAlign val="subscript"/>
        <sz val="12"/>
        <color theme="1"/>
        <rFont val="Calibri"/>
        <family val="2"/>
        <scheme val="minor"/>
      </rPr>
      <t>OPT</t>
    </r>
    <r>
      <rPr>
        <sz val="12"/>
        <color theme="1"/>
        <rFont val="Calibri"/>
        <family val="2"/>
        <scheme val="minor"/>
      </rPr>
      <t>/Q</t>
    </r>
  </si>
  <si>
    <r>
      <t>D</t>
    </r>
    <r>
      <rPr>
        <vertAlign val="subscript"/>
        <sz val="12"/>
        <color theme="1"/>
        <rFont val="Calibri"/>
        <family val="2"/>
        <scheme val="minor"/>
      </rPr>
      <t>1</t>
    </r>
  </si>
  <si>
    <r>
      <t>D</t>
    </r>
    <r>
      <rPr>
        <vertAlign val="subscript"/>
        <sz val="12"/>
        <color theme="1"/>
        <rFont val="Calibri"/>
        <family val="2"/>
        <scheme val="minor"/>
      </rPr>
      <t>2</t>
    </r>
  </si>
  <si>
    <t xml:space="preserve">THE SOFTWARE IS PROVIDED "AS IS", WITHOUT WARRANTY OF ANY KIND, EXPRESSED OR IMPLIED, INCLUDING BUT NOT LIMITED TO </t>
  </si>
  <si>
    <t>Actual mortality correlation; influenced by many factors including unit type and fish species</t>
  </si>
  <si>
    <t>Release 200316</t>
  </si>
  <si>
    <t>u3</t>
  </si>
  <si>
    <t>propeller</t>
  </si>
  <si>
    <t>York Haven Unit 3</t>
  </si>
  <si>
    <t>u18</t>
  </si>
  <si>
    <t>Francis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</si>
</sst>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%"/>
    <numFmt numFmtId="167" formatCode="0.0"/>
  </numFmts>
  <fonts count="53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rgb="FF2F2F2F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vertAlign val="subscript"/>
      <sz val="11"/>
      <color theme="1"/>
      <name val="Symbol"/>
      <family val="1"/>
      <charset val="2"/>
    </font>
    <font>
      <sz val="9"/>
      <color rgb="FF000000"/>
      <name val="Arial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1"/>
      <color rgb="FF005696"/>
      <name val="Calibri"/>
      <family val="2"/>
      <scheme val="minor"/>
    </font>
    <font>
      <b/>
      <sz val="11"/>
      <color rgb="FF005696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rgb="FFFF0000"/>
      <name val="Arial Narrow"/>
      <family val="2"/>
    </font>
    <font>
      <vertAlign val="subscript"/>
      <sz val="11"/>
      <color theme="1"/>
      <name val="Arial Narrow"/>
      <family val="2"/>
    </font>
    <font>
      <sz val="11"/>
      <color theme="1"/>
      <name val="Arial Narrow"/>
      <family val="1"/>
      <charset val="2"/>
    </font>
    <font>
      <vertAlign val="subscript"/>
      <sz val="11"/>
      <color theme="1"/>
      <name val="Calibri Light"/>
      <family val="2"/>
    </font>
    <font>
      <b/>
      <sz val="12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Arial Narrow"/>
      <family val="2"/>
    </font>
    <font>
      <b/>
      <sz val="20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1"/>
      <charset val="2"/>
      <scheme val="minor"/>
    </font>
    <font>
      <sz val="10"/>
      <color theme="1"/>
      <name val="Calibri"/>
      <family val="2"/>
      <scheme val="minor"/>
    </font>
    <font>
      <b/>
      <sz val="11"/>
      <color rgb="FF005696"/>
      <name val="Arial Narrow"/>
      <family val="2"/>
    </font>
    <font>
      <i/>
      <sz val="11"/>
      <color theme="1"/>
      <name val="Arial Narrow"/>
      <family val="2"/>
    </font>
    <font>
      <sz val="9"/>
      <color theme="1"/>
      <name val="Calibri"/>
      <family val="2"/>
      <scheme val="minor"/>
    </font>
    <font>
      <sz val="16"/>
      <color rgb="FF000000"/>
      <name val="Arial"/>
      <family val="2"/>
    </font>
    <font>
      <i/>
      <sz val="10"/>
      <color theme="1"/>
      <name val="Arial Narrow"/>
      <family val="2"/>
    </font>
    <font>
      <b/>
      <sz val="13"/>
      <name val="Calibri"/>
      <family val="2"/>
      <scheme val="minor"/>
    </font>
    <font>
      <b/>
      <sz val="14"/>
      <color rgb="FF005696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Arial"/>
      <family val="2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2"/>
      <color theme="1"/>
      <name val="Symbol"/>
      <family val="1"/>
      <charset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sz val="11"/>
      <color theme="1"/>
      <name val="Tahoma"/>
      <family val="2"/>
    </font>
    <font>
      <b/>
      <sz val="18"/>
      <color theme="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EEEEEE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 tint="0.499984740745262"/>
      </top>
      <bottom/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 tint="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30" fillId="0" borderId="0" applyNumberFormat="0" applyFill="0" applyBorder="0" applyAlignment="0" applyProtection="0"/>
  </cellStyleXfs>
  <cellXfs count="225">
    <xf numFmtId="0" fontId="0" fillId="0" borderId="0" xfId="0"/>
    <xf numFmtId="0" fontId="4" fillId="0" borderId="0" xfId="0" applyFont="1"/>
    <xf numFmtId="0" fontId="4" fillId="0" borderId="0" xfId="0" applyFont="1" applyAlignment="1">
      <alignment wrapText="1"/>
    </xf>
    <xf numFmtId="0" fontId="0" fillId="0" borderId="0" xfId="0" applyFo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2" borderId="2" xfId="0" applyFont="1" applyFill="1" applyBorder="1" applyAlignment="1">
      <alignment horizontal="center" vertical="center" wrapText="1"/>
    </xf>
    <xf numFmtId="0" fontId="9" fillId="2" borderId="5" xfId="0" applyFont="1" applyFill="1" applyBorder="1" applyAlignment="1">
      <alignment horizontal="center" vertical="center" wrapText="1"/>
    </xf>
    <xf numFmtId="165" fontId="0" fillId="0" borderId="0" xfId="0" applyNumberFormat="1" applyFont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2" fontId="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0" fontId="0" fillId="0" borderId="0" xfId="0" applyFont="1" applyBorder="1" applyAlignment="1">
      <alignment horizontal="center"/>
    </xf>
    <xf numFmtId="0" fontId="0" fillId="2" borderId="3" xfId="0" applyFont="1" applyFill="1" applyBorder="1" applyAlignment="1">
      <alignment horizontal="right" vertical="center" indent="3"/>
    </xf>
    <xf numFmtId="0" fontId="9" fillId="2" borderId="3" xfId="0" applyFont="1" applyFill="1" applyBorder="1" applyAlignment="1">
      <alignment horizontal="right" vertical="center" indent="3"/>
    </xf>
    <xf numFmtId="0" fontId="9" fillId="2" borderId="4" xfId="0" applyFont="1" applyFill="1" applyBorder="1" applyAlignment="1">
      <alignment horizontal="right" vertical="center" indent="3"/>
    </xf>
    <xf numFmtId="0" fontId="11" fillId="2" borderId="3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0" fillId="2" borderId="3" xfId="0" applyFont="1" applyFill="1" applyBorder="1" applyAlignment="1">
      <alignment horizontal="center" vertical="center" wrapText="1"/>
    </xf>
    <xf numFmtId="0" fontId="11" fillId="2" borderId="12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5" fillId="2" borderId="12" xfId="0" quotePrefix="1" applyFont="1" applyFill="1" applyBorder="1" applyAlignment="1">
      <alignment horizontal="center"/>
    </xf>
    <xf numFmtId="0" fontId="0" fillId="2" borderId="13" xfId="0" applyFont="1" applyFill="1" applyBorder="1" applyAlignment="1">
      <alignment horizontal="left" indent="8"/>
    </xf>
    <xf numFmtId="0" fontId="0" fillId="2" borderId="0" xfId="0" applyFill="1"/>
    <xf numFmtId="0" fontId="23" fillId="2" borderId="0" xfId="0" applyFont="1" applyFill="1"/>
    <xf numFmtId="0" fontId="22" fillId="0" borderId="10" xfId="0" applyFont="1" applyFill="1" applyBorder="1"/>
    <xf numFmtId="0" fontId="22" fillId="0" borderId="10" xfId="0" applyFont="1" applyFill="1" applyBorder="1" applyAlignment="1">
      <alignment horizontal="center"/>
    </xf>
    <xf numFmtId="0" fontId="23" fillId="0" borderId="10" xfId="0" applyFont="1" applyFill="1" applyBorder="1"/>
    <xf numFmtId="0" fontId="23" fillId="0" borderId="11" xfId="0" applyFont="1" applyFill="1" applyBorder="1"/>
    <xf numFmtId="0" fontId="34" fillId="2" borderId="5" xfId="0" applyFont="1" applyFill="1" applyBorder="1" applyAlignment="1">
      <alignment horizontal="center" vertical="center" wrapText="1"/>
    </xf>
    <xf numFmtId="0" fontId="0" fillId="0" borderId="0" xfId="0" applyFill="1" applyBorder="1"/>
    <xf numFmtId="0" fontId="0" fillId="0" borderId="0" xfId="0" applyFill="1" applyBorder="1" applyAlignment="1">
      <alignment horizontal="left" vertical="center" indent="1"/>
    </xf>
    <xf numFmtId="0" fontId="0" fillId="2" borderId="0" xfId="0" applyFill="1" applyAlignment="1">
      <alignment horizontal="left" vertical="center" indent="1"/>
    </xf>
    <xf numFmtId="0" fontId="0" fillId="0" borderId="14" xfId="0" applyFill="1" applyBorder="1" applyAlignment="1">
      <alignment horizontal="left" vertical="center" indent="1"/>
    </xf>
    <xf numFmtId="0" fontId="0" fillId="0" borderId="15" xfId="0" applyFill="1" applyBorder="1" applyAlignment="1">
      <alignment horizontal="left" vertical="center" indent="1"/>
    </xf>
    <xf numFmtId="3" fontId="17" fillId="0" borderId="0" xfId="0" applyNumberFormat="1" applyFont="1" applyBorder="1" applyAlignment="1" applyProtection="1">
      <alignment horizontal="center" vertical="center"/>
      <protection locked="0"/>
    </xf>
    <xf numFmtId="166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/>
      <protection locked="0"/>
    </xf>
    <xf numFmtId="167" fontId="17" fillId="0" borderId="3" xfId="0" applyNumberFormat="1" applyFont="1" applyBorder="1" applyAlignment="1" applyProtection="1">
      <alignment horizontal="right" vertical="center"/>
      <protection locked="0"/>
    </xf>
    <xf numFmtId="167" fontId="17" fillId="0" borderId="4" xfId="0" applyNumberFormat="1" applyFont="1" applyBorder="1" applyAlignment="1" applyProtection="1">
      <alignment horizontal="right" vertical="center" wrapText="1"/>
      <protection locked="0"/>
    </xf>
    <xf numFmtId="1" fontId="17" fillId="0" borderId="0" xfId="0" applyNumberFormat="1" applyFont="1" applyBorder="1" applyAlignment="1" applyProtection="1">
      <alignment horizontal="center" vertical="center"/>
      <protection locked="0"/>
    </xf>
    <xf numFmtId="2" fontId="17" fillId="0" borderId="0" xfId="0" applyNumberFormat="1" applyFont="1" applyBorder="1" applyAlignment="1" applyProtection="1">
      <alignment horizontal="center" vertical="center"/>
      <protection locked="0"/>
    </xf>
    <xf numFmtId="0" fontId="0" fillId="0" borderId="5" xfId="0" applyFont="1" applyBorder="1"/>
    <xf numFmtId="0" fontId="29" fillId="0" borderId="5" xfId="0" applyFont="1" applyFill="1" applyBorder="1" applyAlignment="1">
      <alignment horizontal="center"/>
    </xf>
    <xf numFmtId="0" fontId="6" fillId="0" borderId="3" xfId="2" applyFont="1" applyBorder="1" applyAlignment="1">
      <alignment horizontal="left" indent="1"/>
    </xf>
    <xf numFmtId="0" fontId="0" fillId="0" borderId="0" xfId="0" applyFont="1" applyBorder="1"/>
    <xf numFmtId="0" fontId="0" fillId="0" borderId="0" xfId="0" applyFont="1" applyBorder="1" applyAlignment="1">
      <alignment horizontal="right"/>
    </xf>
    <xf numFmtId="0" fontId="0" fillId="0" borderId="7" xfId="0" applyFont="1" applyBorder="1"/>
    <xf numFmtId="0" fontId="6" fillId="0" borderId="3" xfId="2" applyFont="1" applyBorder="1"/>
    <xf numFmtId="0" fontId="0" fillId="0" borderId="3" xfId="0" applyFont="1" applyBorder="1"/>
    <xf numFmtId="0" fontId="0" fillId="0" borderId="7" xfId="0" applyFont="1" applyBorder="1" applyAlignment="1">
      <alignment horizontal="center"/>
    </xf>
    <xf numFmtId="166" fontId="0" fillId="0" borderId="0" xfId="0" applyNumberFormat="1" applyFont="1" applyBorder="1" applyAlignment="1"/>
    <xf numFmtId="0" fontId="0" fillId="0" borderId="3" xfId="0" applyFont="1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4" xfId="0" applyFont="1" applyBorder="1"/>
    <xf numFmtId="0" fontId="0" fillId="0" borderId="1" xfId="0" applyFont="1" applyBorder="1"/>
    <xf numFmtId="164" fontId="0" fillId="0" borderId="1" xfId="0" applyNumberFormat="1" applyFont="1" applyBorder="1"/>
    <xf numFmtId="0" fontId="0" fillId="0" borderId="8" xfId="0" applyFont="1" applyBorder="1"/>
    <xf numFmtId="0" fontId="41" fillId="0" borderId="2" xfId="2" applyFont="1" applyBorder="1" applyAlignment="1">
      <alignment horizontal="left" indent="1"/>
    </xf>
    <xf numFmtId="0" fontId="4" fillId="2" borderId="3" xfId="0" applyFont="1" applyFill="1" applyBorder="1"/>
    <xf numFmtId="0" fontId="16" fillId="0" borderId="3" xfId="2" applyFont="1" applyBorder="1" applyAlignment="1" applyProtection="1">
      <alignment horizontal="left" indent="1"/>
      <protection locked="0"/>
    </xf>
    <xf numFmtId="0" fontId="16" fillId="0" borderId="0" xfId="2" applyFont="1" applyBorder="1" applyAlignment="1"/>
    <xf numFmtId="0" fontId="16" fillId="0" borderId="7" xfId="2" applyFont="1" applyBorder="1" applyAlignment="1"/>
    <xf numFmtId="0" fontId="19" fillId="0" borderId="4" xfId="0" applyFont="1" applyBorder="1" applyAlignment="1">
      <alignment horizontal="left" indent="1"/>
    </xf>
    <xf numFmtId="0" fontId="6" fillId="0" borderId="1" xfId="2" applyFont="1" applyBorder="1"/>
    <xf numFmtId="0" fontId="4" fillId="0" borderId="1" xfId="0" applyFont="1" applyBorder="1"/>
    <xf numFmtId="0" fontId="4" fillId="0" borderId="8" xfId="0" applyFont="1" applyBorder="1"/>
    <xf numFmtId="0" fontId="42" fillId="0" borderId="2" xfId="2" applyFont="1" applyBorder="1" applyAlignment="1" applyProtection="1">
      <alignment horizontal="left" indent="1"/>
      <protection locked="0"/>
    </xf>
    <xf numFmtId="0" fontId="42" fillId="0" borderId="5" xfId="2" applyFont="1" applyBorder="1" applyAlignment="1"/>
    <xf numFmtId="0" fontId="43" fillId="0" borderId="5" xfId="0" applyFont="1" applyFill="1" applyBorder="1" applyAlignment="1">
      <alignment horizontal="center"/>
    </xf>
    <xf numFmtId="0" fontId="42" fillId="0" borderId="6" xfId="2" applyFont="1" applyBorder="1" applyAlignment="1"/>
    <xf numFmtId="0" fontId="44" fillId="0" borderId="0" xfId="0" applyFont="1"/>
    <xf numFmtId="0" fontId="0" fillId="0" borderId="5" xfId="0" applyFill="1" applyBorder="1"/>
    <xf numFmtId="0" fontId="38" fillId="0" borderId="5" xfId="0" applyFont="1" applyFill="1" applyBorder="1" applyAlignment="1">
      <alignment horizontal="right" indent="1"/>
    </xf>
    <xf numFmtId="0" fontId="0" fillId="0" borderId="6" xfId="0" applyFill="1" applyBorder="1"/>
    <xf numFmtId="0" fontId="0" fillId="0" borderId="7" xfId="0" applyFill="1" applyBorder="1"/>
    <xf numFmtId="0" fontId="18" fillId="0" borderId="3" xfId="0" applyFont="1" applyFill="1" applyBorder="1"/>
    <xf numFmtId="0" fontId="0" fillId="0" borderId="3" xfId="0" applyFont="1" applyFill="1" applyBorder="1" applyAlignment="1">
      <alignment horizontal="left" indent="1"/>
    </xf>
    <xf numFmtId="0" fontId="0" fillId="0" borderId="3" xfId="0" applyFill="1" applyBorder="1"/>
    <xf numFmtId="0" fontId="24" fillId="0" borderId="16" xfId="0" applyFont="1" applyFill="1" applyBorder="1" applyAlignment="1">
      <alignment horizontal="left" vertical="center" indent="1"/>
    </xf>
    <xf numFmtId="0" fontId="0" fillId="0" borderId="7" xfId="0" applyFill="1" applyBorder="1" applyAlignment="1">
      <alignment horizontal="left" vertical="center" indent="1"/>
    </xf>
    <xf numFmtId="0" fontId="20" fillId="0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vertical="center" indent="1"/>
    </xf>
    <xf numFmtId="0" fontId="23" fillId="0" borderId="3" xfId="0" applyFont="1" applyFill="1" applyBorder="1" applyAlignment="1">
      <alignment horizontal="left" indent="1"/>
    </xf>
    <xf numFmtId="0" fontId="22" fillId="0" borderId="17" xfId="0" applyFont="1" applyFill="1" applyBorder="1" applyAlignment="1">
      <alignment horizontal="left" indent="1"/>
    </xf>
    <xf numFmtId="0" fontId="23" fillId="0" borderId="7" xfId="0" applyFont="1" applyFill="1" applyBorder="1"/>
    <xf numFmtId="0" fontId="23" fillId="0" borderId="0" xfId="0" applyFont="1" applyFill="1" applyBorder="1" applyAlignment="1">
      <alignment horizontal="center"/>
    </xf>
    <xf numFmtId="0" fontId="40" fillId="0" borderId="0" xfId="0" applyFont="1" applyFill="1" applyBorder="1" applyAlignment="1">
      <alignment horizontal="center"/>
    </xf>
    <xf numFmtId="0" fontId="23" fillId="0" borderId="0" xfId="0" applyFont="1" applyFill="1" applyBorder="1"/>
    <xf numFmtId="0" fontId="23" fillId="2" borderId="0" xfId="0" applyFont="1" applyFill="1" applyBorder="1" applyAlignment="1">
      <alignment horizontal="center"/>
    </xf>
    <xf numFmtId="0" fontId="40" fillId="2" borderId="0" xfId="0" applyFont="1" applyFill="1" applyBorder="1" applyAlignment="1">
      <alignment horizontal="center"/>
    </xf>
    <xf numFmtId="0" fontId="23" fillId="2" borderId="0" xfId="0" applyFont="1" applyFill="1" applyBorder="1"/>
    <xf numFmtId="0" fontId="9" fillId="0" borderId="0" xfId="0" applyFont="1" applyFill="1" applyBorder="1" applyAlignment="1">
      <alignment horizontal="center"/>
    </xf>
    <xf numFmtId="0" fontId="27" fillId="2" borderId="0" xfId="0" applyFont="1" applyFill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left" indent="1"/>
    </xf>
    <xf numFmtId="0" fontId="0" fillId="0" borderId="4" xfId="0" applyFill="1" applyBorder="1"/>
    <xf numFmtId="0" fontId="25" fillId="0" borderId="1" xfId="0" applyFont="1" applyFill="1" applyBorder="1" applyAlignment="1">
      <alignment horizontal="left" indent="1"/>
    </xf>
    <xf numFmtId="0" fontId="0" fillId="0" borderId="1" xfId="0" applyFill="1" applyBorder="1"/>
    <xf numFmtId="0" fontId="0" fillId="0" borderId="8" xfId="0" applyFill="1" applyBorder="1"/>
    <xf numFmtId="0" fontId="23" fillId="0" borderId="4" xfId="0" applyFont="1" applyFill="1" applyBorder="1" applyAlignment="1">
      <alignment horizontal="left" indent="1"/>
    </xf>
    <xf numFmtId="0" fontId="24" fillId="0" borderId="2" xfId="0" applyFont="1" applyFill="1" applyBorder="1" applyAlignment="1">
      <alignment horizontal="left" vertical="center" indent="1"/>
    </xf>
    <xf numFmtId="0" fontId="0" fillId="0" borderId="5" xfId="0" applyFill="1" applyBorder="1" applyAlignment="1">
      <alignment horizontal="left" vertical="center" indent="1"/>
    </xf>
    <xf numFmtId="0" fontId="0" fillId="0" borderId="18" xfId="0" applyFill="1" applyBorder="1" applyAlignment="1">
      <alignment horizontal="left" vertical="center" indent="1"/>
    </xf>
    <xf numFmtId="0" fontId="0" fillId="0" borderId="6" xfId="0" applyFill="1" applyBorder="1" applyAlignment="1">
      <alignment horizontal="left" vertical="center" indent="1"/>
    </xf>
    <xf numFmtId="0" fontId="23" fillId="2" borderId="3" xfId="0" applyFont="1" applyFill="1" applyBorder="1" applyAlignment="1">
      <alignment horizontal="left" indent="1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23" fillId="2" borderId="3" xfId="0" applyFont="1" applyFill="1" applyBorder="1" applyAlignment="1">
      <alignment horizontal="left" wrapText="1" indent="1"/>
    </xf>
    <xf numFmtId="0" fontId="0" fillId="2" borderId="5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right" indent="1"/>
    </xf>
    <xf numFmtId="0" fontId="23" fillId="0" borderId="19" xfId="0" applyFont="1" applyFill="1" applyBorder="1" applyAlignment="1">
      <alignment horizontal="left" indent="1"/>
    </xf>
    <xf numFmtId="0" fontId="23" fillId="2" borderId="0" xfId="0" applyFont="1" applyFill="1" applyBorder="1" applyAlignment="1"/>
    <xf numFmtId="0" fontId="23" fillId="0" borderId="0" xfId="0" applyFont="1" applyFill="1" applyBorder="1" applyAlignment="1"/>
    <xf numFmtId="0" fontId="23" fillId="0" borderId="9" xfId="0" applyFont="1" applyFill="1" applyBorder="1" applyAlignment="1"/>
    <xf numFmtId="0" fontId="23" fillId="2" borderId="0" xfId="0" applyFont="1" applyFill="1" applyBorder="1" applyAlignment="1">
      <alignment wrapText="1"/>
    </xf>
    <xf numFmtId="0" fontId="0" fillId="2" borderId="12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13" xfId="0" applyFont="1" applyFill="1" applyBorder="1" applyAlignment="1">
      <alignment horizontal="center" vertical="center" wrapText="1"/>
    </xf>
    <xf numFmtId="3" fontId="17" fillId="0" borderId="2" xfId="0" applyNumberFormat="1" applyFont="1" applyBorder="1" applyAlignment="1" applyProtection="1">
      <alignment horizontal="right" vertical="center"/>
      <protection locked="0"/>
    </xf>
    <xf numFmtId="166" fontId="0" fillId="0" borderId="6" xfId="0" applyNumberFormat="1" applyFont="1" applyFill="1" applyBorder="1" applyAlignment="1">
      <alignment horizontal="right" vertical="center" indent="4"/>
    </xf>
    <xf numFmtId="166" fontId="0" fillId="0" borderId="7" xfId="0" applyNumberFormat="1" applyFont="1" applyFill="1" applyBorder="1" applyAlignment="1">
      <alignment horizontal="right" vertical="center" indent="4"/>
    </xf>
    <xf numFmtId="166" fontId="0" fillId="0" borderId="8" xfId="0" applyNumberFormat="1" applyFont="1" applyFill="1" applyBorder="1" applyAlignment="1">
      <alignment horizontal="right" vertical="center" indent="4"/>
    </xf>
    <xf numFmtId="0" fontId="41" fillId="2" borderId="13" xfId="2" applyFont="1" applyFill="1" applyBorder="1" applyAlignment="1">
      <alignment horizontal="left" vertical="center" indent="6"/>
    </xf>
    <xf numFmtId="0" fontId="46" fillId="2" borderId="0" xfId="0" applyFont="1" applyFill="1" applyBorder="1" applyAlignment="1">
      <alignment horizontal="center" vertical="center"/>
    </xf>
    <xf numFmtId="0" fontId="48" fillId="2" borderId="0" xfId="0" applyFont="1" applyFill="1" applyBorder="1" applyAlignment="1">
      <alignment horizontal="center" vertical="center"/>
    </xf>
    <xf numFmtId="1" fontId="17" fillId="0" borderId="0" xfId="0" applyNumberFormat="1" applyFont="1" applyBorder="1" applyAlignment="1" applyProtection="1">
      <alignment horizontal="center"/>
      <protection locked="0"/>
    </xf>
    <xf numFmtId="3" fontId="17" fillId="0" borderId="0" xfId="0" applyNumberFormat="1" applyFont="1" applyBorder="1" applyAlignment="1" applyProtection="1">
      <alignment horizontal="center"/>
      <protection locked="0"/>
    </xf>
    <xf numFmtId="166" fontId="17" fillId="0" borderId="0" xfId="0" applyNumberFormat="1" applyFont="1" applyBorder="1" applyAlignment="1" applyProtection="1">
      <alignment horizontal="center"/>
      <protection locked="0"/>
    </xf>
    <xf numFmtId="0" fontId="17" fillId="0" borderId="20" xfId="0" applyFont="1" applyFill="1" applyBorder="1" applyAlignment="1" applyProtection="1">
      <alignment horizontal="left" vertical="center" indent="1"/>
      <protection locked="0"/>
    </xf>
    <xf numFmtId="0" fontId="17" fillId="0" borderId="21" xfId="0" applyFont="1" applyFill="1" applyBorder="1" applyAlignment="1" applyProtection="1">
      <alignment horizontal="left" vertical="center" indent="1"/>
      <protection locked="0"/>
    </xf>
    <xf numFmtId="165" fontId="17" fillId="0" borderId="2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 vertical="center"/>
      <protection locked="0"/>
    </xf>
    <xf numFmtId="165" fontId="17" fillId="0" borderId="3" xfId="0" applyNumberFormat="1" applyFont="1" applyFill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left" vertical="center" indent="1"/>
      <protection locked="0"/>
    </xf>
    <xf numFmtId="2" fontId="17" fillId="0" borderId="5" xfId="0" applyNumberFormat="1" applyFont="1" applyBorder="1" applyAlignment="1" applyProtection="1">
      <alignment horizontal="center" vertical="center"/>
      <protection locked="0"/>
    </xf>
    <xf numFmtId="1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5" xfId="0" applyNumberFormat="1" applyFont="1" applyBorder="1" applyAlignment="1" applyProtection="1">
      <alignment horizontal="center"/>
      <protection locked="0"/>
    </xf>
    <xf numFmtId="3" fontId="17" fillId="0" borderId="5" xfId="0" applyNumberFormat="1" applyFont="1" applyBorder="1" applyAlignment="1" applyProtection="1">
      <alignment horizontal="center" vertical="center"/>
      <protection locked="0"/>
    </xf>
    <xf numFmtId="166" fontId="17" fillId="0" borderId="5" xfId="0" applyNumberFormat="1" applyFont="1" applyBorder="1" applyAlignment="1" applyProtection="1">
      <alignment horizontal="center" vertical="center"/>
      <protection locked="0"/>
    </xf>
    <xf numFmtId="2" fontId="17" fillId="0" borderId="6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vertical="center" indent="1"/>
      <protection locked="0"/>
    </xf>
    <xf numFmtId="2" fontId="17" fillId="0" borderId="7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left" indent="1"/>
      <protection locked="0"/>
    </xf>
    <xf numFmtId="165" fontId="17" fillId="3" borderId="3" xfId="0" applyNumberFormat="1" applyFont="1" applyFill="1" applyBorder="1" applyAlignment="1" applyProtection="1">
      <alignment horizontal="center" vertical="center"/>
      <protection locked="0"/>
    </xf>
    <xf numFmtId="0" fontId="17" fillId="3" borderId="21" xfId="0" applyFont="1" applyFill="1" applyBorder="1" applyAlignment="1" applyProtection="1">
      <alignment horizontal="left" vertical="center" indent="1"/>
      <protection locked="0"/>
    </xf>
    <xf numFmtId="0" fontId="17" fillId="3" borderId="3" xfId="0" applyFont="1" applyFill="1" applyBorder="1" applyAlignment="1" applyProtection="1">
      <alignment horizontal="left" vertical="center" indent="1"/>
      <protection locked="0"/>
    </xf>
    <xf numFmtId="2" fontId="17" fillId="3" borderId="0" xfId="0" applyNumberFormat="1" applyFont="1" applyFill="1" applyBorder="1" applyAlignment="1" applyProtection="1">
      <alignment horizontal="center" vertical="center"/>
      <protection locked="0"/>
    </xf>
    <xf numFmtId="1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 vertical="center"/>
      <protection locked="0"/>
    </xf>
    <xf numFmtId="166" fontId="17" fillId="3" borderId="0" xfId="0" applyNumberFormat="1" applyFont="1" applyFill="1" applyBorder="1" applyAlignment="1" applyProtection="1">
      <alignment horizontal="center" vertical="center"/>
      <protection locked="0"/>
    </xf>
    <xf numFmtId="2" fontId="17" fillId="3" borderId="7" xfId="0" applyNumberFormat="1" applyFont="1" applyFill="1" applyBorder="1" applyAlignment="1" applyProtection="1">
      <alignment horizontal="center"/>
      <protection locked="0"/>
    </xf>
    <xf numFmtId="1" fontId="17" fillId="3" borderId="0" xfId="0" applyNumberFormat="1" applyFont="1" applyFill="1" applyBorder="1" applyAlignment="1" applyProtection="1">
      <alignment horizontal="center"/>
      <protection locked="0"/>
    </xf>
    <xf numFmtId="3" fontId="17" fillId="3" borderId="0" xfId="0" applyNumberFormat="1" applyFont="1" applyFill="1" applyBorder="1" applyAlignment="1" applyProtection="1">
      <alignment horizontal="center"/>
      <protection locked="0"/>
    </xf>
    <xf numFmtId="166" fontId="17" fillId="3" borderId="0" xfId="0" applyNumberFormat="1" applyFont="1" applyFill="1" applyBorder="1" applyAlignment="1" applyProtection="1">
      <alignment horizontal="center"/>
      <protection locked="0"/>
    </xf>
    <xf numFmtId="165" fontId="17" fillId="3" borderId="3" xfId="0" applyNumberFormat="1" applyFont="1" applyFill="1" applyBorder="1" applyAlignment="1" applyProtection="1">
      <alignment horizontal="center"/>
      <protection locked="0"/>
    </xf>
    <xf numFmtId="0" fontId="17" fillId="3" borderId="3" xfId="0" applyFont="1" applyFill="1" applyBorder="1" applyAlignment="1" applyProtection="1">
      <alignment horizontal="left" indent="1"/>
      <protection locked="0"/>
    </xf>
    <xf numFmtId="0" fontId="17" fillId="3" borderId="22" xfId="0" applyFont="1" applyFill="1" applyBorder="1" applyAlignment="1" applyProtection="1">
      <alignment horizontal="left" vertical="center" indent="1"/>
      <protection locked="0"/>
    </xf>
    <xf numFmtId="165" fontId="17" fillId="3" borderId="4" xfId="0" applyNumberFormat="1" applyFont="1" applyFill="1" applyBorder="1" applyAlignment="1" applyProtection="1">
      <alignment horizontal="center"/>
      <protection locked="0"/>
    </xf>
    <xf numFmtId="0" fontId="17" fillId="3" borderId="4" xfId="0" applyFont="1" applyFill="1" applyBorder="1" applyAlignment="1" applyProtection="1">
      <alignment horizontal="left" indent="1"/>
      <protection locked="0"/>
    </xf>
    <xf numFmtId="2" fontId="17" fillId="3" borderId="1" xfId="0" applyNumberFormat="1" applyFont="1" applyFill="1" applyBorder="1" applyAlignment="1" applyProtection="1">
      <alignment horizontal="center"/>
      <protection locked="0"/>
    </xf>
    <xf numFmtId="1" fontId="17" fillId="3" borderId="1" xfId="0" applyNumberFormat="1" applyFont="1" applyFill="1" applyBorder="1" applyAlignment="1" applyProtection="1">
      <alignment horizontal="center"/>
      <protection locked="0"/>
    </xf>
    <xf numFmtId="3" fontId="17" fillId="3" borderId="1" xfId="0" applyNumberFormat="1" applyFont="1" applyFill="1" applyBorder="1" applyAlignment="1" applyProtection="1">
      <alignment horizontal="center"/>
      <protection locked="0"/>
    </xf>
    <xf numFmtId="166" fontId="17" fillId="3" borderId="1" xfId="0" applyNumberFormat="1" applyFont="1" applyFill="1" applyBorder="1" applyAlignment="1" applyProtection="1">
      <alignment horizontal="center"/>
      <protection locked="0"/>
    </xf>
    <xf numFmtId="2" fontId="17" fillId="3" borderId="8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Fill="1" applyBorder="1"/>
    <xf numFmtId="0" fontId="52" fillId="0" borderId="2" xfId="0" applyFont="1" applyFill="1" applyBorder="1" applyAlignment="1">
      <alignment horizontal="left" indent="1"/>
    </xf>
    <xf numFmtId="0" fontId="19" fillId="0" borderId="3" xfId="0" applyFont="1" applyFill="1" applyBorder="1" applyAlignment="1">
      <alignment horizontal="left" indent="2"/>
    </xf>
    <xf numFmtId="167" fontId="17" fillId="0" borderId="5" xfId="0" applyNumberFormat="1" applyFont="1" applyBorder="1" applyAlignment="1" applyProtection="1">
      <alignment horizontal="center" vertical="center"/>
      <protection locked="0"/>
    </xf>
    <xf numFmtId="167" fontId="17" fillId="3" borderId="0" xfId="0" applyNumberFormat="1" applyFont="1" applyFill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 vertical="center"/>
      <protection locked="0"/>
    </xf>
    <xf numFmtId="167" fontId="17" fillId="0" borderId="0" xfId="0" applyNumberFormat="1" applyFont="1" applyBorder="1" applyAlignment="1" applyProtection="1">
      <alignment horizontal="center"/>
      <protection locked="0"/>
    </xf>
    <xf numFmtId="167" fontId="17" fillId="3" borderId="0" xfId="0" applyNumberFormat="1" applyFont="1" applyFill="1" applyBorder="1" applyAlignment="1" applyProtection="1">
      <alignment horizontal="center"/>
      <protection locked="0"/>
    </xf>
    <xf numFmtId="167" fontId="17" fillId="3" borderId="1" xfId="0" applyNumberFormat="1" applyFont="1" applyFill="1" applyBorder="1" applyAlignment="1" applyProtection="1">
      <alignment horizontal="center"/>
      <protection locked="0"/>
    </xf>
    <xf numFmtId="167" fontId="17" fillId="0" borderId="5" xfId="0" applyNumberFormat="1" applyFont="1" applyBorder="1" applyAlignment="1" applyProtection="1">
      <alignment horizontal="center"/>
      <protection locked="0"/>
    </xf>
    <xf numFmtId="2" fontId="17" fillId="0" borderId="20" xfId="0" applyNumberFormat="1" applyFont="1" applyBorder="1" applyAlignment="1" applyProtection="1">
      <alignment horizontal="center"/>
      <protection locked="0"/>
    </xf>
    <xf numFmtId="2" fontId="17" fillId="3" borderId="21" xfId="0" applyNumberFormat="1" applyFont="1" applyFill="1" applyBorder="1" applyAlignment="1" applyProtection="1">
      <alignment horizontal="center"/>
      <protection locked="0"/>
    </xf>
    <xf numFmtId="2" fontId="17" fillId="0" borderId="21" xfId="0" applyNumberFormat="1" applyFont="1" applyBorder="1" applyAlignment="1" applyProtection="1">
      <alignment horizontal="center"/>
      <protection locked="0"/>
    </xf>
    <xf numFmtId="2" fontId="17" fillId="3" borderId="22" xfId="0" applyNumberFormat="1" applyFont="1" applyFill="1" applyBorder="1" applyAlignment="1" applyProtection="1">
      <alignment horizontal="center"/>
      <protection locked="0"/>
    </xf>
    <xf numFmtId="165" fontId="6" fillId="0" borderId="5" xfId="0" applyNumberFormat="1" applyFont="1" applyFill="1" applyBorder="1" applyAlignment="1" applyProtection="1">
      <alignment horizontal="center" vertical="center"/>
    </xf>
    <xf numFmtId="1" fontId="6" fillId="0" borderId="6" xfId="0" applyNumberFormat="1" applyFont="1" applyFill="1" applyBorder="1" applyAlignment="1" applyProtection="1">
      <alignment horizontal="center" vertical="center"/>
    </xf>
    <xf numFmtId="165" fontId="6" fillId="3" borderId="0" xfId="0" applyNumberFormat="1" applyFont="1" applyFill="1" applyBorder="1" applyAlignment="1" applyProtection="1">
      <alignment horizontal="center" vertical="center"/>
    </xf>
    <xf numFmtId="1" fontId="6" fillId="3" borderId="7" xfId="0" applyNumberFormat="1" applyFont="1" applyFill="1" applyBorder="1" applyAlignment="1" applyProtection="1">
      <alignment horizontal="center" vertical="center"/>
    </xf>
    <xf numFmtId="165" fontId="6" fillId="0" borderId="0" xfId="0" applyNumberFormat="1" applyFont="1" applyFill="1" applyBorder="1" applyAlignment="1" applyProtection="1">
      <alignment horizontal="center" vertical="center"/>
    </xf>
    <xf numFmtId="1" fontId="6" fillId="0" borderId="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" fontId="6" fillId="3" borderId="8" xfId="0" applyNumberFormat="1" applyFont="1" applyFill="1" applyBorder="1" applyAlignment="1" applyProtection="1">
      <alignment horizontal="center" vertical="center"/>
    </xf>
    <xf numFmtId="1" fontId="6" fillId="2" borderId="7" xfId="0" applyNumberFormat="1" applyFont="1" applyFill="1" applyBorder="1" applyAlignment="1" applyProtection="1">
      <alignment horizontal="center" vertical="center"/>
    </xf>
    <xf numFmtId="0" fontId="23" fillId="0" borderId="3" xfId="0" applyFont="1" applyFill="1" applyBorder="1" applyAlignment="1">
      <alignment horizontal="left" indent="1"/>
    </xf>
    <xf numFmtId="0" fontId="23" fillId="0" borderId="0" xfId="0" applyFont="1" applyFill="1" applyBorder="1" applyAlignment="1">
      <alignment horizontal="left" indent="1"/>
    </xf>
    <xf numFmtId="0" fontId="31" fillId="0" borderId="0" xfId="3" applyFont="1" applyFill="1" applyBorder="1" applyAlignment="1">
      <alignment horizontal="center"/>
    </xf>
    <xf numFmtId="0" fontId="41" fillId="2" borderId="12" xfId="2" applyFont="1" applyFill="1" applyBorder="1" applyAlignment="1">
      <alignment horizontal="left" vertical="center" indent="9"/>
    </xf>
    <xf numFmtId="0" fontId="41" fillId="2" borderId="0" xfId="2" applyFont="1" applyFill="1" applyBorder="1" applyAlignment="1">
      <alignment horizontal="left" vertical="center" indent="9"/>
    </xf>
    <xf numFmtId="0" fontId="41" fillId="2" borderId="12" xfId="2" applyFont="1" applyFill="1" applyBorder="1" applyAlignment="1">
      <alignment horizontal="left" vertical="center" indent="12"/>
    </xf>
    <xf numFmtId="0" fontId="41" fillId="2" borderId="0" xfId="2" applyFont="1" applyFill="1" applyBorder="1" applyAlignment="1">
      <alignment horizontal="left" vertical="center" indent="12"/>
    </xf>
    <xf numFmtId="0" fontId="0" fillId="2" borderId="5" xfId="0" applyFont="1" applyFill="1" applyBorder="1" applyAlignment="1">
      <alignment horizontal="center" vertical="center" wrapText="1"/>
    </xf>
    <xf numFmtId="0" fontId="0" fillId="2" borderId="6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left" vertical="center" indent="1"/>
    </xf>
    <xf numFmtId="0" fontId="0" fillId="0" borderId="6" xfId="0" applyFont="1" applyBorder="1" applyAlignment="1">
      <alignment horizontal="left" vertical="center" indent="1"/>
    </xf>
    <xf numFmtId="0" fontId="0" fillId="0" borderId="0" xfId="0" applyFont="1" applyBorder="1" applyAlignment="1">
      <alignment horizontal="left" vertical="center" indent="1"/>
    </xf>
    <xf numFmtId="0" fontId="0" fillId="0" borderId="7" xfId="0" applyFont="1" applyBorder="1" applyAlignment="1">
      <alignment horizontal="left" vertical="center" indent="1"/>
    </xf>
    <xf numFmtId="0" fontId="0" fillId="0" borderId="1" xfId="0" applyFont="1" applyBorder="1" applyAlignment="1">
      <alignment horizontal="left" vertical="center" indent="1"/>
    </xf>
    <xf numFmtId="0" fontId="0" fillId="0" borderId="8" xfId="0" applyFont="1" applyBorder="1" applyAlignment="1">
      <alignment horizontal="left" vertical="center" indent="1"/>
    </xf>
    <xf numFmtId="0" fontId="45" fillId="2" borderId="2" xfId="0" applyFont="1" applyFill="1" applyBorder="1" applyAlignment="1">
      <alignment horizontal="right" vertical="center" wrapText="1" indent="2"/>
    </xf>
    <xf numFmtId="0" fontId="45" fillId="2" borderId="5" xfId="0" applyFont="1" applyFill="1" applyBorder="1" applyAlignment="1">
      <alignment horizontal="right" vertical="center" wrapText="1" indent="2"/>
    </xf>
    <xf numFmtId="0" fontId="45" fillId="2" borderId="6" xfId="0" applyFont="1" applyFill="1" applyBorder="1" applyAlignment="1">
      <alignment horizontal="right" vertical="center" wrapText="1" indent="2"/>
    </xf>
    <xf numFmtId="0" fontId="45" fillId="2" borderId="2" xfId="0" applyFont="1" applyFill="1" applyBorder="1" applyAlignment="1">
      <alignment horizontal="right" vertical="center" wrapText="1" indent="1"/>
    </xf>
    <xf numFmtId="0" fontId="45" fillId="2" borderId="5" xfId="0" applyFont="1" applyFill="1" applyBorder="1" applyAlignment="1">
      <alignment horizontal="right" vertical="center" wrapText="1" indent="1"/>
    </xf>
    <xf numFmtId="0" fontId="45" fillId="2" borderId="6" xfId="0" applyFont="1" applyFill="1" applyBorder="1" applyAlignment="1">
      <alignment horizontal="right" vertical="center" wrapText="1" indent="1"/>
    </xf>
    <xf numFmtId="0" fontId="0" fillId="2" borderId="3" xfId="0" applyFont="1" applyFill="1" applyBorder="1" applyAlignment="1">
      <alignment horizontal="left" vertical="center" indent="2"/>
    </xf>
    <xf numFmtId="0" fontId="0" fillId="2" borderId="0" xfId="0" applyFont="1" applyFill="1" applyBorder="1" applyAlignment="1">
      <alignment horizontal="left" vertical="center" indent="2"/>
    </xf>
    <xf numFmtId="165" fontId="0" fillId="2" borderId="3" xfId="0" applyNumberFormat="1" applyFont="1" applyFill="1" applyBorder="1" applyAlignment="1">
      <alignment horizontal="left" vertical="center" indent="2"/>
    </xf>
    <xf numFmtId="165" fontId="0" fillId="2" borderId="0" xfId="0" applyNumberFormat="1" applyFont="1" applyFill="1" applyBorder="1" applyAlignment="1">
      <alignment horizontal="left" vertical="center" indent="2"/>
    </xf>
    <xf numFmtId="0" fontId="0" fillId="2" borderId="4" xfId="0" applyFont="1" applyFill="1" applyBorder="1" applyAlignment="1">
      <alignment horizontal="left" vertical="center" indent="2"/>
    </xf>
    <xf numFmtId="0" fontId="0" fillId="2" borderId="1" xfId="0" applyFont="1" applyFill="1" applyBorder="1" applyAlignment="1">
      <alignment horizontal="left" vertical="center" indent="2"/>
    </xf>
    <xf numFmtId="0" fontId="0" fillId="0" borderId="2" xfId="0" applyFont="1" applyFill="1" applyBorder="1" applyAlignment="1">
      <alignment horizontal="right" vertical="center" indent="3"/>
    </xf>
    <xf numFmtId="0" fontId="0" fillId="0" borderId="5" xfId="0" applyFont="1" applyFill="1" applyBorder="1" applyAlignment="1">
      <alignment horizontal="right" vertical="center" indent="3"/>
    </xf>
    <xf numFmtId="0" fontId="0" fillId="0" borderId="4" xfId="0" applyFont="1" applyFill="1" applyBorder="1" applyAlignment="1">
      <alignment horizontal="right" vertical="center" indent="3"/>
    </xf>
    <xf numFmtId="0" fontId="0" fillId="0" borderId="1" xfId="0" applyFont="1" applyFill="1" applyBorder="1" applyAlignment="1">
      <alignment horizontal="right" vertical="center" indent="3"/>
    </xf>
    <xf numFmtId="0" fontId="0" fillId="0" borderId="3" xfId="0" applyFont="1" applyFill="1" applyBorder="1" applyAlignment="1">
      <alignment horizontal="right" vertical="center" indent="3"/>
    </xf>
    <xf numFmtId="0" fontId="0" fillId="0" borderId="0" xfId="0" applyFont="1" applyFill="1" applyBorder="1" applyAlignment="1">
      <alignment horizontal="right" vertical="center" indent="3"/>
    </xf>
  </cellXfs>
  <cellStyles count="4">
    <cellStyle name="Hyperlink" xfId="3" builtinId="8"/>
    <cellStyle name="Normal" xfId="0" builtinId="0"/>
    <cellStyle name="Normal 2" xfId="1" xr:uid="{00000000-0005-0000-0000-000002000000}"/>
    <cellStyle name="Normal 3" xfId="2" xr:uid="{00000000-0005-0000-0000-000003000000}"/>
  </cellStyles>
  <dxfs count="0"/>
  <tableStyles count="0" defaultTableStyle="TableStyleMedium2" defaultPivotStyle="PivotStyleLight16"/>
  <colors>
    <mruColors>
      <color rgb="FF005696"/>
      <color rgb="FFEEEEEE"/>
      <color rgb="FFFBFBFB"/>
      <color rgb="FFEAEA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emf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7" Type="http://schemas.openxmlformats.org/officeDocument/2006/relationships/image" Target="../media/image22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12.png"/><Relationship Id="rId7" Type="http://schemas.openxmlformats.org/officeDocument/2006/relationships/image" Target="../media/image26.png"/><Relationship Id="rId12" Type="http://schemas.openxmlformats.org/officeDocument/2006/relationships/image" Target="../media/image31.png"/><Relationship Id="rId2" Type="http://schemas.openxmlformats.org/officeDocument/2006/relationships/image" Target="../media/image11.png"/><Relationship Id="rId1" Type="http://schemas.openxmlformats.org/officeDocument/2006/relationships/image" Target="../media/image13.png"/><Relationship Id="rId6" Type="http://schemas.openxmlformats.org/officeDocument/2006/relationships/image" Target="../media/image25.png"/><Relationship Id="rId11" Type="http://schemas.openxmlformats.org/officeDocument/2006/relationships/image" Target="../media/image30.png"/><Relationship Id="rId5" Type="http://schemas.openxmlformats.org/officeDocument/2006/relationships/image" Target="../media/image24.pn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342899</xdr:colOff>
      <xdr:row>47</xdr:row>
      <xdr:rowOff>95250</xdr:rowOff>
    </xdr:from>
    <xdr:to>
      <xdr:col>10</xdr:col>
      <xdr:colOff>518582</xdr:colOff>
      <xdr:row>52</xdr:row>
      <xdr:rowOff>133350</xdr:rowOff>
    </xdr:to>
    <xdr:pic>
      <xdr:nvPicPr>
        <xdr:cNvPr id="68" name="Pictur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24699" y="9334500"/>
          <a:ext cx="1871133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114300</xdr:colOff>
      <xdr:row>17</xdr:row>
      <xdr:rowOff>66675</xdr:rowOff>
    </xdr:from>
    <xdr:to>
      <xdr:col>4</xdr:col>
      <xdr:colOff>795906</xdr:colOff>
      <xdr:row>43</xdr:row>
      <xdr:rowOff>0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114300" y="3467100"/>
          <a:ext cx="4072506" cy="4886325"/>
          <a:chOff x="114300" y="2838450"/>
          <a:chExt cx="4072506" cy="491023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2838450"/>
            <a:ext cx="1993385" cy="850225"/>
          </a:xfrm>
          <a:prstGeom prst="rect">
            <a:avLst/>
          </a:prstGeom>
          <a:noFill/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3762375"/>
            <a:ext cx="4072506" cy="54300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4381501"/>
            <a:ext cx="1421805" cy="828791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5705475"/>
            <a:ext cx="1736174" cy="785922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5705475"/>
            <a:ext cx="1057423" cy="57872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4300" y="7048501"/>
            <a:ext cx="1800476" cy="700185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00275" y="7048501"/>
            <a:ext cx="907383" cy="600159"/>
          </a:xfrm>
          <a:prstGeom prst="rect">
            <a:avLst/>
          </a:prstGeom>
          <a:ln>
            <a:solidFill>
              <a:schemeClr val="bg1">
                <a:lumMod val="50000"/>
              </a:schemeClr>
            </a:solidFill>
          </a:ln>
        </xdr:spPr>
      </xdr:pic>
    </xdr:grpSp>
    <xdr:clientData/>
  </xdr:twoCellAnchor>
  <xdr:twoCellAnchor>
    <xdr:from>
      <xdr:col>4</xdr:col>
      <xdr:colOff>609600</xdr:colOff>
      <xdr:row>16</xdr:row>
      <xdr:rowOff>66675</xdr:rowOff>
    </xdr:from>
    <xdr:to>
      <xdr:col>10</xdr:col>
      <xdr:colOff>771525</xdr:colOff>
      <xdr:row>40</xdr:row>
      <xdr:rowOff>152399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4000500" y="3276600"/>
          <a:ext cx="5248275" cy="4657724"/>
          <a:chOff x="4000500" y="2724150"/>
          <a:chExt cx="5248275" cy="4657724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4086225" y="6267449"/>
            <a:ext cx="5162550" cy="1114425"/>
          </a:xfrm>
          <a:prstGeom prst="rect">
            <a:avLst/>
          </a:prstGeom>
          <a:solidFill>
            <a:srgbClr val="EEEEEE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u="sng">
                <a:latin typeface="+mj-lt"/>
              </a:rPr>
              <a:t>Note</a:t>
            </a:r>
            <a:r>
              <a:rPr lang="en-US" sz="1200">
                <a:latin typeface="+mj-lt"/>
              </a:rPr>
              <a:t>: a Kaplan and a propeller turbine have the same general geometry; however, the blades on a Kaplan turbine are adjustable, facilitating</a:t>
            </a:r>
            <a:r>
              <a:rPr lang="en-US" sz="1200" baseline="0">
                <a:latin typeface="+mj-lt"/>
              </a:rPr>
              <a:t> a high efficiency over a larger operating range (i.e., wider range of flow).  Due to the adjustability of Kaplan blades, the equations for calculating angles to flow </a:t>
            </a:r>
            <a:br>
              <a:rPr lang="en-US" sz="1200" baseline="0">
                <a:latin typeface="+mj-lt"/>
              </a:rPr>
            </a:br>
            <a:r>
              <a:rPr lang="en-US" sz="1200" baseline="0">
                <a:latin typeface="+mj-lt"/>
              </a:rPr>
              <a:t>(</a:t>
            </a:r>
            <a:r>
              <a:rPr lang="en-US" sz="1200" baseline="0">
                <a:latin typeface="Symbol" panose="05050102010706020507" pitchFamily="18" charset="2"/>
              </a:rPr>
              <a:t>a</a:t>
            </a:r>
            <a:r>
              <a:rPr lang="en-US" sz="1200" baseline="0">
                <a:latin typeface="+mj-lt"/>
              </a:rPr>
              <a:t> and </a:t>
            </a:r>
            <a:r>
              <a:rPr lang="en-US" sz="1200" baseline="0">
                <a:latin typeface="Symbol" panose="05050102010706020507" pitchFamily="18" charset="2"/>
              </a:rPr>
              <a:t>b</a:t>
            </a:r>
            <a:r>
              <a:rPr lang="en-US" sz="1200" baseline="0">
                <a:latin typeface="+mj-lt"/>
              </a:rPr>
              <a:t>) in the two turbine types are different (as shown to the left).</a:t>
            </a:r>
            <a:endParaRPr lang="en-US" sz="1200">
              <a:latin typeface="+mj-lt"/>
            </a:endParaRPr>
          </a:p>
        </xdr:txBody>
      </xdr:sp>
      <xdr:grpSp>
        <xdr:nvGrpSpPr>
          <xdr:cNvPr id="20" name="Group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4000500" y="2724150"/>
            <a:ext cx="5243014" cy="3572566"/>
            <a:chOff x="3838575" y="2647950"/>
            <a:chExt cx="5243014" cy="3572566"/>
          </a:xfrm>
        </xdr:grpSpPr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38575" y="2647950"/>
              <a:ext cx="5243014" cy="3572566"/>
            </a:xfrm>
            <a:prstGeom prst="rect">
              <a:avLst/>
            </a:prstGeom>
          </xdr:spPr>
        </xdr:pic>
        <xdr:sp macro="" textlink="">
          <xdr:nvSpPr>
            <xdr:cNvPr id="19" name="Rectangle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/>
          </xdr:nvSpPr>
          <xdr:spPr>
            <a:xfrm>
              <a:off x="8753475" y="5667375"/>
              <a:ext cx="247650" cy="257175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11</xdr:row>
          <xdr:rowOff>142875</xdr:rowOff>
        </xdr:from>
        <xdr:to>
          <xdr:col>10</xdr:col>
          <xdr:colOff>638175</xdr:colOff>
          <xdr:row>13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Method     .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238124</xdr:colOff>
      <xdr:row>65</xdr:row>
      <xdr:rowOff>57153</xdr:rowOff>
    </xdr:from>
    <xdr:ext cx="8829675" cy="781048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38124" y="13249278"/>
          <a:ext cx="8829675" cy="781048"/>
        </a:xfrm>
        <a:prstGeom prst="rect">
          <a:avLst/>
        </a:prstGeom>
        <a:solidFill>
          <a:srgbClr val="EEEEEE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u="sng">
              <a:latin typeface="Arial" panose="020B0604020202020204" pitchFamily="34" charset="0"/>
              <a:cs typeface="Arial" panose="020B0604020202020204" pitchFamily="34" charset="0"/>
            </a:rPr>
            <a:t>Note</a:t>
          </a:r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: Archived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runs collect simulation results and route data for storage in a new tab (i.e., worksheet).  Archived tabs are named in the format:   </a:t>
          </a:r>
          <a:r>
            <a:rPr lang="en-US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.N[# of fish] L[mean length] S[survival %].   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These archives remove all formulae and store the results as values.  Users may add plots, filters, conditional formatting and other data tools to the archived tabs.   Exporting archives to a new file (i.e., workbook) saves only the archived tabs; VBA code is not saved with the exported archives (note: Archived runs are saved with the *.XLSX extension).</a:t>
          </a:r>
        </a:p>
      </xdr:txBody>
    </xdr:sp>
    <xdr:clientData/>
  </xdr:oneCellAnchor>
  <xdr:twoCellAnchor editAs="oneCell">
    <xdr:from>
      <xdr:col>3</xdr:col>
      <xdr:colOff>501650</xdr:colOff>
      <xdr:row>44</xdr:row>
      <xdr:rowOff>288642</xdr:rowOff>
    </xdr:from>
    <xdr:to>
      <xdr:col>7</xdr:col>
      <xdr:colOff>530225</xdr:colOff>
      <xdr:row>56</xdr:row>
      <xdr:rowOff>142874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4825" y="8832567"/>
          <a:ext cx="3419475" cy="22640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818883</xdr:colOff>
      <xdr:row>49</xdr:row>
      <xdr:rowOff>132828</xdr:rowOff>
    </xdr:from>
    <xdr:to>
      <xdr:col>7</xdr:col>
      <xdr:colOff>239285</xdr:colOff>
      <xdr:row>51</xdr:row>
      <xdr:rowOff>59057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05233" y="9753078"/>
          <a:ext cx="268127" cy="307229"/>
        </a:xfrm>
        <a:prstGeom prst="rect">
          <a:avLst/>
        </a:prstGeom>
      </xdr:spPr>
    </xdr:pic>
    <xdr:clientData/>
  </xdr:twoCellAnchor>
  <xdr:twoCellAnchor>
    <xdr:from>
      <xdr:col>9</xdr:col>
      <xdr:colOff>466726</xdr:colOff>
      <xdr:row>45</xdr:row>
      <xdr:rowOff>110004</xdr:rowOff>
    </xdr:from>
    <xdr:to>
      <xdr:col>9</xdr:col>
      <xdr:colOff>623807</xdr:colOff>
      <xdr:row>46</xdr:row>
      <xdr:rowOff>99493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096251" y="8968254"/>
          <a:ext cx="157081" cy="179989"/>
        </a:xfrm>
        <a:prstGeom prst="rect">
          <a:avLst/>
        </a:prstGeom>
      </xdr:spPr>
    </xdr:pic>
    <xdr:clientData/>
  </xdr:twoCellAnchor>
  <xdr:twoCellAnchor>
    <xdr:from>
      <xdr:col>8</xdr:col>
      <xdr:colOff>190500</xdr:colOff>
      <xdr:row>46</xdr:row>
      <xdr:rowOff>143344</xdr:rowOff>
    </xdr:from>
    <xdr:to>
      <xdr:col>8</xdr:col>
      <xdr:colOff>347581</xdr:colOff>
      <xdr:row>47</xdr:row>
      <xdr:rowOff>132833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972300" y="9192094"/>
          <a:ext cx="157081" cy="179989"/>
        </a:xfrm>
        <a:prstGeom prst="rect">
          <a:avLst/>
        </a:prstGeom>
      </xdr:spPr>
    </xdr:pic>
    <xdr:clientData/>
  </xdr:twoCellAnchor>
  <xdr:twoCellAnchor>
    <xdr:from>
      <xdr:col>9</xdr:col>
      <xdr:colOff>819884</xdr:colOff>
      <xdr:row>45</xdr:row>
      <xdr:rowOff>57151</xdr:rowOff>
    </xdr:from>
    <xdr:to>
      <xdr:col>10</xdr:col>
      <xdr:colOff>146725</xdr:colOff>
      <xdr:row>46</xdr:row>
      <xdr:rowOff>66675</xdr:rowOff>
    </xdr:to>
    <xdr:grpSp>
      <xdr:nvGrpSpPr>
        <xdr:cNvPr id="35" name="Group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GrpSpPr/>
      </xdr:nvGrpSpPr>
      <xdr:grpSpPr>
        <a:xfrm>
          <a:off x="8449409" y="8915401"/>
          <a:ext cx="174566" cy="200024"/>
          <a:chOff x="6042036" y="93490"/>
          <a:chExt cx="400546" cy="458960"/>
        </a:xfrm>
      </xdr:grpSpPr>
      <xdr:pic>
        <xdr:nvPicPr>
          <xdr:cNvPr id="39" name="Pictur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7</xdr:col>
      <xdr:colOff>846687</xdr:colOff>
      <xdr:row>48</xdr:row>
      <xdr:rowOff>19051</xdr:rowOff>
    </xdr:from>
    <xdr:to>
      <xdr:col>8</xdr:col>
      <xdr:colOff>190154</xdr:colOff>
      <xdr:row>49</xdr:row>
      <xdr:rowOff>47625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6780762" y="9448801"/>
          <a:ext cx="191192" cy="219074"/>
          <a:chOff x="6042036" y="93490"/>
          <a:chExt cx="400546" cy="458960"/>
        </a:xfrm>
      </xdr:grpSpPr>
      <xdr:pic>
        <xdr:nvPicPr>
          <xdr:cNvPr id="44" name="Picture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45" name="Picture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3</xdr:col>
      <xdr:colOff>204140</xdr:colOff>
      <xdr:row>53</xdr:row>
      <xdr:rowOff>161925</xdr:rowOff>
    </xdr:from>
    <xdr:to>
      <xdr:col>3</xdr:col>
      <xdr:colOff>604686</xdr:colOff>
      <xdr:row>56</xdr:row>
      <xdr:rowOff>49385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747315" y="10544175"/>
          <a:ext cx="400546" cy="458960"/>
        </a:xfrm>
        <a:prstGeom prst="rect">
          <a:avLst/>
        </a:prstGeom>
      </xdr:spPr>
    </xdr:pic>
    <xdr:clientData/>
  </xdr:twoCellAnchor>
  <xdr:twoCellAnchor>
    <xdr:from>
      <xdr:col>3</xdr:col>
      <xdr:colOff>665712</xdr:colOff>
      <xdr:row>53</xdr:row>
      <xdr:rowOff>66676</xdr:rowOff>
    </xdr:from>
    <xdr:to>
      <xdr:col>4</xdr:col>
      <xdr:colOff>9179</xdr:colOff>
      <xdr:row>54</xdr:row>
      <xdr:rowOff>95250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3208887" y="10448926"/>
          <a:ext cx="191192" cy="219074"/>
          <a:chOff x="6042036" y="93490"/>
          <a:chExt cx="400546" cy="458960"/>
        </a:xfrm>
      </xdr:grpSpPr>
      <xdr:pic>
        <xdr:nvPicPr>
          <xdr:cNvPr id="52" name="Pictur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53" name="Picture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56112</xdr:colOff>
      <xdr:row>45</xdr:row>
      <xdr:rowOff>104776</xdr:rowOff>
    </xdr:from>
    <xdr:to>
      <xdr:col>9</xdr:col>
      <xdr:colOff>247304</xdr:colOff>
      <xdr:row>46</xdr:row>
      <xdr:rowOff>133350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7685637" y="8963026"/>
          <a:ext cx="191192" cy="219074"/>
          <a:chOff x="6042036" y="93490"/>
          <a:chExt cx="400546" cy="458960"/>
        </a:xfrm>
      </xdr:grpSpPr>
      <xdr:pic>
        <xdr:nvPicPr>
          <xdr:cNvPr id="59" name="Picture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60" name="Picture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8</xdr:col>
      <xdr:colOff>638177</xdr:colOff>
      <xdr:row>46</xdr:row>
      <xdr:rowOff>81432</xdr:rowOff>
    </xdr:from>
    <xdr:to>
      <xdr:col>8</xdr:col>
      <xdr:colOff>795258</xdr:colOff>
      <xdr:row>47</xdr:row>
      <xdr:rowOff>70921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7419977" y="9130182"/>
          <a:ext cx="157081" cy="179989"/>
        </a:xfrm>
        <a:prstGeom prst="rect">
          <a:avLst/>
        </a:prstGeom>
      </xdr:spPr>
    </xdr:pic>
    <xdr:clientData/>
  </xdr:twoCellAnchor>
  <xdr:twoCellAnchor>
    <xdr:from>
      <xdr:col>1</xdr:col>
      <xdr:colOff>457201</xdr:colOff>
      <xdr:row>55</xdr:row>
      <xdr:rowOff>119530</xdr:rowOff>
    </xdr:from>
    <xdr:to>
      <xdr:col>1</xdr:col>
      <xdr:colOff>614282</xdr:colOff>
      <xdr:row>56</xdr:row>
      <xdr:rowOff>109019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304926" y="10882780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26294</xdr:colOff>
      <xdr:row>51</xdr:row>
      <xdr:rowOff>123831</xdr:rowOff>
    </xdr:from>
    <xdr:to>
      <xdr:col>7</xdr:col>
      <xdr:colOff>239856</xdr:colOff>
      <xdr:row>52</xdr:row>
      <xdr:rowOff>178038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5960369" y="10125081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684762</xdr:colOff>
      <xdr:row>55</xdr:row>
      <xdr:rowOff>123826</xdr:rowOff>
    </xdr:from>
    <xdr:to>
      <xdr:col>1</xdr:col>
      <xdr:colOff>28229</xdr:colOff>
      <xdr:row>56</xdr:row>
      <xdr:rowOff>152400</xdr:rowOff>
    </xdr:to>
    <xdr:grpSp>
      <xdr:nvGrpSpPr>
        <xdr:cNvPr id="86" name="Group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GrpSpPr/>
      </xdr:nvGrpSpPr>
      <xdr:grpSpPr>
        <a:xfrm>
          <a:off x="684762" y="10887076"/>
          <a:ext cx="191192" cy="219074"/>
          <a:chOff x="6042036" y="93490"/>
          <a:chExt cx="400546" cy="458960"/>
        </a:xfrm>
      </xdr:grpSpPr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88" name="Picture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2</xdr:col>
      <xdr:colOff>722862</xdr:colOff>
      <xdr:row>54</xdr:row>
      <xdr:rowOff>85726</xdr:rowOff>
    </xdr:from>
    <xdr:to>
      <xdr:col>3</xdr:col>
      <xdr:colOff>66329</xdr:colOff>
      <xdr:row>55</xdr:row>
      <xdr:rowOff>114300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GrpSpPr/>
      </xdr:nvGrpSpPr>
      <xdr:grpSpPr>
        <a:xfrm>
          <a:off x="2418312" y="10658476"/>
          <a:ext cx="191192" cy="219074"/>
          <a:chOff x="6042036" y="93490"/>
          <a:chExt cx="400546" cy="458960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42036" y="93490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95" name="Picture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lum bright="70000" contrast="-7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062664" y="142874"/>
            <a:ext cx="364536" cy="357380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1</xdr:col>
      <xdr:colOff>790575</xdr:colOff>
      <xdr:row>54</xdr:row>
      <xdr:rowOff>167155</xdr:rowOff>
    </xdr:from>
    <xdr:to>
      <xdr:col>2</xdr:col>
      <xdr:colOff>99931</xdr:colOff>
      <xdr:row>55</xdr:row>
      <xdr:rowOff>156644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1638300" y="10739905"/>
          <a:ext cx="157081" cy="179989"/>
        </a:xfrm>
        <a:prstGeom prst="rect">
          <a:avLst/>
        </a:prstGeom>
      </xdr:spPr>
    </xdr:pic>
    <xdr:clientData/>
  </xdr:twoCellAnchor>
  <xdr:twoCellAnchor>
    <xdr:from>
      <xdr:col>2</xdr:col>
      <xdr:colOff>397770</xdr:colOff>
      <xdr:row>55</xdr:row>
      <xdr:rowOff>28582</xdr:rowOff>
    </xdr:from>
    <xdr:to>
      <xdr:col>2</xdr:col>
      <xdr:colOff>611332</xdr:colOff>
      <xdr:row>56</xdr:row>
      <xdr:rowOff>82789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2093220" y="10791832"/>
          <a:ext cx="213562" cy="244707"/>
        </a:xfrm>
        <a:prstGeom prst="rect">
          <a:avLst/>
        </a:prstGeom>
      </xdr:spPr>
    </xdr:pic>
    <xdr:clientData/>
  </xdr:twoCellAnchor>
  <xdr:twoCellAnchor>
    <xdr:from>
      <xdr:col>0</xdr:col>
      <xdr:colOff>314325</xdr:colOff>
      <xdr:row>55</xdr:row>
      <xdr:rowOff>133819</xdr:rowOff>
    </xdr:from>
    <xdr:to>
      <xdr:col>0</xdr:col>
      <xdr:colOff>471406</xdr:colOff>
      <xdr:row>56</xdr:row>
      <xdr:rowOff>123308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14325" y="10897069"/>
          <a:ext cx="157081" cy="179989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52</xdr:row>
      <xdr:rowOff>62378</xdr:rowOff>
    </xdr:from>
    <xdr:to>
      <xdr:col>4</xdr:col>
      <xdr:colOff>233282</xdr:colOff>
      <xdr:row>53</xdr:row>
      <xdr:rowOff>51867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3467101" y="10254128"/>
          <a:ext cx="157081" cy="179989"/>
        </a:xfrm>
        <a:prstGeom prst="rect">
          <a:avLst/>
        </a:prstGeom>
      </xdr:spPr>
    </xdr:pic>
    <xdr:clientData/>
  </xdr:twoCellAnchor>
  <xdr:twoCellAnchor>
    <xdr:from>
      <xdr:col>7</xdr:col>
      <xdr:colOff>676275</xdr:colOff>
      <xdr:row>52</xdr:row>
      <xdr:rowOff>85726</xdr:rowOff>
    </xdr:from>
    <xdr:to>
      <xdr:col>11</xdr:col>
      <xdr:colOff>19050</xdr:colOff>
      <xdr:row>55</xdr:row>
      <xdr:rowOff>161926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 txBox="1"/>
      </xdr:nvSpPr>
      <xdr:spPr>
        <a:xfrm>
          <a:off x="6610350" y="10277476"/>
          <a:ext cx="2733675" cy="647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u="none">
              <a:latin typeface="+mj-lt"/>
            </a:rPr>
            <a:t>Fish length, or total length, is 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straight-line measure </a:t>
          </a:r>
          <a:r>
            <a:rPr lang="en-US" sz="1100" u="none">
              <a:latin typeface="+mj-lt"/>
            </a:rPr>
            <a:t>from the tip of the snout to the tip of the longer lobe of the caudal fin. </a:t>
          </a:r>
          <a:endParaRPr lang="en-US" sz="1100" u="none" baseline="0">
            <a:latin typeface="+mj-lt"/>
          </a:endParaRPr>
        </a:p>
      </xdr:txBody>
    </xdr:sp>
    <xdr:clientData/>
  </xdr:twoCellAnchor>
  <xdr:twoCellAnchor>
    <xdr:from>
      <xdr:col>7</xdr:col>
      <xdr:colOff>523609</xdr:colOff>
      <xdr:row>48</xdr:row>
      <xdr:rowOff>132829</xdr:rowOff>
    </xdr:from>
    <xdr:to>
      <xdr:col>7</xdr:col>
      <xdr:colOff>791736</xdr:colOff>
      <xdr:row>50</xdr:row>
      <xdr:rowOff>59058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6457684" y="9562579"/>
          <a:ext cx="268127" cy="307229"/>
        </a:xfrm>
        <a:prstGeom prst="rect">
          <a:avLst/>
        </a:prstGeom>
      </xdr:spPr>
    </xdr:pic>
    <xdr:clientData/>
  </xdr:twoCellAnchor>
  <xdr:twoCellAnchor>
    <xdr:from>
      <xdr:col>5</xdr:col>
      <xdr:colOff>742950</xdr:colOff>
      <xdr:row>45</xdr:row>
      <xdr:rowOff>104776</xdr:rowOff>
    </xdr:from>
    <xdr:to>
      <xdr:col>6</xdr:col>
      <xdr:colOff>781051</xdr:colOff>
      <xdr:row>47</xdr:row>
      <xdr:rowOff>104775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 txBox="1"/>
      </xdr:nvSpPr>
      <xdr:spPr>
        <a:xfrm>
          <a:off x="4981575" y="8963026"/>
          <a:ext cx="885826" cy="3809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Normally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Distributed</a:t>
          </a: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247650</xdr:colOff>
      <xdr:row>45</xdr:row>
      <xdr:rowOff>95251</xdr:rowOff>
    </xdr:from>
    <xdr:to>
      <xdr:col>5</xdr:col>
      <xdr:colOff>57150</xdr:colOff>
      <xdr:row>47</xdr:row>
      <xdr:rowOff>114301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3638550" y="8953501"/>
          <a:ext cx="657225" cy="400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Fish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  <a:t>Length</a:t>
          </a:r>
          <a:br>
            <a:rPr lang="en-US" sz="900" b="1" u="none">
              <a:latin typeface="Arial" panose="020B0604020202020204" pitchFamily="34" charset="0"/>
              <a:cs typeface="Arial" panose="020B0604020202020204" pitchFamily="34" charset="0"/>
            </a:rPr>
          </a:br>
          <a:endParaRPr lang="en-US" sz="900" b="1" u="none" baseline="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38100</xdr:colOff>
      <xdr:row>45</xdr:row>
      <xdr:rowOff>38101</xdr:rowOff>
    </xdr:from>
    <xdr:to>
      <xdr:col>4</xdr:col>
      <xdr:colOff>190500</xdr:colOff>
      <xdr:row>55</xdr:row>
      <xdr:rowOff>152400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38100" y="8896351"/>
          <a:ext cx="3543300" cy="2019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Populations up to 10,000 fish may be set for each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simulation (i.e., run).  Lengths of fish in the simulated population are normally distributed and defined by a user-specified mean length and standard deviation.  The randomly generated length of each fish in the simulation is reported </a:t>
          </a:r>
        </a:p>
        <a:p>
          <a:pPr>
            <a:lnSpc>
              <a:spcPct val="110000"/>
            </a:lnSpc>
          </a:pPr>
          <a:r>
            <a:rPr lang="en-US" sz="1300" u="none" baseline="0">
              <a:latin typeface="+mn-lt"/>
            </a:rPr>
            <a:t>in column B (column 2) on the </a:t>
          </a:r>
        </a:p>
        <a:p>
          <a:pPr>
            <a:lnSpc>
              <a:spcPct val="110000"/>
            </a:lnSpc>
          </a:pPr>
          <a:r>
            <a:rPr lang="en-US" sz="1300" b="1" u="none" baseline="0">
              <a:latin typeface="+mn-lt"/>
            </a:rPr>
            <a:t>Simulation</a:t>
          </a:r>
          <a:r>
            <a:rPr lang="en-US" sz="1300" u="none" baseline="0">
              <a:latin typeface="+mn-lt"/>
            </a:rPr>
            <a:t> tab.</a:t>
          </a:r>
        </a:p>
      </xdr:txBody>
    </xdr:sp>
    <xdr:clientData/>
  </xdr:twoCellAnchor>
  <xdr:twoCellAnchor>
    <xdr:from>
      <xdr:col>10</xdr:col>
      <xdr:colOff>409576</xdr:colOff>
      <xdr:row>45</xdr:row>
      <xdr:rowOff>62379</xdr:rowOff>
    </xdr:from>
    <xdr:to>
      <xdr:col>10</xdr:col>
      <xdr:colOff>566657</xdr:colOff>
      <xdr:row>46</xdr:row>
      <xdr:rowOff>51868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1405256" flipH="1">
          <a:off x="8886826" y="8920629"/>
          <a:ext cx="157081" cy="1799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9</xdr:row>
          <xdr:rowOff>142875</xdr:rowOff>
        </xdr:from>
        <xdr:to>
          <xdr:col>10</xdr:col>
          <xdr:colOff>638175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About TBSA     .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390525</xdr:colOff>
      <xdr:row>10</xdr:row>
      <xdr:rowOff>19048</xdr:rowOff>
    </xdr:from>
    <xdr:to>
      <xdr:col>10</xdr:col>
      <xdr:colOff>590550</xdr:colOff>
      <xdr:row>11</xdr:row>
      <xdr:rowOff>28573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67775" y="1962148"/>
          <a:ext cx="200025" cy="200025"/>
        </a:xfrm>
        <a:prstGeom prst="rect">
          <a:avLst/>
        </a:prstGeom>
      </xdr:spPr>
    </xdr:pic>
    <xdr:clientData/>
  </xdr:twoCellAnchor>
  <xdr:twoCellAnchor editAs="oneCell">
    <xdr:from>
      <xdr:col>10</xdr:col>
      <xdr:colOff>400050</xdr:colOff>
      <xdr:row>12</xdr:row>
      <xdr:rowOff>9524</xdr:rowOff>
    </xdr:from>
    <xdr:to>
      <xdr:col>10</xdr:col>
      <xdr:colOff>581025</xdr:colOff>
      <xdr:row>13</xdr:row>
      <xdr:rowOff>1542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0" y="2333624"/>
          <a:ext cx="180975" cy="1809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72900</xdr:colOff>
      <xdr:row>3</xdr:row>
      <xdr:rowOff>17474</xdr:rowOff>
    </xdr:from>
    <xdr:to>
      <xdr:col>1</xdr:col>
      <xdr:colOff>739589</xdr:colOff>
      <xdr:row>5</xdr:row>
      <xdr:rowOff>73516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720" y="637707"/>
          <a:ext cx="666689" cy="665199"/>
        </a:xfrm>
        <a:prstGeom prst="rect">
          <a:avLst/>
        </a:prstGeom>
      </xdr:spPr>
    </xdr:pic>
    <xdr:clientData/>
  </xdr:twoCellAnchor>
  <xdr:twoCellAnchor editAs="oneCell">
    <xdr:from>
      <xdr:col>4</xdr:col>
      <xdr:colOff>184457</xdr:colOff>
      <xdr:row>3</xdr:row>
      <xdr:rowOff>128231</xdr:rowOff>
    </xdr:from>
    <xdr:to>
      <xdr:col>5</xdr:col>
      <xdr:colOff>156883</xdr:colOff>
      <xdr:row>5</xdr:row>
      <xdr:rowOff>102111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7771" y="748464"/>
          <a:ext cx="758792" cy="583037"/>
        </a:xfrm>
        <a:prstGeom prst="rect">
          <a:avLst/>
        </a:prstGeom>
      </xdr:spPr>
    </xdr:pic>
    <xdr:clientData/>
  </xdr:twoCellAnchor>
  <xdr:twoCellAnchor editAs="oneCell">
    <xdr:from>
      <xdr:col>17</xdr:col>
      <xdr:colOff>100465</xdr:colOff>
      <xdr:row>3</xdr:row>
      <xdr:rowOff>89385</xdr:rowOff>
    </xdr:from>
    <xdr:to>
      <xdr:col>17</xdr:col>
      <xdr:colOff>498403</xdr:colOff>
      <xdr:row>4</xdr:row>
      <xdr:rowOff>106820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46541" y="709618"/>
          <a:ext cx="397938" cy="394004"/>
        </a:xfrm>
        <a:prstGeom prst="rect">
          <a:avLst/>
        </a:prstGeom>
      </xdr:spPr>
    </xdr:pic>
    <xdr:clientData/>
  </xdr:twoCellAnchor>
  <xdr:twoCellAnchor editAs="oneCell">
    <xdr:from>
      <xdr:col>0</xdr:col>
      <xdr:colOff>156362</xdr:colOff>
      <xdr:row>3</xdr:row>
      <xdr:rowOff>134600</xdr:rowOff>
    </xdr:from>
    <xdr:to>
      <xdr:col>0</xdr:col>
      <xdr:colOff>723379</xdr:colOff>
      <xdr:row>5</xdr:row>
      <xdr:rowOff>96499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362" y="754833"/>
          <a:ext cx="567017" cy="571056"/>
        </a:xfrm>
        <a:prstGeom prst="rect">
          <a:avLst/>
        </a:prstGeom>
      </xdr:spPr>
    </xdr:pic>
    <xdr:clientData/>
  </xdr:twoCellAnchor>
  <xdr:twoCellAnchor>
    <xdr:from>
      <xdr:col>0</xdr:col>
      <xdr:colOff>369275</xdr:colOff>
      <xdr:row>3</xdr:row>
      <xdr:rowOff>213041</xdr:rowOff>
    </xdr:from>
    <xdr:to>
      <xdr:col>0</xdr:col>
      <xdr:colOff>503745</xdr:colOff>
      <xdr:row>3</xdr:row>
      <xdr:rowOff>325100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9275" y="833274"/>
          <a:ext cx="134470" cy="11205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402893</xdr:colOff>
      <xdr:row>4</xdr:row>
      <xdr:rowOff>123395</xdr:rowOff>
    </xdr:from>
    <xdr:to>
      <xdr:col>0</xdr:col>
      <xdr:colOff>481334</xdr:colOff>
      <xdr:row>4</xdr:row>
      <xdr:rowOff>201836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02893" y="1120197"/>
          <a:ext cx="78441" cy="78441"/>
        </a:xfrm>
        <a:prstGeom prst="ellipse">
          <a:avLst/>
        </a:prstGeom>
        <a:solidFill>
          <a:srgbClr val="EEEE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457200</xdr:colOff>
          <xdr:row>0</xdr:row>
          <xdr:rowOff>104775</xdr:rowOff>
        </xdr:from>
        <xdr:to>
          <xdr:col>17</xdr:col>
          <xdr:colOff>1123950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CLEAR EXISTING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ROUTE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0</xdr:row>
          <xdr:rowOff>104775</xdr:rowOff>
        </xdr:from>
        <xdr:to>
          <xdr:col>14</xdr:col>
          <xdr:colOff>209550</xdr:colOff>
          <xdr:row>2</xdr:row>
          <xdr:rowOff>114300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IMPORT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  EXAMPLE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401498</xdr:colOff>
      <xdr:row>0</xdr:row>
      <xdr:rowOff>170562</xdr:rowOff>
    </xdr:from>
    <xdr:to>
      <xdr:col>13</xdr:col>
      <xdr:colOff>8897</xdr:colOff>
      <xdr:row>2</xdr:row>
      <xdr:rowOff>46843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biLevel thresh="5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5742" y="170562"/>
          <a:ext cx="393765" cy="308229"/>
        </a:xfrm>
        <a:prstGeom prst="rect">
          <a:avLst/>
        </a:prstGeom>
      </xdr:spPr>
    </xdr:pic>
    <xdr:clientData/>
  </xdr:twoCellAnchor>
  <xdr:twoCellAnchor editAs="oneCell">
    <xdr:from>
      <xdr:col>16</xdr:col>
      <xdr:colOff>569359</xdr:colOff>
      <xdr:row>0</xdr:row>
      <xdr:rowOff>187378</xdr:rowOff>
    </xdr:from>
    <xdr:to>
      <xdr:col>17</xdr:col>
      <xdr:colOff>70267</xdr:colOff>
      <xdr:row>2</xdr:row>
      <xdr:rowOff>29510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5548" y="187378"/>
          <a:ext cx="281645" cy="279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390525</xdr:colOff>
          <xdr:row>0</xdr:row>
          <xdr:rowOff>104775</xdr:rowOff>
        </xdr:from>
        <xdr:to>
          <xdr:col>16</xdr:col>
          <xdr:colOff>276225</xdr:colOff>
          <xdr:row>2</xdr:row>
          <xdr:rowOff>114300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TURBINE</a:t>
              </a:r>
            </a:p>
            <a:p>
              <a:pPr algn="l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               CHARACTERISTICS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454098</xdr:colOff>
      <xdr:row>0</xdr:row>
      <xdr:rowOff>132908</xdr:rowOff>
    </xdr:from>
    <xdr:to>
      <xdr:col>15</xdr:col>
      <xdr:colOff>41815</xdr:colOff>
      <xdr:row>2</xdr:row>
      <xdr:rowOff>76273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441075" y="132908"/>
          <a:ext cx="374083" cy="37531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2</xdr:row>
          <xdr:rowOff>171450</xdr:rowOff>
        </xdr:from>
        <xdr:to>
          <xdr:col>8</xdr:col>
          <xdr:colOff>600075</xdr:colOff>
          <xdr:row>7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  <a:endParaRPr lang="en-US" sz="9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SIMULATION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</xdr:row>
          <xdr:rowOff>0</xdr:rowOff>
        </xdr:from>
        <xdr:to>
          <xdr:col>15</xdr:col>
          <xdr:colOff>552450</xdr:colOff>
          <xdr:row>4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</xdr:row>
          <xdr:rowOff>171450</xdr:rowOff>
        </xdr:from>
        <xdr:to>
          <xdr:col>1</xdr:col>
          <xdr:colOff>552450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4</xdr:row>
          <xdr:rowOff>171450</xdr:rowOff>
        </xdr:from>
        <xdr:to>
          <xdr:col>15</xdr:col>
          <xdr:colOff>552450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4</xdr:row>
          <xdr:rowOff>161925</xdr:rowOff>
        </xdr:from>
        <xdr:to>
          <xdr:col>1</xdr:col>
          <xdr:colOff>552450</xdr:colOff>
          <xdr:row>7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</a:t>
              </a:r>
              <a:endParaRPr lang="en-US" sz="8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ARCHIVES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261009</xdr:colOff>
      <xdr:row>3</xdr:row>
      <xdr:rowOff>12528</xdr:rowOff>
    </xdr:from>
    <xdr:to>
      <xdr:col>3</xdr:col>
      <xdr:colOff>200026</xdr:colOff>
      <xdr:row>3</xdr:row>
      <xdr:rowOff>352425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1708809" y="641178"/>
          <a:ext cx="662917" cy="339897"/>
          <a:chOff x="1499258" y="526877"/>
          <a:chExt cx="852337" cy="528119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951049" y="526877"/>
            <a:ext cx="400546" cy="458960"/>
          </a:xfrm>
          <a:prstGeom prst="rect">
            <a:avLst/>
          </a:prstGeom>
          <a:ln>
            <a:noFill/>
          </a:ln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737116" y="745431"/>
            <a:ext cx="268127" cy="307229"/>
          </a:xfrm>
          <a:prstGeom prst="rect">
            <a:avLst/>
          </a:prstGeom>
          <a:ln>
            <a:noFill/>
          </a:ln>
        </xdr:spPr>
      </xdr:pic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649378" y="584034"/>
            <a:ext cx="213562" cy="244707"/>
          </a:xfrm>
          <a:prstGeom prst="rect">
            <a:avLst/>
          </a:prstGeom>
          <a:ln>
            <a:noFill/>
          </a:ln>
        </xdr:spPr>
      </xdr:pic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518308" y="875007"/>
            <a:ext cx="157081" cy="179989"/>
          </a:xfrm>
          <a:prstGeom prst="rect">
            <a:avLst/>
          </a:prstGeom>
          <a:ln>
            <a:noFill/>
          </a:ln>
        </xdr:spPr>
      </xdr:pic>
      <xdr:pic>
        <xdr:nvPicPr>
          <xdr:cNvPr id="22" name="Picture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duotone>
              <a:schemeClr val="accent3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73460" flipH="1">
            <a:off x="1499258" y="717845"/>
            <a:ext cx="157081" cy="179989"/>
          </a:xfrm>
          <a:prstGeom prst="rect">
            <a:avLst/>
          </a:prstGeom>
          <a:ln>
            <a:noFill/>
          </a:ln>
        </xdr:spPr>
      </xdr:pic>
    </xdr:grpSp>
    <xdr:clientData/>
  </xdr:twoCellAnchor>
  <xdr:twoCellAnchor>
    <xdr:from>
      <xdr:col>9</xdr:col>
      <xdr:colOff>285017</xdr:colOff>
      <xdr:row>3</xdr:row>
      <xdr:rowOff>47625</xdr:rowOff>
    </xdr:from>
    <xdr:to>
      <xdr:col>10</xdr:col>
      <xdr:colOff>390526</xdr:colOff>
      <xdr:row>3</xdr:row>
      <xdr:rowOff>368625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6790592" y="676275"/>
          <a:ext cx="829409" cy="321000"/>
          <a:chOff x="6514366" y="619124"/>
          <a:chExt cx="905609" cy="354563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962775" y="619124"/>
            <a:ext cx="457200" cy="354563"/>
          </a:xfrm>
          <a:prstGeom prst="rect">
            <a:avLst/>
          </a:prstGeom>
        </xdr:spPr>
      </xdr:pic>
      <xdr:grpSp>
        <xdr:nvGrpSpPr>
          <xdr:cNvPr id="5" name="Group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GrpSpPr/>
        </xdr:nvGrpSpPr>
        <xdr:grpSpPr>
          <a:xfrm>
            <a:off x="6741928" y="657225"/>
            <a:ext cx="191192" cy="219074"/>
            <a:chOff x="6042036" y="93490"/>
            <a:chExt cx="400546" cy="458960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18" name="Pictur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GrpSpPr/>
        </xdr:nvGrpSpPr>
        <xdr:grpSpPr>
          <a:xfrm>
            <a:off x="6591300" y="742950"/>
            <a:ext cx="174566" cy="200024"/>
            <a:chOff x="6042036" y="93490"/>
            <a:chExt cx="400546" cy="458960"/>
          </a:xfrm>
        </xdr:grpSpPr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6" name="Picture 25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6514366" y="657224"/>
            <a:ext cx="133003" cy="152399"/>
            <a:chOff x="6042036" y="93490"/>
            <a:chExt cx="400546" cy="458960"/>
          </a:xfrm>
        </xdr:grpSpPr>
        <xdr:pic>
          <xdr:nvPicPr>
            <xdr:cNvPr id="28" name="Pictur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42036" y="93490"/>
              <a:ext cx="400546" cy="458960"/>
            </a:xfrm>
            <a:prstGeom prst="rect">
              <a:avLst/>
            </a:prstGeom>
            <a:ln>
              <a:noFill/>
            </a:ln>
          </xdr:spPr>
        </xdr:pic>
        <xdr:pic>
          <xdr:nvPicPr>
            <xdr:cNvPr id="29" name="Pictur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lum bright="70000" contrast="-7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6062664" y="142874"/>
              <a:ext cx="364536" cy="357380"/>
            </a:xfrm>
            <a:prstGeom prst="rect">
              <a:avLst/>
            </a:prstGeom>
            <a:ln>
              <a:noFill/>
            </a:ln>
          </xdr:spPr>
        </xdr:pic>
      </xdr:grpSp>
    </xdr:grpSp>
    <xdr:clientData/>
  </xdr:twoCellAnchor>
  <xdr:twoCellAnchor editAs="oneCell">
    <xdr:from>
      <xdr:col>13</xdr:col>
      <xdr:colOff>457200</xdr:colOff>
      <xdr:row>6</xdr:row>
      <xdr:rowOff>28575</xdr:rowOff>
    </xdr:from>
    <xdr:to>
      <xdr:col>13</xdr:col>
      <xdr:colOff>666724</xdr:colOff>
      <xdr:row>7</xdr:row>
      <xdr:rowOff>3541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44075" y="1409700"/>
          <a:ext cx="209524" cy="161905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5</xdr:row>
      <xdr:rowOff>19050</xdr:rowOff>
    </xdr:from>
    <xdr:to>
      <xdr:col>13</xdr:col>
      <xdr:colOff>666724</xdr:colOff>
      <xdr:row>6</xdr:row>
      <xdr:rowOff>9502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744075" y="1209675"/>
          <a:ext cx="209524" cy="180952"/>
        </a:xfrm>
        <a:prstGeom prst="rect">
          <a:avLst/>
        </a:prstGeom>
      </xdr:spPr>
    </xdr:pic>
    <xdr:clientData/>
  </xdr:twoCellAnchor>
  <xdr:twoCellAnchor editAs="oneCell">
    <xdr:from>
      <xdr:col>13</xdr:col>
      <xdr:colOff>457200</xdr:colOff>
      <xdr:row>4</xdr:row>
      <xdr:rowOff>47625</xdr:rowOff>
    </xdr:from>
    <xdr:to>
      <xdr:col>13</xdr:col>
      <xdr:colOff>657200</xdr:colOff>
      <xdr:row>5</xdr:row>
      <xdr:rowOff>906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744075" y="1009650"/>
          <a:ext cx="200000" cy="180952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200026</xdr:colOff>
      <xdr:row>5</xdr:row>
      <xdr:rowOff>73024</xdr:rowOff>
    </xdr:from>
    <xdr:to>
      <xdr:col>0</xdr:col>
      <xdr:colOff>333375</xdr:colOff>
      <xdr:row>6</xdr:row>
      <xdr:rowOff>38098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6" y="1263649"/>
          <a:ext cx="133349" cy="155574"/>
        </a:xfrm>
        <a:prstGeom prst="rect">
          <a:avLst/>
        </a:prstGeom>
      </xdr:spPr>
    </xdr:pic>
    <xdr:clientData/>
  </xdr:twoCellAnchor>
  <xdr:twoCellAnchor editAs="oneCell">
    <xdr:from>
      <xdr:col>0</xdr:col>
      <xdr:colOff>180976</xdr:colOff>
      <xdr:row>3</xdr:row>
      <xdr:rowOff>114301</xdr:rowOff>
    </xdr:from>
    <xdr:to>
      <xdr:col>0</xdr:col>
      <xdr:colOff>381000</xdr:colOff>
      <xdr:row>3</xdr:row>
      <xdr:rowOff>314325</xdr:rowOff>
    </xdr:to>
    <xdr:pic>
      <xdr:nvPicPr>
        <xdr:cNvPr id="1032" name="Picture 1031">
          <a:extLst>
            <a:ext uri="{FF2B5EF4-FFF2-40B4-BE49-F238E27FC236}">
              <a16:creationId xmlns:a16="http://schemas.microsoft.com/office/drawing/2014/main" id="{00000000-0008-0000-0200-00000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6" y="695326"/>
          <a:ext cx="200024" cy="200024"/>
        </a:xfrm>
        <a:prstGeom prst="rect">
          <a:avLst/>
        </a:prstGeom>
      </xdr:spPr>
    </xdr:pic>
    <xdr:clientData/>
  </xdr:twoCellAnchor>
  <xdr:twoCellAnchor editAs="oneCell">
    <xdr:from>
      <xdr:col>7</xdr:col>
      <xdr:colOff>619125</xdr:colOff>
      <xdr:row>5</xdr:row>
      <xdr:rowOff>57150</xdr:rowOff>
    </xdr:from>
    <xdr:to>
      <xdr:col>8</xdr:col>
      <xdr:colOff>119645</xdr:colOff>
      <xdr:row>6</xdr:row>
      <xdr:rowOff>95250</xdr:rowOff>
    </xdr:to>
    <xdr:pic>
      <xdr:nvPicPr>
        <xdr:cNvPr id="1038" name="Picture 1037">
          <a:extLst>
            <a:ext uri="{FF2B5EF4-FFF2-40B4-BE49-F238E27FC236}">
              <a16:creationId xmlns:a16="http://schemas.microsoft.com/office/drawing/2014/main" id="{00000000-0008-0000-0200-00000E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50" y="1247775"/>
          <a:ext cx="228600" cy="228600"/>
        </a:xfrm>
        <a:prstGeom prst="rect">
          <a:avLst/>
        </a:prstGeom>
      </xdr:spPr>
    </xdr:pic>
    <xdr:clientData/>
  </xdr:twoCellAnchor>
  <xdr:twoCellAnchor editAs="oneCell">
    <xdr:from>
      <xdr:col>14</xdr:col>
      <xdr:colOff>142875</xdr:colOff>
      <xdr:row>5</xdr:row>
      <xdr:rowOff>28575</xdr:rowOff>
    </xdr:from>
    <xdr:to>
      <xdr:col>14</xdr:col>
      <xdr:colOff>390525</xdr:colOff>
      <xdr:row>6</xdr:row>
      <xdr:rowOff>85725</xdr:rowOff>
    </xdr:to>
    <xdr:pic>
      <xdr:nvPicPr>
        <xdr:cNvPr id="1042" name="Picture 1041">
          <a:extLst>
            <a:ext uri="{FF2B5EF4-FFF2-40B4-BE49-F238E27FC236}">
              <a16:creationId xmlns:a16="http://schemas.microsoft.com/office/drawing/2014/main" id="{00000000-0008-0000-0200-000012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V="1">
          <a:off x="10144125" y="1219200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14</xdr:col>
      <xdr:colOff>180975</xdr:colOff>
      <xdr:row>3</xdr:row>
      <xdr:rowOff>152400</xdr:rowOff>
    </xdr:from>
    <xdr:to>
      <xdr:col>14</xdr:col>
      <xdr:colOff>352425</xdr:colOff>
      <xdr:row>3</xdr:row>
      <xdr:rowOff>323850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00000000-0008-0000-0200-00001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82225" y="733425"/>
          <a:ext cx="171450" cy="1714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osti.gov/biblio/56321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L115"/>
  <sheetViews>
    <sheetView showGridLines="0" tabSelected="1" zoomScaleNormal="100" workbookViewId="0">
      <selection activeCell="A3" sqref="A3"/>
    </sheetView>
  </sheetViews>
  <sheetFormatPr defaultColWidth="12.7109375" defaultRowHeight="15"/>
  <cols>
    <col min="1" max="11" width="12.7109375" style="25"/>
    <col min="12" max="12" width="2.7109375" style="25" customWidth="1"/>
    <col min="13" max="16384" width="12.7109375" style="25"/>
  </cols>
  <sheetData>
    <row r="1" spans="1:12" ht="24.95" customHeight="1">
      <c r="A1" s="170" t="s">
        <v>6</v>
      </c>
      <c r="B1" s="75"/>
      <c r="C1" s="75"/>
      <c r="D1" s="75"/>
      <c r="E1" s="75"/>
      <c r="F1" s="45"/>
      <c r="G1" s="75"/>
      <c r="H1" s="75"/>
      <c r="I1" s="75"/>
      <c r="J1" s="75"/>
      <c r="K1" s="76"/>
      <c r="L1" s="77"/>
    </row>
    <row r="2" spans="1:12" ht="14.25" customHeight="1">
      <c r="A2" s="171" t="s">
        <v>176</v>
      </c>
      <c r="B2" s="32"/>
      <c r="C2" s="32"/>
      <c r="D2" s="32"/>
      <c r="E2" s="32"/>
      <c r="F2" s="32"/>
      <c r="G2" s="32"/>
      <c r="H2" s="32"/>
      <c r="I2" s="32"/>
      <c r="J2" s="32"/>
      <c r="K2" s="32"/>
      <c r="L2" s="78"/>
    </row>
    <row r="3" spans="1:12" ht="14.25" customHeight="1">
      <c r="A3" s="79"/>
      <c r="B3" s="32"/>
      <c r="C3" s="32"/>
      <c r="D3" s="32"/>
      <c r="E3" s="32"/>
      <c r="F3" s="32"/>
      <c r="G3" s="32"/>
      <c r="H3" s="32"/>
      <c r="I3" s="32"/>
      <c r="J3" s="32"/>
      <c r="K3" s="32"/>
      <c r="L3" s="78"/>
    </row>
    <row r="4" spans="1:12" ht="14.25" customHeight="1">
      <c r="A4" s="80" t="s">
        <v>142</v>
      </c>
      <c r="B4" s="32"/>
      <c r="C4" s="32"/>
      <c r="D4" s="169"/>
      <c r="E4" s="32"/>
      <c r="F4" s="32"/>
      <c r="G4" s="32"/>
      <c r="H4" s="32"/>
      <c r="I4" s="32"/>
      <c r="J4" s="32"/>
      <c r="K4" s="32"/>
      <c r="L4" s="78"/>
    </row>
    <row r="5" spans="1:12" ht="14.25" customHeight="1">
      <c r="A5" s="80" t="s">
        <v>82</v>
      </c>
      <c r="B5" s="32"/>
      <c r="C5" s="32"/>
      <c r="D5" s="32"/>
      <c r="E5" s="32"/>
      <c r="F5" s="32"/>
      <c r="G5" s="32"/>
      <c r="H5" s="32"/>
      <c r="I5" s="32"/>
      <c r="J5" s="32"/>
      <c r="K5" s="32"/>
      <c r="L5" s="78"/>
    </row>
    <row r="6" spans="1:12" ht="14.25" customHeight="1">
      <c r="A6" s="80" t="s">
        <v>42</v>
      </c>
      <c r="B6" s="32"/>
      <c r="C6" s="32"/>
      <c r="D6" s="32"/>
      <c r="E6" s="32"/>
      <c r="F6" s="32"/>
      <c r="G6" s="32"/>
      <c r="H6" s="32"/>
      <c r="I6" s="32"/>
      <c r="J6" s="32"/>
      <c r="K6" s="32"/>
      <c r="L6" s="78"/>
    </row>
    <row r="7" spans="1:12" ht="14.25" customHeight="1">
      <c r="A7" s="80" t="s">
        <v>41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78"/>
    </row>
    <row r="8" spans="1:12" ht="14.25" customHeight="1">
      <c r="A8" s="80" t="s">
        <v>118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78"/>
    </row>
    <row r="9" spans="1:12" ht="14.25" customHeight="1">
      <c r="A9" s="80" t="s">
        <v>83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78"/>
    </row>
    <row r="10" spans="1:12" ht="14.25" customHeight="1">
      <c r="A10" s="80" t="s">
        <v>44</v>
      </c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78"/>
    </row>
    <row r="11" spans="1:12">
      <c r="A11" s="80" t="s">
        <v>43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78"/>
    </row>
    <row r="12" spans="1:12">
      <c r="A12" s="81"/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78"/>
    </row>
    <row r="13" spans="1:12">
      <c r="A13" s="80" t="s">
        <v>141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78"/>
    </row>
    <row r="14" spans="1:12">
      <c r="A14" s="80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78"/>
    </row>
    <row r="15" spans="1:12" s="34" customFormat="1" ht="24.95" customHeight="1">
      <c r="A15" s="82" t="s">
        <v>113</v>
      </c>
      <c r="B15" s="35"/>
      <c r="C15" s="35"/>
      <c r="D15" s="35"/>
      <c r="E15" s="35"/>
      <c r="F15" s="35"/>
      <c r="G15" s="35"/>
      <c r="H15" s="35"/>
      <c r="I15" s="35"/>
      <c r="J15" s="35"/>
      <c r="K15" s="36"/>
      <c r="L15" s="83"/>
    </row>
    <row r="16" spans="1:12">
      <c r="A16" s="80"/>
      <c r="B16" s="32"/>
      <c r="C16" s="32"/>
      <c r="D16" s="32"/>
      <c r="E16" s="32"/>
      <c r="F16" s="32"/>
      <c r="G16" s="32"/>
      <c r="H16" s="32"/>
      <c r="I16" s="32"/>
      <c r="J16" s="32"/>
      <c r="K16" s="32"/>
      <c r="L16" s="78"/>
    </row>
    <row r="17" spans="1:12">
      <c r="A17" s="84" t="s">
        <v>48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78"/>
    </row>
    <row r="18" spans="1:12">
      <c r="A18" s="81"/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78"/>
    </row>
    <row r="19" spans="1:12">
      <c r="A19" s="81"/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78"/>
    </row>
    <row r="20" spans="1:12">
      <c r="A20" s="8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78"/>
    </row>
    <row r="21" spans="1:12">
      <c r="A21" s="81"/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78"/>
    </row>
    <row r="22" spans="1:12">
      <c r="A22" s="81"/>
      <c r="B22" s="32"/>
      <c r="C22" s="32"/>
      <c r="D22" s="32"/>
      <c r="E22" s="32"/>
      <c r="F22" s="32"/>
      <c r="G22" s="32"/>
      <c r="H22" s="32"/>
      <c r="I22" s="32"/>
      <c r="J22" s="32"/>
      <c r="K22" s="32"/>
      <c r="L22" s="78"/>
    </row>
    <row r="23" spans="1:12">
      <c r="A23" s="81"/>
      <c r="B23" s="32"/>
      <c r="C23" s="32"/>
      <c r="D23" s="32"/>
      <c r="E23" s="32"/>
      <c r="F23" s="32"/>
      <c r="G23" s="32"/>
      <c r="H23" s="32"/>
      <c r="I23" s="32"/>
      <c r="J23" s="32"/>
      <c r="K23" s="32"/>
      <c r="L23" s="78"/>
    </row>
    <row r="24" spans="1:12">
      <c r="A24" s="8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78"/>
    </row>
    <row r="25" spans="1:12">
      <c r="A25" s="81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78"/>
    </row>
    <row r="26" spans="1:12">
      <c r="A26" s="81"/>
      <c r="B26" s="32"/>
      <c r="C26" s="32"/>
      <c r="D26" s="32"/>
      <c r="E26" s="32"/>
      <c r="F26" s="32"/>
      <c r="G26" s="32"/>
      <c r="H26" s="32"/>
      <c r="I26" s="32"/>
      <c r="J26" s="32"/>
      <c r="K26" s="32"/>
      <c r="L26" s="78"/>
    </row>
    <row r="27" spans="1:12">
      <c r="A27" s="81"/>
      <c r="B27" s="32"/>
      <c r="C27" s="32"/>
      <c r="D27" s="32"/>
      <c r="E27" s="32"/>
      <c r="F27" s="32"/>
      <c r="G27" s="32"/>
      <c r="H27" s="32"/>
      <c r="I27" s="32"/>
      <c r="J27" s="32"/>
      <c r="K27" s="32"/>
      <c r="L27" s="78"/>
    </row>
    <row r="28" spans="1:12">
      <c r="A28" s="81"/>
      <c r="B28" s="32"/>
      <c r="C28" s="32"/>
      <c r="D28" s="32"/>
      <c r="E28" s="32"/>
      <c r="F28" s="32"/>
      <c r="G28" s="32"/>
      <c r="H28" s="32"/>
      <c r="I28" s="32"/>
      <c r="J28" s="32"/>
      <c r="K28" s="32"/>
      <c r="L28" s="78"/>
    </row>
    <row r="29" spans="1:12">
      <c r="A29" s="81"/>
      <c r="B29" s="32"/>
      <c r="C29" s="32"/>
      <c r="D29" s="32"/>
      <c r="E29" s="32"/>
      <c r="F29" s="32"/>
      <c r="G29" s="32"/>
      <c r="H29" s="32"/>
      <c r="I29" s="32"/>
      <c r="J29" s="32"/>
      <c r="K29" s="32"/>
      <c r="L29" s="78"/>
    </row>
    <row r="30" spans="1:12">
      <c r="A30" s="81"/>
      <c r="B30" s="32"/>
      <c r="C30" s="32"/>
      <c r="D30" s="32"/>
      <c r="E30" s="32"/>
      <c r="F30" s="32"/>
      <c r="G30" s="32"/>
      <c r="H30" s="32"/>
      <c r="I30" s="32"/>
      <c r="J30" s="32"/>
      <c r="K30" s="32"/>
      <c r="L30" s="78"/>
    </row>
    <row r="31" spans="1:12">
      <c r="A31" s="81"/>
      <c r="B31" s="32"/>
      <c r="C31" s="32"/>
      <c r="D31" s="32"/>
      <c r="E31" s="32"/>
      <c r="F31" s="32"/>
      <c r="G31" s="32"/>
      <c r="H31" s="32"/>
      <c r="I31" s="32"/>
      <c r="J31" s="32"/>
      <c r="K31" s="32"/>
      <c r="L31" s="78"/>
    </row>
    <row r="32" spans="1:12">
      <c r="A32" s="84" t="s">
        <v>49</v>
      </c>
      <c r="B32" s="32"/>
      <c r="C32" s="32"/>
      <c r="D32" s="32"/>
      <c r="E32" s="32"/>
      <c r="F32" s="32"/>
      <c r="G32" s="32"/>
      <c r="H32" s="32"/>
      <c r="I32" s="32"/>
      <c r="J32" s="32"/>
      <c r="K32" s="32"/>
      <c r="L32" s="78"/>
    </row>
    <row r="33" spans="1:12">
      <c r="A33" s="81"/>
      <c r="B33" s="32"/>
      <c r="C33" s="32"/>
      <c r="D33" s="32"/>
      <c r="E33" s="32"/>
      <c r="F33" s="32"/>
      <c r="G33" s="32"/>
      <c r="H33" s="32"/>
      <c r="I33" s="32"/>
      <c r="J33" s="32"/>
      <c r="K33" s="32"/>
      <c r="L33" s="78"/>
    </row>
    <row r="34" spans="1:12">
      <c r="A34" s="81"/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78"/>
    </row>
    <row r="35" spans="1:12">
      <c r="A35" s="81"/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78"/>
    </row>
    <row r="36" spans="1:12">
      <c r="A36" s="81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78"/>
    </row>
    <row r="37" spans="1:12">
      <c r="A37" s="81"/>
      <c r="B37" s="32"/>
      <c r="C37" s="32"/>
      <c r="D37" s="32"/>
      <c r="E37" s="32"/>
      <c r="F37" s="32"/>
      <c r="G37" s="32"/>
      <c r="H37" s="32"/>
      <c r="I37" s="32"/>
      <c r="J37" s="32"/>
      <c r="K37" s="32"/>
      <c r="L37" s="78"/>
    </row>
    <row r="38" spans="1:12">
      <c r="A38" s="81"/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78"/>
    </row>
    <row r="39" spans="1:12">
      <c r="A39" s="84" t="s">
        <v>50</v>
      </c>
      <c r="B39" s="32"/>
      <c r="C39" s="32"/>
      <c r="D39" s="32"/>
      <c r="E39" s="32"/>
      <c r="F39" s="32"/>
      <c r="G39" s="32"/>
      <c r="H39" s="32"/>
      <c r="I39" s="32"/>
      <c r="J39" s="32"/>
      <c r="K39" s="32"/>
      <c r="L39" s="78"/>
    </row>
    <row r="40" spans="1:12">
      <c r="A40" s="81"/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78"/>
    </row>
    <row r="41" spans="1:12">
      <c r="A41" s="81"/>
      <c r="B41" s="32"/>
      <c r="C41" s="32"/>
      <c r="D41" s="32"/>
      <c r="E41" s="32"/>
      <c r="F41" s="32"/>
      <c r="G41" s="32"/>
      <c r="H41" s="32"/>
      <c r="I41" s="32"/>
      <c r="J41" s="32"/>
      <c r="K41" s="32"/>
      <c r="L41" s="78"/>
    </row>
    <row r="42" spans="1:12">
      <c r="A42" s="81"/>
      <c r="B42" s="32"/>
      <c r="C42" s="32"/>
      <c r="D42" s="32"/>
      <c r="E42" s="32"/>
      <c r="F42" s="194" t="s">
        <v>69</v>
      </c>
      <c r="G42" s="194"/>
      <c r="H42" s="194"/>
      <c r="I42" s="194"/>
      <c r="J42" s="194"/>
      <c r="K42" s="194"/>
      <c r="L42" s="78"/>
    </row>
    <row r="43" spans="1:12">
      <c r="A43" s="81"/>
      <c r="B43" s="32"/>
      <c r="C43" s="32"/>
      <c r="D43" s="32"/>
      <c r="E43" s="32"/>
      <c r="F43" s="32"/>
      <c r="G43" s="32"/>
      <c r="H43" s="32"/>
      <c r="I43" s="32"/>
      <c r="J43" s="32"/>
      <c r="K43" s="32"/>
      <c r="L43" s="78"/>
    </row>
    <row r="44" spans="1:12">
      <c r="A44" s="81"/>
      <c r="B44" s="32"/>
      <c r="C44" s="32"/>
      <c r="D44" s="32"/>
      <c r="E44" s="32"/>
      <c r="F44" s="32"/>
      <c r="G44" s="32"/>
      <c r="H44" s="32"/>
      <c r="I44" s="32"/>
      <c r="J44" s="32"/>
      <c r="K44" s="32"/>
      <c r="L44" s="78"/>
    </row>
    <row r="45" spans="1:12" ht="24.95" customHeight="1">
      <c r="A45" s="82" t="s">
        <v>114</v>
      </c>
      <c r="B45" s="35"/>
      <c r="C45" s="35"/>
      <c r="D45" s="35"/>
      <c r="E45" s="35"/>
      <c r="F45" s="35"/>
      <c r="G45" s="35"/>
      <c r="H45" s="35"/>
      <c r="I45" s="35"/>
      <c r="J45" s="35"/>
      <c r="K45" s="36"/>
      <c r="L45" s="78"/>
    </row>
    <row r="46" spans="1:12">
      <c r="A46" s="81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78"/>
    </row>
    <row r="47" spans="1:12">
      <c r="A47" s="81"/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78"/>
    </row>
    <row r="48" spans="1:12">
      <c r="A48" s="8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78"/>
    </row>
    <row r="49" spans="1:12">
      <c r="A49" s="81"/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78"/>
    </row>
    <row r="50" spans="1:12">
      <c r="A50" s="81"/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78"/>
    </row>
    <row r="51" spans="1:12">
      <c r="A51" s="81"/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78"/>
    </row>
    <row r="52" spans="1:12">
      <c r="A52" s="81"/>
      <c r="B52" s="32"/>
      <c r="C52" s="32"/>
      <c r="D52" s="32"/>
      <c r="E52" s="32"/>
      <c r="F52" s="32"/>
      <c r="G52" s="32"/>
      <c r="H52" s="32"/>
      <c r="I52" s="32"/>
      <c r="J52" s="32"/>
      <c r="K52" s="32"/>
      <c r="L52" s="78"/>
    </row>
    <row r="53" spans="1:12">
      <c r="A53" s="81"/>
      <c r="B53" s="32"/>
      <c r="C53" s="32"/>
      <c r="D53" s="32"/>
      <c r="E53" s="32"/>
      <c r="F53" s="32"/>
      <c r="G53" s="32"/>
      <c r="H53" s="32"/>
      <c r="I53" s="32"/>
      <c r="J53" s="32"/>
      <c r="K53" s="32"/>
      <c r="L53" s="78"/>
    </row>
    <row r="54" spans="1:12">
      <c r="A54" s="81"/>
      <c r="B54" s="32"/>
      <c r="C54" s="32"/>
      <c r="D54" s="32"/>
      <c r="E54" s="32"/>
      <c r="F54" s="32"/>
      <c r="G54" s="32"/>
      <c r="H54" s="32"/>
      <c r="I54" s="32"/>
      <c r="J54" s="32"/>
      <c r="K54" s="32"/>
      <c r="L54" s="78"/>
    </row>
    <row r="55" spans="1:12">
      <c r="A55" s="81"/>
      <c r="B55" s="32"/>
      <c r="C55" s="32"/>
      <c r="D55" s="32"/>
      <c r="E55" s="32"/>
      <c r="F55" s="32"/>
      <c r="G55" s="32"/>
      <c r="H55" s="32"/>
      <c r="I55" s="32"/>
      <c r="J55" s="32"/>
      <c r="K55" s="32"/>
      <c r="L55" s="78"/>
    </row>
    <row r="56" spans="1:12">
      <c r="A56" s="81"/>
      <c r="B56" s="32"/>
      <c r="C56" s="32"/>
      <c r="D56" s="32"/>
      <c r="E56" s="32"/>
      <c r="F56" s="32"/>
      <c r="G56" s="32"/>
      <c r="H56" s="32"/>
      <c r="I56" s="32"/>
      <c r="J56" s="32"/>
      <c r="K56" s="32"/>
      <c r="L56" s="78"/>
    </row>
    <row r="57" spans="1:12">
      <c r="A57" s="81"/>
      <c r="B57" s="32"/>
      <c r="C57" s="32"/>
      <c r="D57" s="32"/>
      <c r="E57" s="32"/>
      <c r="F57" s="32"/>
      <c r="G57" s="32"/>
      <c r="H57" s="32"/>
      <c r="I57" s="32"/>
      <c r="J57" s="32"/>
      <c r="K57" s="32"/>
      <c r="L57" s="78"/>
    </row>
    <row r="58" spans="1:12" s="34" customFormat="1" ht="24.95" customHeight="1">
      <c r="A58" s="82" t="s">
        <v>107</v>
      </c>
      <c r="B58" s="35"/>
      <c r="C58" s="35"/>
      <c r="D58" s="35"/>
      <c r="E58" s="35"/>
      <c r="F58" s="35"/>
      <c r="G58" s="35"/>
      <c r="H58" s="35"/>
      <c r="I58" s="35"/>
      <c r="J58" s="35"/>
      <c r="K58" s="36"/>
      <c r="L58" s="83"/>
    </row>
    <row r="59" spans="1:12" s="34" customFormat="1" ht="20.100000000000001" customHeight="1">
      <c r="A59" s="85" t="s">
        <v>116</v>
      </c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83"/>
    </row>
    <row r="60" spans="1:12" s="34" customFormat="1" ht="20.100000000000001" customHeight="1">
      <c r="A60" s="85" t="s">
        <v>108</v>
      </c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83"/>
    </row>
    <row r="61" spans="1:12" s="34" customFormat="1" ht="20.100000000000001" customHeight="1">
      <c r="A61" s="85" t="s">
        <v>117</v>
      </c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83"/>
    </row>
    <row r="62" spans="1:12" s="34" customFormat="1" ht="20.100000000000001" customHeight="1">
      <c r="A62" s="85" t="s">
        <v>109</v>
      </c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83"/>
    </row>
    <row r="63" spans="1:12" s="34" customFormat="1" ht="20.100000000000001" customHeight="1">
      <c r="A63" s="85" t="s">
        <v>110</v>
      </c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83"/>
    </row>
    <row r="64" spans="1:12" s="34" customFormat="1" ht="20.100000000000001" customHeight="1">
      <c r="A64" s="85" t="s">
        <v>111</v>
      </c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83"/>
    </row>
    <row r="65" spans="1:12" s="34" customFormat="1" ht="20.100000000000001" customHeight="1">
      <c r="A65" s="85" t="s">
        <v>112</v>
      </c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83"/>
    </row>
    <row r="66" spans="1:12" ht="16.5">
      <c r="A66" s="86"/>
      <c r="B66" s="32"/>
      <c r="C66" s="32"/>
      <c r="D66" s="32"/>
      <c r="E66" s="32"/>
      <c r="F66" s="32"/>
      <c r="G66" s="32"/>
      <c r="H66" s="32"/>
      <c r="I66" s="32"/>
      <c r="J66" s="32"/>
      <c r="K66" s="32"/>
      <c r="L66" s="78"/>
    </row>
    <row r="67" spans="1:12" ht="16.5">
      <c r="A67" s="86"/>
      <c r="B67" s="32"/>
      <c r="C67" s="32"/>
      <c r="D67" s="32"/>
      <c r="E67" s="32"/>
      <c r="F67" s="32"/>
      <c r="G67" s="32"/>
      <c r="H67" s="32"/>
      <c r="I67" s="32"/>
      <c r="J67" s="32"/>
      <c r="K67" s="32"/>
      <c r="L67" s="78"/>
    </row>
    <row r="68" spans="1:12" ht="16.5">
      <c r="A68" s="86"/>
      <c r="B68" s="32"/>
      <c r="C68" s="32"/>
      <c r="D68" s="32"/>
      <c r="E68" s="32"/>
      <c r="F68" s="32"/>
      <c r="G68" s="32"/>
      <c r="H68" s="32"/>
      <c r="I68" s="32"/>
      <c r="J68" s="32"/>
      <c r="K68" s="32"/>
      <c r="L68" s="78"/>
    </row>
    <row r="69" spans="1:12" ht="16.5">
      <c r="A69" s="86"/>
      <c r="B69" s="32"/>
      <c r="C69" s="32"/>
      <c r="D69" s="32"/>
      <c r="E69" s="32"/>
      <c r="F69" s="32"/>
      <c r="G69" s="32"/>
      <c r="H69" s="32"/>
      <c r="I69" s="32"/>
      <c r="J69" s="32"/>
      <c r="K69" s="32"/>
      <c r="L69" s="78"/>
    </row>
    <row r="70" spans="1:12" ht="16.5">
      <c r="A70" s="86"/>
      <c r="B70" s="32"/>
      <c r="C70" s="32"/>
      <c r="D70" s="32"/>
      <c r="E70" s="32"/>
      <c r="F70" s="32"/>
      <c r="G70" s="32"/>
      <c r="H70" s="32"/>
      <c r="I70" s="32"/>
      <c r="J70" s="32"/>
      <c r="K70" s="32"/>
      <c r="L70" s="78"/>
    </row>
    <row r="71" spans="1:12" ht="16.5">
      <c r="A71" s="103"/>
      <c r="B71" s="101"/>
      <c r="C71" s="101"/>
      <c r="D71" s="101"/>
      <c r="E71" s="101"/>
      <c r="F71" s="101"/>
      <c r="G71" s="101"/>
      <c r="H71" s="101"/>
      <c r="I71" s="101"/>
      <c r="J71" s="101"/>
      <c r="K71" s="101"/>
      <c r="L71" s="102"/>
    </row>
    <row r="72" spans="1:12" s="34" customFormat="1" ht="24.95" customHeight="1">
      <c r="A72" s="104" t="s">
        <v>51</v>
      </c>
      <c r="B72" s="105"/>
      <c r="C72" s="105"/>
      <c r="D72" s="105"/>
      <c r="E72" s="105"/>
      <c r="F72" s="105"/>
      <c r="G72" s="105"/>
      <c r="H72" s="105"/>
      <c r="I72" s="105"/>
      <c r="J72" s="105"/>
      <c r="K72" s="106"/>
      <c r="L72" s="107"/>
    </row>
    <row r="73" spans="1:12" s="26" customFormat="1" ht="16.5">
      <c r="A73" s="87" t="s">
        <v>52</v>
      </c>
      <c r="B73" s="27"/>
      <c r="C73" s="28" t="s">
        <v>53</v>
      </c>
      <c r="D73" s="28" t="s">
        <v>54</v>
      </c>
      <c r="E73" s="27" t="s">
        <v>55</v>
      </c>
      <c r="F73" s="29"/>
      <c r="G73" s="29"/>
      <c r="H73" s="29"/>
      <c r="I73" s="29"/>
      <c r="J73" s="29"/>
      <c r="K73" s="30"/>
      <c r="L73" s="88"/>
    </row>
    <row r="74" spans="1:12" s="26" customFormat="1" ht="16.5" customHeight="1">
      <c r="A74" s="114" t="s">
        <v>98</v>
      </c>
      <c r="B74" s="117"/>
      <c r="C74" s="97" t="s">
        <v>99</v>
      </c>
      <c r="D74" s="90" t="s">
        <v>19</v>
      </c>
      <c r="E74" s="91" t="s">
        <v>97</v>
      </c>
      <c r="F74" s="91"/>
      <c r="G74" s="91"/>
      <c r="H74" s="91"/>
      <c r="I74" s="91"/>
      <c r="J74" s="91"/>
      <c r="K74" s="91"/>
      <c r="L74" s="88"/>
    </row>
    <row r="75" spans="1:12" s="26" customFormat="1" ht="16.5" customHeight="1">
      <c r="A75" s="108" t="s">
        <v>96</v>
      </c>
      <c r="B75" s="115"/>
      <c r="C75" s="96" t="s">
        <v>60</v>
      </c>
      <c r="D75" s="93" t="s">
        <v>19</v>
      </c>
      <c r="E75" s="94" t="s">
        <v>123</v>
      </c>
      <c r="F75" s="94"/>
      <c r="G75" s="94"/>
      <c r="H75" s="94"/>
      <c r="I75" s="94"/>
      <c r="J75" s="94"/>
      <c r="K75" s="94"/>
      <c r="L75" s="88"/>
    </row>
    <row r="76" spans="1:12" s="26" customFormat="1" ht="16.5">
      <c r="A76" s="109" t="s">
        <v>95</v>
      </c>
      <c r="B76" s="116"/>
      <c r="C76" s="95" t="s">
        <v>18</v>
      </c>
      <c r="D76" s="90" t="s">
        <v>19</v>
      </c>
      <c r="E76" s="91" t="s">
        <v>94</v>
      </c>
      <c r="F76" s="91"/>
      <c r="G76" s="91"/>
      <c r="H76" s="91"/>
      <c r="I76" s="91"/>
      <c r="J76" s="91"/>
      <c r="K76" s="91"/>
      <c r="L76" s="88"/>
    </row>
    <row r="77" spans="1:12" s="26" customFormat="1" ht="16.5">
      <c r="A77" s="108" t="s">
        <v>132</v>
      </c>
      <c r="B77" s="115"/>
      <c r="C77" s="92" t="s">
        <v>3</v>
      </c>
      <c r="D77" s="93" t="s">
        <v>10</v>
      </c>
      <c r="E77" s="94" t="s">
        <v>70</v>
      </c>
      <c r="F77" s="94"/>
      <c r="G77" s="94"/>
      <c r="H77" s="94"/>
      <c r="I77" s="94"/>
      <c r="J77" s="94"/>
      <c r="K77" s="94"/>
      <c r="L77" s="88"/>
    </row>
    <row r="78" spans="1:12" s="26" customFormat="1" ht="16.5">
      <c r="A78" s="109" t="s">
        <v>15</v>
      </c>
      <c r="B78" s="116"/>
      <c r="C78" s="89" t="s">
        <v>5</v>
      </c>
      <c r="D78" s="90" t="s">
        <v>13</v>
      </c>
      <c r="E78" s="91" t="s">
        <v>139</v>
      </c>
      <c r="F78" s="91"/>
      <c r="G78" s="91"/>
      <c r="H78" s="91"/>
      <c r="I78" s="91"/>
      <c r="J78" s="91"/>
      <c r="K78" s="91"/>
      <c r="L78" s="88"/>
    </row>
    <row r="79" spans="1:12" s="26" customFormat="1" ht="16.5">
      <c r="A79" s="108" t="s">
        <v>127</v>
      </c>
      <c r="B79" s="115"/>
      <c r="C79" s="22" t="s">
        <v>20</v>
      </c>
      <c r="D79" s="93" t="s">
        <v>13</v>
      </c>
      <c r="E79" s="94" t="s">
        <v>175</v>
      </c>
      <c r="F79" s="94"/>
      <c r="G79" s="94"/>
      <c r="H79" s="94"/>
      <c r="I79" s="94"/>
      <c r="J79" s="94"/>
      <c r="K79" s="94"/>
      <c r="L79" s="88"/>
    </row>
    <row r="80" spans="1:12" s="26" customFormat="1" ht="16.5" customHeight="1">
      <c r="A80" s="109" t="s">
        <v>130</v>
      </c>
      <c r="B80" s="116"/>
      <c r="C80" s="89" t="s">
        <v>59</v>
      </c>
      <c r="D80" s="90" t="s">
        <v>57</v>
      </c>
      <c r="E80" s="91" t="s">
        <v>68</v>
      </c>
      <c r="F80" s="91"/>
      <c r="G80" s="91"/>
      <c r="H80" s="91"/>
      <c r="I80" s="91"/>
      <c r="J80" s="91"/>
      <c r="K80" s="91"/>
      <c r="L80" s="88"/>
    </row>
    <row r="81" spans="1:12" s="26" customFormat="1" ht="16.5" customHeight="1">
      <c r="A81" s="108" t="s">
        <v>91</v>
      </c>
      <c r="B81" s="115"/>
      <c r="C81" s="92" t="s">
        <v>66</v>
      </c>
      <c r="D81" s="93" t="s">
        <v>13</v>
      </c>
      <c r="E81" s="94" t="s">
        <v>93</v>
      </c>
      <c r="F81" s="94"/>
      <c r="G81" s="94"/>
      <c r="H81" s="94"/>
      <c r="I81" s="94"/>
      <c r="J81" s="94"/>
      <c r="K81" s="94"/>
      <c r="L81" s="88"/>
    </row>
    <row r="82" spans="1:12" s="26" customFormat="1" ht="16.5" customHeight="1">
      <c r="A82" s="109" t="s">
        <v>90</v>
      </c>
      <c r="B82" s="116"/>
      <c r="C82" s="89" t="s">
        <v>65</v>
      </c>
      <c r="D82" s="90" t="s">
        <v>13</v>
      </c>
      <c r="E82" s="91" t="s">
        <v>92</v>
      </c>
      <c r="F82" s="91"/>
      <c r="G82" s="91"/>
      <c r="H82" s="91"/>
      <c r="I82" s="91"/>
      <c r="J82" s="91"/>
      <c r="K82" s="91"/>
      <c r="L82" s="88"/>
    </row>
    <row r="83" spans="1:12" s="26" customFormat="1" ht="16.5" customHeight="1">
      <c r="A83" s="111" t="s">
        <v>150</v>
      </c>
      <c r="B83" s="118"/>
      <c r="C83" s="92" t="s">
        <v>63</v>
      </c>
      <c r="D83" s="93" t="s">
        <v>13</v>
      </c>
      <c r="E83" s="94" t="s">
        <v>72</v>
      </c>
      <c r="F83" s="94"/>
      <c r="G83" s="94"/>
      <c r="H83" s="94"/>
      <c r="I83" s="94"/>
      <c r="J83" s="94"/>
      <c r="K83" s="94"/>
      <c r="L83" s="88"/>
    </row>
    <row r="84" spans="1:12" s="26" customFormat="1" ht="16.5">
      <c r="A84" s="109" t="s">
        <v>157</v>
      </c>
      <c r="B84" s="116"/>
      <c r="C84" s="89" t="s">
        <v>5</v>
      </c>
      <c r="D84" s="90" t="s">
        <v>10</v>
      </c>
      <c r="E84" s="91" t="s">
        <v>86</v>
      </c>
      <c r="F84" s="91"/>
      <c r="G84" s="91"/>
      <c r="H84" s="91"/>
      <c r="I84" s="91"/>
      <c r="J84" s="91"/>
      <c r="K84" s="91"/>
      <c r="L84" s="88"/>
    </row>
    <row r="85" spans="1:12" s="26" customFormat="1" ht="18" customHeight="1">
      <c r="A85" s="108" t="s">
        <v>147</v>
      </c>
      <c r="B85" s="115"/>
      <c r="C85" s="92" t="s">
        <v>5</v>
      </c>
      <c r="D85" s="93" t="s">
        <v>9</v>
      </c>
      <c r="E85" s="94" t="s">
        <v>87</v>
      </c>
      <c r="F85" s="94"/>
      <c r="G85" s="94"/>
      <c r="H85" s="94"/>
      <c r="I85" s="94"/>
      <c r="J85" s="94"/>
      <c r="K85" s="94"/>
      <c r="L85" s="88"/>
    </row>
    <row r="86" spans="1:12" s="26" customFormat="1" ht="16.5">
      <c r="A86" s="109" t="s">
        <v>147</v>
      </c>
      <c r="B86" s="116"/>
      <c r="C86" s="89" t="s">
        <v>5</v>
      </c>
      <c r="D86" s="90" t="s">
        <v>8</v>
      </c>
      <c r="E86" s="91" t="s">
        <v>88</v>
      </c>
      <c r="F86" s="91"/>
      <c r="G86" s="91"/>
      <c r="H86" s="91"/>
      <c r="I86" s="91"/>
      <c r="J86" s="91"/>
      <c r="K86" s="91"/>
      <c r="L86" s="88"/>
    </row>
    <row r="87" spans="1:12" s="26" customFormat="1" ht="16.5">
      <c r="A87" s="108" t="s">
        <v>149</v>
      </c>
      <c r="B87" s="115"/>
      <c r="C87" s="92" t="s">
        <v>5</v>
      </c>
      <c r="D87" s="93" t="s">
        <v>13</v>
      </c>
      <c r="E87" s="94" t="s">
        <v>122</v>
      </c>
      <c r="F87" s="94"/>
      <c r="G87" s="94"/>
      <c r="H87" s="94"/>
      <c r="I87" s="94"/>
      <c r="J87" s="94"/>
      <c r="K87" s="94"/>
      <c r="L87" s="88"/>
    </row>
    <row r="88" spans="1:12" s="26" customFormat="1" ht="18" customHeight="1">
      <c r="A88" s="109" t="s">
        <v>100</v>
      </c>
      <c r="B88" s="110"/>
      <c r="C88" s="89" t="s">
        <v>102</v>
      </c>
      <c r="D88" s="90" t="s">
        <v>8</v>
      </c>
      <c r="E88" s="91" t="s">
        <v>119</v>
      </c>
      <c r="F88" s="91"/>
      <c r="G88" s="91"/>
      <c r="H88" s="91"/>
      <c r="I88" s="91"/>
      <c r="J88" s="91"/>
      <c r="K88" s="91"/>
      <c r="L88" s="88"/>
    </row>
    <row r="89" spans="1:12" s="26" customFormat="1" ht="16.5">
      <c r="A89" s="108" t="s">
        <v>158</v>
      </c>
      <c r="B89" s="115"/>
      <c r="C89" s="22" t="s">
        <v>24</v>
      </c>
      <c r="D89" s="93" t="s">
        <v>9</v>
      </c>
      <c r="E89" s="94" t="s">
        <v>85</v>
      </c>
      <c r="F89" s="94"/>
      <c r="G89" s="94"/>
      <c r="H89" s="94"/>
      <c r="I89" s="94"/>
      <c r="J89" s="94"/>
      <c r="K89" s="94"/>
      <c r="L89" s="88"/>
    </row>
    <row r="90" spans="1:12" s="26" customFormat="1" ht="18" customHeight="1">
      <c r="A90" s="109" t="s">
        <v>146</v>
      </c>
      <c r="B90" s="116"/>
      <c r="C90" s="89" t="s">
        <v>5</v>
      </c>
      <c r="D90" s="90" t="s">
        <v>13</v>
      </c>
      <c r="E90" s="91" t="s">
        <v>151</v>
      </c>
      <c r="F90" s="91"/>
      <c r="G90" s="91"/>
      <c r="H90" s="91"/>
      <c r="I90" s="91"/>
      <c r="J90" s="91"/>
      <c r="K90" s="91"/>
      <c r="L90" s="88"/>
    </row>
    <row r="91" spans="1:12" s="26" customFormat="1" ht="18" customHeight="1">
      <c r="A91" s="108" t="s">
        <v>159</v>
      </c>
      <c r="B91" s="115"/>
      <c r="C91" s="92" t="s">
        <v>0</v>
      </c>
      <c r="D91" s="93" t="s">
        <v>8</v>
      </c>
      <c r="E91" s="94" t="s">
        <v>74</v>
      </c>
      <c r="F91" s="94"/>
      <c r="G91" s="94"/>
      <c r="H91" s="94"/>
      <c r="I91" s="94"/>
      <c r="J91" s="94"/>
      <c r="K91" s="94"/>
      <c r="L91" s="88"/>
    </row>
    <row r="92" spans="1:12" s="26" customFormat="1" ht="16.5" customHeight="1">
      <c r="A92" s="109" t="s">
        <v>26</v>
      </c>
      <c r="B92" s="116"/>
      <c r="C92" s="89" t="s">
        <v>64</v>
      </c>
      <c r="D92" s="90" t="s">
        <v>10</v>
      </c>
      <c r="E92" s="91" t="s">
        <v>84</v>
      </c>
      <c r="F92" s="91"/>
      <c r="G92" s="91"/>
      <c r="H92" s="91"/>
      <c r="I92" s="91"/>
      <c r="J92" s="91"/>
      <c r="K92" s="91"/>
      <c r="L92" s="88"/>
    </row>
    <row r="93" spans="1:12" s="26" customFormat="1" ht="18" customHeight="1">
      <c r="A93" s="108" t="s">
        <v>36</v>
      </c>
      <c r="B93" s="115"/>
      <c r="C93" s="92" t="s">
        <v>5</v>
      </c>
      <c r="D93" s="93" t="s">
        <v>13</v>
      </c>
      <c r="E93" s="94" t="s">
        <v>77</v>
      </c>
      <c r="F93" s="94"/>
      <c r="G93" s="94"/>
      <c r="H93" s="94"/>
      <c r="I93" s="94"/>
      <c r="J93" s="94"/>
      <c r="K93" s="94"/>
      <c r="L93" s="88"/>
    </row>
    <row r="94" spans="1:12" s="26" customFormat="1" ht="18" customHeight="1">
      <c r="A94" s="109" t="s">
        <v>101</v>
      </c>
      <c r="B94" s="110"/>
      <c r="C94" s="89" t="s">
        <v>103</v>
      </c>
      <c r="D94" s="90" t="s">
        <v>8</v>
      </c>
      <c r="E94" s="91" t="s">
        <v>105</v>
      </c>
      <c r="F94" s="91"/>
      <c r="G94" s="91"/>
      <c r="H94" s="91"/>
      <c r="I94" s="91"/>
      <c r="J94" s="91"/>
      <c r="K94" s="91"/>
      <c r="L94" s="88"/>
    </row>
    <row r="95" spans="1:12" s="26" customFormat="1" ht="16.5">
      <c r="A95" s="108" t="s">
        <v>14</v>
      </c>
      <c r="B95" s="115"/>
      <c r="C95" s="92" t="s">
        <v>5</v>
      </c>
      <c r="D95" s="93" t="s">
        <v>13</v>
      </c>
      <c r="E95" s="94" t="s">
        <v>75</v>
      </c>
      <c r="F95" s="94"/>
      <c r="G95" s="94"/>
      <c r="H95" s="94"/>
      <c r="I95" s="94"/>
      <c r="J95" s="94"/>
      <c r="K95" s="94"/>
      <c r="L95" s="88"/>
    </row>
    <row r="96" spans="1:12" s="26" customFormat="1" ht="16.5">
      <c r="A96" s="109" t="s">
        <v>11</v>
      </c>
      <c r="B96" s="116"/>
      <c r="C96" s="89" t="s">
        <v>5</v>
      </c>
      <c r="D96" s="90" t="s">
        <v>13</v>
      </c>
      <c r="E96" s="91" t="s">
        <v>120</v>
      </c>
      <c r="F96" s="91"/>
      <c r="G96" s="91"/>
      <c r="H96" s="91"/>
      <c r="I96" s="91"/>
      <c r="J96" s="91"/>
      <c r="K96" s="91"/>
      <c r="L96" s="88"/>
    </row>
    <row r="97" spans="1:12" s="26" customFormat="1" ht="16.5">
      <c r="A97" s="108" t="s">
        <v>12</v>
      </c>
      <c r="B97" s="115"/>
      <c r="C97" s="92" t="s">
        <v>5</v>
      </c>
      <c r="D97" s="93" t="s">
        <v>10</v>
      </c>
      <c r="E97" s="94" t="s">
        <v>121</v>
      </c>
      <c r="F97" s="94"/>
      <c r="G97" s="94"/>
      <c r="H97" s="94"/>
      <c r="I97" s="94"/>
      <c r="J97" s="94"/>
      <c r="K97" s="94"/>
      <c r="L97" s="88"/>
    </row>
    <row r="98" spans="1:12" s="26" customFormat="1" ht="16.5">
      <c r="A98" s="109" t="s">
        <v>37</v>
      </c>
      <c r="B98" s="116"/>
      <c r="C98" s="89" t="s">
        <v>5</v>
      </c>
      <c r="D98" s="90" t="s">
        <v>13</v>
      </c>
      <c r="E98" s="91" t="s">
        <v>76</v>
      </c>
      <c r="F98" s="91"/>
      <c r="G98" s="91"/>
      <c r="H98" s="91"/>
      <c r="I98" s="91"/>
      <c r="J98" s="91"/>
      <c r="K98" s="91"/>
      <c r="L98" s="88"/>
    </row>
    <row r="99" spans="1:12" s="26" customFormat="1" ht="16.5">
      <c r="A99" s="108" t="s">
        <v>156</v>
      </c>
      <c r="B99" s="115"/>
      <c r="C99" s="92" t="s">
        <v>5</v>
      </c>
      <c r="D99" s="93" t="s">
        <v>13</v>
      </c>
      <c r="E99" s="94" t="s">
        <v>73</v>
      </c>
      <c r="F99" s="94"/>
      <c r="G99" s="94"/>
      <c r="H99" s="94"/>
      <c r="I99" s="94"/>
      <c r="J99" s="94"/>
      <c r="K99" s="94"/>
      <c r="L99" s="88"/>
    </row>
    <row r="100" spans="1:12" s="26" customFormat="1" ht="16.5" customHeight="1">
      <c r="A100" s="109" t="s">
        <v>154</v>
      </c>
      <c r="B100" s="116"/>
      <c r="C100" s="89" t="s">
        <v>62</v>
      </c>
      <c r="D100" s="90" t="s">
        <v>8</v>
      </c>
      <c r="E100" s="91" t="s">
        <v>80</v>
      </c>
      <c r="F100" s="91"/>
      <c r="G100" s="91"/>
      <c r="H100" s="91"/>
      <c r="I100" s="91"/>
      <c r="J100" s="91"/>
      <c r="K100" s="91"/>
      <c r="L100" s="88"/>
    </row>
    <row r="101" spans="1:12" s="26" customFormat="1" ht="16.5" customHeight="1">
      <c r="A101" s="108" t="s">
        <v>128</v>
      </c>
      <c r="B101" s="115"/>
      <c r="C101" s="92" t="s">
        <v>61</v>
      </c>
      <c r="D101" s="93" t="s">
        <v>8</v>
      </c>
      <c r="E101" s="94" t="s">
        <v>79</v>
      </c>
      <c r="F101" s="94"/>
      <c r="G101" s="94"/>
      <c r="H101" s="94"/>
      <c r="I101" s="94"/>
      <c r="J101" s="94"/>
      <c r="K101" s="94"/>
      <c r="L101" s="88"/>
    </row>
    <row r="102" spans="1:12" s="26" customFormat="1" ht="18" customHeight="1">
      <c r="A102" s="109" t="s">
        <v>153</v>
      </c>
      <c r="B102" s="116"/>
      <c r="C102" s="89" t="s">
        <v>1</v>
      </c>
      <c r="D102" s="90" t="s">
        <v>8</v>
      </c>
      <c r="E102" s="91" t="s">
        <v>104</v>
      </c>
      <c r="F102" s="91"/>
      <c r="G102" s="91"/>
      <c r="H102" s="91"/>
      <c r="I102" s="91"/>
      <c r="J102" s="91"/>
      <c r="K102" s="91"/>
      <c r="L102" s="88"/>
    </row>
    <row r="103" spans="1:12" s="26" customFormat="1" ht="18" customHeight="1">
      <c r="A103" s="108" t="s">
        <v>133</v>
      </c>
      <c r="B103" s="115"/>
      <c r="C103" s="92" t="s">
        <v>4</v>
      </c>
      <c r="D103" s="93" t="s">
        <v>8</v>
      </c>
      <c r="E103" s="94" t="s">
        <v>78</v>
      </c>
      <c r="F103" s="94"/>
      <c r="G103" s="94"/>
      <c r="H103" s="94"/>
      <c r="I103" s="94"/>
      <c r="J103" s="94"/>
      <c r="K103" s="94"/>
      <c r="L103" s="88"/>
    </row>
    <row r="104" spans="1:12" s="26" customFormat="1" ht="16.5">
      <c r="A104" s="109" t="s">
        <v>134</v>
      </c>
      <c r="B104" s="116"/>
      <c r="C104" s="95" t="s">
        <v>25</v>
      </c>
      <c r="D104" s="90" t="s">
        <v>9</v>
      </c>
      <c r="E104" s="91" t="s">
        <v>89</v>
      </c>
      <c r="F104" s="91"/>
      <c r="G104" s="91"/>
      <c r="H104" s="91"/>
      <c r="I104" s="91"/>
      <c r="J104" s="91"/>
      <c r="K104" s="91"/>
      <c r="L104" s="88"/>
    </row>
    <row r="105" spans="1:12" s="26" customFormat="1" ht="18" customHeight="1">
      <c r="A105" s="108" t="s">
        <v>129</v>
      </c>
      <c r="B105" s="115"/>
      <c r="C105" s="22" t="s">
        <v>7</v>
      </c>
      <c r="D105" s="93" t="s">
        <v>58</v>
      </c>
      <c r="E105" s="94" t="s">
        <v>81</v>
      </c>
      <c r="F105" s="94"/>
      <c r="G105" s="94"/>
      <c r="H105" s="94"/>
      <c r="I105" s="94"/>
      <c r="J105" s="94"/>
      <c r="K105" s="94"/>
      <c r="L105" s="88"/>
    </row>
    <row r="106" spans="1:12" s="26" customFormat="1" ht="18" customHeight="1">
      <c r="A106" s="109" t="s">
        <v>144</v>
      </c>
      <c r="B106" s="116"/>
      <c r="C106" s="89" t="s">
        <v>5</v>
      </c>
      <c r="D106" s="90" t="s">
        <v>13</v>
      </c>
      <c r="E106" s="91" t="s">
        <v>124</v>
      </c>
      <c r="F106" s="91"/>
      <c r="G106" s="91"/>
      <c r="H106" s="91"/>
      <c r="I106" s="91"/>
      <c r="J106" s="91"/>
      <c r="K106" s="91"/>
      <c r="L106" s="88"/>
    </row>
    <row r="107" spans="1:12" s="26" customFormat="1" ht="16.5" customHeight="1">
      <c r="A107" s="108" t="s">
        <v>155</v>
      </c>
      <c r="B107" s="115"/>
      <c r="C107" s="22" t="s">
        <v>135</v>
      </c>
      <c r="D107" s="93" t="s">
        <v>13</v>
      </c>
      <c r="E107" s="94" t="s">
        <v>140</v>
      </c>
      <c r="F107" s="94"/>
      <c r="G107" s="94"/>
      <c r="H107" s="94"/>
      <c r="I107" s="94"/>
      <c r="J107" s="94"/>
      <c r="K107" s="94"/>
      <c r="L107" s="88"/>
    </row>
    <row r="108" spans="1:12" s="26" customFormat="1" ht="16.5">
      <c r="A108" s="109" t="s">
        <v>131</v>
      </c>
      <c r="B108" s="116"/>
      <c r="C108" s="89" t="s">
        <v>2</v>
      </c>
      <c r="D108" s="90" t="s">
        <v>56</v>
      </c>
      <c r="E108" s="91" t="s">
        <v>67</v>
      </c>
      <c r="F108" s="91"/>
      <c r="G108" s="91"/>
      <c r="H108" s="91"/>
      <c r="I108" s="91"/>
      <c r="J108" s="91"/>
      <c r="K108" s="91"/>
      <c r="L108" s="88"/>
    </row>
    <row r="109" spans="1:12" s="26" customFormat="1" ht="16.5">
      <c r="A109" s="108" t="s">
        <v>152</v>
      </c>
      <c r="B109" s="118"/>
      <c r="C109" s="22" t="s">
        <v>23</v>
      </c>
      <c r="D109" s="93" t="s">
        <v>13</v>
      </c>
      <c r="E109" s="94" t="s">
        <v>71</v>
      </c>
      <c r="F109" s="94"/>
      <c r="G109" s="94"/>
      <c r="H109" s="94"/>
      <c r="I109" s="94"/>
      <c r="J109" s="94"/>
      <c r="K109" s="94"/>
      <c r="L109" s="88"/>
    </row>
    <row r="110" spans="1:12" s="26" customFormat="1" ht="16.5">
      <c r="A110" s="192"/>
      <c r="B110" s="193"/>
      <c r="C110" s="89"/>
      <c r="D110" s="89"/>
      <c r="E110" s="91"/>
      <c r="F110" s="91"/>
      <c r="G110" s="91"/>
      <c r="H110" s="91"/>
      <c r="I110" s="91"/>
      <c r="J110" s="91"/>
      <c r="K110" s="91"/>
      <c r="L110" s="88"/>
    </row>
    <row r="111" spans="1:12">
      <c r="A111" s="81"/>
      <c r="B111" s="98" t="s">
        <v>174</v>
      </c>
      <c r="C111" s="32"/>
      <c r="D111" s="32"/>
      <c r="E111" s="32"/>
      <c r="F111" s="32"/>
      <c r="G111" s="32"/>
      <c r="H111" s="32"/>
      <c r="I111" s="32"/>
      <c r="J111" s="32"/>
      <c r="K111" s="32"/>
      <c r="L111" s="78"/>
    </row>
    <row r="112" spans="1:12">
      <c r="A112" s="81"/>
      <c r="B112" s="98" t="s">
        <v>45</v>
      </c>
      <c r="C112" s="32"/>
      <c r="D112" s="32"/>
      <c r="E112" s="32"/>
      <c r="F112" s="32"/>
      <c r="G112" s="32"/>
      <c r="H112" s="32"/>
      <c r="I112" s="32"/>
      <c r="J112" s="32"/>
      <c r="K112" s="32"/>
      <c r="L112" s="78"/>
    </row>
    <row r="113" spans="1:12">
      <c r="A113" s="81"/>
      <c r="B113" s="98" t="s">
        <v>47</v>
      </c>
      <c r="C113" s="32"/>
      <c r="D113" s="32"/>
      <c r="E113" s="32"/>
      <c r="F113" s="32"/>
      <c r="G113" s="32"/>
      <c r="H113" s="32"/>
      <c r="I113" s="32"/>
      <c r="J113" s="32"/>
      <c r="K113" s="32"/>
      <c r="L113" s="78"/>
    </row>
    <row r="114" spans="1:12">
      <c r="A114" s="81"/>
      <c r="B114" s="98" t="s">
        <v>46</v>
      </c>
      <c r="C114" s="32"/>
      <c r="D114" s="32"/>
      <c r="E114" s="32"/>
      <c r="F114" s="32"/>
      <c r="G114" s="32"/>
      <c r="H114" s="32"/>
      <c r="I114" s="32"/>
      <c r="J114" s="32"/>
      <c r="K114" s="32"/>
      <c r="L114" s="78"/>
    </row>
    <row r="115" spans="1:12">
      <c r="A115" s="99"/>
      <c r="B115" s="100"/>
      <c r="C115" s="101"/>
      <c r="D115" s="101"/>
      <c r="E115" s="101"/>
      <c r="F115" s="101"/>
      <c r="G115" s="101"/>
      <c r="H115" s="101"/>
      <c r="I115" s="101"/>
      <c r="J115" s="101"/>
      <c r="K115" s="101"/>
      <c r="L115" s="102"/>
    </row>
  </sheetData>
  <sheetProtection algorithmName="SHA-512" hashValue="sjk8XjLY36eMDZsdrHkEV9Kl5ywjcSYODD2+uX6PTlMauuoeaaBAPsyjiHVfQgkQdo5htZ+GgXaOdsksBJFy0Q==" saltValue="w3GdrXPenESK7k3gB/6vKg==" spinCount="100000" sheet="1" objects="1" scenarios="1"/>
  <sortState xmlns:xlrd2="http://schemas.microsoft.com/office/spreadsheetml/2017/richdata2" ref="A74:K109">
    <sortCondition ref="A74:A109"/>
  </sortState>
  <mergeCells count="2">
    <mergeCell ref="A110:B110"/>
    <mergeCell ref="F42:K42"/>
  </mergeCells>
  <hyperlinks>
    <hyperlink ref="F42" r:id="rId1" display="Franke, G.F.; Webb, D.R.; Fisher, R.K. Jr. (1997) &quot;Development of environmentally advanced hydropower turbine system design concepts&quot;" xr:uid="{00000000-0004-0000-0000-000000000000}"/>
  </hyperlinks>
  <pageMargins left="0.5" right="0.5" top="0.5" bottom="0.5" header="0.3" footer="0.3"/>
  <pageSetup scale="65" fitToHeight="2" orientation="portrait" r:id="rId2"/>
  <rowBreaks count="1" manualBreakCount="1">
    <brk id="71" max="11" man="1"/>
  </rowBreak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MethodSheet">
                <anchor moveWithCells="1" sizeWithCells="1">
                  <from>
                    <xdr:col>9</xdr:col>
                    <xdr:colOff>219075</xdr:colOff>
                    <xdr:row>11</xdr:row>
                    <xdr:rowOff>142875</xdr:rowOff>
                  </from>
                  <to>
                    <xdr:col>10</xdr:col>
                    <xdr:colOff>638175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boutTBSAButton">
                <anchor moveWithCells="1" sizeWithCells="1">
                  <from>
                    <xdr:col>9</xdr:col>
                    <xdr:colOff>219075</xdr:colOff>
                    <xdr:row>9</xdr:row>
                    <xdr:rowOff>142875</xdr:rowOff>
                  </from>
                  <to>
                    <xdr:col>10</xdr:col>
                    <xdr:colOff>638175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2060"/>
  </sheetPr>
  <dimension ref="A1:R26"/>
  <sheetViews>
    <sheetView showGridLines="0" zoomScaleNormal="100" workbookViewId="0">
      <selection activeCell="A7" sqref="A7"/>
    </sheetView>
  </sheetViews>
  <sheetFormatPr defaultColWidth="11.7109375" defaultRowHeight="15"/>
  <cols>
    <col min="1" max="1" width="12.7109375" style="1" customWidth="1"/>
    <col min="2" max="2" width="11.7109375" style="1"/>
    <col min="3" max="3" width="10.5703125" style="1" customWidth="1"/>
    <col min="4" max="4" width="11.5703125" style="1" customWidth="1"/>
    <col min="5" max="5" width="11.7109375" style="1" customWidth="1"/>
    <col min="6" max="16" width="11.7109375" style="1"/>
    <col min="17" max="17" width="11.7109375" style="1" customWidth="1"/>
    <col min="18" max="18" width="18.7109375" style="1" customWidth="1"/>
    <col min="19" max="16384" width="11.7109375" style="1"/>
  </cols>
  <sheetData>
    <row r="1" spans="1:18" s="74" customFormat="1" ht="20.100000000000001" customHeight="1">
      <c r="A1" s="70" t="s">
        <v>179</v>
      </c>
      <c r="B1" s="71"/>
      <c r="C1" s="71"/>
      <c r="D1" s="71"/>
      <c r="E1" s="71"/>
      <c r="F1" s="71"/>
      <c r="G1" s="71"/>
      <c r="H1" s="71"/>
      <c r="I1" s="72"/>
      <c r="J1" s="71"/>
      <c r="K1" s="71"/>
      <c r="L1" s="71"/>
      <c r="M1" s="71"/>
      <c r="N1" s="71"/>
      <c r="O1" s="71"/>
      <c r="P1" s="71"/>
      <c r="Q1" s="71"/>
      <c r="R1" s="73"/>
    </row>
    <row r="2" spans="1:18">
      <c r="A2" s="63" t="s">
        <v>179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  <c r="R2" s="65"/>
    </row>
    <row r="3" spans="1:18">
      <c r="A3" s="66" t="str">
        <f>Method!A2</f>
        <v>Release 200316</v>
      </c>
      <c r="B3" s="67"/>
      <c r="C3" s="67"/>
      <c r="D3" s="67"/>
      <c r="E3" s="67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9"/>
    </row>
    <row r="4" spans="1:18" ht="30" customHeight="1">
      <c r="A4" s="62"/>
      <c r="B4" s="195" t="s">
        <v>34</v>
      </c>
      <c r="C4" s="196"/>
      <c r="D4" s="196"/>
      <c r="E4" s="197" t="s">
        <v>35</v>
      </c>
      <c r="F4" s="198"/>
      <c r="G4" s="198"/>
      <c r="H4" s="198"/>
      <c r="I4" s="198"/>
      <c r="J4" s="198"/>
      <c r="K4" s="198"/>
      <c r="L4" s="198"/>
      <c r="M4" s="198"/>
      <c r="N4" s="198"/>
      <c r="O4" s="198"/>
      <c r="P4" s="198"/>
      <c r="Q4" s="198"/>
      <c r="R4" s="126" t="s">
        <v>39</v>
      </c>
    </row>
    <row r="5" spans="1:18" ht="18" customHeight="1">
      <c r="A5" s="18"/>
      <c r="B5" s="21"/>
      <c r="C5" s="19"/>
      <c r="D5" s="19"/>
      <c r="E5" s="23"/>
      <c r="F5" s="127" t="s">
        <v>1</v>
      </c>
      <c r="G5" s="127" t="s">
        <v>3</v>
      </c>
      <c r="H5" s="127" t="s">
        <v>4</v>
      </c>
      <c r="I5" s="127" t="s">
        <v>2</v>
      </c>
      <c r="J5" s="127" t="s">
        <v>171</v>
      </c>
      <c r="K5" s="127" t="s">
        <v>0</v>
      </c>
      <c r="L5" s="128" t="s">
        <v>7</v>
      </c>
      <c r="M5" s="128" t="s">
        <v>125</v>
      </c>
      <c r="N5" s="128" t="s">
        <v>20</v>
      </c>
      <c r="O5" s="127" t="s">
        <v>172</v>
      </c>
      <c r="P5" s="127" t="s">
        <v>173</v>
      </c>
      <c r="Q5" s="128" t="s">
        <v>23</v>
      </c>
      <c r="R5" s="24" t="s">
        <v>38</v>
      </c>
    </row>
    <row r="6" spans="1:18" s="2" customFormat="1" ht="61.9" customHeight="1">
      <c r="A6" s="20" t="s">
        <v>40</v>
      </c>
      <c r="B6" s="119" t="s">
        <v>37</v>
      </c>
      <c r="C6" s="120" t="s">
        <v>36</v>
      </c>
      <c r="D6" s="120" t="s">
        <v>136</v>
      </c>
      <c r="E6" s="119" t="s">
        <v>143</v>
      </c>
      <c r="F6" s="120" t="s">
        <v>32</v>
      </c>
      <c r="G6" s="120" t="s">
        <v>167</v>
      </c>
      <c r="H6" s="120" t="s">
        <v>168</v>
      </c>
      <c r="I6" s="120" t="s">
        <v>169</v>
      </c>
      <c r="J6" s="120" t="s">
        <v>33</v>
      </c>
      <c r="K6" s="120" t="s">
        <v>164</v>
      </c>
      <c r="L6" s="120" t="s">
        <v>170</v>
      </c>
      <c r="M6" s="120" t="s">
        <v>126</v>
      </c>
      <c r="N6" s="120" t="s">
        <v>21</v>
      </c>
      <c r="O6" s="120" t="s">
        <v>165</v>
      </c>
      <c r="P6" s="120" t="s">
        <v>166</v>
      </c>
      <c r="Q6" s="120" t="s">
        <v>22</v>
      </c>
      <c r="R6" s="121" t="s">
        <v>160</v>
      </c>
    </row>
    <row r="7" spans="1:18">
      <c r="A7" s="132" t="s">
        <v>177</v>
      </c>
      <c r="B7" s="134">
        <v>0</v>
      </c>
      <c r="C7" s="183">
        <f>0</f>
        <v>0</v>
      </c>
      <c r="D7" s="184">
        <f t="shared" ref="D7:D26" si="0">IF(E7="Francis",1,IF(E7="Kaplan",2,IF(E7="Propeller",3,IF(E7="Bypass",0,""))))</f>
        <v>3</v>
      </c>
      <c r="E7" s="137" t="s">
        <v>178</v>
      </c>
      <c r="F7" s="138">
        <f>93/12</f>
        <v>7.75</v>
      </c>
      <c r="G7" s="139">
        <v>4</v>
      </c>
      <c r="H7" s="140"/>
      <c r="I7" s="141">
        <v>1100</v>
      </c>
      <c r="J7" s="142">
        <v>0.91</v>
      </c>
      <c r="K7" s="172">
        <v>23</v>
      </c>
      <c r="L7" s="172">
        <v>200</v>
      </c>
      <c r="M7" s="140"/>
      <c r="N7" s="140">
        <v>0.4</v>
      </c>
      <c r="O7" s="178"/>
      <c r="P7" s="178"/>
      <c r="Q7" s="143">
        <v>0.89</v>
      </c>
      <c r="R7" s="179"/>
    </row>
    <row r="8" spans="1:18">
      <c r="A8" s="148" t="s">
        <v>180</v>
      </c>
      <c r="B8" s="147">
        <v>1</v>
      </c>
      <c r="C8" s="185">
        <f>IF(ISNUMBER(B8),C7+B7,"")</f>
        <v>0</v>
      </c>
      <c r="D8" s="186">
        <f t="shared" si="0"/>
        <v>1</v>
      </c>
      <c r="E8" s="149" t="s">
        <v>181</v>
      </c>
      <c r="F8" s="150">
        <f>78.5/12</f>
        <v>6.541666666666667</v>
      </c>
      <c r="G8" s="151">
        <v>18</v>
      </c>
      <c r="H8" s="152">
        <f>23.43/12</f>
        <v>1.9524999999999999</v>
      </c>
      <c r="I8" s="153">
        <v>392.5</v>
      </c>
      <c r="J8" s="154">
        <f>350/I8</f>
        <v>0.89171974522292996</v>
      </c>
      <c r="K8" s="173">
        <v>20</v>
      </c>
      <c r="L8" s="173">
        <v>84</v>
      </c>
      <c r="M8" s="152">
        <v>1.1000000000000001</v>
      </c>
      <c r="N8" s="152">
        <v>0.4</v>
      </c>
      <c r="O8" s="176">
        <v>6.5</v>
      </c>
      <c r="P8" s="176">
        <v>6.9</v>
      </c>
      <c r="Q8" s="155">
        <v>0.78</v>
      </c>
      <c r="R8" s="180"/>
    </row>
    <row r="9" spans="1:18">
      <c r="A9" s="133"/>
      <c r="B9" s="135"/>
      <c r="C9" s="187" t="str">
        <f>IF(ISNUMBER(B9),C8+B8,"")</f>
        <v/>
      </c>
      <c r="D9" s="188" t="str">
        <f t="shared" si="0"/>
        <v/>
      </c>
      <c r="E9" s="144"/>
      <c r="F9" s="43"/>
      <c r="G9" s="42"/>
      <c r="H9" s="39"/>
      <c r="I9" s="37"/>
      <c r="J9" s="38"/>
      <c r="K9" s="174"/>
      <c r="L9" s="174"/>
      <c r="M9" s="39"/>
      <c r="N9" s="39"/>
      <c r="O9" s="175"/>
      <c r="P9" s="175"/>
      <c r="Q9" s="145"/>
      <c r="R9" s="181"/>
    </row>
    <row r="10" spans="1:18">
      <c r="A10" s="148"/>
      <c r="B10" s="147"/>
      <c r="C10" s="185" t="str">
        <f>IF(ISNUMBER(B10),C9+B9,"")</f>
        <v/>
      </c>
      <c r="D10" s="186" t="str">
        <f t="shared" si="0"/>
        <v/>
      </c>
      <c r="E10" s="149"/>
      <c r="F10" s="150"/>
      <c r="G10" s="151"/>
      <c r="H10" s="152"/>
      <c r="I10" s="153"/>
      <c r="J10" s="154"/>
      <c r="K10" s="173"/>
      <c r="L10" s="173"/>
      <c r="M10" s="152"/>
      <c r="N10" s="152"/>
      <c r="O10" s="176"/>
      <c r="P10" s="176"/>
      <c r="Q10" s="155"/>
      <c r="R10" s="180"/>
    </row>
    <row r="11" spans="1:18">
      <c r="A11" s="133"/>
      <c r="B11" s="135"/>
      <c r="C11" s="187" t="str">
        <f t="shared" ref="C11:C26" si="1">IF(ISNUMBER(B11),C10+B10,"")</f>
        <v/>
      </c>
      <c r="D11" s="188" t="str">
        <f t="shared" si="0"/>
        <v/>
      </c>
      <c r="E11" s="144"/>
      <c r="F11" s="43"/>
      <c r="G11" s="42"/>
      <c r="H11" s="39"/>
      <c r="I11" s="37"/>
      <c r="J11" s="38"/>
      <c r="K11" s="174"/>
      <c r="L11" s="174"/>
      <c r="M11" s="39"/>
      <c r="N11" s="39"/>
      <c r="O11" s="175"/>
      <c r="P11" s="175"/>
      <c r="Q11" s="145"/>
      <c r="R11" s="181"/>
    </row>
    <row r="12" spans="1:18">
      <c r="A12" s="148"/>
      <c r="B12" s="147"/>
      <c r="C12" s="185" t="str">
        <f t="shared" si="1"/>
        <v/>
      </c>
      <c r="D12" s="191" t="str">
        <f t="shared" si="0"/>
        <v/>
      </c>
      <c r="E12" s="149"/>
      <c r="F12" s="150"/>
      <c r="G12" s="151"/>
      <c r="H12" s="152"/>
      <c r="I12" s="153"/>
      <c r="J12" s="154"/>
      <c r="K12" s="173"/>
      <c r="L12" s="173"/>
      <c r="M12" s="152"/>
      <c r="N12" s="152"/>
      <c r="O12" s="176"/>
      <c r="P12" s="176"/>
      <c r="Q12" s="155"/>
      <c r="R12" s="180"/>
    </row>
    <row r="13" spans="1:18">
      <c r="A13" s="133"/>
      <c r="B13" s="135"/>
      <c r="C13" s="187" t="str">
        <f t="shared" si="1"/>
        <v/>
      </c>
      <c r="D13" s="188" t="str">
        <f t="shared" si="0"/>
        <v/>
      </c>
      <c r="E13" s="144"/>
      <c r="F13" s="39"/>
      <c r="G13" s="129"/>
      <c r="H13" s="39"/>
      <c r="I13" s="130"/>
      <c r="J13" s="131"/>
      <c r="K13" s="175"/>
      <c r="L13" s="175"/>
      <c r="M13" s="39"/>
      <c r="N13" s="39"/>
      <c r="O13" s="175"/>
      <c r="P13" s="175"/>
      <c r="Q13" s="145"/>
      <c r="R13" s="181"/>
    </row>
    <row r="14" spans="1:18">
      <c r="A14" s="148"/>
      <c r="B14" s="147"/>
      <c r="C14" s="185" t="str">
        <f t="shared" si="1"/>
        <v/>
      </c>
      <c r="D14" s="186" t="str">
        <f t="shared" si="0"/>
        <v/>
      </c>
      <c r="E14" s="149"/>
      <c r="F14" s="150"/>
      <c r="G14" s="151"/>
      <c r="H14" s="152"/>
      <c r="I14" s="153"/>
      <c r="J14" s="154"/>
      <c r="K14" s="173"/>
      <c r="L14" s="173"/>
      <c r="M14" s="152"/>
      <c r="N14" s="152"/>
      <c r="O14" s="176"/>
      <c r="P14" s="176"/>
      <c r="Q14" s="155"/>
      <c r="R14" s="180"/>
    </row>
    <row r="15" spans="1:18">
      <c r="A15" s="133"/>
      <c r="B15" s="135"/>
      <c r="C15" s="187" t="str">
        <f t="shared" si="1"/>
        <v/>
      </c>
      <c r="D15" s="188" t="str">
        <f t="shared" si="0"/>
        <v/>
      </c>
      <c r="E15" s="144"/>
      <c r="F15" s="43"/>
      <c r="G15" s="42"/>
      <c r="H15" s="39"/>
      <c r="I15" s="37"/>
      <c r="J15" s="38"/>
      <c r="K15" s="174"/>
      <c r="L15" s="174"/>
      <c r="M15" s="39"/>
      <c r="N15" s="39"/>
      <c r="O15" s="175"/>
      <c r="P15" s="175"/>
      <c r="Q15" s="145"/>
      <c r="R15" s="181"/>
    </row>
    <row r="16" spans="1:18">
      <c r="A16" s="148"/>
      <c r="B16" s="147"/>
      <c r="C16" s="185" t="str">
        <f t="shared" si="1"/>
        <v/>
      </c>
      <c r="D16" s="186" t="str">
        <f t="shared" si="0"/>
        <v/>
      </c>
      <c r="E16" s="149"/>
      <c r="F16" s="150"/>
      <c r="G16" s="151"/>
      <c r="H16" s="152"/>
      <c r="I16" s="153"/>
      <c r="J16" s="154"/>
      <c r="K16" s="173"/>
      <c r="L16" s="173"/>
      <c r="M16" s="152"/>
      <c r="N16" s="152"/>
      <c r="O16" s="176"/>
      <c r="P16" s="176"/>
      <c r="Q16" s="155"/>
      <c r="R16" s="180"/>
    </row>
    <row r="17" spans="1:18">
      <c r="A17" s="133"/>
      <c r="B17" s="135"/>
      <c r="C17" s="187" t="str">
        <f t="shared" si="1"/>
        <v/>
      </c>
      <c r="D17" s="188" t="str">
        <f t="shared" si="0"/>
        <v/>
      </c>
      <c r="E17" s="144"/>
      <c r="F17" s="43"/>
      <c r="G17" s="42"/>
      <c r="H17" s="39"/>
      <c r="I17" s="37"/>
      <c r="J17" s="38"/>
      <c r="K17" s="174"/>
      <c r="L17" s="174"/>
      <c r="M17" s="39"/>
      <c r="N17" s="39"/>
      <c r="O17" s="175"/>
      <c r="P17" s="175"/>
      <c r="Q17" s="145"/>
      <c r="R17" s="181"/>
    </row>
    <row r="18" spans="1:18">
      <c r="A18" s="148"/>
      <c r="B18" s="147"/>
      <c r="C18" s="185" t="str">
        <f t="shared" si="1"/>
        <v/>
      </c>
      <c r="D18" s="186" t="str">
        <f t="shared" si="0"/>
        <v/>
      </c>
      <c r="E18" s="149"/>
      <c r="F18" s="150"/>
      <c r="G18" s="151"/>
      <c r="H18" s="152"/>
      <c r="I18" s="153"/>
      <c r="J18" s="154"/>
      <c r="K18" s="173"/>
      <c r="L18" s="173"/>
      <c r="M18" s="152"/>
      <c r="N18" s="152"/>
      <c r="O18" s="176"/>
      <c r="P18" s="176"/>
      <c r="Q18" s="155"/>
      <c r="R18" s="180"/>
    </row>
    <row r="19" spans="1:18">
      <c r="A19" s="133"/>
      <c r="B19" s="135"/>
      <c r="C19" s="187" t="str">
        <f t="shared" si="1"/>
        <v/>
      </c>
      <c r="D19" s="188" t="str">
        <f t="shared" si="0"/>
        <v/>
      </c>
      <c r="E19" s="144"/>
      <c r="F19" s="43"/>
      <c r="G19" s="42"/>
      <c r="H19" s="39"/>
      <c r="I19" s="37"/>
      <c r="J19" s="38"/>
      <c r="K19" s="174"/>
      <c r="L19" s="174"/>
      <c r="M19" s="39"/>
      <c r="N19" s="39"/>
      <c r="O19" s="175"/>
      <c r="P19" s="175"/>
      <c r="Q19" s="145"/>
      <c r="R19" s="181"/>
    </row>
    <row r="20" spans="1:18">
      <c r="A20" s="148"/>
      <c r="B20" s="147"/>
      <c r="C20" s="185" t="str">
        <f t="shared" si="1"/>
        <v/>
      </c>
      <c r="D20" s="186" t="str">
        <f t="shared" si="0"/>
        <v/>
      </c>
      <c r="E20" s="149"/>
      <c r="F20" s="152"/>
      <c r="G20" s="156"/>
      <c r="H20" s="152"/>
      <c r="I20" s="157"/>
      <c r="J20" s="158"/>
      <c r="K20" s="176"/>
      <c r="L20" s="176"/>
      <c r="M20" s="152"/>
      <c r="N20" s="152"/>
      <c r="O20" s="176"/>
      <c r="P20" s="176"/>
      <c r="Q20" s="155"/>
      <c r="R20" s="180"/>
    </row>
    <row r="21" spans="1:18">
      <c r="A21" s="133"/>
      <c r="B21" s="136"/>
      <c r="C21" s="187" t="str">
        <f t="shared" si="1"/>
        <v/>
      </c>
      <c r="D21" s="188" t="str">
        <f t="shared" si="0"/>
        <v/>
      </c>
      <c r="E21" s="146"/>
      <c r="F21" s="39"/>
      <c r="G21" s="129"/>
      <c r="H21" s="39"/>
      <c r="I21" s="130"/>
      <c r="J21" s="131"/>
      <c r="K21" s="175"/>
      <c r="L21" s="175"/>
      <c r="M21" s="39"/>
      <c r="N21" s="39"/>
      <c r="O21" s="175"/>
      <c r="P21" s="175"/>
      <c r="Q21" s="145"/>
      <c r="R21" s="181"/>
    </row>
    <row r="22" spans="1:18">
      <c r="A22" s="148"/>
      <c r="B22" s="159"/>
      <c r="C22" s="185" t="str">
        <f t="shared" si="1"/>
        <v/>
      </c>
      <c r="D22" s="186" t="str">
        <f t="shared" si="0"/>
        <v/>
      </c>
      <c r="E22" s="160"/>
      <c r="F22" s="152"/>
      <c r="G22" s="156"/>
      <c r="H22" s="152"/>
      <c r="I22" s="157"/>
      <c r="J22" s="158"/>
      <c r="K22" s="176"/>
      <c r="L22" s="176"/>
      <c r="M22" s="152"/>
      <c r="N22" s="152"/>
      <c r="O22" s="176"/>
      <c r="P22" s="176"/>
      <c r="Q22" s="155"/>
      <c r="R22" s="180"/>
    </row>
    <row r="23" spans="1:18">
      <c r="A23" s="133"/>
      <c r="B23" s="136"/>
      <c r="C23" s="187" t="str">
        <f t="shared" si="1"/>
        <v/>
      </c>
      <c r="D23" s="188" t="str">
        <f t="shared" si="0"/>
        <v/>
      </c>
      <c r="E23" s="146"/>
      <c r="F23" s="39"/>
      <c r="G23" s="129"/>
      <c r="H23" s="39"/>
      <c r="I23" s="130"/>
      <c r="J23" s="131"/>
      <c r="K23" s="175"/>
      <c r="L23" s="175"/>
      <c r="M23" s="39"/>
      <c r="N23" s="39"/>
      <c r="O23" s="175"/>
      <c r="P23" s="175"/>
      <c r="Q23" s="145"/>
      <c r="R23" s="181"/>
    </row>
    <row r="24" spans="1:18">
      <c r="A24" s="148"/>
      <c r="B24" s="159"/>
      <c r="C24" s="185" t="str">
        <f t="shared" si="1"/>
        <v/>
      </c>
      <c r="D24" s="186" t="str">
        <f t="shared" si="0"/>
        <v/>
      </c>
      <c r="E24" s="160"/>
      <c r="F24" s="152"/>
      <c r="G24" s="156"/>
      <c r="H24" s="152"/>
      <c r="I24" s="157"/>
      <c r="J24" s="158"/>
      <c r="K24" s="176"/>
      <c r="L24" s="176"/>
      <c r="M24" s="152"/>
      <c r="N24" s="152"/>
      <c r="O24" s="176"/>
      <c r="P24" s="176"/>
      <c r="Q24" s="155"/>
      <c r="R24" s="180"/>
    </row>
    <row r="25" spans="1:18">
      <c r="A25" s="133"/>
      <c r="B25" s="136"/>
      <c r="C25" s="187" t="str">
        <f t="shared" si="1"/>
        <v/>
      </c>
      <c r="D25" s="188" t="str">
        <f t="shared" si="0"/>
        <v/>
      </c>
      <c r="E25" s="146"/>
      <c r="F25" s="39"/>
      <c r="G25" s="129"/>
      <c r="H25" s="39"/>
      <c r="I25" s="130"/>
      <c r="J25" s="131"/>
      <c r="K25" s="175"/>
      <c r="L25" s="175"/>
      <c r="M25" s="39"/>
      <c r="N25" s="39"/>
      <c r="O25" s="175"/>
      <c r="P25" s="175"/>
      <c r="Q25" s="145"/>
      <c r="R25" s="181"/>
    </row>
    <row r="26" spans="1:18">
      <c r="A26" s="161"/>
      <c r="B26" s="162"/>
      <c r="C26" s="189" t="str">
        <f t="shared" si="1"/>
        <v/>
      </c>
      <c r="D26" s="190" t="str">
        <f t="shared" si="0"/>
        <v/>
      </c>
      <c r="E26" s="163"/>
      <c r="F26" s="164"/>
      <c r="G26" s="165"/>
      <c r="H26" s="164"/>
      <c r="I26" s="166"/>
      <c r="J26" s="167"/>
      <c r="K26" s="177"/>
      <c r="L26" s="177"/>
      <c r="M26" s="164"/>
      <c r="N26" s="164"/>
      <c r="O26" s="177"/>
      <c r="P26" s="177"/>
      <c r="Q26" s="168"/>
      <c r="R26" s="182"/>
    </row>
  </sheetData>
  <sheetProtection algorithmName="SHA-512" hashValue="Hb7KOP1KUeoUX/aWN+NOt+PfYMe/DbuYL1CumRKMEsm050QlCYB29iNM9sTh0P7ZBTO18/j7rXnNL1b/YaBQgg==" saltValue="NGk+bxk7fSDz5qPph4YXuw==" spinCount="100000" sheet="1" objects="1" scenarios="1"/>
  <dataConsolidate/>
  <mergeCells count="2">
    <mergeCell ref="B4:D4"/>
    <mergeCell ref="E4:Q4"/>
  </mergeCells>
  <conditionalFormatting sqref="C7:C2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{A7B7C6B3-C83F-4514-95D7-85D297442A82}</x14:id>
        </ext>
      </extLst>
    </cfRule>
  </conditionalFormatting>
  <dataValidations count="7">
    <dataValidation type="list" allowBlank="1" showInputMessage="1" showErrorMessage="1" sqref="E7:E26" xr:uid="{00000000-0002-0000-0100-000000000000}">
      <formula1>"--,Francis,Kaplan,propeller,bypass,"</formula1>
    </dataValidation>
    <dataValidation type="whole" operator="greaterThanOrEqual" allowBlank="1" showInputMessage="1" showErrorMessage="1" error="Enter a whole number of blades greater than zero." sqref="G7:G26" xr:uid="{00000000-0002-0000-0100-000001000000}">
      <formula1>1</formula1>
    </dataValidation>
    <dataValidation type="decimal" allowBlank="1" showInputMessage="1" showErrorMessage="1" error="Enter a turbine efficiency between 0 and 1.0" sqref="Q7:Q26" xr:uid="{00000000-0002-0000-0100-000002000000}">
      <formula1>0</formula1>
      <formula2>1</formula2>
    </dataValidation>
    <dataValidation type="decimal" allowBlank="1" showInputMessage="1" showErrorMessage="1" error="Enter a selection probability between 0 and 1.0" sqref="B7:B26" xr:uid="{00000000-0002-0000-0100-000003000000}">
      <formula1>0</formula1>
      <formula2>1</formula2>
    </dataValidation>
    <dataValidation type="decimal" operator="lessThanOrEqual" allowBlank="1" showInputMessage="1" showErrorMessage="1" error="Enter a estimated mortality for this bypass less than or equal to 1.0" sqref="R7:R26" xr:uid="{00000000-0002-0000-0100-000004000000}">
      <formula1>1</formula1>
    </dataValidation>
    <dataValidation type="textLength" allowBlank="1" showInputMessage="1" showErrorMessage="1" sqref="A1:A2" xr:uid="{00000000-0002-0000-0100-000005000000}">
      <formula1>1</formula1>
      <formula2>75</formula2>
    </dataValidation>
    <dataValidation type="textLength" errorStyle="information" allowBlank="1" showInputMessage="1" showErrorMessage="1" errorTitle="Warning" error="Recommend Route Name lengths of 10 or less to preserve formatting." sqref="A7:A26" xr:uid="{00000000-0002-0000-0100-000006000000}">
      <formula1>1</formula1>
      <formula2>15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RouteDataClear">
                <anchor moveWithCells="1" sizeWithCells="1">
                  <from>
                    <xdr:col>16</xdr:col>
                    <xdr:colOff>457200</xdr:colOff>
                    <xdr:row>0</xdr:row>
                    <xdr:rowOff>104775</xdr:rowOff>
                  </from>
                  <to>
                    <xdr:col>17</xdr:col>
                    <xdr:colOff>1123950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 6">
              <controlPr defaultSize="0" print="0" autoFill="0" autoPict="0" macro="[0]!RouteDataImport">
                <anchor moveWithCells="1" sizeWithCells="1">
                  <from>
                    <xdr:col>12</xdr:col>
                    <xdr:colOff>323850</xdr:colOff>
                    <xdr:row>0</xdr:row>
                    <xdr:rowOff>104775</xdr:rowOff>
                  </from>
                  <to>
                    <xdr:col>14</xdr:col>
                    <xdr:colOff>209550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" name="Button 10">
              <controlPr defaultSize="0" print="0" autoFill="0" autoPict="0" macro="[0]!TurbineAttributes">
                <anchor moveWithCells="1" sizeWithCells="1">
                  <from>
                    <xdr:col>14</xdr:col>
                    <xdr:colOff>390525</xdr:colOff>
                    <xdr:row>0</xdr:row>
                    <xdr:rowOff>104775</xdr:rowOff>
                  </from>
                  <to>
                    <xdr:col>16</xdr:col>
                    <xdr:colOff>276225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B7C6B3-C83F-4514-95D7-85D297442A8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C7:C26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2060"/>
  </sheetPr>
  <dimension ref="A1:Q1010"/>
  <sheetViews>
    <sheetView showGridLines="0" zoomScaleNormal="100" workbookViewId="0">
      <selection activeCell="A11" sqref="A11"/>
    </sheetView>
  </sheetViews>
  <sheetFormatPr defaultColWidth="10.7109375" defaultRowHeight="15"/>
  <cols>
    <col min="1" max="1" width="10.85546875" style="5" bestFit="1" customWidth="1"/>
    <col min="2" max="3" width="10.85546875" style="12" bestFit="1" customWidth="1"/>
    <col min="4" max="4" width="10.85546875" style="8" bestFit="1" customWidth="1"/>
    <col min="5" max="6" width="10.85546875" style="5" bestFit="1" customWidth="1"/>
    <col min="7" max="7" width="10.7109375" style="5"/>
    <col min="8" max="9" width="10.85546875" style="5" bestFit="1" customWidth="1"/>
    <col min="10" max="11" width="10.85546875" style="8" bestFit="1" customWidth="1"/>
    <col min="12" max="12" width="10.85546875" style="5" bestFit="1" customWidth="1"/>
    <col min="13" max="13" width="10.85546875" style="8" bestFit="1" customWidth="1"/>
    <col min="14" max="14" width="12.42578125" style="8" bestFit="1" customWidth="1"/>
    <col min="15" max="16" width="10.7109375" style="5"/>
    <col min="17" max="16384" width="10.7109375" style="3"/>
  </cols>
  <sheetData>
    <row r="1" spans="1:17" ht="20.100000000000001" customHeight="1">
      <c r="A1" s="61" t="str">
        <f>'Route Data'!A1</f>
        <v>York Haven Unit 3</v>
      </c>
      <c r="B1" s="44"/>
      <c r="C1" s="44"/>
      <c r="D1" s="44"/>
      <c r="E1" s="44"/>
      <c r="F1" s="44"/>
      <c r="G1" s="44"/>
      <c r="H1" s="44"/>
      <c r="I1" s="45"/>
      <c r="J1" s="44"/>
      <c r="K1" s="44"/>
      <c r="L1" s="44"/>
      <c r="M1" s="44"/>
      <c r="N1" s="44"/>
      <c r="O1" s="44"/>
      <c r="P1" s="113" t="str">
        <f>Method!A2</f>
        <v>Release 200316</v>
      </c>
    </row>
    <row r="2" spans="1:17">
      <c r="A2" s="46" t="str">
        <f>'Route Data'!A2</f>
        <v>York Haven Unit 3</v>
      </c>
      <c r="B2" s="47"/>
      <c r="C2" s="47"/>
      <c r="D2" s="47"/>
      <c r="E2" s="14"/>
      <c r="F2" s="47"/>
      <c r="G2" s="47"/>
      <c r="H2" s="47"/>
      <c r="I2" s="47"/>
      <c r="J2" s="48"/>
      <c r="K2" s="47"/>
      <c r="L2" s="47"/>
      <c r="M2" s="47"/>
      <c r="N2" s="47"/>
      <c r="O2" s="47"/>
      <c r="P2" s="49"/>
    </row>
    <row r="3" spans="1:17">
      <c r="A3" s="50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9"/>
    </row>
    <row r="4" spans="1:17" ht="30" customHeight="1">
      <c r="A4" s="51"/>
      <c r="B4" s="47"/>
      <c r="C4" s="207" t="str">
        <f>IFERROR("MODEL SIMULATION INPUT PARAMETERS"&amp;CHAR(10)&amp;"ROUTES: "&amp;COUNTIF('Route Data'!$D$7:$D$26,"&gt;0")&amp;" TURBINES, "&amp;COUNTA('Route Data'!$A$7:$A$26)-COUNTIF('Route Data'!$D$7:$D$26,"&gt;0")&amp;" BYPASSES","MODEL SIMULATION INPUT PARAMETERS")</f>
        <v>MODEL SIMULATION INPUT PARAMETERS
ROUTES: 2 TURBINES, 0 BYPASSES</v>
      </c>
      <c r="D4" s="208"/>
      <c r="E4" s="208"/>
      <c r="F4" s="208"/>
      <c r="G4" s="209"/>
      <c r="H4" s="47"/>
      <c r="I4" s="47"/>
      <c r="J4" s="210" t="str">
        <f>IFERROR("BLADE STRIKE SIMULATION RESULTS"&amp;CHAR(10)&amp;"RUN:  N"&amp;D5&amp;"-L"&amp;TRUNC(D6,0)&amp;"-S"&amp;TRUNC(COUNTIF($P$11:$P$11110,"=0")/COUNT($A$11:$A$11110),2)*100,"BLADE STRIKE SIMULATION RESULTS")</f>
        <v>BLADE STRIKE SIMULATION RESULTS
RUN:  N1000-L22-S0</v>
      </c>
      <c r="K4" s="211"/>
      <c r="L4" s="211"/>
      <c r="M4" s="211"/>
      <c r="N4" s="212"/>
      <c r="O4" s="14"/>
      <c r="P4" s="52"/>
      <c r="Q4" s="5"/>
    </row>
    <row r="5" spans="1:17" ht="18">
      <c r="A5" s="51"/>
      <c r="B5" s="47"/>
      <c r="C5" s="15" t="s">
        <v>29</v>
      </c>
      <c r="D5" s="122">
        <v>1000</v>
      </c>
      <c r="E5" s="201" t="s">
        <v>26</v>
      </c>
      <c r="F5" s="201"/>
      <c r="G5" s="202"/>
      <c r="H5" s="47"/>
      <c r="I5" s="47"/>
      <c r="J5" s="213" t="s">
        <v>137</v>
      </c>
      <c r="K5" s="214"/>
      <c r="L5" s="219" t="str">
        <f>COUNTIF($P$11:$P$11110,"=1") &amp; " of " &amp; COUNT($A$11:$A$11110) &amp; " fish"</f>
        <v>1000 of 1000 fish</v>
      </c>
      <c r="M5" s="220"/>
      <c r="N5" s="123">
        <f>IF(COUNT($A$11:$A$11110)=0,"",COUNTIF($P$11:$P$11110,"=1")/COUNT($A$11:$A$11110))</f>
        <v>1</v>
      </c>
      <c r="O5" s="53"/>
      <c r="P5" s="52"/>
      <c r="Q5" s="5"/>
    </row>
    <row r="6" spans="1:17">
      <c r="A6" s="51"/>
      <c r="B6" s="47"/>
      <c r="C6" s="16" t="s">
        <v>24</v>
      </c>
      <c r="D6" s="40">
        <v>22.4</v>
      </c>
      <c r="E6" s="203" t="s">
        <v>27</v>
      </c>
      <c r="F6" s="203"/>
      <c r="G6" s="204"/>
      <c r="H6" s="47"/>
      <c r="I6" s="47"/>
      <c r="J6" s="215" t="s">
        <v>138</v>
      </c>
      <c r="K6" s="216"/>
      <c r="L6" s="223" t="str">
        <f>COUNTIF($P$11:$P$11110,"=-1") &amp; " of " &amp; COUNT($A$11:$A$11110)  &amp; " fish"</f>
        <v>0 of 1000 fish</v>
      </c>
      <c r="M6" s="224"/>
      <c r="N6" s="124">
        <f>IF(COUNT($A$11:$A$11110)=0,"",COUNTIF($P$11:$P$11110,"=-1")/COUNT($A$11:$A$11110))</f>
        <v>0</v>
      </c>
      <c r="O6" s="47"/>
      <c r="P6" s="52"/>
      <c r="Q6" s="5"/>
    </row>
    <row r="7" spans="1:17" s="4" customFormat="1">
      <c r="A7" s="54"/>
      <c r="B7" s="55"/>
      <c r="C7" s="17" t="s">
        <v>25</v>
      </c>
      <c r="D7" s="41">
        <v>3.1</v>
      </c>
      <c r="E7" s="205" t="s">
        <v>28</v>
      </c>
      <c r="F7" s="205"/>
      <c r="G7" s="206"/>
      <c r="H7" s="55"/>
      <c r="I7" s="55"/>
      <c r="J7" s="217" t="s">
        <v>30</v>
      </c>
      <c r="K7" s="218"/>
      <c r="L7" s="221" t="str">
        <f>COUNTIF($P$11:$P$11110,"=0") &amp; " of " &amp; COUNT($A$11:$A$11110)  &amp; " fish"</f>
        <v>0 of 1000 fish</v>
      </c>
      <c r="M7" s="222"/>
      <c r="N7" s="125">
        <f>IF(COUNT($A$11:$A$11110)=0,"",COUNTIF($P$11:$P$11110,"=0")/COUNT($A$11:$A$11110))</f>
        <v>0</v>
      </c>
      <c r="O7" s="55"/>
      <c r="P7" s="56"/>
    </row>
    <row r="8" spans="1:17">
      <c r="A8" s="57"/>
      <c r="B8" s="58"/>
      <c r="C8" s="58"/>
      <c r="D8" s="58"/>
      <c r="E8" s="58"/>
      <c r="F8" s="58"/>
      <c r="G8" s="58"/>
      <c r="H8" s="58"/>
      <c r="I8" s="58"/>
      <c r="J8" s="58"/>
      <c r="K8" s="58"/>
      <c r="L8" s="58"/>
      <c r="M8" s="59"/>
      <c r="N8" s="58"/>
      <c r="O8" s="58"/>
      <c r="P8" s="60"/>
    </row>
    <row r="9" spans="1:17" ht="30">
      <c r="A9" s="6" t="s">
        <v>31</v>
      </c>
      <c r="B9" s="112" t="s">
        <v>148</v>
      </c>
      <c r="C9" s="112" t="s">
        <v>148</v>
      </c>
      <c r="D9" s="112" t="s">
        <v>163</v>
      </c>
      <c r="E9" s="112" t="s">
        <v>162</v>
      </c>
      <c r="F9" s="112" t="s">
        <v>136</v>
      </c>
      <c r="G9" s="112" t="s">
        <v>40</v>
      </c>
      <c r="H9" s="112" t="s">
        <v>16</v>
      </c>
      <c r="I9" s="112" t="s">
        <v>17</v>
      </c>
      <c r="J9" s="7" t="s">
        <v>18</v>
      </c>
      <c r="K9" s="31" t="s">
        <v>106</v>
      </c>
      <c r="L9" s="7" t="s">
        <v>20</v>
      </c>
      <c r="M9" s="112" t="s">
        <v>145</v>
      </c>
      <c r="N9" s="112" t="s">
        <v>161</v>
      </c>
      <c r="O9" s="199" t="s">
        <v>149</v>
      </c>
      <c r="P9" s="200"/>
    </row>
    <row r="10" spans="1:17">
      <c r="A10" s="9" t="s">
        <v>10</v>
      </c>
      <c r="B10" s="10" t="s">
        <v>9</v>
      </c>
      <c r="C10" s="10" t="s">
        <v>8</v>
      </c>
      <c r="D10" s="10" t="s">
        <v>13</v>
      </c>
      <c r="E10" s="10" t="s">
        <v>10</v>
      </c>
      <c r="F10" s="10" t="s">
        <v>13</v>
      </c>
      <c r="G10" s="10" t="s">
        <v>13</v>
      </c>
      <c r="H10" s="10" t="s">
        <v>13</v>
      </c>
      <c r="I10" s="10" t="s">
        <v>13</v>
      </c>
      <c r="J10" s="10" t="s">
        <v>19</v>
      </c>
      <c r="K10" s="10" t="s">
        <v>19</v>
      </c>
      <c r="L10" s="10" t="s">
        <v>13</v>
      </c>
      <c r="M10" s="10" t="s">
        <v>13</v>
      </c>
      <c r="N10" s="10" t="s">
        <v>13</v>
      </c>
      <c r="O10" s="10" t="s">
        <v>13</v>
      </c>
      <c r="P10" s="11" t="s">
        <v>115</v>
      </c>
    </row>
    <row r="11" spans="1:17">
      <c r="A11" s="5">
        <v>1</v>
      </c>
      <c r="B11" s="12">
        <v>18.399999999999999</v>
      </c>
      <c r="C11" s="13">
        <f t="shared" ref="C11:C74" si="0">ROUND(B11/12,2)</f>
        <v>1.53</v>
      </c>
      <c r="D11" s="8">
        <v>0.37222594022750854</v>
      </c>
      <c r="E11" s="5">
        <f>MATCH(D11,'Route Data'!$C$7:$C$8,1)</f>
        <v>2</v>
      </c>
      <c r="F11" s="5">
        <f>INDEX('Route Data'!$D$7:$D$8,E11)</f>
        <v>1</v>
      </c>
      <c r="G11" s="5" t="str">
        <f>INDEX('Route Data'!$A$7:$A$8,E11)</f>
        <v>u18</v>
      </c>
      <c r="H11" s="5">
        <f>EnergyCoeff(INDEX('Route Data'!$K$7:$K$8,E11),INDEX('Route Data'!$L$7:$L$8,E11)*2*PI()/60,INDEX('Route Data'!$F$7:$F$8,E11))</f>
        <v>0.19430699130049439</v>
      </c>
      <c r="I11" s="5">
        <f>DischargeCoeff(INDEX('Route Data'!$I$7:$I$8,E11), INDEX('Route Data'!$L$7:$L$8,E11)*2*PI()/60, INDEX('Route Data'!$F$7:$F$8,E11))</f>
        <v>0.15939200179827354</v>
      </c>
      <c r="J11" s="8">
        <f>FlowAngleRel(INDEX('Route Data'!$J$7:$J$8,E11)*INDEX('Route Data'!$I$7:$I$8,E11), INDEX('Route Data'!$L$7:$L$8,E11)*2*PI()/60, INDEX('Route Data'!$F$7:$F$8,E11),INDEX('Route Data'!$O$7:$O$8,E11), INDEX('Route Data'!$P$7:$P$8,E11),INDEX('Route Data'!$M$7:$M$8,E11))</f>
        <v>1.130811765868994</v>
      </c>
      <c r="K11" s="8">
        <f>FlowAngleAbsT(INDEX('Route Data'!$K$7:$K$8,E11), INDEX('Route Data'!$I$7:$I$8,E11), INDEX('Route Data'!$I$7:$I$8,E11)*INDEX('Route Data'!$J$7:$J$8,E11), INDEX('Route Data'!$L$7:$L$8,E11)*2*PI()/60, INDEX('Route Data'!$F$7:$F$8,E11),INDEX('Route Data'!$O$7:$O$8,E11), INDEX('Route Data'!$P$7:$P$8,E11), INDEX('Route Data'!$H$7:$H$8,E11), INDEX('Route Data'!$Q$7:$Q$8,E11), INDEX('Route Data'!$M$7:$M$8,E11))</f>
        <v>0.51617226640175828</v>
      </c>
      <c r="L11" s="5">
        <f>INDEX('Route Data'!$N$7:$N$8,E11)</f>
        <v>0.4</v>
      </c>
      <c r="M11" s="8">
        <v>0.55005234479904175</v>
      </c>
      <c r="N11" s="8">
        <f>ProbStrikeFrancis(K11, I11, L11, INDEX('Route Data'!$G$7:$G$8,E11),C11, INDEX('Route Data'!$F$7:$F$8,E11), INDEX('Route Data'!$O$7:$O$8,E11), INDEX('Route Data'!$H$7:$H$18,E11))</f>
        <v>1</v>
      </c>
      <c r="O11" s="5" t="str">
        <f>IF(F11&gt;=1,IF(M11&lt;=N11,"STRIKE","pass"),IF(M11&lt;=INDEX('Route Data'!$R$7:$R$8,E11),"NO PASS","pass"))</f>
        <v>STRIKE</v>
      </c>
      <c r="P11" s="5">
        <f>IF(F11&gt;=1,IF(M11&lt;=N11,1,0),IF(M11&lt;=INDEX('Route Data'!$R$7:$R$8,E11),-1,0))</f>
        <v>1</v>
      </c>
    </row>
    <row r="12" spans="1:17">
      <c r="A12" s="5">
        <v>2</v>
      </c>
      <c r="B12" s="12">
        <v>18.28</v>
      </c>
      <c r="C12" s="13">
        <f t="shared" si="0"/>
        <v>1.52</v>
      </c>
      <c r="D12" s="8">
        <v>0.34018194675445557</v>
      </c>
      <c r="E12" s="5">
        <f>MATCH(D12,'Route Data'!$C$7:$C$8,1)</f>
        <v>2</v>
      </c>
      <c r="F12" s="5">
        <f>INDEX('Route Data'!$D$7:$D$8,E12)</f>
        <v>1</v>
      </c>
      <c r="G12" s="5" t="str">
        <f>INDEX('Route Data'!$A$7:$A$8,E12)</f>
        <v>u18</v>
      </c>
      <c r="H12" s="5">
        <f>EnergyCoeff(INDEX('Route Data'!$K$7:$K$8,E12),INDEX('Route Data'!$L$7:$L$8,E12)*2*PI()/60,INDEX('Route Data'!$F$7:$F$8,E12))</f>
        <v>0.19430699130049439</v>
      </c>
      <c r="I12" s="5">
        <f>DischargeCoeff(INDEX('Route Data'!$I$7:$I$8,E12), INDEX('Route Data'!$L$7:$L$8,E12)*2*PI()/60, INDEX('Route Data'!$F$7:$F$8,E12))</f>
        <v>0.15939200179827354</v>
      </c>
      <c r="J12" s="8">
        <f>FlowAngleRel(INDEX('Route Data'!$J$7:$J$8,E12)*INDEX('Route Data'!$I$7:$I$8,E12), INDEX('Route Data'!$L$7:$L$8,E12)*2*PI()/60, INDEX('Route Data'!$F$7:$F$8,E12),INDEX('Route Data'!$O$7:$O$8,E12), INDEX('Route Data'!$P$7:$P$8,E12),INDEX('Route Data'!$M$7:$M$8,E12))</f>
        <v>1.130811765868994</v>
      </c>
      <c r="K12" s="8">
        <f>FlowAngleAbsT(INDEX('Route Data'!$K$7:$K$8,E12), INDEX('Route Data'!$I$7:$I$8,E12), INDEX('Route Data'!$I$7:$I$8,E12)*INDEX('Route Data'!$J$7:$J$8,E12), INDEX('Route Data'!$L$7:$L$8,E12)*2*PI()/60, INDEX('Route Data'!$F$7:$F$8,E12),INDEX('Route Data'!$O$7:$O$8,E12), INDEX('Route Data'!$P$7:$P$8,E12), INDEX('Route Data'!$H$7:$H$8,E12), INDEX('Route Data'!$Q$7:$Q$8,E12), INDEX('Route Data'!$M$7:$M$8,E12))</f>
        <v>0.51617226640175828</v>
      </c>
      <c r="L12" s="5">
        <f>INDEX('Route Data'!$N$7:$N$8,E12)</f>
        <v>0.4</v>
      </c>
      <c r="M12" s="8">
        <v>0.22702133655548096</v>
      </c>
      <c r="N12" s="8">
        <f>ProbStrikeFrancis(K12, I12, L12, INDEX('Route Data'!$G$7:$G$8,E12),C12, INDEX('Route Data'!$F$7:$F$8,E12), INDEX('Route Data'!$O$7:$O$8,E12), INDEX('Route Data'!$H$7:$H$18,E12))</f>
        <v>1</v>
      </c>
      <c r="O12" s="5" t="str">
        <f>IF(F12&gt;=1,IF(M12&lt;=N12,"STRIKE","pass"),IF(M12&lt;=INDEX('Route Data'!$R$7:$R$8,E12),"NO PASS","pass"))</f>
        <v>STRIKE</v>
      </c>
      <c r="P12" s="5">
        <f>IF(F12&gt;=1,IF(M12&lt;=N12,1,0),IF(M12&lt;=INDEX('Route Data'!$R$7:$R$8,E12),-1,0))</f>
        <v>1</v>
      </c>
    </row>
    <row r="13" spans="1:17">
      <c r="A13" s="5">
        <v>3</v>
      </c>
      <c r="B13" s="12">
        <v>25.56</v>
      </c>
      <c r="C13" s="13">
        <f t="shared" si="0"/>
        <v>2.13</v>
      </c>
      <c r="D13" s="8">
        <v>0.4363139271736145</v>
      </c>
      <c r="E13" s="5">
        <f>MATCH(D13,'Route Data'!$C$7:$C$8,1)</f>
        <v>2</v>
      </c>
      <c r="F13" s="5">
        <f>INDEX('Route Data'!$D$7:$D$8,E13)</f>
        <v>1</v>
      </c>
      <c r="G13" s="5" t="str">
        <f>INDEX('Route Data'!$A$7:$A$8,E13)</f>
        <v>u18</v>
      </c>
      <c r="H13" s="5">
        <f>EnergyCoeff(INDEX('Route Data'!$K$7:$K$8,E13),INDEX('Route Data'!$L$7:$L$8,E13)*2*PI()/60,INDEX('Route Data'!$F$7:$F$8,E13))</f>
        <v>0.19430699130049439</v>
      </c>
      <c r="I13" s="5">
        <f>DischargeCoeff(INDEX('Route Data'!$I$7:$I$8,E13), INDEX('Route Data'!$L$7:$L$8,E13)*2*PI()/60, INDEX('Route Data'!$F$7:$F$8,E13))</f>
        <v>0.15939200179827354</v>
      </c>
      <c r="J13" s="8">
        <f>FlowAngleRel(INDEX('Route Data'!$J$7:$J$8,E13)*INDEX('Route Data'!$I$7:$I$8,E13), INDEX('Route Data'!$L$7:$L$8,E13)*2*PI()/60, INDEX('Route Data'!$F$7:$F$8,E13),INDEX('Route Data'!$O$7:$O$8,E13), INDEX('Route Data'!$P$7:$P$8,E13),INDEX('Route Data'!$M$7:$M$8,E13))</f>
        <v>1.130811765868994</v>
      </c>
      <c r="K13" s="8">
        <f>FlowAngleAbsT(INDEX('Route Data'!$K$7:$K$8,E13), INDEX('Route Data'!$I$7:$I$8,E13), INDEX('Route Data'!$I$7:$I$8,E13)*INDEX('Route Data'!$J$7:$J$8,E13), INDEX('Route Data'!$L$7:$L$8,E13)*2*PI()/60, INDEX('Route Data'!$F$7:$F$8,E13),INDEX('Route Data'!$O$7:$O$8,E13), INDEX('Route Data'!$P$7:$P$8,E13), INDEX('Route Data'!$H$7:$H$8,E13), INDEX('Route Data'!$Q$7:$Q$8,E13), INDEX('Route Data'!$M$7:$M$8,E13))</f>
        <v>0.51617226640175828</v>
      </c>
      <c r="L13" s="5">
        <f>INDEX('Route Data'!$N$7:$N$8,E13)</f>
        <v>0.4</v>
      </c>
      <c r="M13" s="8">
        <v>0.66495591402053833</v>
      </c>
      <c r="N13" s="8">
        <f>ProbStrikeFrancis(K13, I13, L13, INDEX('Route Data'!$G$7:$G$8,E13),C13, INDEX('Route Data'!$F$7:$F$8,E13), INDEX('Route Data'!$O$7:$O$8,E13), INDEX('Route Data'!$H$7:$H$18,E13))</f>
        <v>1</v>
      </c>
      <c r="O13" s="5" t="str">
        <f>IF(F13&gt;=1,IF(M13&lt;=N13,"STRIKE","pass"),IF(M13&lt;=INDEX('Route Data'!$R$7:$R$8,E13),"NO PASS","pass"))</f>
        <v>STRIKE</v>
      </c>
      <c r="P13" s="5">
        <f>IF(F13&gt;=1,IF(M13&lt;=N13,1,0),IF(M13&lt;=INDEX('Route Data'!$R$7:$R$8,E13),-1,0))</f>
        <v>1</v>
      </c>
    </row>
    <row r="14" spans="1:17">
      <c r="A14" s="5">
        <v>4</v>
      </c>
      <c r="B14" s="12">
        <v>25.6</v>
      </c>
      <c r="C14" s="13">
        <f t="shared" si="0"/>
        <v>2.13</v>
      </c>
      <c r="D14" s="8">
        <v>0.1479179859161377</v>
      </c>
      <c r="E14" s="5">
        <f>MATCH(D14,'Route Data'!$C$7:$C$8,1)</f>
        <v>2</v>
      </c>
      <c r="F14" s="5">
        <f>INDEX('Route Data'!$D$7:$D$8,E14)</f>
        <v>1</v>
      </c>
      <c r="G14" s="5" t="str">
        <f>INDEX('Route Data'!$A$7:$A$8,E14)</f>
        <v>u18</v>
      </c>
      <c r="H14" s="5">
        <f>EnergyCoeff(INDEX('Route Data'!$K$7:$K$8,E14),INDEX('Route Data'!$L$7:$L$8,E14)*2*PI()/60,INDEX('Route Data'!$F$7:$F$8,E14))</f>
        <v>0.19430699130049439</v>
      </c>
      <c r="I14" s="5">
        <f>DischargeCoeff(INDEX('Route Data'!$I$7:$I$8,E14), INDEX('Route Data'!$L$7:$L$8,E14)*2*PI()/60, INDEX('Route Data'!$F$7:$F$8,E14))</f>
        <v>0.15939200179827354</v>
      </c>
      <c r="J14" s="8">
        <f>FlowAngleRel(INDEX('Route Data'!$J$7:$J$8,E14)*INDEX('Route Data'!$I$7:$I$8,E14), INDEX('Route Data'!$L$7:$L$8,E14)*2*PI()/60, INDEX('Route Data'!$F$7:$F$8,E14),INDEX('Route Data'!$O$7:$O$8,E14), INDEX('Route Data'!$P$7:$P$8,E14),INDEX('Route Data'!$M$7:$M$8,E14))</f>
        <v>1.130811765868994</v>
      </c>
      <c r="K14" s="8">
        <f>FlowAngleAbsT(INDEX('Route Data'!$K$7:$K$8,E14), INDEX('Route Data'!$I$7:$I$8,E14), INDEX('Route Data'!$I$7:$I$8,E14)*INDEX('Route Data'!$J$7:$J$8,E14), INDEX('Route Data'!$L$7:$L$8,E14)*2*PI()/60, INDEX('Route Data'!$F$7:$F$8,E14),INDEX('Route Data'!$O$7:$O$8,E14), INDEX('Route Data'!$P$7:$P$8,E14), INDEX('Route Data'!$H$7:$H$8,E14), INDEX('Route Data'!$Q$7:$Q$8,E14), INDEX('Route Data'!$M$7:$M$8,E14))</f>
        <v>0.51617226640175828</v>
      </c>
      <c r="L14" s="5">
        <f>INDEX('Route Data'!$N$7:$N$8,E14)</f>
        <v>0.4</v>
      </c>
      <c r="M14" s="8">
        <v>0.35115218162536621</v>
      </c>
      <c r="N14" s="8">
        <f>ProbStrikeFrancis(K14, I14, L14, INDEX('Route Data'!$G$7:$G$8,E14),C14, INDEX('Route Data'!$F$7:$F$8,E14), INDEX('Route Data'!$O$7:$O$8,E14), INDEX('Route Data'!$H$7:$H$18,E14))</f>
        <v>1</v>
      </c>
      <c r="O14" s="5" t="str">
        <f>IF(F14&gt;=1,IF(M14&lt;=N14,"STRIKE","pass"),IF(M14&lt;=INDEX('Route Data'!$R$7:$R$8,E14),"NO PASS","pass"))</f>
        <v>STRIKE</v>
      </c>
      <c r="P14" s="5">
        <f>IF(F14&gt;=1,IF(M14&lt;=N14,1,0),IF(M14&lt;=INDEX('Route Data'!$R$7:$R$8,E14),-1,0))</f>
        <v>1</v>
      </c>
    </row>
    <row r="15" spans="1:17">
      <c r="A15" s="5">
        <v>5</v>
      </c>
      <c r="B15" s="12">
        <v>21.39</v>
      </c>
      <c r="C15" s="13">
        <f t="shared" si="0"/>
        <v>1.78</v>
      </c>
      <c r="D15" s="8">
        <v>0.27868503332138062</v>
      </c>
      <c r="E15" s="5">
        <f>MATCH(D15,'Route Data'!$C$7:$C$8,1)</f>
        <v>2</v>
      </c>
      <c r="F15" s="5">
        <f>INDEX('Route Data'!$D$7:$D$8,E15)</f>
        <v>1</v>
      </c>
      <c r="G15" s="5" t="str">
        <f>INDEX('Route Data'!$A$7:$A$8,E15)</f>
        <v>u18</v>
      </c>
      <c r="H15" s="5">
        <f>EnergyCoeff(INDEX('Route Data'!$K$7:$K$8,E15),INDEX('Route Data'!$L$7:$L$8,E15)*2*PI()/60,INDEX('Route Data'!$F$7:$F$8,E15))</f>
        <v>0.19430699130049439</v>
      </c>
      <c r="I15" s="5">
        <f>DischargeCoeff(INDEX('Route Data'!$I$7:$I$8,E15), INDEX('Route Data'!$L$7:$L$8,E15)*2*PI()/60, INDEX('Route Data'!$F$7:$F$8,E15))</f>
        <v>0.15939200179827354</v>
      </c>
      <c r="J15" s="8">
        <f>FlowAngleRel(INDEX('Route Data'!$J$7:$J$8,E15)*INDEX('Route Data'!$I$7:$I$8,E15), INDEX('Route Data'!$L$7:$L$8,E15)*2*PI()/60, INDEX('Route Data'!$F$7:$F$8,E15),INDEX('Route Data'!$O$7:$O$8,E15), INDEX('Route Data'!$P$7:$P$8,E15),INDEX('Route Data'!$M$7:$M$8,E15))</f>
        <v>1.130811765868994</v>
      </c>
      <c r="K15" s="8">
        <f>FlowAngleAbsT(INDEX('Route Data'!$K$7:$K$8,E15), INDEX('Route Data'!$I$7:$I$8,E15), INDEX('Route Data'!$I$7:$I$8,E15)*INDEX('Route Data'!$J$7:$J$8,E15), INDEX('Route Data'!$L$7:$L$8,E15)*2*PI()/60, INDEX('Route Data'!$F$7:$F$8,E15),INDEX('Route Data'!$O$7:$O$8,E15), INDEX('Route Data'!$P$7:$P$8,E15), INDEX('Route Data'!$H$7:$H$8,E15), INDEX('Route Data'!$Q$7:$Q$8,E15), INDEX('Route Data'!$M$7:$M$8,E15))</f>
        <v>0.51617226640175828</v>
      </c>
      <c r="L15" s="5">
        <f>INDEX('Route Data'!$N$7:$N$8,E15)</f>
        <v>0.4</v>
      </c>
      <c r="M15" s="8">
        <v>0.55814260244369507</v>
      </c>
      <c r="N15" s="8">
        <f>ProbStrikeFrancis(K15, I15, L15, INDEX('Route Data'!$G$7:$G$8,E15),C15, INDEX('Route Data'!$F$7:$F$8,E15), INDEX('Route Data'!$O$7:$O$8,E15), INDEX('Route Data'!$H$7:$H$18,E15))</f>
        <v>1</v>
      </c>
      <c r="O15" s="5" t="str">
        <f>IF(F15&gt;=1,IF(M15&lt;=N15,"STRIKE","pass"),IF(M15&lt;=INDEX('Route Data'!$R$7:$R$8,E15),"NO PASS","pass"))</f>
        <v>STRIKE</v>
      </c>
      <c r="P15" s="5">
        <f>IF(F15&gt;=1,IF(M15&lt;=N15,1,0),IF(M15&lt;=INDEX('Route Data'!$R$7:$R$8,E15),-1,0))</f>
        <v>1</v>
      </c>
    </row>
    <row r="16" spans="1:17">
      <c r="A16" s="5">
        <v>6</v>
      </c>
      <c r="B16" s="12">
        <v>22.68</v>
      </c>
      <c r="C16" s="13">
        <f t="shared" si="0"/>
        <v>1.89</v>
      </c>
      <c r="D16" s="8">
        <v>0.41754233837127686</v>
      </c>
      <c r="E16" s="5">
        <f>MATCH(D16,'Route Data'!$C$7:$C$8,1)</f>
        <v>2</v>
      </c>
      <c r="F16" s="5">
        <f>INDEX('Route Data'!$D$7:$D$8,E16)</f>
        <v>1</v>
      </c>
      <c r="G16" s="5" t="str">
        <f>INDEX('Route Data'!$A$7:$A$8,E16)</f>
        <v>u18</v>
      </c>
      <c r="H16" s="5">
        <f>EnergyCoeff(INDEX('Route Data'!$K$7:$K$8,E16),INDEX('Route Data'!$L$7:$L$8,E16)*2*PI()/60,INDEX('Route Data'!$F$7:$F$8,E16))</f>
        <v>0.19430699130049439</v>
      </c>
      <c r="I16" s="5">
        <f>DischargeCoeff(INDEX('Route Data'!$I$7:$I$8,E16), INDEX('Route Data'!$L$7:$L$8,E16)*2*PI()/60, INDEX('Route Data'!$F$7:$F$8,E16))</f>
        <v>0.15939200179827354</v>
      </c>
      <c r="J16" s="8">
        <f>FlowAngleRel(INDEX('Route Data'!$J$7:$J$8,E16)*INDEX('Route Data'!$I$7:$I$8,E16), INDEX('Route Data'!$L$7:$L$8,E16)*2*PI()/60, INDEX('Route Data'!$F$7:$F$8,E16),INDEX('Route Data'!$O$7:$O$8,E16), INDEX('Route Data'!$P$7:$P$8,E16),INDEX('Route Data'!$M$7:$M$8,E16))</f>
        <v>1.130811765868994</v>
      </c>
      <c r="K16" s="8">
        <f>FlowAngleAbsT(INDEX('Route Data'!$K$7:$K$8,E16), INDEX('Route Data'!$I$7:$I$8,E16), INDEX('Route Data'!$I$7:$I$8,E16)*INDEX('Route Data'!$J$7:$J$8,E16), INDEX('Route Data'!$L$7:$L$8,E16)*2*PI()/60, INDEX('Route Data'!$F$7:$F$8,E16),INDEX('Route Data'!$O$7:$O$8,E16), INDEX('Route Data'!$P$7:$P$8,E16), INDEX('Route Data'!$H$7:$H$8,E16), INDEX('Route Data'!$Q$7:$Q$8,E16), INDEX('Route Data'!$M$7:$M$8,E16))</f>
        <v>0.51617226640175828</v>
      </c>
      <c r="L16" s="5">
        <f>INDEX('Route Data'!$N$7:$N$8,E16)</f>
        <v>0.4</v>
      </c>
      <c r="M16" s="8">
        <v>0.671592116355896</v>
      </c>
      <c r="N16" s="8">
        <f>ProbStrikeFrancis(K16, I16, L16, INDEX('Route Data'!$G$7:$G$8,E16),C16, INDEX('Route Data'!$F$7:$F$8,E16), INDEX('Route Data'!$O$7:$O$8,E16), INDEX('Route Data'!$H$7:$H$18,E16))</f>
        <v>1</v>
      </c>
      <c r="O16" s="5" t="str">
        <f>IF(F16&gt;=1,IF(M16&lt;=N16,"STRIKE","pass"),IF(M16&lt;=INDEX('Route Data'!$R$7:$R$8,E16),"NO PASS","pass"))</f>
        <v>STRIKE</v>
      </c>
      <c r="P16" s="5">
        <f>IF(F16&gt;=1,IF(M16&lt;=N16,1,0),IF(M16&lt;=INDEX('Route Data'!$R$7:$R$8,E16),-1,0))</f>
        <v>1</v>
      </c>
    </row>
    <row r="17" spans="1:16">
      <c r="A17" s="5">
        <v>7</v>
      </c>
      <c r="B17" s="12">
        <v>24.77</v>
      </c>
      <c r="C17" s="13">
        <f t="shared" si="0"/>
        <v>2.06</v>
      </c>
      <c r="D17" s="8">
        <v>0.73539119958877563</v>
      </c>
      <c r="E17" s="5">
        <f>MATCH(D17,'Route Data'!$C$7:$C$8,1)</f>
        <v>2</v>
      </c>
      <c r="F17" s="5">
        <f>INDEX('Route Data'!$D$7:$D$8,E17)</f>
        <v>1</v>
      </c>
      <c r="G17" s="5" t="str">
        <f>INDEX('Route Data'!$A$7:$A$8,E17)</f>
        <v>u18</v>
      </c>
      <c r="H17" s="5">
        <f>EnergyCoeff(INDEX('Route Data'!$K$7:$K$8,E17),INDEX('Route Data'!$L$7:$L$8,E17)*2*PI()/60,INDEX('Route Data'!$F$7:$F$8,E17))</f>
        <v>0.19430699130049439</v>
      </c>
      <c r="I17" s="5">
        <f>DischargeCoeff(INDEX('Route Data'!$I$7:$I$8,E17), INDEX('Route Data'!$L$7:$L$8,E17)*2*PI()/60, INDEX('Route Data'!$F$7:$F$8,E17))</f>
        <v>0.15939200179827354</v>
      </c>
      <c r="J17" s="8">
        <f>FlowAngleRel(INDEX('Route Data'!$J$7:$J$8,E17)*INDEX('Route Data'!$I$7:$I$8,E17), INDEX('Route Data'!$L$7:$L$8,E17)*2*PI()/60, INDEX('Route Data'!$F$7:$F$8,E17),INDEX('Route Data'!$O$7:$O$8,E17), INDEX('Route Data'!$P$7:$P$8,E17),INDEX('Route Data'!$M$7:$M$8,E17))</f>
        <v>1.130811765868994</v>
      </c>
      <c r="K17" s="8">
        <f>FlowAngleAbsT(INDEX('Route Data'!$K$7:$K$8,E17), INDEX('Route Data'!$I$7:$I$8,E17), INDEX('Route Data'!$I$7:$I$8,E17)*INDEX('Route Data'!$J$7:$J$8,E17), INDEX('Route Data'!$L$7:$L$8,E17)*2*PI()/60, INDEX('Route Data'!$F$7:$F$8,E17),INDEX('Route Data'!$O$7:$O$8,E17), INDEX('Route Data'!$P$7:$P$8,E17), INDEX('Route Data'!$H$7:$H$8,E17), INDEX('Route Data'!$Q$7:$Q$8,E17), INDEX('Route Data'!$M$7:$M$8,E17))</f>
        <v>0.51617226640175828</v>
      </c>
      <c r="L17" s="5">
        <f>INDEX('Route Data'!$N$7:$N$8,E17)</f>
        <v>0.4</v>
      </c>
      <c r="M17" s="8">
        <v>0.59682279825210571</v>
      </c>
      <c r="N17" s="8">
        <f>ProbStrikeFrancis(K17, I17, L17, INDEX('Route Data'!$G$7:$G$8,E17),C17, INDEX('Route Data'!$F$7:$F$8,E17), INDEX('Route Data'!$O$7:$O$8,E17), INDEX('Route Data'!$H$7:$H$18,E17))</f>
        <v>1</v>
      </c>
      <c r="O17" s="14" t="str">
        <f>IF(F17&gt;=1,IF(M17&lt;=N17,"STRIKE","pass"),IF(M17&lt;=INDEX('Route Data'!$R$7:$R$8,E17),"NO PASS","pass"))</f>
        <v>STRIKE</v>
      </c>
      <c r="P17" s="5">
        <f>IF(F17&gt;=1,IF(M17&lt;=N17,1,0),IF(M17&lt;=INDEX('Route Data'!$R$7:$R$8,E17),-1,0))</f>
        <v>1</v>
      </c>
    </row>
    <row r="18" spans="1:16">
      <c r="A18" s="5">
        <v>8</v>
      </c>
      <c r="B18" s="12">
        <v>20.94</v>
      </c>
      <c r="C18" s="13">
        <f t="shared" si="0"/>
        <v>1.75</v>
      </c>
      <c r="D18" s="8">
        <v>0.2506861686706543</v>
      </c>
      <c r="E18" s="5">
        <f>MATCH(D18,'Route Data'!$C$7:$C$8,1)</f>
        <v>2</v>
      </c>
      <c r="F18" s="5">
        <f>INDEX('Route Data'!$D$7:$D$8,E18)</f>
        <v>1</v>
      </c>
      <c r="G18" s="5" t="str">
        <f>INDEX('Route Data'!$A$7:$A$8,E18)</f>
        <v>u18</v>
      </c>
      <c r="H18" s="5">
        <f>EnergyCoeff(INDEX('Route Data'!$K$7:$K$8,E18),INDEX('Route Data'!$L$7:$L$8,E18)*2*PI()/60,INDEX('Route Data'!$F$7:$F$8,E18))</f>
        <v>0.19430699130049439</v>
      </c>
      <c r="I18" s="5">
        <f>DischargeCoeff(INDEX('Route Data'!$I$7:$I$8,E18), INDEX('Route Data'!$L$7:$L$8,E18)*2*PI()/60, INDEX('Route Data'!$F$7:$F$8,E18))</f>
        <v>0.15939200179827354</v>
      </c>
      <c r="J18" s="8">
        <f>FlowAngleRel(INDEX('Route Data'!$J$7:$J$8,E18)*INDEX('Route Data'!$I$7:$I$8,E18), INDEX('Route Data'!$L$7:$L$8,E18)*2*PI()/60, INDEX('Route Data'!$F$7:$F$8,E18),INDEX('Route Data'!$O$7:$O$8,E18), INDEX('Route Data'!$P$7:$P$8,E18),INDEX('Route Data'!$M$7:$M$8,E18))</f>
        <v>1.130811765868994</v>
      </c>
      <c r="K18" s="8">
        <f>FlowAngleAbsT(INDEX('Route Data'!$K$7:$K$8,E18), INDEX('Route Data'!$I$7:$I$8,E18), INDEX('Route Data'!$I$7:$I$8,E18)*INDEX('Route Data'!$J$7:$J$8,E18), INDEX('Route Data'!$L$7:$L$8,E18)*2*PI()/60, INDEX('Route Data'!$F$7:$F$8,E18),INDEX('Route Data'!$O$7:$O$8,E18), INDEX('Route Data'!$P$7:$P$8,E18), INDEX('Route Data'!$H$7:$H$8,E18), INDEX('Route Data'!$Q$7:$Q$8,E18), INDEX('Route Data'!$M$7:$M$8,E18))</f>
        <v>0.51617226640175828</v>
      </c>
      <c r="L18" s="5">
        <f>INDEX('Route Data'!$N$7:$N$8,E18)</f>
        <v>0.4</v>
      </c>
      <c r="M18" s="8">
        <v>0.82113075256347656</v>
      </c>
      <c r="N18" s="8">
        <f>ProbStrikeFrancis(K18, I18, L18, INDEX('Route Data'!$G$7:$G$8,E18),C18, INDEX('Route Data'!$F$7:$F$8,E18), INDEX('Route Data'!$O$7:$O$8,E18), INDEX('Route Data'!$H$7:$H$18,E18))</f>
        <v>1</v>
      </c>
      <c r="O18" s="5" t="str">
        <f>IF(F18&gt;=1,IF(M18&lt;=N18,"STRIKE","pass"),IF(M18&lt;=INDEX('Route Data'!$R$7:$R$8,E18),"NO PASS","pass"))</f>
        <v>STRIKE</v>
      </c>
      <c r="P18" s="5">
        <f>IF(F18&gt;=1,IF(M18&lt;=N18,1,0),IF(M18&lt;=INDEX('Route Data'!$R$7:$R$8,E18),-1,0))</f>
        <v>1</v>
      </c>
    </row>
    <row r="19" spans="1:16">
      <c r="A19" s="5">
        <v>9</v>
      </c>
      <c r="B19" s="12">
        <v>24</v>
      </c>
      <c r="C19" s="13">
        <f t="shared" si="0"/>
        <v>2</v>
      </c>
      <c r="D19" s="8">
        <v>0.23595970869064331</v>
      </c>
      <c r="E19" s="5">
        <f>MATCH(D19,'Route Data'!$C$7:$C$8,1)</f>
        <v>2</v>
      </c>
      <c r="F19" s="5">
        <f>INDEX('Route Data'!$D$7:$D$8,E19)</f>
        <v>1</v>
      </c>
      <c r="G19" s="5" t="str">
        <f>INDEX('Route Data'!$A$7:$A$8,E19)</f>
        <v>u18</v>
      </c>
      <c r="H19" s="5">
        <f>EnergyCoeff(INDEX('Route Data'!$K$7:$K$8,E19),INDEX('Route Data'!$L$7:$L$8,E19)*2*PI()/60,INDEX('Route Data'!$F$7:$F$8,E19))</f>
        <v>0.19430699130049439</v>
      </c>
      <c r="I19" s="5">
        <f>DischargeCoeff(INDEX('Route Data'!$I$7:$I$8,E19), INDEX('Route Data'!$L$7:$L$8,E19)*2*PI()/60, INDEX('Route Data'!$F$7:$F$8,E19))</f>
        <v>0.15939200179827354</v>
      </c>
      <c r="J19" s="8">
        <f>FlowAngleRel(INDEX('Route Data'!$J$7:$J$8,E19)*INDEX('Route Data'!$I$7:$I$8,E19), INDEX('Route Data'!$L$7:$L$8,E19)*2*PI()/60, INDEX('Route Data'!$F$7:$F$8,E19),INDEX('Route Data'!$O$7:$O$8,E19), INDEX('Route Data'!$P$7:$P$8,E19),INDEX('Route Data'!$M$7:$M$8,E19))</f>
        <v>1.130811765868994</v>
      </c>
      <c r="K19" s="8">
        <f>FlowAngleAbsT(INDEX('Route Data'!$K$7:$K$8,E19), INDEX('Route Data'!$I$7:$I$8,E19), INDEX('Route Data'!$I$7:$I$8,E19)*INDEX('Route Data'!$J$7:$J$8,E19), INDEX('Route Data'!$L$7:$L$8,E19)*2*PI()/60, INDEX('Route Data'!$F$7:$F$8,E19),INDEX('Route Data'!$O$7:$O$8,E19), INDEX('Route Data'!$P$7:$P$8,E19), INDEX('Route Data'!$H$7:$H$8,E19), INDEX('Route Data'!$Q$7:$Q$8,E19), INDEX('Route Data'!$M$7:$M$8,E19))</f>
        <v>0.51617226640175828</v>
      </c>
      <c r="L19" s="5">
        <f>INDEX('Route Data'!$N$7:$N$8,E19)</f>
        <v>0.4</v>
      </c>
      <c r="M19" s="8">
        <v>0.14820688962936401</v>
      </c>
      <c r="N19" s="8">
        <f>ProbStrikeFrancis(K19, I19, L19, INDEX('Route Data'!$G$7:$G$8,E19),C19, INDEX('Route Data'!$F$7:$F$8,E19), INDEX('Route Data'!$O$7:$O$8,E19), INDEX('Route Data'!$H$7:$H$18,E19))</f>
        <v>1</v>
      </c>
      <c r="O19" s="5" t="str">
        <f>IF(F19&gt;=1,IF(M19&lt;=N19,"STRIKE","pass"),IF(M19&lt;=INDEX('Route Data'!$R$7:$R$8,E19),"NO PASS","pass"))</f>
        <v>STRIKE</v>
      </c>
      <c r="P19" s="5">
        <f>IF(F19&gt;=1,IF(M19&lt;=N19,1,0),IF(M19&lt;=INDEX('Route Data'!$R$7:$R$8,E19),-1,0))</f>
        <v>1</v>
      </c>
    </row>
    <row r="20" spans="1:16">
      <c r="A20" s="5">
        <v>10</v>
      </c>
      <c r="B20" s="12">
        <v>20.75</v>
      </c>
      <c r="C20" s="13">
        <f t="shared" si="0"/>
        <v>1.73</v>
      </c>
      <c r="D20" s="8">
        <v>0.54571831226348877</v>
      </c>
      <c r="E20" s="5">
        <f>MATCH(D20,'Route Data'!$C$7:$C$8,1)</f>
        <v>2</v>
      </c>
      <c r="F20" s="5">
        <f>INDEX('Route Data'!$D$7:$D$8,E20)</f>
        <v>1</v>
      </c>
      <c r="G20" s="5" t="str">
        <f>INDEX('Route Data'!$A$7:$A$8,E20)</f>
        <v>u18</v>
      </c>
      <c r="H20" s="5">
        <f>EnergyCoeff(INDEX('Route Data'!$K$7:$K$8,E20),INDEX('Route Data'!$L$7:$L$8,E20)*2*PI()/60,INDEX('Route Data'!$F$7:$F$8,E20))</f>
        <v>0.19430699130049439</v>
      </c>
      <c r="I20" s="5">
        <f>DischargeCoeff(INDEX('Route Data'!$I$7:$I$8,E20), INDEX('Route Data'!$L$7:$L$8,E20)*2*PI()/60, INDEX('Route Data'!$F$7:$F$8,E20))</f>
        <v>0.15939200179827354</v>
      </c>
      <c r="J20" s="8">
        <f>FlowAngleRel(INDEX('Route Data'!$J$7:$J$8,E20)*INDEX('Route Data'!$I$7:$I$8,E20), INDEX('Route Data'!$L$7:$L$8,E20)*2*PI()/60, INDEX('Route Data'!$F$7:$F$8,E20),INDEX('Route Data'!$O$7:$O$8,E20), INDEX('Route Data'!$P$7:$P$8,E20),INDEX('Route Data'!$M$7:$M$8,E20))</f>
        <v>1.130811765868994</v>
      </c>
      <c r="K20" s="8">
        <f>FlowAngleAbsT(INDEX('Route Data'!$K$7:$K$8,E20), INDEX('Route Data'!$I$7:$I$8,E20), INDEX('Route Data'!$I$7:$I$8,E20)*INDEX('Route Data'!$J$7:$J$8,E20), INDEX('Route Data'!$L$7:$L$8,E20)*2*PI()/60, INDEX('Route Data'!$F$7:$F$8,E20),INDEX('Route Data'!$O$7:$O$8,E20), INDEX('Route Data'!$P$7:$P$8,E20), INDEX('Route Data'!$H$7:$H$8,E20), INDEX('Route Data'!$Q$7:$Q$8,E20), INDEX('Route Data'!$M$7:$M$8,E20))</f>
        <v>0.51617226640175828</v>
      </c>
      <c r="L20" s="5">
        <f>INDEX('Route Data'!$N$7:$N$8,E20)</f>
        <v>0.4</v>
      </c>
      <c r="M20" s="8">
        <v>0.43255770206451416</v>
      </c>
      <c r="N20" s="8">
        <f>ProbStrikeFrancis(K20, I20, L20, INDEX('Route Data'!$G$7:$G$8,E20),C20, INDEX('Route Data'!$F$7:$F$8,E20), INDEX('Route Data'!$O$7:$O$8,E20), INDEX('Route Data'!$H$7:$H$18,E20))</f>
        <v>1</v>
      </c>
      <c r="O20" s="5" t="str">
        <f>IF(F20&gt;=1,IF(M20&lt;=N20,"STRIKE","pass"),IF(M20&lt;=INDEX('Route Data'!$R$7:$R$8,E20),"NO PASS","pass"))</f>
        <v>STRIKE</v>
      </c>
      <c r="P20" s="5">
        <f>IF(F20&gt;=1,IF(M20&lt;=N20,1,0),IF(M20&lt;=INDEX('Route Data'!$R$7:$R$8,E20),-1,0))</f>
        <v>1</v>
      </c>
    </row>
    <row r="21" spans="1:16">
      <c r="A21" s="5">
        <v>11</v>
      </c>
      <c r="B21" s="12">
        <v>24.6</v>
      </c>
      <c r="C21" s="12">
        <f t="shared" si="0"/>
        <v>2.0499999999999998</v>
      </c>
      <c r="D21" s="8">
        <v>0.35086327791213989</v>
      </c>
      <c r="E21" s="5">
        <f>MATCH(D21,'Route Data'!$C$7:$C$8,1)</f>
        <v>2</v>
      </c>
      <c r="F21" s="5">
        <f>INDEX('Route Data'!$D$7:$D$8,E21)</f>
        <v>1</v>
      </c>
      <c r="G21" s="5" t="str">
        <f>INDEX('Route Data'!$A$7:$A$8,E21)</f>
        <v>u18</v>
      </c>
      <c r="H21" s="5">
        <f>EnergyCoeff(INDEX('Route Data'!$K$7:$K$8,E21),INDEX('Route Data'!$L$7:$L$8,E21)*2*PI()/60,INDEX('Route Data'!$F$7:$F$8,E21))</f>
        <v>0.19430699130049439</v>
      </c>
      <c r="I21" s="5">
        <f>DischargeCoeff(INDEX('Route Data'!$I$7:$I$8,E21), INDEX('Route Data'!$L$7:$L$8,E21)*2*PI()/60, INDEX('Route Data'!$F$7:$F$8,E21))</f>
        <v>0.15939200179827354</v>
      </c>
      <c r="J21" s="8">
        <f>FlowAngleRel(INDEX('Route Data'!$J$7:$J$8,E21)*INDEX('Route Data'!$I$7:$I$8,E21), INDEX('Route Data'!$L$7:$L$8,E21)*2*PI()/60, INDEX('Route Data'!$F$7:$F$8,E21),INDEX('Route Data'!$O$7:$O$8,E21), INDEX('Route Data'!$P$7:$P$8,E21),INDEX('Route Data'!$M$7:$M$8,E21))</f>
        <v>1.130811765868994</v>
      </c>
      <c r="K21" s="8">
        <f>FlowAngleAbsT(INDEX('Route Data'!$K$7:$K$8,E21), INDEX('Route Data'!$I$7:$I$8,E21), INDEX('Route Data'!$I$7:$I$8,E21)*INDEX('Route Data'!$J$7:$J$8,E21), INDEX('Route Data'!$L$7:$L$8,E21)*2*PI()/60, INDEX('Route Data'!$F$7:$F$8,E21),INDEX('Route Data'!$O$7:$O$8,E21), INDEX('Route Data'!$P$7:$P$8,E21), INDEX('Route Data'!$H$7:$H$8,E21), INDEX('Route Data'!$Q$7:$Q$8,E21), INDEX('Route Data'!$M$7:$M$8,E21))</f>
        <v>0.51617226640175828</v>
      </c>
      <c r="L21" s="5">
        <f>INDEX('Route Data'!$N$7:$N$8,E21)</f>
        <v>0.4</v>
      </c>
      <c r="M21" s="8">
        <v>0.57950526475906372</v>
      </c>
      <c r="N21" s="8">
        <f>ProbStrikeFrancis(K21, I21, L21, INDEX('Route Data'!$G$7:$G$8,E21),C21, INDEX('Route Data'!$F$7:$F$8,E21), INDEX('Route Data'!$O$7:$O$8,E21), INDEX('Route Data'!$H$7:$H$18,E21))</f>
        <v>1</v>
      </c>
      <c r="O21" s="5" t="str">
        <f>IF(F21&gt;=1,IF(M21&lt;=N21,"STRIKE","pass"),IF(M21&lt;=INDEX('Route Data'!$R$7:$R$8,E21),"NO PASS","pass"))</f>
        <v>STRIKE</v>
      </c>
      <c r="P21" s="5">
        <f>IF(F21&gt;=1,IF(M21&lt;=N21,1,0),IF(M21&lt;=INDEX('Route Data'!$R$7:$R$8,E21),-1,0))</f>
        <v>1</v>
      </c>
    </row>
    <row r="22" spans="1:16">
      <c r="A22" s="5">
        <v>12</v>
      </c>
      <c r="B22" s="12">
        <v>18.52</v>
      </c>
      <c r="C22" s="12">
        <f t="shared" si="0"/>
        <v>1.54</v>
      </c>
      <c r="D22" s="8">
        <v>0.40426993370056152</v>
      </c>
      <c r="E22" s="5">
        <f>MATCH(D22,'Route Data'!$C$7:$C$8,1)</f>
        <v>2</v>
      </c>
      <c r="F22" s="5">
        <f>INDEX('Route Data'!$D$7:$D$8,E22)</f>
        <v>1</v>
      </c>
      <c r="G22" s="5" t="str">
        <f>INDEX('Route Data'!$A$7:$A$8,E22)</f>
        <v>u18</v>
      </c>
      <c r="H22" s="5">
        <f>EnergyCoeff(INDEX('Route Data'!$K$7:$K$8,E22),INDEX('Route Data'!$L$7:$L$8,E22)*2*PI()/60,INDEX('Route Data'!$F$7:$F$8,E22))</f>
        <v>0.19430699130049439</v>
      </c>
      <c r="I22" s="5">
        <f>DischargeCoeff(INDEX('Route Data'!$I$7:$I$8,E22), INDEX('Route Data'!$L$7:$L$8,E22)*2*PI()/60, INDEX('Route Data'!$F$7:$F$8,E22))</f>
        <v>0.15939200179827354</v>
      </c>
      <c r="J22" s="8">
        <f>FlowAngleRel(INDEX('Route Data'!$J$7:$J$8,E22)*INDEX('Route Data'!$I$7:$I$8,E22), INDEX('Route Data'!$L$7:$L$8,E22)*2*PI()/60, INDEX('Route Data'!$F$7:$F$8,E22),INDEX('Route Data'!$O$7:$O$8,E22), INDEX('Route Data'!$P$7:$P$8,E22),INDEX('Route Data'!$M$7:$M$8,E22))</f>
        <v>1.130811765868994</v>
      </c>
      <c r="K22" s="8">
        <f>FlowAngleAbsT(INDEX('Route Data'!$K$7:$K$8,E22), INDEX('Route Data'!$I$7:$I$8,E22), INDEX('Route Data'!$I$7:$I$8,E22)*INDEX('Route Data'!$J$7:$J$8,E22), INDEX('Route Data'!$L$7:$L$8,E22)*2*PI()/60, INDEX('Route Data'!$F$7:$F$8,E22),INDEX('Route Data'!$O$7:$O$8,E22), INDEX('Route Data'!$P$7:$P$8,E22), INDEX('Route Data'!$H$7:$H$8,E22), INDEX('Route Data'!$Q$7:$Q$8,E22), INDEX('Route Data'!$M$7:$M$8,E22))</f>
        <v>0.51617226640175828</v>
      </c>
      <c r="L22" s="5">
        <f>INDEX('Route Data'!$N$7:$N$8,E22)</f>
        <v>0.4</v>
      </c>
      <c r="M22" s="8">
        <v>0.60750412940979004</v>
      </c>
      <c r="N22" s="8">
        <f>ProbStrikeFrancis(K22, I22, L22, INDEX('Route Data'!$G$7:$G$8,E22),C22, INDEX('Route Data'!$F$7:$F$8,E22), INDEX('Route Data'!$O$7:$O$8,E22), INDEX('Route Data'!$H$7:$H$18,E22))</f>
        <v>1</v>
      </c>
      <c r="O22" s="5" t="str">
        <f>IF(F22&gt;=1,IF(M22&lt;=N22,"STRIKE","pass"),IF(M22&lt;=INDEX('Route Data'!$R$7:$R$8,E22),"NO PASS","pass"))</f>
        <v>STRIKE</v>
      </c>
      <c r="P22" s="5">
        <f>IF(F22&gt;=1,IF(M22&lt;=N22,1,0),IF(M22&lt;=INDEX('Route Data'!$R$7:$R$8,E22),-1,0))</f>
        <v>1</v>
      </c>
    </row>
    <row r="23" spans="1:16">
      <c r="A23" s="5">
        <v>13</v>
      </c>
      <c r="B23" s="12">
        <v>21.1</v>
      </c>
      <c r="C23" s="12">
        <f t="shared" si="0"/>
        <v>1.76</v>
      </c>
      <c r="D23" s="8">
        <v>0.24404996633529663</v>
      </c>
      <c r="E23" s="5">
        <f>MATCH(D23,'Route Data'!$C$7:$C$8,1)</f>
        <v>2</v>
      </c>
      <c r="F23" s="5">
        <f>INDEX('Route Data'!$D$7:$D$8,E23)</f>
        <v>1</v>
      </c>
      <c r="G23" s="5" t="str">
        <f>INDEX('Route Data'!$A$7:$A$8,E23)</f>
        <v>u18</v>
      </c>
      <c r="H23" s="5">
        <f>EnergyCoeff(INDEX('Route Data'!$K$7:$K$8,E23),INDEX('Route Data'!$L$7:$L$8,E23)*2*PI()/60,INDEX('Route Data'!$F$7:$F$8,E23))</f>
        <v>0.19430699130049439</v>
      </c>
      <c r="I23" s="5">
        <f>DischargeCoeff(INDEX('Route Data'!$I$7:$I$8,E23), INDEX('Route Data'!$L$7:$L$8,E23)*2*PI()/60, INDEX('Route Data'!$F$7:$F$8,E23))</f>
        <v>0.15939200179827354</v>
      </c>
      <c r="J23" s="8">
        <f>FlowAngleRel(INDEX('Route Data'!$J$7:$J$8,E23)*INDEX('Route Data'!$I$7:$I$8,E23), INDEX('Route Data'!$L$7:$L$8,E23)*2*PI()/60, INDEX('Route Data'!$F$7:$F$8,E23),INDEX('Route Data'!$O$7:$O$8,E23), INDEX('Route Data'!$P$7:$P$8,E23),INDEX('Route Data'!$M$7:$M$8,E23))</f>
        <v>1.130811765868994</v>
      </c>
      <c r="K23" s="8">
        <f>FlowAngleAbsT(INDEX('Route Data'!$K$7:$K$8,E23), INDEX('Route Data'!$I$7:$I$8,E23), INDEX('Route Data'!$I$7:$I$8,E23)*INDEX('Route Data'!$J$7:$J$8,E23), INDEX('Route Data'!$L$7:$L$8,E23)*2*PI()/60, INDEX('Route Data'!$F$7:$F$8,E23),INDEX('Route Data'!$O$7:$O$8,E23), INDEX('Route Data'!$P$7:$P$8,E23), INDEX('Route Data'!$H$7:$H$8,E23), INDEX('Route Data'!$Q$7:$Q$8,E23), INDEX('Route Data'!$M$7:$M$8,E23))</f>
        <v>0.51617226640175828</v>
      </c>
      <c r="L23" s="5">
        <f>INDEX('Route Data'!$N$7:$N$8,E23)</f>
        <v>0.4</v>
      </c>
      <c r="M23" s="8">
        <v>0.78908675909042358</v>
      </c>
      <c r="N23" s="8">
        <f>ProbStrikeFrancis(K23, I23, L23, INDEX('Route Data'!$G$7:$G$8,E23),C23, INDEX('Route Data'!$F$7:$F$8,E23), INDEX('Route Data'!$O$7:$O$8,E23), INDEX('Route Data'!$H$7:$H$18,E23))</f>
        <v>1</v>
      </c>
      <c r="O23" s="5" t="str">
        <f>IF(F23&gt;=1,IF(M23&lt;=N23,"STRIKE","pass"),IF(M23&lt;=INDEX('Route Data'!$R$7:$R$8,E23),"NO PASS","pass"))</f>
        <v>STRIKE</v>
      </c>
      <c r="P23" s="5">
        <f>IF(F23&gt;=1,IF(M23&lt;=N23,1,0),IF(M23&lt;=INDEX('Route Data'!$R$7:$R$8,E23),-1,0))</f>
        <v>1</v>
      </c>
    </row>
    <row r="24" spans="1:16">
      <c r="A24" s="5">
        <v>14</v>
      </c>
      <c r="B24" s="12">
        <v>18.579999999999998</v>
      </c>
      <c r="C24" s="12">
        <f t="shared" si="0"/>
        <v>1.55</v>
      </c>
      <c r="D24" s="8">
        <v>0.72470986843109131</v>
      </c>
      <c r="E24" s="5">
        <f>MATCH(D24,'Route Data'!$C$7:$C$8,1)</f>
        <v>2</v>
      </c>
      <c r="F24" s="5">
        <f>INDEX('Route Data'!$D$7:$D$8,E24)</f>
        <v>1</v>
      </c>
      <c r="G24" s="5" t="str">
        <f>INDEX('Route Data'!$A$7:$A$8,E24)</f>
        <v>u18</v>
      </c>
      <c r="H24" s="5">
        <f>EnergyCoeff(INDEX('Route Data'!$K$7:$K$8,E24),INDEX('Route Data'!$L$7:$L$8,E24)*2*PI()/60,INDEX('Route Data'!$F$7:$F$8,E24))</f>
        <v>0.19430699130049439</v>
      </c>
      <c r="I24" s="5">
        <f>DischargeCoeff(INDEX('Route Data'!$I$7:$I$8,E24), INDEX('Route Data'!$L$7:$L$8,E24)*2*PI()/60, INDEX('Route Data'!$F$7:$F$8,E24))</f>
        <v>0.15939200179827354</v>
      </c>
      <c r="J24" s="8">
        <f>FlowAngleRel(INDEX('Route Data'!$J$7:$J$8,E24)*INDEX('Route Data'!$I$7:$I$8,E24), INDEX('Route Data'!$L$7:$L$8,E24)*2*PI()/60, INDEX('Route Data'!$F$7:$F$8,E24),INDEX('Route Data'!$O$7:$O$8,E24), INDEX('Route Data'!$P$7:$P$8,E24),INDEX('Route Data'!$M$7:$M$8,E24))</f>
        <v>1.130811765868994</v>
      </c>
      <c r="K24" s="8">
        <f>FlowAngleAbsT(INDEX('Route Data'!$K$7:$K$8,E24), INDEX('Route Data'!$I$7:$I$8,E24), INDEX('Route Data'!$I$7:$I$8,E24)*INDEX('Route Data'!$J$7:$J$8,E24), INDEX('Route Data'!$L$7:$L$8,E24)*2*PI()/60, INDEX('Route Data'!$F$7:$F$8,E24),INDEX('Route Data'!$O$7:$O$8,E24), INDEX('Route Data'!$P$7:$P$8,E24), INDEX('Route Data'!$H$7:$H$8,E24), INDEX('Route Data'!$Q$7:$Q$8,E24), INDEX('Route Data'!$M$7:$M$8,E24))</f>
        <v>0.51617226640175828</v>
      </c>
      <c r="L24" s="5">
        <f>INDEX('Route Data'!$N$7:$N$8,E24)</f>
        <v>0.4</v>
      </c>
      <c r="M24" s="8">
        <v>0.24433887004852295</v>
      </c>
      <c r="N24" s="8">
        <f>ProbStrikeFrancis(K24, I24, L24, INDEX('Route Data'!$G$7:$G$8,E24),C24, INDEX('Route Data'!$F$7:$F$8,E24), INDEX('Route Data'!$O$7:$O$8,E24), INDEX('Route Data'!$H$7:$H$18,E24))</f>
        <v>1</v>
      </c>
      <c r="O24" s="5" t="str">
        <f>IF(F24&gt;=1,IF(M24&lt;=N24,"STRIKE","pass"),IF(M24&lt;=INDEX('Route Data'!$R$7:$R$8,E24),"NO PASS","pass"))</f>
        <v>STRIKE</v>
      </c>
      <c r="P24" s="5">
        <f>IF(F24&gt;=1,IF(M24&lt;=N24,1,0),IF(M24&lt;=INDEX('Route Data'!$R$7:$R$8,E24),-1,0))</f>
        <v>1</v>
      </c>
    </row>
    <row r="25" spans="1:16">
      <c r="A25" s="5">
        <v>15</v>
      </c>
      <c r="B25" s="12">
        <v>17.579999999999998</v>
      </c>
      <c r="C25" s="12">
        <f t="shared" si="0"/>
        <v>1.47</v>
      </c>
      <c r="D25" s="8">
        <v>0.28273016214370728</v>
      </c>
      <c r="E25" s="5">
        <f>MATCH(D25,'Route Data'!$C$7:$C$8,1)</f>
        <v>2</v>
      </c>
      <c r="F25" s="5">
        <f>INDEX('Route Data'!$D$7:$D$8,E25)</f>
        <v>1</v>
      </c>
      <c r="G25" s="5" t="str">
        <f>INDEX('Route Data'!$A$7:$A$8,E25)</f>
        <v>u18</v>
      </c>
      <c r="H25" s="5">
        <f>EnergyCoeff(INDEX('Route Data'!$K$7:$K$8,E25),INDEX('Route Data'!$L$7:$L$8,E25)*2*PI()/60,INDEX('Route Data'!$F$7:$F$8,E25))</f>
        <v>0.19430699130049439</v>
      </c>
      <c r="I25" s="5">
        <f>DischargeCoeff(INDEX('Route Data'!$I$7:$I$8,E25), INDEX('Route Data'!$L$7:$L$8,E25)*2*PI()/60, INDEX('Route Data'!$F$7:$F$8,E25))</f>
        <v>0.15939200179827354</v>
      </c>
      <c r="J25" s="8">
        <f>FlowAngleRel(INDEX('Route Data'!$J$7:$J$8,E25)*INDEX('Route Data'!$I$7:$I$8,E25), INDEX('Route Data'!$L$7:$L$8,E25)*2*PI()/60, INDEX('Route Data'!$F$7:$F$8,E25),INDEX('Route Data'!$O$7:$O$8,E25), INDEX('Route Data'!$P$7:$P$8,E25),INDEX('Route Data'!$M$7:$M$8,E25))</f>
        <v>1.130811765868994</v>
      </c>
      <c r="K25" s="8">
        <f>FlowAngleAbsT(INDEX('Route Data'!$K$7:$K$8,E25), INDEX('Route Data'!$I$7:$I$8,E25), INDEX('Route Data'!$I$7:$I$8,E25)*INDEX('Route Data'!$J$7:$J$8,E25), INDEX('Route Data'!$L$7:$L$8,E25)*2*PI()/60, INDEX('Route Data'!$F$7:$F$8,E25),INDEX('Route Data'!$O$7:$O$8,E25), INDEX('Route Data'!$P$7:$P$8,E25), INDEX('Route Data'!$H$7:$H$8,E25), INDEX('Route Data'!$Q$7:$Q$8,E25), INDEX('Route Data'!$M$7:$M$8,E25))</f>
        <v>0.51617226640175828</v>
      </c>
      <c r="L25" s="5">
        <f>INDEX('Route Data'!$N$7:$N$8,E25)</f>
        <v>0.4</v>
      </c>
      <c r="M25" s="8">
        <v>0.14416176080703735</v>
      </c>
      <c r="N25" s="8">
        <f>ProbStrikeFrancis(K25, I25, L25, INDEX('Route Data'!$G$7:$G$8,E25),C25, INDEX('Route Data'!$F$7:$F$8,E25), INDEX('Route Data'!$O$7:$O$8,E25), INDEX('Route Data'!$H$7:$H$18,E25))</f>
        <v>1</v>
      </c>
      <c r="O25" s="5" t="str">
        <f>IF(F25&gt;=1,IF(M25&lt;=N25,"STRIKE","pass"),IF(M25&lt;=INDEX('Route Data'!$R$7:$R$8,E25),"NO PASS","pass"))</f>
        <v>STRIKE</v>
      </c>
      <c r="P25" s="5">
        <f>IF(F25&gt;=1,IF(M25&lt;=N25,1,0),IF(M25&lt;=INDEX('Route Data'!$R$7:$R$8,E25),-1,0))</f>
        <v>1</v>
      </c>
    </row>
    <row r="26" spans="1:16">
      <c r="A26" s="5">
        <v>16</v>
      </c>
      <c r="B26" s="12">
        <v>27.28</v>
      </c>
      <c r="C26" s="12">
        <f t="shared" si="0"/>
        <v>2.27</v>
      </c>
      <c r="D26" s="8">
        <v>0.87424850463867188</v>
      </c>
      <c r="E26" s="5">
        <f>MATCH(D26,'Route Data'!$C$7:$C$8,1)</f>
        <v>2</v>
      </c>
      <c r="F26" s="5">
        <f>INDEX('Route Data'!$D$7:$D$8,E26)</f>
        <v>1</v>
      </c>
      <c r="G26" s="5" t="str">
        <f>INDEX('Route Data'!$A$7:$A$8,E26)</f>
        <v>u18</v>
      </c>
      <c r="H26" s="5">
        <f>EnergyCoeff(INDEX('Route Data'!$K$7:$K$8,E26),INDEX('Route Data'!$L$7:$L$8,E26)*2*PI()/60,INDEX('Route Data'!$F$7:$F$8,E26))</f>
        <v>0.19430699130049439</v>
      </c>
      <c r="I26" s="5">
        <f>DischargeCoeff(INDEX('Route Data'!$I$7:$I$8,E26), INDEX('Route Data'!$L$7:$L$8,E26)*2*PI()/60, INDEX('Route Data'!$F$7:$F$8,E26))</f>
        <v>0.15939200179827354</v>
      </c>
      <c r="J26" s="8">
        <f>FlowAngleRel(INDEX('Route Data'!$J$7:$J$8,E26)*INDEX('Route Data'!$I$7:$I$8,E26), INDEX('Route Data'!$L$7:$L$8,E26)*2*PI()/60, INDEX('Route Data'!$F$7:$F$8,E26),INDEX('Route Data'!$O$7:$O$8,E26), INDEX('Route Data'!$P$7:$P$8,E26),INDEX('Route Data'!$M$7:$M$8,E26))</f>
        <v>1.130811765868994</v>
      </c>
      <c r="K26" s="8">
        <f>FlowAngleAbsT(INDEX('Route Data'!$K$7:$K$8,E26), INDEX('Route Data'!$I$7:$I$8,E26), INDEX('Route Data'!$I$7:$I$8,E26)*INDEX('Route Data'!$J$7:$J$8,E26), INDEX('Route Data'!$L$7:$L$8,E26)*2*PI()/60, INDEX('Route Data'!$F$7:$F$8,E26),INDEX('Route Data'!$O$7:$O$8,E26), INDEX('Route Data'!$P$7:$P$8,E26), INDEX('Route Data'!$H$7:$H$8,E26), INDEX('Route Data'!$Q$7:$Q$8,E26), INDEX('Route Data'!$M$7:$M$8,E26))</f>
        <v>0.51617226640175828</v>
      </c>
      <c r="L26" s="5">
        <f>INDEX('Route Data'!$N$7:$N$8,E26)</f>
        <v>0.4</v>
      </c>
      <c r="M26" s="8">
        <v>0.71027231216430664</v>
      </c>
      <c r="N26" s="8">
        <f>ProbStrikeFrancis(K26, I26, L26, INDEX('Route Data'!$G$7:$G$8,E26),C26, INDEX('Route Data'!$F$7:$F$8,E26), INDEX('Route Data'!$O$7:$O$8,E26), INDEX('Route Data'!$H$7:$H$18,E26))</f>
        <v>1</v>
      </c>
      <c r="O26" s="5" t="str">
        <f>IF(F26&gt;=1,IF(M26&lt;=N26,"STRIKE","pass"),IF(M26&lt;=INDEX('Route Data'!$R$7:$R$8,E26),"NO PASS","pass"))</f>
        <v>STRIKE</v>
      </c>
      <c r="P26" s="5">
        <f>IF(F26&gt;=1,IF(M26&lt;=N26,1,0),IF(M26&lt;=INDEX('Route Data'!$R$7:$R$8,E26),-1,0))</f>
        <v>1</v>
      </c>
    </row>
    <row r="27" spans="1:16">
      <c r="A27" s="5">
        <v>17</v>
      </c>
      <c r="B27" s="12">
        <v>20.73</v>
      </c>
      <c r="C27" s="12">
        <f t="shared" si="0"/>
        <v>1.73</v>
      </c>
      <c r="D27" s="8">
        <v>0.83411425352096558</v>
      </c>
      <c r="E27" s="5">
        <f>MATCH(D27,'Route Data'!$C$7:$C$8,1)</f>
        <v>2</v>
      </c>
      <c r="F27" s="5">
        <f>INDEX('Route Data'!$D$7:$D$8,E27)</f>
        <v>1</v>
      </c>
      <c r="G27" s="5" t="str">
        <f>INDEX('Route Data'!$A$7:$A$8,E27)</f>
        <v>u18</v>
      </c>
      <c r="H27" s="5">
        <f>EnergyCoeff(INDEX('Route Data'!$K$7:$K$8,E27),INDEX('Route Data'!$L$7:$L$8,E27)*2*PI()/60,INDEX('Route Data'!$F$7:$F$8,E27))</f>
        <v>0.19430699130049439</v>
      </c>
      <c r="I27" s="5">
        <f>DischargeCoeff(INDEX('Route Data'!$I$7:$I$8,E27), INDEX('Route Data'!$L$7:$L$8,E27)*2*PI()/60, INDEX('Route Data'!$F$7:$F$8,E27))</f>
        <v>0.15939200179827354</v>
      </c>
      <c r="J27" s="8">
        <f>FlowAngleRel(INDEX('Route Data'!$J$7:$J$8,E27)*INDEX('Route Data'!$I$7:$I$8,E27), INDEX('Route Data'!$L$7:$L$8,E27)*2*PI()/60, INDEX('Route Data'!$F$7:$F$8,E27),INDEX('Route Data'!$O$7:$O$8,E27), INDEX('Route Data'!$P$7:$P$8,E27),INDEX('Route Data'!$M$7:$M$8,E27))</f>
        <v>1.130811765868994</v>
      </c>
      <c r="K27" s="8">
        <f>FlowAngleAbsT(INDEX('Route Data'!$K$7:$K$8,E27), INDEX('Route Data'!$I$7:$I$8,E27), INDEX('Route Data'!$I$7:$I$8,E27)*INDEX('Route Data'!$J$7:$J$8,E27), INDEX('Route Data'!$L$7:$L$8,E27)*2*PI()/60, INDEX('Route Data'!$F$7:$F$8,E27),INDEX('Route Data'!$O$7:$O$8,E27), INDEX('Route Data'!$P$7:$P$8,E27), INDEX('Route Data'!$H$7:$H$8,E27), INDEX('Route Data'!$Q$7:$Q$8,E27), INDEX('Route Data'!$M$7:$M$8,E27))</f>
        <v>0.51617226640175828</v>
      </c>
      <c r="L27" s="5">
        <f>INDEX('Route Data'!$N$7:$N$8,E27)</f>
        <v>0.4</v>
      </c>
      <c r="M27" s="8">
        <v>0.74636143445968628</v>
      </c>
      <c r="N27" s="8">
        <f>ProbStrikeFrancis(K27, I27, L27, INDEX('Route Data'!$G$7:$G$8,E27),C27, INDEX('Route Data'!$F$7:$F$8,E27), INDEX('Route Data'!$O$7:$O$8,E27), INDEX('Route Data'!$H$7:$H$18,E27))</f>
        <v>1</v>
      </c>
      <c r="O27" s="5" t="str">
        <f>IF(F27&gt;=1,IF(M27&lt;=N27,"STRIKE","pass"),IF(M27&lt;=INDEX('Route Data'!$R$7:$R$8,E27),"NO PASS","pass"))</f>
        <v>STRIKE</v>
      </c>
      <c r="P27" s="5">
        <f>IF(F27&gt;=1,IF(M27&lt;=N27,1,0),IF(M27&lt;=INDEX('Route Data'!$R$7:$R$8,E27),-1,0))</f>
        <v>1</v>
      </c>
    </row>
    <row r="28" spans="1:16">
      <c r="A28" s="5">
        <v>18</v>
      </c>
      <c r="B28" s="12">
        <v>20.18</v>
      </c>
      <c r="C28" s="12">
        <f t="shared" si="0"/>
        <v>1.68</v>
      </c>
      <c r="D28" s="8">
        <v>0.48567545413970947</v>
      </c>
      <c r="E28" s="5">
        <f>MATCH(D28,'Route Data'!$C$7:$C$8,1)</f>
        <v>2</v>
      </c>
      <c r="F28" s="5">
        <f>INDEX('Route Data'!$D$7:$D$8,E28)</f>
        <v>1</v>
      </c>
      <c r="G28" s="5" t="str">
        <f>INDEX('Route Data'!$A$7:$A$8,E28)</f>
        <v>u18</v>
      </c>
      <c r="H28" s="5">
        <f>EnergyCoeff(INDEX('Route Data'!$K$7:$K$8,E28),INDEX('Route Data'!$L$7:$L$8,E28)*2*PI()/60,INDEX('Route Data'!$F$7:$F$8,E28))</f>
        <v>0.19430699130049439</v>
      </c>
      <c r="I28" s="5">
        <f>DischargeCoeff(INDEX('Route Data'!$I$7:$I$8,E28), INDEX('Route Data'!$L$7:$L$8,E28)*2*PI()/60, INDEX('Route Data'!$F$7:$F$8,E28))</f>
        <v>0.15939200179827354</v>
      </c>
      <c r="J28" s="8">
        <f>FlowAngleRel(INDEX('Route Data'!$J$7:$J$8,E28)*INDEX('Route Data'!$I$7:$I$8,E28), INDEX('Route Data'!$L$7:$L$8,E28)*2*PI()/60, INDEX('Route Data'!$F$7:$F$8,E28),INDEX('Route Data'!$O$7:$O$8,E28), INDEX('Route Data'!$P$7:$P$8,E28),INDEX('Route Data'!$M$7:$M$8,E28))</f>
        <v>1.130811765868994</v>
      </c>
      <c r="K28" s="8">
        <f>FlowAngleAbsT(INDEX('Route Data'!$K$7:$K$8,E28), INDEX('Route Data'!$I$7:$I$8,E28), INDEX('Route Data'!$I$7:$I$8,E28)*INDEX('Route Data'!$J$7:$J$8,E28), INDEX('Route Data'!$L$7:$L$8,E28)*2*PI()/60, INDEX('Route Data'!$F$7:$F$8,E28),INDEX('Route Data'!$O$7:$O$8,E28), INDEX('Route Data'!$P$7:$P$8,E28), INDEX('Route Data'!$H$7:$H$8,E28), INDEX('Route Data'!$Q$7:$Q$8,E28), INDEX('Route Data'!$M$7:$M$8,E28))</f>
        <v>0.51617226640175828</v>
      </c>
      <c r="L28" s="5">
        <f>INDEX('Route Data'!$N$7:$N$8,E28)</f>
        <v>0.4</v>
      </c>
      <c r="M28" s="8">
        <v>0.37251484394073486</v>
      </c>
      <c r="N28" s="8">
        <f>ProbStrikeFrancis(K28, I28, L28, INDEX('Route Data'!$G$7:$G$8,E28),C28, INDEX('Route Data'!$F$7:$F$8,E28), INDEX('Route Data'!$O$7:$O$8,E28), INDEX('Route Data'!$H$7:$H$18,E28))</f>
        <v>1</v>
      </c>
      <c r="O28" s="5" t="str">
        <f>IF(F28&gt;=1,IF(M28&lt;=N28,"STRIKE","pass"),IF(M28&lt;=INDEX('Route Data'!$R$7:$R$8,E28),"NO PASS","pass"))</f>
        <v>STRIKE</v>
      </c>
      <c r="P28" s="5">
        <f>IF(F28&gt;=1,IF(M28&lt;=N28,1,0),IF(M28&lt;=INDEX('Route Data'!$R$7:$R$8,E28),-1,0))</f>
        <v>1</v>
      </c>
    </row>
    <row r="29" spans="1:16">
      <c r="A29" s="5">
        <v>19</v>
      </c>
      <c r="B29" s="12">
        <v>23.81</v>
      </c>
      <c r="C29" s="12">
        <f t="shared" si="0"/>
        <v>1.98</v>
      </c>
      <c r="D29" s="8">
        <v>0.26541262865066528</v>
      </c>
      <c r="E29" s="5">
        <f>MATCH(D29,'Route Data'!$C$7:$C$8,1)</f>
        <v>2</v>
      </c>
      <c r="F29" s="5">
        <f>INDEX('Route Data'!$D$7:$D$8,E29)</f>
        <v>1</v>
      </c>
      <c r="G29" s="5" t="str">
        <f>INDEX('Route Data'!$A$7:$A$8,E29)</f>
        <v>u18</v>
      </c>
      <c r="H29" s="5">
        <f>EnergyCoeff(INDEX('Route Data'!$K$7:$K$8,E29),INDEX('Route Data'!$L$7:$L$8,E29)*2*PI()/60,INDEX('Route Data'!$F$7:$F$8,E29))</f>
        <v>0.19430699130049439</v>
      </c>
      <c r="I29" s="5">
        <f>DischargeCoeff(INDEX('Route Data'!$I$7:$I$8,E29), INDEX('Route Data'!$L$7:$L$8,E29)*2*PI()/60, INDEX('Route Data'!$F$7:$F$8,E29))</f>
        <v>0.15939200179827354</v>
      </c>
      <c r="J29" s="8">
        <f>FlowAngleRel(INDEX('Route Data'!$J$7:$J$8,E29)*INDEX('Route Data'!$I$7:$I$8,E29), INDEX('Route Data'!$L$7:$L$8,E29)*2*PI()/60, INDEX('Route Data'!$F$7:$F$8,E29),INDEX('Route Data'!$O$7:$O$8,E29), INDEX('Route Data'!$P$7:$P$8,E29),INDEX('Route Data'!$M$7:$M$8,E29))</f>
        <v>1.130811765868994</v>
      </c>
      <c r="K29" s="8">
        <f>FlowAngleAbsT(INDEX('Route Data'!$K$7:$K$8,E29), INDEX('Route Data'!$I$7:$I$8,E29), INDEX('Route Data'!$I$7:$I$8,E29)*INDEX('Route Data'!$J$7:$J$8,E29), INDEX('Route Data'!$L$7:$L$8,E29)*2*PI()/60, INDEX('Route Data'!$F$7:$F$8,E29),INDEX('Route Data'!$O$7:$O$8,E29), INDEX('Route Data'!$P$7:$P$8,E29), INDEX('Route Data'!$H$7:$H$8,E29), INDEX('Route Data'!$Q$7:$Q$8,E29), INDEX('Route Data'!$M$7:$M$8,E29))</f>
        <v>0.51617226640175828</v>
      </c>
      <c r="L29" s="5">
        <f>INDEX('Route Data'!$N$7:$N$8,E29)</f>
        <v>0.4</v>
      </c>
      <c r="M29" s="8">
        <v>0.49405461549758911</v>
      </c>
      <c r="N29" s="8">
        <f>ProbStrikeFrancis(K29, I29, L29, INDEX('Route Data'!$G$7:$G$8,E29),C29, INDEX('Route Data'!$F$7:$F$8,E29), INDEX('Route Data'!$O$7:$O$8,E29), INDEX('Route Data'!$H$7:$H$18,E29))</f>
        <v>1</v>
      </c>
      <c r="O29" s="5" t="str">
        <f>IF(F29&gt;=1,IF(M29&lt;=N29,"STRIKE","pass"),IF(M29&lt;=INDEX('Route Data'!$R$7:$R$8,E29),"NO PASS","pass"))</f>
        <v>STRIKE</v>
      </c>
      <c r="P29" s="5">
        <f>IF(F29&gt;=1,IF(M29&lt;=N29,1,0),IF(M29&lt;=INDEX('Route Data'!$R$7:$R$8,E29),-1,0))</f>
        <v>1</v>
      </c>
    </row>
    <row r="30" spans="1:16">
      <c r="A30" s="5">
        <v>20</v>
      </c>
      <c r="B30" s="12">
        <v>21.3</v>
      </c>
      <c r="C30" s="12">
        <f t="shared" si="0"/>
        <v>1.78</v>
      </c>
      <c r="D30" s="8">
        <v>0.66062188148498535</v>
      </c>
      <c r="E30" s="5">
        <f>MATCH(D30,'Route Data'!$C$7:$C$8,1)</f>
        <v>2</v>
      </c>
      <c r="F30" s="5">
        <f>INDEX('Route Data'!$D$7:$D$8,E30)</f>
        <v>1</v>
      </c>
      <c r="G30" s="5" t="str">
        <f>INDEX('Route Data'!$A$7:$A$8,E30)</f>
        <v>u18</v>
      </c>
      <c r="H30" s="5">
        <f>EnergyCoeff(INDEX('Route Data'!$K$7:$K$8,E30),INDEX('Route Data'!$L$7:$L$8,E30)*2*PI()/60,INDEX('Route Data'!$F$7:$F$8,E30))</f>
        <v>0.19430699130049439</v>
      </c>
      <c r="I30" s="5">
        <f>DischargeCoeff(INDEX('Route Data'!$I$7:$I$8,E30), INDEX('Route Data'!$L$7:$L$8,E30)*2*PI()/60, INDEX('Route Data'!$F$7:$F$8,E30))</f>
        <v>0.15939200179827354</v>
      </c>
      <c r="J30" s="8">
        <f>FlowAngleRel(INDEX('Route Data'!$J$7:$J$8,E30)*INDEX('Route Data'!$I$7:$I$8,E30), INDEX('Route Data'!$L$7:$L$8,E30)*2*PI()/60, INDEX('Route Data'!$F$7:$F$8,E30),INDEX('Route Data'!$O$7:$O$8,E30), INDEX('Route Data'!$P$7:$P$8,E30),INDEX('Route Data'!$M$7:$M$8,E30))</f>
        <v>1.130811765868994</v>
      </c>
      <c r="K30" s="8">
        <f>FlowAngleAbsT(INDEX('Route Data'!$K$7:$K$8,E30), INDEX('Route Data'!$I$7:$I$8,E30), INDEX('Route Data'!$I$7:$I$8,E30)*INDEX('Route Data'!$J$7:$J$8,E30), INDEX('Route Data'!$L$7:$L$8,E30)*2*PI()/60, INDEX('Route Data'!$F$7:$F$8,E30),INDEX('Route Data'!$O$7:$O$8,E30), INDEX('Route Data'!$P$7:$P$8,E30), INDEX('Route Data'!$H$7:$H$8,E30), INDEX('Route Data'!$Q$7:$Q$8,E30), INDEX('Route Data'!$M$7:$M$8,E30))</f>
        <v>0.51617226640175828</v>
      </c>
      <c r="L30" s="5">
        <f>INDEX('Route Data'!$N$7:$N$8,E30)</f>
        <v>0.4</v>
      </c>
      <c r="M30" s="8">
        <v>0.86385607719421387</v>
      </c>
      <c r="N30" s="8">
        <f>ProbStrikeFrancis(K30, I30, L30, INDEX('Route Data'!$G$7:$G$8,E30),C30, INDEX('Route Data'!$F$7:$F$8,E30), INDEX('Route Data'!$O$7:$O$8,E30), INDEX('Route Data'!$H$7:$H$18,E30))</f>
        <v>1</v>
      </c>
      <c r="O30" s="5" t="str">
        <f>IF(F30&gt;=1,IF(M30&lt;=N30,"STRIKE","pass"),IF(M30&lt;=INDEX('Route Data'!$R$7:$R$8,E30),"NO PASS","pass"))</f>
        <v>STRIKE</v>
      </c>
      <c r="P30" s="5">
        <f>IF(F30&gt;=1,IF(M30&lt;=N30,1,0),IF(M30&lt;=INDEX('Route Data'!$R$7:$R$8,E30),-1,0))</f>
        <v>1</v>
      </c>
    </row>
    <row r="31" spans="1:16">
      <c r="A31" s="5">
        <v>21</v>
      </c>
      <c r="B31" s="12">
        <v>22.93</v>
      </c>
      <c r="C31" s="12">
        <f t="shared" si="0"/>
        <v>1.91</v>
      </c>
      <c r="D31" s="8">
        <v>0.47499412298202515</v>
      </c>
      <c r="E31" s="5">
        <f>MATCH(D31,'Route Data'!$C$7:$C$8,1)</f>
        <v>2</v>
      </c>
      <c r="F31" s="5">
        <f>INDEX('Route Data'!$D$7:$D$8,E31)</f>
        <v>1</v>
      </c>
      <c r="G31" s="5" t="str">
        <f>INDEX('Route Data'!$A$7:$A$8,E31)</f>
        <v>u18</v>
      </c>
      <c r="H31" s="5">
        <f>EnergyCoeff(INDEX('Route Data'!$K$7:$K$8,E31),INDEX('Route Data'!$L$7:$L$8,E31)*2*PI()/60,INDEX('Route Data'!$F$7:$F$8,E31))</f>
        <v>0.19430699130049439</v>
      </c>
      <c r="I31" s="5">
        <f>DischargeCoeff(INDEX('Route Data'!$I$7:$I$8,E31), INDEX('Route Data'!$L$7:$L$8,E31)*2*PI()/60, INDEX('Route Data'!$F$7:$F$8,E31))</f>
        <v>0.15939200179827354</v>
      </c>
      <c r="J31" s="8">
        <f>FlowAngleRel(INDEX('Route Data'!$J$7:$J$8,E31)*INDEX('Route Data'!$I$7:$I$8,E31), INDEX('Route Data'!$L$7:$L$8,E31)*2*PI()/60, INDEX('Route Data'!$F$7:$F$8,E31),INDEX('Route Data'!$O$7:$O$8,E31), INDEX('Route Data'!$P$7:$P$8,E31),INDEX('Route Data'!$M$7:$M$8,E31))</f>
        <v>1.130811765868994</v>
      </c>
      <c r="K31" s="8">
        <f>FlowAngleAbsT(INDEX('Route Data'!$K$7:$K$8,E31), INDEX('Route Data'!$I$7:$I$8,E31), INDEX('Route Data'!$I$7:$I$8,E31)*INDEX('Route Data'!$J$7:$J$8,E31), INDEX('Route Data'!$L$7:$L$8,E31)*2*PI()/60, INDEX('Route Data'!$F$7:$F$8,E31),INDEX('Route Data'!$O$7:$O$8,E31), INDEX('Route Data'!$P$7:$P$8,E31), INDEX('Route Data'!$H$7:$H$8,E31), INDEX('Route Data'!$Q$7:$Q$8,E31), INDEX('Route Data'!$M$7:$M$8,E31))</f>
        <v>0.51617226640175828</v>
      </c>
      <c r="L31" s="5">
        <f>INDEX('Route Data'!$N$7:$N$8,E31)</f>
        <v>0.4</v>
      </c>
      <c r="M31" s="8">
        <v>2.00309157371521E-2</v>
      </c>
      <c r="N31" s="8">
        <f>ProbStrikeFrancis(K31, I31, L31, INDEX('Route Data'!$G$7:$G$8,E31),C31, INDEX('Route Data'!$F$7:$F$8,E31), INDEX('Route Data'!$O$7:$O$8,E31), INDEX('Route Data'!$H$7:$H$18,E31))</f>
        <v>1</v>
      </c>
      <c r="O31" s="5" t="str">
        <f>IF(F31&gt;=1,IF(M31&lt;=N31,"STRIKE","pass"),IF(M31&lt;=INDEX('Route Data'!$R$7:$R$8,E31),"NO PASS","pass"))</f>
        <v>STRIKE</v>
      </c>
      <c r="P31" s="5">
        <f>IF(F31&gt;=1,IF(M31&lt;=N31,1,0),IF(M31&lt;=INDEX('Route Data'!$R$7:$R$8,E31),-1,0))</f>
        <v>1</v>
      </c>
    </row>
    <row r="32" spans="1:16">
      <c r="A32" s="5">
        <v>22</v>
      </c>
      <c r="B32" s="12">
        <v>23.87</v>
      </c>
      <c r="C32" s="12">
        <f t="shared" si="0"/>
        <v>1.99</v>
      </c>
      <c r="D32" s="8">
        <v>0.29745662212371826</v>
      </c>
      <c r="E32" s="5">
        <f>MATCH(D32,'Route Data'!$C$7:$C$8,1)</f>
        <v>2</v>
      </c>
      <c r="F32" s="5">
        <f>INDEX('Route Data'!$D$7:$D$8,E32)</f>
        <v>1</v>
      </c>
      <c r="G32" s="5" t="str">
        <f>INDEX('Route Data'!$A$7:$A$8,E32)</f>
        <v>u18</v>
      </c>
      <c r="H32" s="5">
        <f>EnergyCoeff(INDEX('Route Data'!$K$7:$K$8,E32),INDEX('Route Data'!$L$7:$L$8,E32)*2*PI()/60,INDEX('Route Data'!$F$7:$F$8,E32))</f>
        <v>0.19430699130049439</v>
      </c>
      <c r="I32" s="5">
        <f>DischargeCoeff(INDEX('Route Data'!$I$7:$I$8,E32), INDEX('Route Data'!$L$7:$L$8,E32)*2*PI()/60, INDEX('Route Data'!$F$7:$F$8,E32))</f>
        <v>0.15939200179827354</v>
      </c>
      <c r="J32" s="8">
        <f>FlowAngleRel(INDEX('Route Data'!$J$7:$J$8,E32)*INDEX('Route Data'!$I$7:$I$8,E32), INDEX('Route Data'!$L$7:$L$8,E32)*2*PI()/60, INDEX('Route Data'!$F$7:$F$8,E32),INDEX('Route Data'!$O$7:$O$8,E32), INDEX('Route Data'!$P$7:$P$8,E32),INDEX('Route Data'!$M$7:$M$8,E32))</f>
        <v>1.130811765868994</v>
      </c>
      <c r="K32" s="8">
        <f>FlowAngleAbsT(INDEX('Route Data'!$K$7:$K$8,E32), INDEX('Route Data'!$I$7:$I$8,E32), INDEX('Route Data'!$I$7:$I$8,E32)*INDEX('Route Data'!$J$7:$J$8,E32), INDEX('Route Data'!$L$7:$L$8,E32)*2*PI()/60, INDEX('Route Data'!$F$7:$F$8,E32),INDEX('Route Data'!$O$7:$O$8,E32), INDEX('Route Data'!$P$7:$P$8,E32), INDEX('Route Data'!$H$7:$H$8,E32), INDEX('Route Data'!$Q$7:$Q$8,E32), INDEX('Route Data'!$M$7:$M$8,E32))</f>
        <v>0.51617226640175828</v>
      </c>
      <c r="L32" s="5">
        <f>INDEX('Route Data'!$N$7:$N$8,E32)</f>
        <v>0.4</v>
      </c>
      <c r="M32" s="8">
        <v>0.8170856237411499</v>
      </c>
      <c r="N32" s="8">
        <f>ProbStrikeFrancis(K32, I32, L32, INDEX('Route Data'!$G$7:$G$8,E32),C32, INDEX('Route Data'!$F$7:$F$8,E32), INDEX('Route Data'!$O$7:$O$8,E32), INDEX('Route Data'!$H$7:$H$18,E32))</f>
        <v>1</v>
      </c>
      <c r="O32" s="5" t="str">
        <f>IF(F32&gt;=1,IF(M32&lt;=N32,"STRIKE","pass"),IF(M32&lt;=INDEX('Route Data'!$R$7:$R$8,E32),"NO PASS","pass"))</f>
        <v>STRIKE</v>
      </c>
      <c r="P32" s="5">
        <f>IF(F32&gt;=1,IF(M32&lt;=N32,1,0),IF(M32&lt;=INDEX('Route Data'!$R$7:$R$8,E32),-1,0))</f>
        <v>1</v>
      </c>
    </row>
    <row r="33" spans="1:16">
      <c r="A33" s="5">
        <v>23</v>
      </c>
      <c r="B33" s="12">
        <v>23.24</v>
      </c>
      <c r="C33" s="12">
        <f t="shared" si="0"/>
        <v>1.94</v>
      </c>
      <c r="D33" s="8">
        <v>0.56448990106582642</v>
      </c>
      <c r="E33" s="5">
        <f>MATCH(D33,'Route Data'!$C$7:$C$8,1)</f>
        <v>2</v>
      </c>
      <c r="F33" s="5">
        <f>INDEX('Route Data'!$D$7:$D$8,E33)</f>
        <v>1</v>
      </c>
      <c r="G33" s="5" t="str">
        <f>INDEX('Route Data'!$A$7:$A$8,E33)</f>
        <v>u18</v>
      </c>
      <c r="H33" s="5">
        <f>EnergyCoeff(INDEX('Route Data'!$K$7:$K$8,E33),INDEX('Route Data'!$L$7:$L$8,E33)*2*PI()/60,INDEX('Route Data'!$F$7:$F$8,E33))</f>
        <v>0.19430699130049439</v>
      </c>
      <c r="I33" s="5">
        <f>DischargeCoeff(INDEX('Route Data'!$I$7:$I$8,E33), INDEX('Route Data'!$L$7:$L$8,E33)*2*PI()/60, INDEX('Route Data'!$F$7:$F$8,E33))</f>
        <v>0.15939200179827354</v>
      </c>
      <c r="J33" s="8">
        <f>FlowAngleRel(INDEX('Route Data'!$J$7:$J$8,E33)*INDEX('Route Data'!$I$7:$I$8,E33), INDEX('Route Data'!$L$7:$L$8,E33)*2*PI()/60, INDEX('Route Data'!$F$7:$F$8,E33),INDEX('Route Data'!$O$7:$O$8,E33), INDEX('Route Data'!$P$7:$P$8,E33),INDEX('Route Data'!$M$7:$M$8,E33))</f>
        <v>1.130811765868994</v>
      </c>
      <c r="K33" s="8">
        <f>FlowAngleAbsT(INDEX('Route Data'!$K$7:$K$8,E33), INDEX('Route Data'!$I$7:$I$8,E33), INDEX('Route Data'!$I$7:$I$8,E33)*INDEX('Route Data'!$J$7:$J$8,E33), INDEX('Route Data'!$L$7:$L$8,E33)*2*PI()/60, INDEX('Route Data'!$F$7:$F$8,E33),INDEX('Route Data'!$O$7:$O$8,E33), INDEX('Route Data'!$P$7:$P$8,E33), INDEX('Route Data'!$H$7:$H$8,E33), INDEX('Route Data'!$Q$7:$Q$8,E33), INDEX('Route Data'!$M$7:$M$8,E33))</f>
        <v>0.51617226640175828</v>
      </c>
      <c r="L33" s="5">
        <f>INDEX('Route Data'!$N$7:$N$8,E33)</f>
        <v>0.4</v>
      </c>
      <c r="M33" s="8">
        <v>3.5708487033843994E-2</v>
      </c>
      <c r="N33" s="8">
        <f>ProbStrikeFrancis(K33, I33, L33, INDEX('Route Data'!$G$7:$G$8,E33),C33, INDEX('Route Data'!$F$7:$F$8,E33), INDEX('Route Data'!$O$7:$O$8,E33), INDEX('Route Data'!$H$7:$H$18,E33))</f>
        <v>1</v>
      </c>
      <c r="O33" s="5" t="str">
        <f>IF(F33&gt;=1,IF(M33&lt;=N33,"STRIKE","pass"),IF(M33&lt;=INDEX('Route Data'!$R$7:$R$8,E33),"NO PASS","pass"))</f>
        <v>STRIKE</v>
      </c>
      <c r="P33" s="5">
        <f>IF(F33&gt;=1,IF(M33&lt;=N33,1,0),IF(M33&lt;=INDEX('Route Data'!$R$7:$R$8,E33),-1,0))</f>
        <v>1</v>
      </c>
    </row>
    <row r="34" spans="1:16">
      <c r="A34" s="5">
        <v>24</v>
      </c>
      <c r="B34" s="12">
        <v>25.38</v>
      </c>
      <c r="C34" s="12">
        <f t="shared" si="0"/>
        <v>2.12</v>
      </c>
      <c r="D34" s="8">
        <v>0.76339006423950195</v>
      </c>
      <c r="E34" s="5">
        <f>MATCH(D34,'Route Data'!$C$7:$C$8,1)</f>
        <v>2</v>
      </c>
      <c r="F34" s="5">
        <f>INDEX('Route Data'!$D$7:$D$8,E34)</f>
        <v>1</v>
      </c>
      <c r="G34" s="5" t="str">
        <f>INDEX('Route Data'!$A$7:$A$8,E34)</f>
        <v>u18</v>
      </c>
      <c r="H34" s="5">
        <f>EnergyCoeff(INDEX('Route Data'!$K$7:$K$8,E34),INDEX('Route Data'!$L$7:$L$8,E34)*2*PI()/60,INDEX('Route Data'!$F$7:$F$8,E34))</f>
        <v>0.19430699130049439</v>
      </c>
      <c r="I34" s="5">
        <f>DischargeCoeff(INDEX('Route Data'!$I$7:$I$8,E34), INDEX('Route Data'!$L$7:$L$8,E34)*2*PI()/60, INDEX('Route Data'!$F$7:$F$8,E34))</f>
        <v>0.15939200179827354</v>
      </c>
      <c r="J34" s="8">
        <f>FlowAngleRel(INDEX('Route Data'!$J$7:$J$8,E34)*INDEX('Route Data'!$I$7:$I$8,E34), INDEX('Route Data'!$L$7:$L$8,E34)*2*PI()/60, INDEX('Route Data'!$F$7:$F$8,E34),INDEX('Route Data'!$O$7:$O$8,E34), INDEX('Route Data'!$P$7:$P$8,E34),INDEX('Route Data'!$M$7:$M$8,E34))</f>
        <v>1.130811765868994</v>
      </c>
      <c r="K34" s="8">
        <f>FlowAngleAbsT(INDEX('Route Data'!$K$7:$K$8,E34), INDEX('Route Data'!$I$7:$I$8,E34), INDEX('Route Data'!$I$7:$I$8,E34)*INDEX('Route Data'!$J$7:$J$8,E34), INDEX('Route Data'!$L$7:$L$8,E34)*2*PI()/60, INDEX('Route Data'!$F$7:$F$8,E34),INDEX('Route Data'!$O$7:$O$8,E34), INDEX('Route Data'!$P$7:$P$8,E34), INDEX('Route Data'!$H$7:$H$8,E34), INDEX('Route Data'!$Q$7:$Q$8,E34), INDEX('Route Data'!$M$7:$M$8,E34))</f>
        <v>0.51617226640175828</v>
      </c>
      <c r="L34" s="5">
        <f>INDEX('Route Data'!$N$7:$N$8,E34)</f>
        <v>0.4</v>
      </c>
      <c r="M34" s="8">
        <v>0.94362163543701172</v>
      </c>
      <c r="N34" s="8">
        <f>ProbStrikeFrancis(K34, I34, L34, INDEX('Route Data'!$G$7:$G$8,E34),C34, INDEX('Route Data'!$F$7:$F$8,E34), INDEX('Route Data'!$O$7:$O$8,E34), INDEX('Route Data'!$H$7:$H$18,E34))</f>
        <v>1</v>
      </c>
      <c r="O34" s="5" t="str">
        <f>IF(F34&gt;=1,IF(M34&lt;=N34,"STRIKE","pass"),IF(M34&lt;=INDEX('Route Data'!$R$7:$R$8,E34),"NO PASS","pass"))</f>
        <v>STRIKE</v>
      </c>
      <c r="P34" s="5">
        <f>IF(F34&gt;=1,IF(M34&lt;=N34,1,0),IF(M34&lt;=INDEX('Route Data'!$R$7:$R$8,E34),-1,0))</f>
        <v>1</v>
      </c>
    </row>
    <row r="35" spans="1:16">
      <c r="A35" s="5">
        <v>25</v>
      </c>
      <c r="B35" s="12">
        <v>19.3</v>
      </c>
      <c r="C35" s="12">
        <f t="shared" si="0"/>
        <v>1.61</v>
      </c>
      <c r="D35" s="8">
        <v>0.43226879835128784</v>
      </c>
      <c r="E35" s="5">
        <f>MATCH(D35,'Route Data'!$C$7:$C$8,1)</f>
        <v>2</v>
      </c>
      <c r="F35" s="5">
        <f>INDEX('Route Data'!$D$7:$D$8,E35)</f>
        <v>1</v>
      </c>
      <c r="G35" s="5" t="str">
        <f>INDEX('Route Data'!$A$7:$A$8,E35)</f>
        <v>u18</v>
      </c>
      <c r="H35" s="5">
        <f>EnergyCoeff(INDEX('Route Data'!$K$7:$K$8,E35),INDEX('Route Data'!$L$7:$L$8,E35)*2*PI()/60,INDEX('Route Data'!$F$7:$F$8,E35))</f>
        <v>0.19430699130049439</v>
      </c>
      <c r="I35" s="5">
        <f>DischargeCoeff(INDEX('Route Data'!$I$7:$I$8,E35), INDEX('Route Data'!$L$7:$L$8,E35)*2*PI()/60, INDEX('Route Data'!$F$7:$F$8,E35))</f>
        <v>0.15939200179827354</v>
      </c>
      <c r="J35" s="8">
        <f>FlowAngleRel(INDEX('Route Data'!$J$7:$J$8,E35)*INDEX('Route Data'!$I$7:$I$8,E35), INDEX('Route Data'!$L$7:$L$8,E35)*2*PI()/60, INDEX('Route Data'!$F$7:$F$8,E35),INDEX('Route Data'!$O$7:$O$8,E35), INDEX('Route Data'!$P$7:$P$8,E35),INDEX('Route Data'!$M$7:$M$8,E35))</f>
        <v>1.130811765868994</v>
      </c>
      <c r="K35" s="8">
        <f>FlowAngleAbsT(INDEX('Route Data'!$K$7:$K$8,E35), INDEX('Route Data'!$I$7:$I$8,E35), INDEX('Route Data'!$I$7:$I$8,E35)*INDEX('Route Data'!$J$7:$J$8,E35), INDEX('Route Data'!$L$7:$L$8,E35)*2*PI()/60, INDEX('Route Data'!$F$7:$F$8,E35),INDEX('Route Data'!$O$7:$O$8,E35), INDEX('Route Data'!$P$7:$P$8,E35), INDEX('Route Data'!$H$7:$H$8,E35), INDEX('Route Data'!$Q$7:$Q$8,E35), INDEX('Route Data'!$M$7:$M$8,E35))</f>
        <v>0.51617226640175828</v>
      </c>
      <c r="L35" s="5">
        <f>INDEX('Route Data'!$N$7:$N$8,E35)</f>
        <v>0.4</v>
      </c>
      <c r="M35" s="8">
        <v>0.95430296659469604</v>
      </c>
      <c r="N35" s="8">
        <f>ProbStrikeFrancis(K35, I35, L35, INDEX('Route Data'!$G$7:$G$8,E35),C35, INDEX('Route Data'!$F$7:$F$8,E35), INDEX('Route Data'!$O$7:$O$8,E35), INDEX('Route Data'!$H$7:$H$18,E35))</f>
        <v>1</v>
      </c>
      <c r="O35" s="5" t="str">
        <f>IF(F35&gt;=1,IF(M35&lt;=N35,"STRIKE","pass"),IF(M35&lt;=INDEX('Route Data'!$R$7:$R$8,E35),"NO PASS","pass"))</f>
        <v>STRIKE</v>
      </c>
      <c r="P35" s="5">
        <f>IF(F35&gt;=1,IF(M35&lt;=N35,1,0),IF(M35&lt;=INDEX('Route Data'!$R$7:$R$8,E35),-1,0))</f>
        <v>1</v>
      </c>
    </row>
    <row r="36" spans="1:16">
      <c r="A36" s="5">
        <v>26</v>
      </c>
      <c r="B36" s="12">
        <v>19.53</v>
      </c>
      <c r="C36" s="12">
        <f t="shared" si="0"/>
        <v>1.63</v>
      </c>
      <c r="D36" s="8">
        <v>0.42563259601593018</v>
      </c>
      <c r="E36" s="5">
        <f>MATCH(D36,'Route Data'!$C$7:$C$8,1)</f>
        <v>2</v>
      </c>
      <c r="F36" s="5">
        <f>INDEX('Route Data'!$D$7:$D$8,E36)</f>
        <v>1</v>
      </c>
      <c r="G36" s="5" t="str">
        <f>INDEX('Route Data'!$A$7:$A$8,E36)</f>
        <v>u18</v>
      </c>
      <c r="H36" s="5">
        <f>EnergyCoeff(INDEX('Route Data'!$K$7:$K$8,E36),INDEX('Route Data'!$L$7:$L$8,E36)*2*PI()/60,INDEX('Route Data'!$F$7:$F$8,E36))</f>
        <v>0.19430699130049439</v>
      </c>
      <c r="I36" s="5">
        <f>DischargeCoeff(INDEX('Route Data'!$I$7:$I$8,E36), INDEX('Route Data'!$L$7:$L$8,E36)*2*PI()/60, INDEX('Route Data'!$F$7:$F$8,E36))</f>
        <v>0.15939200179827354</v>
      </c>
      <c r="J36" s="8">
        <f>FlowAngleRel(INDEX('Route Data'!$J$7:$J$8,E36)*INDEX('Route Data'!$I$7:$I$8,E36), INDEX('Route Data'!$L$7:$L$8,E36)*2*PI()/60, INDEX('Route Data'!$F$7:$F$8,E36),INDEX('Route Data'!$O$7:$O$8,E36), INDEX('Route Data'!$P$7:$P$8,E36),INDEX('Route Data'!$M$7:$M$8,E36))</f>
        <v>1.130811765868994</v>
      </c>
      <c r="K36" s="8">
        <f>FlowAngleAbsT(INDEX('Route Data'!$K$7:$K$8,E36), INDEX('Route Data'!$I$7:$I$8,E36), INDEX('Route Data'!$I$7:$I$8,E36)*INDEX('Route Data'!$J$7:$J$8,E36), INDEX('Route Data'!$L$7:$L$8,E36)*2*PI()/60, INDEX('Route Data'!$F$7:$F$8,E36),INDEX('Route Data'!$O$7:$O$8,E36), INDEX('Route Data'!$P$7:$P$8,E36), INDEX('Route Data'!$H$7:$H$8,E36), INDEX('Route Data'!$Q$7:$Q$8,E36), INDEX('Route Data'!$M$7:$M$8,E36))</f>
        <v>0.51617226640175828</v>
      </c>
      <c r="L36" s="5">
        <f>INDEX('Route Data'!$N$7:$N$8,E36)</f>
        <v>0.4</v>
      </c>
      <c r="M36" s="8">
        <v>0.18783819675445557</v>
      </c>
      <c r="N36" s="8">
        <f>ProbStrikeFrancis(K36, I36, L36, INDEX('Route Data'!$G$7:$G$8,E36),C36, INDEX('Route Data'!$F$7:$F$8,E36), INDEX('Route Data'!$O$7:$O$8,E36), INDEX('Route Data'!$H$7:$H$18,E36))</f>
        <v>1</v>
      </c>
      <c r="O36" s="5" t="str">
        <f>IF(F36&gt;=1,IF(M36&lt;=N36,"STRIKE","pass"),IF(M36&lt;=INDEX('Route Data'!$R$7:$R$8,E36),"NO PASS","pass"))</f>
        <v>STRIKE</v>
      </c>
      <c r="P36" s="5">
        <f>IF(F36&gt;=1,IF(M36&lt;=N36,1,0),IF(M36&lt;=INDEX('Route Data'!$R$7:$R$8,E36),-1,0))</f>
        <v>1</v>
      </c>
    </row>
    <row r="37" spans="1:16">
      <c r="A37" s="5">
        <v>27</v>
      </c>
      <c r="B37" s="12">
        <v>23.1</v>
      </c>
      <c r="C37" s="12">
        <f t="shared" si="0"/>
        <v>1.93</v>
      </c>
      <c r="D37" s="8">
        <v>0.17996197938919067</v>
      </c>
      <c r="E37" s="5">
        <f>MATCH(D37,'Route Data'!$C$7:$C$8,1)</f>
        <v>2</v>
      </c>
      <c r="F37" s="5">
        <f>INDEX('Route Data'!$D$7:$D$8,E37)</f>
        <v>1</v>
      </c>
      <c r="G37" s="5" t="str">
        <f>INDEX('Route Data'!$A$7:$A$8,E37)</f>
        <v>u18</v>
      </c>
      <c r="H37" s="5">
        <f>EnergyCoeff(INDEX('Route Data'!$K$7:$K$8,E37),INDEX('Route Data'!$L$7:$L$8,E37)*2*PI()/60,INDEX('Route Data'!$F$7:$F$8,E37))</f>
        <v>0.19430699130049439</v>
      </c>
      <c r="I37" s="5">
        <f>DischargeCoeff(INDEX('Route Data'!$I$7:$I$8,E37), INDEX('Route Data'!$L$7:$L$8,E37)*2*PI()/60, INDEX('Route Data'!$F$7:$F$8,E37))</f>
        <v>0.15939200179827354</v>
      </c>
      <c r="J37" s="8">
        <f>FlowAngleRel(INDEX('Route Data'!$J$7:$J$8,E37)*INDEX('Route Data'!$I$7:$I$8,E37), INDEX('Route Data'!$L$7:$L$8,E37)*2*PI()/60, INDEX('Route Data'!$F$7:$F$8,E37),INDEX('Route Data'!$O$7:$O$8,E37), INDEX('Route Data'!$P$7:$P$8,E37),INDEX('Route Data'!$M$7:$M$8,E37))</f>
        <v>1.130811765868994</v>
      </c>
      <c r="K37" s="8">
        <f>FlowAngleAbsT(INDEX('Route Data'!$K$7:$K$8,E37), INDEX('Route Data'!$I$7:$I$8,E37), INDEX('Route Data'!$I$7:$I$8,E37)*INDEX('Route Data'!$J$7:$J$8,E37), INDEX('Route Data'!$L$7:$L$8,E37)*2*PI()/60, INDEX('Route Data'!$F$7:$F$8,E37),INDEX('Route Data'!$O$7:$O$8,E37), INDEX('Route Data'!$P$7:$P$8,E37), INDEX('Route Data'!$H$7:$H$8,E37), INDEX('Route Data'!$Q$7:$Q$8,E37), INDEX('Route Data'!$M$7:$M$8,E37))</f>
        <v>0.51617226640175828</v>
      </c>
      <c r="L37" s="5">
        <f>INDEX('Route Data'!$N$7:$N$8,E37)</f>
        <v>0.4</v>
      </c>
      <c r="M37" s="8">
        <v>0.2839701771736145</v>
      </c>
      <c r="N37" s="8">
        <f>ProbStrikeFrancis(K37, I37, L37, INDEX('Route Data'!$G$7:$G$8,E37),C37, INDEX('Route Data'!$F$7:$F$8,E37), INDEX('Route Data'!$O$7:$O$8,E37), INDEX('Route Data'!$H$7:$H$18,E37))</f>
        <v>1</v>
      </c>
      <c r="O37" s="5" t="str">
        <f>IF(F37&gt;=1,IF(M37&lt;=N37,"STRIKE","pass"),IF(M37&lt;=INDEX('Route Data'!$R$7:$R$8,E37),"NO PASS","pass"))</f>
        <v>STRIKE</v>
      </c>
      <c r="P37" s="5">
        <f>IF(F37&gt;=1,IF(M37&lt;=N37,1,0),IF(M37&lt;=INDEX('Route Data'!$R$7:$R$8,E37),-1,0))</f>
        <v>1</v>
      </c>
    </row>
    <row r="38" spans="1:16">
      <c r="A38" s="5">
        <v>28</v>
      </c>
      <c r="B38" s="12">
        <v>23.33</v>
      </c>
      <c r="C38" s="12">
        <f t="shared" si="0"/>
        <v>1.94</v>
      </c>
      <c r="D38" s="8">
        <v>0.18255305290222168</v>
      </c>
      <c r="E38" s="5">
        <f>MATCH(D38,'Route Data'!$C$7:$C$8,1)</f>
        <v>2</v>
      </c>
      <c r="F38" s="5">
        <f>INDEX('Route Data'!$D$7:$D$8,E38)</f>
        <v>1</v>
      </c>
      <c r="G38" s="5" t="str">
        <f>INDEX('Route Data'!$A$7:$A$8,E38)</f>
        <v>u18</v>
      </c>
      <c r="H38" s="5">
        <f>EnergyCoeff(INDEX('Route Data'!$K$7:$K$8,E38),INDEX('Route Data'!$L$7:$L$8,E38)*2*PI()/60,INDEX('Route Data'!$F$7:$F$8,E38))</f>
        <v>0.19430699130049439</v>
      </c>
      <c r="I38" s="5">
        <f>DischargeCoeff(INDEX('Route Data'!$I$7:$I$8,E38), INDEX('Route Data'!$L$7:$L$8,E38)*2*PI()/60, INDEX('Route Data'!$F$7:$F$8,E38))</f>
        <v>0.15939200179827354</v>
      </c>
      <c r="J38" s="8">
        <f>FlowAngleRel(INDEX('Route Data'!$J$7:$J$8,E38)*INDEX('Route Data'!$I$7:$I$8,E38), INDEX('Route Data'!$L$7:$L$8,E38)*2*PI()/60, INDEX('Route Data'!$F$7:$F$8,E38),INDEX('Route Data'!$O$7:$O$8,E38), INDEX('Route Data'!$P$7:$P$8,E38),INDEX('Route Data'!$M$7:$M$8,E38))</f>
        <v>1.130811765868994</v>
      </c>
      <c r="K38" s="8">
        <f>FlowAngleAbsT(INDEX('Route Data'!$K$7:$K$8,E38), INDEX('Route Data'!$I$7:$I$8,E38), INDEX('Route Data'!$I$7:$I$8,E38)*INDEX('Route Data'!$J$7:$J$8,E38), INDEX('Route Data'!$L$7:$L$8,E38)*2*PI()/60, INDEX('Route Data'!$F$7:$F$8,E38),INDEX('Route Data'!$O$7:$O$8,E38), INDEX('Route Data'!$P$7:$P$8,E38), INDEX('Route Data'!$H$7:$H$8,E38), INDEX('Route Data'!$Q$7:$Q$8,E38), INDEX('Route Data'!$M$7:$M$8,E38))</f>
        <v>0.51617226640175828</v>
      </c>
      <c r="L38" s="5">
        <f>INDEX('Route Data'!$N$7:$N$8,E38)</f>
        <v>0.4</v>
      </c>
      <c r="M38" s="8">
        <v>0.9955742359161377</v>
      </c>
      <c r="N38" s="8">
        <f>ProbStrikeFrancis(K38, I38, L38, INDEX('Route Data'!$G$7:$G$8,E38),C38, INDEX('Route Data'!$F$7:$F$8,E38), INDEX('Route Data'!$O$7:$O$8,E38), INDEX('Route Data'!$H$7:$H$18,E38))</f>
        <v>1</v>
      </c>
      <c r="O38" s="5" t="str">
        <f>IF(F38&gt;=1,IF(M38&lt;=N38,"STRIKE","pass"),IF(M38&lt;=INDEX('Route Data'!$R$7:$R$8,E38),"NO PASS","pass"))</f>
        <v>STRIKE</v>
      </c>
      <c r="P38" s="5">
        <f>IF(F38&gt;=1,IF(M38&lt;=N38,1,0),IF(M38&lt;=INDEX('Route Data'!$R$7:$R$8,E38),-1,0))</f>
        <v>1</v>
      </c>
    </row>
    <row r="39" spans="1:16">
      <c r="A39" s="5">
        <v>29</v>
      </c>
      <c r="B39" s="12">
        <v>25</v>
      </c>
      <c r="C39" s="12">
        <f t="shared" si="0"/>
        <v>2.08</v>
      </c>
      <c r="D39" s="8">
        <v>0.70593827962875366</v>
      </c>
      <c r="E39" s="5">
        <f>MATCH(D39,'Route Data'!$C$7:$C$8,1)</f>
        <v>2</v>
      </c>
      <c r="F39" s="5">
        <f>INDEX('Route Data'!$D$7:$D$8,E39)</f>
        <v>1</v>
      </c>
      <c r="G39" s="5" t="str">
        <f>INDEX('Route Data'!$A$7:$A$8,E39)</f>
        <v>u18</v>
      </c>
      <c r="H39" s="5">
        <f>EnergyCoeff(INDEX('Route Data'!$K$7:$K$8,E39),INDEX('Route Data'!$L$7:$L$8,E39)*2*PI()/60,INDEX('Route Data'!$F$7:$F$8,E39))</f>
        <v>0.19430699130049439</v>
      </c>
      <c r="I39" s="5">
        <f>DischargeCoeff(INDEX('Route Data'!$I$7:$I$8,E39), INDEX('Route Data'!$L$7:$L$8,E39)*2*PI()/60, INDEX('Route Data'!$F$7:$F$8,E39))</f>
        <v>0.15939200179827354</v>
      </c>
      <c r="J39" s="8">
        <f>FlowAngleRel(INDEX('Route Data'!$J$7:$J$8,E39)*INDEX('Route Data'!$I$7:$I$8,E39), INDEX('Route Data'!$L$7:$L$8,E39)*2*PI()/60, INDEX('Route Data'!$F$7:$F$8,E39),INDEX('Route Data'!$O$7:$O$8,E39), INDEX('Route Data'!$P$7:$P$8,E39),INDEX('Route Data'!$M$7:$M$8,E39))</f>
        <v>1.130811765868994</v>
      </c>
      <c r="K39" s="8">
        <f>FlowAngleAbsT(INDEX('Route Data'!$K$7:$K$8,E39), INDEX('Route Data'!$I$7:$I$8,E39), INDEX('Route Data'!$I$7:$I$8,E39)*INDEX('Route Data'!$J$7:$J$8,E39), INDEX('Route Data'!$L$7:$L$8,E39)*2*PI()/60, INDEX('Route Data'!$F$7:$F$8,E39),INDEX('Route Data'!$O$7:$O$8,E39), INDEX('Route Data'!$P$7:$P$8,E39), INDEX('Route Data'!$H$7:$H$8,E39), INDEX('Route Data'!$Q$7:$Q$8,E39), INDEX('Route Data'!$M$7:$M$8,E39))</f>
        <v>0.51617226640175828</v>
      </c>
      <c r="L39" s="5">
        <f>INDEX('Route Data'!$N$7:$N$8,E39)</f>
        <v>0.4</v>
      </c>
      <c r="M39" s="8">
        <v>0.12634128332138062</v>
      </c>
      <c r="N39" s="8">
        <f>ProbStrikeFrancis(K39, I39, L39, INDEX('Route Data'!$G$7:$G$8,E39),C39, INDEX('Route Data'!$F$7:$F$8,E39), INDEX('Route Data'!$O$7:$O$8,E39), INDEX('Route Data'!$H$7:$H$18,E39))</f>
        <v>1</v>
      </c>
      <c r="O39" s="5" t="str">
        <f>IF(F39&gt;=1,IF(M39&lt;=N39,"STRIKE","pass"),IF(M39&lt;=INDEX('Route Data'!$R$7:$R$8,E39),"NO PASS","pass"))</f>
        <v>STRIKE</v>
      </c>
      <c r="P39" s="5">
        <f>IF(F39&gt;=1,IF(M39&lt;=N39,1,0),IF(M39&lt;=INDEX('Route Data'!$R$7:$R$8,E39),-1,0))</f>
        <v>1</v>
      </c>
    </row>
    <row r="40" spans="1:16">
      <c r="A40" s="5">
        <v>30</v>
      </c>
      <c r="B40" s="12">
        <v>20.350000000000001</v>
      </c>
      <c r="C40" s="12">
        <f t="shared" si="0"/>
        <v>1.7</v>
      </c>
      <c r="D40" s="8">
        <v>0.87020337581634521</v>
      </c>
      <c r="E40" s="5">
        <f>MATCH(D40,'Route Data'!$C$7:$C$8,1)</f>
        <v>2</v>
      </c>
      <c r="F40" s="5">
        <f>INDEX('Route Data'!$D$7:$D$8,E40)</f>
        <v>1</v>
      </c>
      <c r="G40" s="5" t="str">
        <f>INDEX('Route Data'!$A$7:$A$8,E40)</f>
        <v>u18</v>
      </c>
      <c r="H40" s="5">
        <f>EnergyCoeff(INDEX('Route Data'!$K$7:$K$8,E40),INDEX('Route Data'!$L$7:$L$8,E40)*2*PI()/60,INDEX('Route Data'!$F$7:$F$8,E40))</f>
        <v>0.19430699130049439</v>
      </c>
      <c r="I40" s="5">
        <f>DischargeCoeff(INDEX('Route Data'!$I$7:$I$8,E40), INDEX('Route Data'!$L$7:$L$8,E40)*2*PI()/60, INDEX('Route Data'!$F$7:$F$8,E40))</f>
        <v>0.15939200179827354</v>
      </c>
      <c r="J40" s="8">
        <f>FlowAngleRel(INDEX('Route Data'!$J$7:$J$8,E40)*INDEX('Route Data'!$I$7:$I$8,E40), INDEX('Route Data'!$L$7:$L$8,E40)*2*PI()/60, INDEX('Route Data'!$F$7:$F$8,E40),INDEX('Route Data'!$O$7:$O$8,E40), INDEX('Route Data'!$P$7:$P$8,E40),INDEX('Route Data'!$M$7:$M$8,E40))</f>
        <v>1.130811765868994</v>
      </c>
      <c r="K40" s="8">
        <f>FlowAngleAbsT(INDEX('Route Data'!$K$7:$K$8,E40), INDEX('Route Data'!$I$7:$I$8,E40), INDEX('Route Data'!$I$7:$I$8,E40)*INDEX('Route Data'!$J$7:$J$8,E40), INDEX('Route Data'!$L$7:$L$8,E40)*2*PI()/60, INDEX('Route Data'!$F$7:$F$8,E40),INDEX('Route Data'!$O$7:$O$8,E40), INDEX('Route Data'!$P$7:$P$8,E40), INDEX('Route Data'!$H$7:$H$8,E40), INDEX('Route Data'!$Q$7:$Q$8,E40), INDEX('Route Data'!$M$7:$M$8,E40))</f>
        <v>0.51617226640175828</v>
      </c>
      <c r="L40" s="5">
        <f>INDEX('Route Data'!$N$7:$N$8,E40)</f>
        <v>0.4</v>
      </c>
      <c r="M40" s="8">
        <v>0.26519858837127686</v>
      </c>
      <c r="N40" s="8">
        <f>ProbStrikeFrancis(K40, I40, L40, INDEX('Route Data'!$G$7:$G$8,E40),C40, INDEX('Route Data'!$F$7:$F$8,E40), INDEX('Route Data'!$O$7:$O$8,E40), INDEX('Route Data'!$H$7:$H$18,E40))</f>
        <v>1</v>
      </c>
      <c r="O40" s="5" t="str">
        <f>IF(F40&gt;=1,IF(M40&lt;=N40,"STRIKE","pass"),IF(M40&lt;=INDEX('Route Data'!$R$7:$R$8,E40),"NO PASS","pass"))</f>
        <v>STRIKE</v>
      </c>
      <c r="P40" s="5">
        <f>IF(F40&gt;=1,IF(M40&lt;=N40,1,0),IF(M40&lt;=INDEX('Route Data'!$R$7:$R$8,E40),-1,0))</f>
        <v>1</v>
      </c>
    </row>
    <row r="41" spans="1:16">
      <c r="A41" s="5">
        <v>31</v>
      </c>
      <c r="B41" s="12">
        <v>26.18</v>
      </c>
      <c r="C41" s="12">
        <f t="shared" si="0"/>
        <v>2.1800000000000002</v>
      </c>
      <c r="D41" s="8">
        <v>0.11182886362075806</v>
      </c>
      <c r="E41" s="5">
        <f>MATCH(D41,'Route Data'!$C$7:$C$8,1)</f>
        <v>2</v>
      </c>
      <c r="F41" s="5">
        <f>INDEX('Route Data'!$D$7:$D$8,E41)</f>
        <v>1</v>
      </c>
      <c r="G41" s="5" t="str">
        <f>INDEX('Route Data'!$A$7:$A$8,E41)</f>
        <v>u18</v>
      </c>
      <c r="H41" s="5">
        <f>EnergyCoeff(INDEX('Route Data'!$K$7:$K$8,E41),INDEX('Route Data'!$L$7:$L$8,E41)*2*PI()/60,INDEX('Route Data'!$F$7:$F$8,E41))</f>
        <v>0.19430699130049439</v>
      </c>
      <c r="I41" s="5">
        <f>DischargeCoeff(INDEX('Route Data'!$I$7:$I$8,E41), INDEX('Route Data'!$L$7:$L$8,E41)*2*PI()/60, INDEX('Route Data'!$F$7:$F$8,E41))</f>
        <v>0.15939200179827354</v>
      </c>
      <c r="J41" s="8">
        <f>FlowAngleRel(INDEX('Route Data'!$J$7:$J$8,E41)*INDEX('Route Data'!$I$7:$I$8,E41), INDEX('Route Data'!$L$7:$L$8,E41)*2*PI()/60, INDEX('Route Data'!$F$7:$F$8,E41),INDEX('Route Data'!$O$7:$O$8,E41), INDEX('Route Data'!$P$7:$P$8,E41),INDEX('Route Data'!$M$7:$M$8,E41))</f>
        <v>1.130811765868994</v>
      </c>
      <c r="K41" s="8">
        <f>FlowAngleAbsT(INDEX('Route Data'!$K$7:$K$8,E41), INDEX('Route Data'!$I$7:$I$8,E41), INDEX('Route Data'!$I$7:$I$8,E41)*INDEX('Route Data'!$J$7:$J$8,E41), INDEX('Route Data'!$L$7:$L$8,E41)*2*PI()/60, INDEX('Route Data'!$F$7:$F$8,E41),INDEX('Route Data'!$O$7:$O$8,E41), INDEX('Route Data'!$P$7:$P$8,E41), INDEX('Route Data'!$H$7:$H$8,E41), INDEX('Route Data'!$Q$7:$Q$8,E41), INDEX('Route Data'!$M$7:$M$8,E41))</f>
        <v>0.51617226640175828</v>
      </c>
      <c r="L41" s="5">
        <f>INDEX('Route Data'!$N$7:$N$8,E41)</f>
        <v>0.4</v>
      </c>
      <c r="M41" s="8">
        <v>0.58304744958877563</v>
      </c>
      <c r="N41" s="8">
        <f>ProbStrikeFrancis(K41, I41, L41, INDEX('Route Data'!$G$7:$G$8,E41),C41, INDEX('Route Data'!$F$7:$F$8,E41), INDEX('Route Data'!$O$7:$O$8,E41), INDEX('Route Data'!$H$7:$H$18,E41))</f>
        <v>1</v>
      </c>
      <c r="O41" s="5" t="str">
        <f>IF(F41&gt;=1,IF(M41&lt;=N41,"STRIKE","pass"),IF(M41&lt;=INDEX('Route Data'!$R$7:$R$8,E41),"NO PASS","pass"))</f>
        <v>STRIKE</v>
      </c>
      <c r="P41" s="5">
        <f>IF(F41&gt;=1,IF(M41&lt;=N41,1,0),IF(M41&lt;=INDEX('Route Data'!$R$7:$R$8,E41),-1,0))</f>
        <v>1</v>
      </c>
    </row>
    <row r="42" spans="1:16">
      <c r="A42" s="5">
        <v>32</v>
      </c>
      <c r="B42" s="12">
        <v>22.05</v>
      </c>
      <c r="C42" s="12">
        <f t="shared" si="0"/>
        <v>1.84</v>
      </c>
      <c r="D42" s="8">
        <v>0.65253162384033203</v>
      </c>
      <c r="E42" s="5">
        <f>MATCH(D42,'Route Data'!$C$7:$C$8,1)</f>
        <v>2</v>
      </c>
      <c r="F42" s="5">
        <f>INDEX('Route Data'!$D$7:$D$8,E42)</f>
        <v>1</v>
      </c>
      <c r="G42" s="5" t="str">
        <f>INDEX('Route Data'!$A$7:$A$8,E42)</f>
        <v>u18</v>
      </c>
      <c r="H42" s="5">
        <f>EnergyCoeff(INDEX('Route Data'!$K$7:$K$8,E42),INDEX('Route Data'!$L$7:$L$8,E42)*2*PI()/60,INDEX('Route Data'!$F$7:$F$8,E42))</f>
        <v>0.19430699130049439</v>
      </c>
      <c r="I42" s="5">
        <f>DischargeCoeff(INDEX('Route Data'!$I$7:$I$8,E42), INDEX('Route Data'!$L$7:$L$8,E42)*2*PI()/60, INDEX('Route Data'!$F$7:$F$8,E42))</f>
        <v>0.15939200179827354</v>
      </c>
      <c r="J42" s="8">
        <f>FlowAngleRel(INDEX('Route Data'!$J$7:$J$8,E42)*INDEX('Route Data'!$I$7:$I$8,E42), INDEX('Route Data'!$L$7:$L$8,E42)*2*PI()/60, INDEX('Route Data'!$F$7:$F$8,E42),INDEX('Route Data'!$O$7:$O$8,E42), INDEX('Route Data'!$P$7:$P$8,E42),INDEX('Route Data'!$M$7:$M$8,E42))</f>
        <v>1.130811765868994</v>
      </c>
      <c r="K42" s="8">
        <f>FlowAngleAbsT(INDEX('Route Data'!$K$7:$K$8,E42), INDEX('Route Data'!$I$7:$I$8,E42), INDEX('Route Data'!$I$7:$I$8,E42)*INDEX('Route Data'!$J$7:$J$8,E42), INDEX('Route Data'!$L$7:$L$8,E42)*2*PI()/60, INDEX('Route Data'!$F$7:$F$8,E42),INDEX('Route Data'!$O$7:$O$8,E42), INDEX('Route Data'!$P$7:$P$8,E42), INDEX('Route Data'!$H$7:$H$8,E42), INDEX('Route Data'!$Q$7:$Q$8,E42), INDEX('Route Data'!$M$7:$M$8,E42))</f>
        <v>0.51617226640175828</v>
      </c>
      <c r="L42" s="5">
        <f>INDEX('Route Data'!$N$7:$N$8,E42)</f>
        <v>0.4</v>
      </c>
      <c r="M42" s="8">
        <v>9.8342418670654297E-2</v>
      </c>
      <c r="N42" s="8">
        <f>ProbStrikeFrancis(K42, I42, L42, INDEX('Route Data'!$G$7:$G$8,E42),C42, INDEX('Route Data'!$F$7:$F$8,E42), INDEX('Route Data'!$O$7:$O$8,E42), INDEX('Route Data'!$H$7:$H$18,E42))</f>
        <v>1</v>
      </c>
      <c r="O42" s="5" t="str">
        <f>IF(F42&gt;=1,IF(M42&lt;=N42,"STRIKE","pass"),IF(M42&lt;=INDEX('Route Data'!$R$7:$R$8,E42),"NO PASS","pass"))</f>
        <v>STRIKE</v>
      </c>
      <c r="P42" s="5">
        <f>IF(F42&gt;=1,IF(M42&lt;=N42,1,0),IF(M42&lt;=INDEX('Route Data'!$R$7:$R$8,E42),-1,0))</f>
        <v>1</v>
      </c>
    </row>
    <row r="43" spans="1:16">
      <c r="A43" s="5">
        <v>33</v>
      </c>
      <c r="B43" s="12">
        <v>24.56</v>
      </c>
      <c r="C43" s="12">
        <f t="shared" si="0"/>
        <v>2.0499999999999998</v>
      </c>
      <c r="D43" s="8">
        <v>3.0423343181610107E-2</v>
      </c>
      <c r="E43" s="5">
        <f>MATCH(D43,'Route Data'!$C$7:$C$8,1)</f>
        <v>2</v>
      </c>
      <c r="F43" s="5">
        <f>INDEX('Route Data'!$D$7:$D$8,E43)</f>
        <v>1</v>
      </c>
      <c r="G43" s="5" t="str">
        <f>INDEX('Route Data'!$A$7:$A$8,E43)</f>
        <v>u18</v>
      </c>
      <c r="H43" s="5">
        <f>EnergyCoeff(INDEX('Route Data'!$K$7:$K$8,E43),INDEX('Route Data'!$L$7:$L$8,E43)*2*PI()/60,INDEX('Route Data'!$F$7:$F$8,E43))</f>
        <v>0.19430699130049439</v>
      </c>
      <c r="I43" s="5">
        <f>DischargeCoeff(INDEX('Route Data'!$I$7:$I$8,E43), INDEX('Route Data'!$L$7:$L$8,E43)*2*PI()/60, INDEX('Route Data'!$F$7:$F$8,E43))</f>
        <v>0.15939200179827354</v>
      </c>
      <c r="J43" s="8">
        <f>FlowAngleRel(INDEX('Route Data'!$J$7:$J$8,E43)*INDEX('Route Data'!$I$7:$I$8,E43), INDEX('Route Data'!$L$7:$L$8,E43)*2*PI()/60, INDEX('Route Data'!$F$7:$F$8,E43),INDEX('Route Data'!$O$7:$O$8,E43), INDEX('Route Data'!$P$7:$P$8,E43),INDEX('Route Data'!$M$7:$M$8,E43))</f>
        <v>1.130811765868994</v>
      </c>
      <c r="K43" s="8">
        <f>FlowAngleAbsT(INDEX('Route Data'!$K$7:$K$8,E43), INDEX('Route Data'!$I$7:$I$8,E43), INDEX('Route Data'!$I$7:$I$8,E43)*INDEX('Route Data'!$J$7:$J$8,E43), INDEX('Route Data'!$L$7:$L$8,E43)*2*PI()/60, INDEX('Route Data'!$F$7:$F$8,E43),INDEX('Route Data'!$O$7:$O$8,E43), INDEX('Route Data'!$P$7:$P$8,E43), INDEX('Route Data'!$H$7:$H$8,E43), INDEX('Route Data'!$Q$7:$Q$8,E43), INDEX('Route Data'!$M$7:$M$8,E43))</f>
        <v>0.51617226640175828</v>
      </c>
      <c r="L43" s="5">
        <f>INDEX('Route Data'!$N$7:$N$8,E43)</f>
        <v>0.4</v>
      </c>
      <c r="M43" s="8">
        <v>8.3615958690643311E-2</v>
      </c>
      <c r="N43" s="8">
        <f>ProbStrikeFrancis(K43, I43, L43, INDEX('Route Data'!$G$7:$G$8,E43),C43, INDEX('Route Data'!$F$7:$F$8,E43), INDEX('Route Data'!$O$7:$O$8,E43), INDEX('Route Data'!$H$7:$H$18,E43))</f>
        <v>1</v>
      </c>
      <c r="O43" s="5" t="str">
        <f>IF(F43&gt;=1,IF(M43&lt;=N43,"STRIKE","pass"),IF(M43&lt;=INDEX('Route Data'!$R$7:$R$8,E43),"NO PASS","pass"))</f>
        <v>STRIKE</v>
      </c>
      <c r="P43" s="5">
        <f>IF(F43&gt;=1,IF(M43&lt;=N43,1,0),IF(M43&lt;=INDEX('Route Data'!$R$7:$R$8,E43),-1,0))</f>
        <v>1</v>
      </c>
    </row>
    <row r="44" spans="1:16">
      <c r="A44" s="5">
        <v>34</v>
      </c>
      <c r="B44" s="12">
        <v>21.48</v>
      </c>
      <c r="C44" s="12">
        <f t="shared" si="0"/>
        <v>1.79</v>
      </c>
      <c r="D44" s="8">
        <v>0.63116896152496338</v>
      </c>
      <c r="E44" s="5">
        <f>MATCH(D44,'Route Data'!$C$7:$C$8,1)</f>
        <v>2</v>
      </c>
      <c r="F44" s="5">
        <f>INDEX('Route Data'!$D$7:$D$8,E44)</f>
        <v>1</v>
      </c>
      <c r="G44" s="5" t="str">
        <f>INDEX('Route Data'!$A$7:$A$8,E44)</f>
        <v>u18</v>
      </c>
      <c r="H44" s="5">
        <f>EnergyCoeff(INDEX('Route Data'!$K$7:$K$8,E44),INDEX('Route Data'!$L$7:$L$8,E44)*2*PI()/60,INDEX('Route Data'!$F$7:$F$8,E44))</f>
        <v>0.19430699130049439</v>
      </c>
      <c r="I44" s="5">
        <f>DischargeCoeff(INDEX('Route Data'!$I$7:$I$8,E44), INDEX('Route Data'!$L$7:$L$8,E44)*2*PI()/60, INDEX('Route Data'!$F$7:$F$8,E44))</f>
        <v>0.15939200179827354</v>
      </c>
      <c r="J44" s="8">
        <f>FlowAngleRel(INDEX('Route Data'!$J$7:$J$8,E44)*INDEX('Route Data'!$I$7:$I$8,E44), INDEX('Route Data'!$L$7:$L$8,E44)*2*PI()/60, INDEX('Route Data'!$F$7:$F$8,E44),INDEX('Route Data'!$O$7:$O$8,E44), INDEX('Route Data'!$P$7:$P$8,E44),INDEX('Route Data'!$M$7:$M$8,E44))</f>
        <v>1.130811765868994</v>
      </c>
      <c r="K44" s="8">
        <f>FlowAngleAbsT(INDEX('Route Data'!$K$7:$K$8,E44), INDEX('Route Data'!$I$7:$I$8,E44), INDEX('Route Data'!$I$7:$I$8,E44)*INDEX('Route Data'!$J$7:$J$8,E44), INDEX('Route Data'!$L$7:$L$8,E44)*2*PI()/60, INDEX('Route Data'!$F$7:$F$8,E44),INDEX('Route Data'!$O$7:$O$8,E44), INDEX('Route Data'!$P$7:$P$8,E44), INDEX('Route Data'!$H$7:$H$8,E44), INDEX('Route Data'!$Q$7:$Q$8,E44), INDEX('Route Data'!$M$7:$M$8,E44))</f>
        <v>0.51617226640175828</v>
      </c>
      <c r="L44" s="5">
        <f>INDEX('Route Data'!$N$7:$N$8,E44)</f>
        <v>0.4</v>
      </c>
      <c r="M44" s="8">
        <v>0.39337456226348877</v>
      </c>
      <c r="N44" s="8">
        <f>ProbStrikeFrancis(K44, I44, L44, INDEX('Route Data'!$G$7:$G$8,E44),C44, INDEX('Route Data'!$F$7:$F$8,E44), INDEX('Route Data'!$O$7:$O$8,E44), INDEX('Route Data'!$H$7:$H$18,E44))</f>
        <v>1</v>
      </c>
      <c r="O44" s="5" t="str">
        <f>IF(F44&gt;=1,IF(M44&lt;=N44,"STRIKE","pass"),IF(M44&lt;=INDEX('Route Data'!$R$7:$R$8,E44),"NO PASS","pass"))</f>
        <v>STRIKE</v>
      </c>
      <c r="P44" s="5">
        <f>IF(F44&gt;=1,IF(M44&lt;=N44,1,0),IF(M44&lt;=INDEX('Route Data'!$R$7:$R$8,E44),-1,0))</f>
        <v>1</v>
      </c>
    </row>
    <row r="45" spans="1:16">
      <c r="A45" s="5">
        <v>35</v>
      </c>
      <c r="B45" s="12">
        <v>22.43</v>
      </c>
      <c r="C45" s="12">
        <f t="shared" si="0"/>
        <v>1.87</v>
      </c>
      <c r="D45" s="8">
        <v>9.4511330127716064E-2</v>
      </c>
      <c r="E45" s="5">
        <f>MATCH(D45,'Route Data'!$C$7:$C$8,1)</f>
        <v>2</v>
      </c>
      <c r="F45" s="5">
        <f>INDEX('Route Data'!$D$7:$D$8,E45)</f>
        <v>1</v>
      </c>
      <c r="G45" s="5" t="str">
        <f>INDEX('Route Data'!$A$7:$A$8,E45)</f>
        <v>u18</v>
      </c>
      <c r="H45" s="5">
        <f>EnergyCoeff(INDEX('Route Data'!$K$7:$K$8,E45),INDEX('Route Data'!$L$7:$L$8,E45)*2*PI()/60,INDEX('Route Data'!$F$7:$F$8,E45))</f>
        <v>0.19430699130049439</v>
      </c>
      <c r="I45" s="5">
        <f>DischargeCoeff(INDEX('Route Data'!$I$7:$I$8,E45), INDEX('Route Data'!$L$7:$L$8,E45)*2*PI()/60, INDEX('Route Data'!$F$7:$F$8,E45))</f>
        <v>0.15939200179827354</v>
      </c>
      <c r="J45" s="8">
        <f>FlowAngleRel(INDEX('Route Data'!$J$7:$J$8,E45)*INDEX('Route Data'!$I$7:$I$8,E45), INDEX('Route Data'!$L$7:$L$8,E45)*2*PI()/60, INDEX('Route Data'!$F$7:$F$8,E45),INDEX('Route Data'!$O$7:$O$8,E45), INDEX('Route Data'!$P$7:$P$8,E45),INDEX('Route Data'!$M$7:$M$8,E45))</f>
        <v>1.130811765868994</v>
      </c>
      <c r="K45" s="8">
        <f>FlowAngleAbsT(INDEX('Route Data'!$K$7:$K$8,E45), INDEX('Route Data'!$I$7:$I$8,E45), INDEX('Route Data'!$I$7:$I$8,E45)*INDEX('Route Data'!$J$7:$J$8,E45), INDEX('Route Data'!$L$7:$L$8,E45)*2*PI()/60, INDEX('Route Data'!$F$7:$F$8,E45),INDEX('Route Data'!$O$7:$O$8,E45), INDEX('Route Data'!$P$7:$P$8,E45), INDEX('Route Data'!$H$7:$H$8,E45), INDEX('Route Data'!$Q$7:$Q$8,E45), INDEX('Route Data'!$M$7:$M$8,E45))</f>
        <v>0.51617226640175828</v>
      </c>
      <c r="L45" s="5">
        <f>INDEX('Route Data'!$N$7:$N$8,E45)</f>
        <v>0.4</v>
      </c>
      <c r="M45" s="8">
        <v>0.19851952791213989</v>
      </c>
      <c r="N45" s="8">
        <f>ProbStrikeFrancis(K45, I45, L45, INDEX('Route Data'!$G$7:$G$8,E45),C45, INDEX('Route Data'!$F$7:$F$8,E45), INDEX('Route Data'!$O$7:$O$8,E45), INDEX('Route Data'!$H$7:$H$18,E45))</f>
        <v>1</v>
      </c>
      <c r="O45" s="5" t="str">
        <f>IF(F45&gt;=1,IF(M45&lt;=N45,"STRIKE","pass"),IF(M45&lt;=INDEX('Route Data'!$R$7:$R$8,E45),"NO PASS","pass"))</f>
        <v>STRIKE</v>
      </c>
      <c r="P45" s="5">
        <f>IF(F45&gt;=1,IF(M45&lt;=N45,1,0),IF(M45&lt;=INDEX('Route Data'!$R$7:$R$8,E45),-1,0))</f>
        <v>1</v>
      </c>
    </row>
    <row r="46" spans="1:16">
      <c r="A46" s="5">
        <v>36</v>
      </c>
      <c r="B46" s="12">
        <v>25.95</v>
      </c>
      <c r="C46" s="12">
        <f t="shared" si="0"/>
        <v>2.16</v>
      </c>
      <c r="D46" s="8">
        <v>0.43890500068664551</v>
      </c>
      <c r="E46" s="5">
        <f>MATCH(D46,'Route Data'!$C$7:$C$8,1)</f>
        <v>2</v>
      </c>
      <c r="F46" s="5">
        <f>INDEX('Route Data'!$D$7:$D$8,E46)</f>
        <v>1</v>
      </c>
      <c r="G46" s="5" t="str">
        <f>INDEX('Route Data'!$A$7:$A$8,E46)</f>
        <v>u18</v>
      </c>
      <c r="H46" s="5">
        <f>EnergyCoeff(INDEX('Route Data'!$K$7:$K$8,E46),INDEX('Route Data'!$L$7:$L$8,E46)*2*PI()/60,INDEX('Route Data'!$F$7:$F$8,E46))</f>
        <v>0.19430699130049439</v>
      </c>
      <c r="I46" s="5">
        <f>DischargeCoeff(INDEX('Route Data'!$I$7:$I$8,E46), INDEX('Route Data'!$L$7:$L$8,E46)*2*PI()/60, INDEX('Route Data'!$F$7:$F$8,E46))</f>
        <v>0.15939200179827354</v>
      </c>
      <c r="J46" s="8">
        <f>FlowAngleRel(INDEX('Route Data'!$J$7:$J$8,E46)*INDEX('Route Data'!$I$7:$I$8,E46), INDEX('Route Data'!$L$7:$L$8,E46)*2*PI()/60, INDEX('Route Data'!$F$7:$F$8,E46),INDEX('Route Data'!$O$7:$O$8,E46), INDEX('Route Data'!$P$7:$P$8,E46),INDEX('Route Data'!$M$7:$M$8,E46))</f>
        <v>1.130811765868994</v>
      </c>
      <c r="K46" s="8">
        <f>FlowAngleAbsT(INDEX('Route Data'!$K$7:$K$8,E46), INDEX('Route Data'!$I$7:$I$8,E46), INDEX('Route Data'!$I$7:$I$8,E46)*INDEX('Route Data'!$J$7:$J$8,E46), INDEX('Route Data'!$L$7:$L$8,E46)*2*PI()/60, INDEX('Route Data'!$F$7:$F$8,E46),INDEX('Route Data'!$O$7:$O$8,E46), INDEX('Route Data'!$P$7:$P$8,E46), INDEX('Route Data'!$H$7:$H$8,E46), INDEX('Route Data'!$Q$7:$Q$8,E46), INDEX('Route Data'!$M$7:$M$8,E46))</f>
        <v>0.51617226640175828</v>
      </c>
      <c r="L46" s="5">
        <f>INDEX('Route Data'!$N$7:$N$8,E46)</f>
        <v>0.4</v>
      </c>
      <c r="M46" s="8">
        <v>0.25192618370056152</v>
      </c>
      <c r="N46" s="8">
        <f>ProbStrikeFrancis(K46, I46, L46, INDEX('Route Data'!$G$7:$G$8,E46),C46, INDEX('Route Data'!$F$7:$F$8,E46), INDEX('Route Data'!$O$7:$O$8,E46), INDEX('Route Data'!$H$7:$H$18,E46))</f>
        <v>1</v>
      </c>
      <c r="O46" s="5" t="str">
        <f>IF(F46&gt;=1,IF(M46&lt;=N46,"STRIKE","pass"),IF(M46&lt;=INDEX('Route Data'!$R$7:$R$8,E46),"NO PASS","pass"))</f>
        <v>STRIKE</v>
      </c>
      <c r="P46" s="5">
        <f>IF(F46&gt;=1,IF(M46&lt;=N46,1,0),IF(M46&lt;=INDEX('Route Data'!$R$7:$R$8,E46),-1,0))</f>
        <v>1</v>
      </c>
    </row>
    <row r="47" spans="1:16">
      <c r="A47" s="5">
        <v>37</v>
      </c>
      <c r="B47" s="12">
        <v>16.59</v>
      </c>
      <c r="C47" s="12">
        <f t="shared" si="0"/>
        <v>1.38</v>
      </c>
      <c r="D47" s="8">
        <v>0.67130321264266968</v>
      </c>
      <c r="E47" s="5">
        <f>MATCH(D47,'Route Data'!$C$7:$C$8,1)</f>
        <v>2</v>
      </c>
      <c r="F47" s="5">
        <f>INDEX('Route Data'!$D$7:$D$8,E47)</f>
        <v>1</v>
      </c>
      <c r="G47" s="5" t="str">
        <f>INDEX('Route Data'!$A$7:$A$8,E47)</f>
        <v>u18</v>
      </c>
      <c r="H47" s="5">
        <f>EnergyCoeff(INDEX('Route Data'!$K$7:$K$8,E47),INDEX('Route Data'!$L$7:$L$8,E47)*2*PI()/60,INDEX('Route Data'!$F$7:$F$8,E47))</f>
        <v>0.19430699130049439</v>
      </c>
      <c r="I47" s="5">
        <f>DischargeCoeff(INDEX('Route Data'!$I$7:$I$8,E47), INDEX('Route Data'!$L$7:$L$8,E47)*2*PI()/60, INDEX('Route Data'!$F$7:$F$8,E47))</f>
        <v>0.15939200179827354</v>
      </c>
      <c r="J47" s="8">
        <f>FlowAngleRel(INDEX('Route Data'!$J$7:$J$8,E47)*INDEX('Route Data'!$I$7:$I$8,E47), INDEX('Route Data'!$L$7:$L$8,E47)*2*PI()/60, INDEX('Route Data'!$F$7:$F$8,E47),INDEX('Route Data'!$O$7:$O$8,E47), INDEX('Route Data'!$P$7:$P$8,E47),INDEX('Route Data'!$M$7:$M$8,E47))</f>
        <v>1.130811765868994</v>
      </c>
      <c r="K47" s="8">
        <f>FlowAngleAbsT(INDEX('Route Data'!$K$7:$K$8,E47), INDEX('Route Data'!$I$7:$I$8,E47), INDEX('Route Data'!$I$7:$I$8,E47)*INDEX('Route Data'!$J$7:$J$8,E47), INDEX('Route Data'!$L$7:$L$8,E47)*2*PI()/60, INDEX('Route Data'!$F$7:$F$8,E47),INDEX('Route Data'!$O$7:$O$8,E47), INDEX('Route Data'!$P$7:$P$8,E47), INDEX('Route Data'!$H$7:$H$8,E47), INDEX('Route Data'!$Q$7:$Q$8,E47), INDEX('Route Data'!$M$7:$M$8,E47))</f>
        <v>0.51617226640175828</v>
      </c>
      <c r="L47" s="5">
        <f>INDEX('Route Data'!$N$7:$N$8,E47)</f>
        <v>0.4</v>
      </c>
      <c r="M47" s="8">
        <v>9.1706216335296631E-2</v>
      </c>
      <c r="N47" s="8">
        <f>ProbStrikeFrancis(K47, I47, L47, INDEX('Route Data'!$G$7:$G$8,E47),C47, INDEX('Route Data'!$F$7:$F$8,E47), INDEX('Route Data'!$O$7:$O$8,E47), INDEX('Route Data'!$H$7:$H$18,E47))</f>
        <v>1</v>
      </c>
      <c r="O47" s="5" t="str">
        <f>IF(F47&gt;=1,IF(M47&lt;=N47,"STRIKE","pass"),IF(M47&lt;=INDEX('Route Data'!$R$7:$R$8,E47),"NO PASS","pass"))</f>
        <v>STRIKE</v>
      </c>
      <c r="P47" s="5">
        <f>IF(F47&gt;=1,IF(M47&lt;=N47,1,0),IF(M47&lt;=INDEX('Route Data'!$R$7:$R$8,E47),-1,0))</f>
        <v>1</v>
      </c>
    </row>
    <row r="48" spans="1:16">
      <c r="A48" s="5">
        <v>38</v>
      </c>
      <c r="B48" s="12">
        <v>25.33</v>
      </c>
      <c r="C48" s="12">
        <f t="shared" si="0"/>
        <v>2.11</v>
      </c>
      <c r="D48" s="8">
        <v>0.44295012950897217</v>
      </c>
      <c r="E48" s="5">
        <f>MATCH(D48,'Route Data'!$C$7:$C$8,1)</f>
        <v>2</v>
      </c>
      <c r="F48" s="5">
        <f>INDEX('Route Data'!$D$7:$D$8,E48)</f>
        <v>1</v>
      </c>
      <c r="G48" s="5" t="str">
        <f>INDEX('Route Data'!$A$7:$A$8,E48)</f>
        <v>u18</v>
      </c>
      <c r="H48" s="5">
        <f>EnergyCoeff(INDEX('Route Data'!$K$7:$K$8,E48),INDEX('Route Data'!$L$7:$L$8,E48)*2*PI()/60,INDEX('Route Data'!$F$7:$F$8,E48))</f>
        <v>0.19430699130049439</v>
      </c>
      <c r="I48" s="5">
        <f>DischargeCoeff(INDEX('Route Data'!$I$7:$I$8,E48), INDEX('Route Data'!$L$7:$L$8,E48)*2*PI()/60, INDEX('Route Data'!$F$7:$F$8,E48))</f>
        <v>0.15939200179827354</v>
      </c>
      <c r="J48" s="8">
        <f>FlowAngleRel(INDEX('Route Data'!$J$7:$J$8,E48)*INDEX('Route Data'!$I$7:$I$8,E48), INDEX('Route Data'!$L$7:$L$8,E48)*2*PI()/60, INDEX('Route Data'!$F$7:$F$8,E48),INDEX('Route Data'!$O$7:$O$8,E48), INDEX('Route Data'!$P$7:$P$8,E48),INDEX('Route Data'!$M$7:$M$8,E48))</f>
        <v>1.130811765868994</v>
      </c>
      <c r="K48" s="8">
        <f>FlowAngleAbsT(INDEX('Route Data'!$K$7:$K$8,E48), INDEX('Route Data'!$I$7:$I$8,E48), INDEX('Route Data'!$I$7:$I$8,E48)*INDEX('Route Data'!$J$7:$J$8,E48), INDEX('Route Data'!$L$7:$L$8,E48)*2*PI()/60, INDEX('Route Data'!$F$7:$F$8,E48),INDEX('Route Data'!$O$7:$O$8,E48), INDEX('Route Data'!$P$7:$P$8,E48), INDEX('Route Data'!$H$7:$H$8,E48), INDEX('Route Data'!$Q$7:$Q$8,E48), INDEX('Route Data'!$M$7:$M$8,E48))</f>
        <v>0.51617226640175828</v>
      </c>
      <c r="L48" s="5">
        <f>INDEX('Route Data'!$N$7:$N$8,E48)</f>
        <v>0.4</v>
      </c>
      <c r="M48" s="8">
        <v>0.57236611843109131</v>
      </c>
      <c r="N48" s="8">
        <f>ProbStrikeFrancis(K48, I48, L48, INDEX('Route Data'!$G$7:$G$8,E48),C48, INDEX('Route Data'!$F$7:$F$8,E48), INDEX('Route Data'!$O$7:$O$8,E48), INDEX('Route Data'!$H$7:$H$18,E48))</f>
        <v>1</v>
      </c>
      <c r="O48" s="5" t="str">
        <f>IF(F48&gt;=1,IF(M48&lt;=N48,"STRIKE","pass"),IF(M48&lt;=INDEX('Route Data'!$R$7:$R$8,E48),"NO PASS","pass"))</f>
        <v>STRIKE</v>
      </c>
      <c r="P48" s="5">
        <f>IF(F48&gt;=1,IF(M48&lt;=N48,1,0),IF(M48&lt;=INDEX('Route Data'!$R$7:$R$8,E48),-1,0))</f>
        <v>1</v>
      </c>
    </row>
    <row r="49" spans="1:16">
      <c r="A49" s="5">
        <v>39</v>
      </c>
      <c r="B49" s="12">
        <v>21.9</v>
      </c>
      <c r="C49" s="12">
        <f t="shared" si="0"/>
        <v>1.83</v>
      </c>
      <c r="D49" s="8">
        <v>0.3935886025428772</v>
      </c>
      <c r="E49" s="5">
        <f>MATCH(D49,'Route Data'!$C$7:$C$8,1)</f>
        <v>2</v>
      </c>
      <c r="F49" s="5">
        <f>INDEX('Route Data'!$D$7:$D$8,E49)</f>
        <v>1</v>
      </c>
      <c r="G49" s="5" t="str">
        <f>INDEX('Route Data'!$A$7:$A$8,E49)</f>
        <v>u18</v>
      </c>
      <c r="H49" s="5">
        <f>EnergyCoeff(INDEX('Route Data'!$K$7:$K$8,E49),INDEX('Route Data'!$L$7:$L$8,E49)*2*PI()/60,INDEX('Route Data'!$F$7:$F$8,E49))</f>
        <v>0.19430699130049439</v>
      </c>
      <c r="I49" s="5">
        <f>DischargeCoeff(INDEX('Route Data'!$I$7:$I$8,E49), INDEX('Route Data'!$L$7:$L$8,E49)*2*PI()/60, INDEX('Route Data'!$F$7:$F$8,E49))</f>
        <v>0.15939200179827354</v>
      </c>
      <c r="J49" s="8">
        <f>FlowAngleRel(INDEX('Route Data'!$J$7:$J$8,E49)*INDEX('Route Data'!$I$7:$I$8,E49), INDEX('Route Data'!$L$7:$L$8,E49)*2*PI()/60, INDEX('Route Data'!$F$7:$F$8,E49),INDEX('Route Data'!$O$7:$O$8,E49), INDEX('Route Data'!$P$7:$P$8,E49),INDEX('Route Data'!$M$7:$M$8,E49))</f>
        <v>1.130811765868994</v>
      </c>
      <c r="K49" s="8">
        <f>FlowAngleAbsT(INDEX('Route Data'!$K$7:$K$8,E49), INDEX('Route Data'!$I$7:$I$8,E49), INDEX('Route Data'!$I$7:$I$8,E49)*INDEX('Route Data'!$J$7:$J$8,E49), INDEX('Route Data'!$L$7:$L$8,E49)*2*PI()/60, INDEX('Route Data'!$F$7:$F$8,E49),INDEX('Route Data'!$O$7:$O$8,E49), INDEX('Route Data'!$P$7:$P$8,E49), INDEX('Route Data'!$H$7:$H$8,E49), INDEX('Route Data'!$Q$7:$Q$8,E49), INDEX('Route Data'!$M$7:$M$8,E49))</f>
        <v>0.51617226640175828</v>
      </c>
      <c r="L49" s="5">
        <f>INDEX('Route Data'!$N$7:$N$8,E49)</f>
        <v>0.4</v>
      </c>
      <c r="M49" s="8">
        <v>0.13038641214370728</v>
      </c>
      <c r="N49" s="8">
        <f>ProbStrikeFrancis(K49, I49, L49, INDEX('Route Data'!$G$7:$G$8,E49),C49, INDEX('Route Data'!$F$7:$F$8,E49), INDEX('Route Data'!$O$7:$O$8,E49), INDEX('Route Data'!$H$7:$H$18,E49))</f>
        <v>1</v>
      </c>
      <c r="O49" s="5" t="str">
        <f>IF(F49&gt;=1,IF(M49&lt;=N49,"STRIKE","pass"),IF(M49&lt;=INDEX('Route Data'!$R$7:$R$8,E49),"NO PASS","pass"))</f>
        <v>STRIKE</v>
      </c>
      <c r="P49" s="5">
        <f>IF(F49&gt;=1,IF(M49&lt;=N49,1,0),IF(M49&lt;=INDEX('Route Data'!$R$7:$R$8,E49),-1,0))</f>
        <v>1</v>
      </c>
    </row>
    <row r="50" spans="1:16">
      <c r="A50" s="5">
        <v>40</v>
      </c>
      <c r="B50" s="12">
        <v>21.16</v>
      </c>
      <c r="C50" s="12">
        <f t="shared" si="0"/>
        <v>1.76</v>
      </c>
      <c r="D50" s="8">
        <v>0.27609395980834961</v>
      </c>
      <c r="E50" s="5">
        <f>MATCH(D50,'Route Data'!$C$7:$C$8,1)</f>
        <v>2</v>
      </c>
      <c r="F50" s="5">
        <f>INDEX('Route Data'!$D$7:$D$8,E50)</f>
        <v>1</v>
      </c>
      <c r="G50" s="5" t="str">
        <f>INDEX('Route Data'!$A$7:$A$8,E50)</f>
        <v>u18</v>
      </c>
      <c r="H50" s="5">
        <f>EnergyCoeff(INDEX('Route Data'!$K$7:$K$8,E50),INDEX('Route Data'!$L$7:$L$8,E50)*2*PI()/60,INDEX('Route Data'!$F$7:$F$8,E50))</f>
        <v>0.19430699130049439</v>
      </c>
      <c r="I50" s="5">
        <f>DischargeCoeff(INDEX('Route Data'!$I$7:$I$8,E50), INDEX('Route Data'!$L$7:$L$8,E50)*2*PI()/60, INDEX('Route Data'!$F$7:$F$8,E50))</f>
        <v>0.15939200179827354</v>
      </c>
      <c r="J50" s="8">
        <f>FlowAngleRel(INDEX('Route Data'!$J$7:$J$8,E50)*INDEX('Route Data'!$I$7:$I$8,E50), INDEX('Route Data'!$L$7:$L$8,E50)*2*PI()/60, INDEX('Route Data'!$F$7:$F$8,E50),INDEX('Route Data'!$O$7:$O$8,E50), INDEX('Route Data'!$P$7:$P$8,E50),INDEX('Route Data'!$M$7:$M$8,E50))</f>
        <v>1.130811765868994</v>
      </c>
      <c r="K50" s="8">
        <f>FlowAngleAbsT(INDEX('Route Data'!$K$7:$K$8,E50), INDEX('Route Data'!$I$7:$I$8,E50), INDEX('Route Data'!$I$7:$I$8,E50)*INDEX('Route Data'!$J$7:$J$8,E50), INDEX('Route Data'!$L$7:$L$8,E50)*2*PI()/60, INDEX('Route Data'!$F$7:$F$8,E50),INDEX('Route Data'!$O$7:$O$8,E50), INDEX('Route Data'!$P$7:$P$8,E50), INDEX('Route Data'!$H$7:$H$8,E50), INDEX('Route Data'!$Q$7:$Q$8,E50), INDEX('Route Data'!$M$7:$M$8,E50))</f>
        <v>0.51617226640175828</v>
      </c>
      <c r="L50" s="5">
        <f>INDEX('Route Data'!$N$7:$N$8,E50)</f>
        <v>0.4</v>
      </c>
      <c r="M50" s="8">
        <v>0.72190475463867188</v>
      </c>
      <c r="N50" s="8">
        <f>ProbStrikeFrancis(K50, I50, L50, INDEX('Route Data'!$G$7:$G$8,E50),C50, INDEX('Route Data'!$F$7:$F$8,E50), INDEX('Route Data'!$O$7:$O$8,E50), INDEX('Route Data'!$H$7:$H$18,E50))</f>
        <v>1</v>
      </c>
      <c r="O50" s="5" t="str">
        <f>IF(F50&gt;=1,IF(M50&lt;=N50,"STRIKE","pass"),IF(M50&lt;=INDEX('Route Data'!$R$7:$R$8,E50),"NO PASS","pass"))</f>
        <v>STRIKE</v>
      </c>
      <c r="P50" s="5">
        <f>IF(F50&gt;=1,IF(M50&lt;=N50,1,0),IF(M50&lt;=INDEX('Route Data'!$R$7:$R$8,E50),-1,0))</f>
        <v>1</v>
      </c>
    </row>
    <row r="51" spans="1:16">
      <c r="A51" s="5">
        <v>41</v>
      </c>
      <c r="B51" s="12">
        <v>21.25</v>
      </c>
      <c r="C51" s="12">
        <f t="shared" si="0"/>
        <v>1.77</v>
      </c>
      <c r="D51" s="8">
        <v>0.62857788801193237</v>
      </c>
      <c r="E51" s="5">
        <f>MATCH(D51,'Route Data'!$C$7:$C$8,1)</f>
        <v>2</v>
      </c>
      <c r="F51" s="5">
        <f>INDEX('Route Data'!$D$7:$D$8,E51)</f>
        <v>1</v>
      </c>
      <c r="G51" s="5" t="str">
        <f>INDEX('Route Data'!$A$7:$A$8,E51)</f>
        <v>u18</v>
      </c>
      <c r="H51" s="5">
        <f>EnergyCoeff(INDEX('Route Data'!$K$7:$K$8,E51),INDEX('Route Data'!$L$7:$L$8,E51)*2*PI()/60,INDEX('Route Data'!$F$7:$F$8,E51))</f>
        <v>0.19430699130049439</v>
      </c>
      <c r="I51" s="5">
        <f>DischargeCoeff(INDEX('Route Data'!$I$7:$I$8,E51), INDEX('Route Data'!$L$7:$L$8,E51)*2*PI()/60, INDEX('Route Data'!$F$7:$F$8,E51))</f>
        <v>0.15939200179827354</v>
      </c>
      <c r="J51" s="8">
        <f>FlowAngleRel(INDEX('Route Data'!$J$7:$J$8,E51)*INDEX('Route Data'!$I$7:$I$8,E51), INDEX('Route Data'!$L$7:$L$8,E51)*2*PI()/60, INDEX('Route Data'!$F$7:$F$8,E51),INDEX('Route Data'!$O$7:$O$8,E51), INDEX('Route Data'!$P$7:$P$8,E51),INDEX('Route Data'!$M$7:$M$8,E51))</f>
        <v>1.130811765868994</v>
      </c>
      <c r="K51" s="8">
        <f>FlowAngleAbsT(INDEX('Route Data'!$K$7:$K$8,E51), INDEX('Route Data'!$I$7:$I$8,E51), INDEX('Route Data'!$I$7:$I$8,E51)*INDEX('Route Data'!$J$7:$J$8,E51), INDEX('Route Data'!$L$7:$L$8,E51)*2*PI()/60, INDEX('Route Data'!$F$7:$F$8,E51),INDEX('Route Data'!$O$7:$O$8,E51), INDEX('Route Data'!$P$7:$P$8,E51), INDEX('Route Data'!$H$7:$H$8,E51), INDEX('Route Data'!$Q$7:$Q$8,E51), INDEX('Route Data'!$M$7:$M$8,E51))</f>
        <v>0.51617226640175828</v>
      </c>
      <c r="L51" s="5">
        <f>INDEX('Route Data'!$N$7:$N$8,E51)</f>
        <v>0.4</v>
      </c>
      <c r="M51" s="8">
        <v>0.68177050352096558</v>
      </c>
      <c r="N51" s="8">
        <f>ProbStrikeFrancis(K51, I51, L51, INDEX('Route Data'!$G$7:$G$8,E51),C51, INDEX('Route Data'!$F$7:$F$8,E51), INDEX('Route Data'!$O$7:$O$8,E51), INDEX('Route Data'!$H$7:$H$18,E51))</f>
        <v>1</v>
      </c>
      <c r="O51" s="5" t="str">
        <f>IF(F51&gt;=1,IF(M51&lt;=N51,"STRIKE","pass"),IF(M51&lt;=INDEX('Route Data'!$R$7:$R$8,E51),"NO PASS","pass"))</f>
        <v>STRIKE</v>
      </c>
      <c r="P51" s="5">
        <f>IF(F51&gt;=1,IF(M51&lt;=N51,1,0),IF(M51&lt;=INDEX('Route Data'!$R$7:$R$8,E51),-1,0))</f>
        <v>1</v>
      </c>
    </row>
    <row r="52" spans="1:16">
      <c r="A52" s="5">
        <v>42</v>
      </c>
      <c r="B52" s="12">
        <v>20.97</v>
      </c>
      <c r="C52" s="12">
        <f t="shared" si="0"/>
        <v>1.75</v>
      </c>
      <c r="D52" s="8">
        <v>0.57112610340118408</v>
      </c>
      <c r="E52" s="5">
        <f>MATCH(D52,'Route Data'!$C$7:$C$8,1)</f>
        <v>2</v>
      </c>
      <c r="F52" s="5">
        <f>INDEX('Route Data'!$D$7:$D$8,E52)</f>
        <v>1</v>
      </c>
      <c r="G52" s="5" t="str">
        <f>INDEX('Route Data'!$A$7:$A$8,E52)</f>
        <v>u18</v>
      </c>
      <c r="H52" s="5">
        <f>EnergyCoeff(INDEX('Route Data'!$K$7:$K$8,E52),INDEX('Route Data'!$L$7:$L$8,E52)*2*PI()/60,INDEX('Route Data'!$F$7:$F$8,E52))</f>
        <v>0.19430699130049439</v>
      </c>
      <c r="I52" s="5">
        <f>DischargeCoeff(INDEX('Route Data'!$I$7:$I$8,E52), INDEX('Route Data'!$L$7:$L$8,E52)*2*PI()/60, INDEX('Route Data'!$F$7:$F$8,E52))</f>
        <v>0.15939200179827354</v>
      </c>
      <c r="J52" s="8">
        <f>FlowAngleRel(INDEX('Route Data'!$J$7:$J$8,E52)*INDEX('Route Data'!$I$7:$I$8,E52), INDEX('Route Data'!$L$7:$L$8,E52)*2*PI()/60, INDEX('Route Data'!$F$7:$F$8,E52),INDEX('Route Data'!$O$7:$O$8,E52), INDEX('Route Data'!$P$7:$P$8,E52),INDEX('Route Data'!$M$7:$M$8,E52))</f>
        <v>1.130811765868994</v>
      </c>
      <c r="K52" s="8">
        <f>FlowAngleAbsT(INDEX('Route Data'!$K$7:$K$8,E52), INDEX('Route Data'!$I$7:$I$8,E52), INDEX('Route Data'!$I$7:$I$8,E52)*INDEX('Route Data'!$J$7:$J$8,E52), INDEX('Route Data'!$L$7:$L$8,E52)*2*PI()/60, INDEX('Route Data'!$F$7:$F$8,E52),INDEX('Route Data'!$O$7:$O$8,E52), INDEX('Route Data'!$P$7:$P$8,E52), INDEX('Route Data'!$H$7:$H$8,E52), INDEX('Route Data'!$Q$7:$Q$8,E52), INDEX('Route Data'!$M$7:$M$8,E52))</f>
        <v>0.51617226640175828</v>
      </c>
      <c r="L52" s="5">
        <f>INDEX('Route Data'!$N$7:$N$8,E52)</f>
        <v>0.4</v>
      </c>
      <c r="M52" s="8">
        <v>0.33333170413970947</v>
      </c>
      <c r="N52" s="8">
        <f>ProbStrikeFrancis(K52, I52, L52, INDEX('Route Data'!$G$7:$G$8,E52),C52, INDEX('Route Data'!$F$7:$F$8,E52), INDEX('Route Data'!$O$7:$O$8,E52), INDEX('Route Data'!$H$7:$H$18,E52))</f>
        <v>1</v>
      </c>
      <c r="O52" s="5" t="str">
        <f>IF(F52&gt;=1,IF(M52&lt;=N52,"STRIKE","pass"),IF(M52&lt;=INDEX('Route Data'!$R$7:$R$8,E52),"NO PASS","pass"))</f>
        <v>STRIKE</v>
      </c>
      <c r="P52" s="5">
        <f>IF(F52&gt;=1,IF(M52&lt;=N52,1,0),IF(M52&lt;=INDEX('Route Data'!$R$7:$R$8,E52),-1,0))</f>
        <v>1</v>
      </c>
    </row>
    <row r="53" spans="1:16">
      <c r="A53" s="5">
        <v>43</v>
      </c>
      <c r="B53" s="12">
        <v>21.77</v>
      </c>
      <c r="C53" s="12">
        <f t="shared" si="0"/>
        <v>1.81</v>
      </c>
      <c r="D53" s="8">
        <v>9.0606808662414551E-3</v>
      </c>
      <c r="E53" s="5">
        <f>MATCH(D53,'Route Data'!$C$7:$C$8,1)</f>
        <v>2</v>
      </c>
      <c r="F53" s="5">
        <f>INDEX('Route Data'!$D$7:$D$8,E53)</f>
        <v>1</v>
      </c>
      <c r="G53" s="5" t="str">
        <f>INDEX('Route Data'!$A$7:$A$8,E53)</f>
        <v>u18</v>
      </c>
      <c r="H53" s="5">
        <f>EnergyCoeff(INDEX('Route Data'!$K$7:$K$8,E53),INDEX('Route Data'!$L$7:$L$8,E53)*2*PI()/60,INDEX('Route Data'!$F$7:$F$8,E53))</f>
        <v>0.19430699130049439</v>
      </c>
      <c r="I53" s="5">
        <f>DischargeCoeff(INDEX('Route Data'!$I$7:$I$8,E53), INDEX('Route Data'!$L$7:$L$8,E53)*2*PI()/60, INDEX('Route Data'!$F$7:$F$8,E53))</f>
        <v>0.15939200179827354</v>
      </c>
      <c r="J53" s="8">
        <f>FlowAngleRel(INDEX('Route Data'!$J$7:$J$8,E53)*INDEX('Route Data'!$I$7:$I$8,E53), INDEX('Route Data'!$L$7:$L$8,E53)*2*PI()/60, INDEX('Route Data'!$F$7:$F$8,E53),INDEX('Route Data'!$O$7:$O$8,E53), INDEX('Route Data'!$P$7:$P$8,E53),INDEX('Route Data'!$M$7:$M$8,E53))</f>
        <v>1.130811765868994</v>
      </c>
      <c r="K53" s="8">
        <f>FlowAngleAbsT(INDEX('Route Data'!$K$7:$K$8,E53), INDEX('Route Data'!$I$7:$I$8,E53), INDEX('Route Data'!$I$7:$I$8,E53)*INDEX('Route Data'!$J$7:$J$8,E53), INDEX('Route Data'!$L$7:$L$8,E53)*2*PI()/60, INDEX('Route Data'!$F$7:$F$8,E53),INDEX('Route Data'!$O$7:$O$8,E53), INDEX('Route Data'!$P$7:$P$8,E53), INDEX('Route Data'!$H$7:$H$8,E53), INDEX('Route Data'!$Q$7:$Q$8,E53), INDEX('Route Data'!$M$7:$M$8,E53))</f>
        <v>0.51617226640175828</v>
      </c>
      <c r="L53" s="5">
        <f>INDEX('Route Data'!$N$7:$N$8,E53)</f>
        <v>0.4</v>
      </c>
      <c r="M53" s="8">
        <v>0.11306887865066528</v>
      </c>
      <c r="N53" s="8">
        <f>ProbStrikeFrancis(K53, I53, L53, INDEX('Route Data'!$G$7:$G$8,E53),C53, INDEX('Route Data'!$F$7:$F$8,E53), INDEX('Route Data'!$O$7:$O$8,E53), INDEX('Route Data'!$H$7:$H$18,E53))</f>
        <v>1</v>
      </c>
      <c r="O53" s="5" t="str">
        <f>IF(F53&gt;=1,IF(M53&lt;=N53,"STRIKE","pass"),IF(M53&lt;=INDEX('Route Data'!$R$7:$R$8,E53),"NO PASS","pass"))</f>
        <v>STRIKE</v>
      </c>
      <c r="P53" s="5">
        <f>IF(F53&gt;=1,IF(M53&lt;=N53,1,0),IF(M53&lt;=INDEX('Route Data'!$R$7:$R$8,E53),-1,0))</f>
        <v>1</v>
      </c>
    </row>
    <row r="54" spans="1:16">
      <c r="A54" s="5">
        <v>44</v>
      </c>
      <c r="B54" s="12">
        <v>18.920000000000002</v>
      </c>
      <c r="C54" s="12">
        <f t="shared" si="0"/>
        <v>1.58</v>
      </c>
      <c r="D54" s="8">
        <v>0.69525694847106934</v>
      </c>
      <c r="E54" s="5">
        <f>MATCH(D54,'Route Data'!$C$7:$C$8,1)</f>
        <v>2</v>
      </c>
      <c r="F54" s="5">
        <f>INDEX('Route Data'!$D$7:$D$8,E54)</f>
        <v>1</v>
      </c>
      <c r="G54" s="5" t="str">
        <f>INDEX('Route Data'!$A$7:$A$8,E54)</f>
        <v>u18</v>
      </c>
      <c r="H54" s="5">
        <f>EnergyCoeff(INDEX('Route Data'!$K$7:$K$8,E54),INDEX('Route Data'!$L$7:$L$8,E54)*2*PI()/60,INDEX('Route Data'!$F$7:$F$8,E54))</f>
        <v>0.19430699130049439</v>
      </c>
      <c r="I54" s="5">
        <f>DischargeCoeff(INDEX('Route Data'!$I$7:$I$8,E54), INDEX('Route Data'!$L$7:$L$8,E54)*2*PI()/60, INDEX('Route Data'!$F$7:$F$8,E54))</f>
        <v>0.15939200179827354</v>
      </c>
      <c r="J54" s="8">
        <f>FlowAngleRel(INDEX('Route Data'!$J$7:$J$8,E54)*INDEX('Route Data'!$I$7:$I$8,E54), INDEX('Route Data'!$L$7:$L$8,E54)*2*PI()/60, INDEX('Route Data'!$F$7:$F$8,E54),INDEX('Route Data'!$O$7:$O$8,E54), INDEX('Route Data'!$P$7:$P$8,E54),INDEX('Route Data'!$M$7:$M$8,E54))</f>
        <v>1.130811765868994</v>
      </c>
      <c r="K54" s="8">
        <f>FlowAngleAbsT(INDEX('Route Data'!$K$7:$K$8,E54), INDEX('Route Data'!$I$7:$I$8,E54), INDEX('Route Data'!$I$7:$I$8,E54)*INDEX('Route Data'!$J$7:$J$8,E54), INDEX('Route Data'!$L$7:$L$8,E54)*2*PI()/60, INDEX('Route Data'!$F$7:$F$8,E54),INDEX('Route Data'!$O$7:$O$8,E54), INDEX('Route Data'!$P$7:$P$8,E54), INDEX('Route Data'!$H$7:$H$8,E54), INDEX('Route Data'!$Q$7:$Q$8,E54), INDEX('Route Data'!$M$7:$M$8,E54))</f>
        <v>0.51617226640175828</v>
      </c>
      <c r="L54" s="5">
        <f>INDEX('Route Data'!$N$7:$N$8,E54)</f>
        <v>0.4</v>
      </c>
      <c r="M54" s="8">
        <v>0.50827813148498535</v>
      </c>
      <c r="N54" s="8">
        <f>ProbStrikeFrancis(K54, I54, L54, INDEX('Route Data'!$G$7:$G$8,E54),C54, INDEX('Route Data'!$F$7:$F$8,E54), INDEX('Route Data'!$O$7:$O$8,E54), INDEX('Route Data'!$H$7:$H$18,E54))</f>
        <v>1</v>
      </c>
      <c r="O54" s="5" t="str">
        <f>IF(F54&gt;=1,IF(M54&lt;=N54,"STRIKE","pass"),IF(M54&lt;=INDEX('Route Data'!$R$7:$R$8,E54),"NO PASS","pass"))</f>
        <v>STRIKE</v>
      </c>
      <c r="P54" s="5">
        <f>IF(F54&gt;=1,IF(M54&lt;=N54,1,0),IF(M54&lt;=INDEX('Route Data'!$R$7:$R$8,E54),-1,0))</f>
        <v>1</v>
      </c>
    </row>
    <row r="55" spans="1:16">
      <c r="A55" s="5">
        <v>45</v>
      </c>
      <c r="B55" s="12">
        <v>30.56</v>
      </c>
      <c r="C55" s="12">
        <f t="shared" si="0"/>
        <v>2.5499999999999998</v>
      </c>
      <c r="D55" s="8">
        <v>0.90224736928939819</v>
      </c>
      <c r="E55" s="5">
        <f>MATCH(D55,'Route Data'!$C$7:$C$8,1)</f>
        <v>2</v>
      </c>
      <c r="F55" s="5">
        <f>INDEX('Route Data'!$D$7:$D$8,E55)</f>
        <v>1</v>
      </c>
      <c r="G55" s="5" t="str">
        <f>INDEX('Route Data'!$A$7:$A$8,E55)</f>
        <v>u18</v>
      </c>
      <c r="H55" s="5">
        <f>EnergyCoeff(INDEX('Route Data'!$K$7:$K$8,E55),INDEX('Route Data'!$L$7:$L$8,E55)*2*PI()/60,INDEX('Route Data'!$F$7:$F$8,E55))</f>
        <v>0.19430699130049439</v>
      </c>
      <c r="I55" s="5">
        <f>DischargeCoeff(INDEX('Route Data'!$I$7:$I$8,E55), INDEX('Route Data'!$L$7:$L$8,E55)*2*PI()/60, INDEX('Route Data'!$F$7:$F$8,E55))</f>
        <v>0.15939200179827354</v>
      </c>
      <c r="J55" s="8">
        <f>FlowAngleRel(INDEX('Route Data'!$J$7:$J$8,E55)*INDEX('Route Data'!$I$7:$I$8,E55), INDEX('Route Data'!$L$7:$L$8,E55)*2*PI()/60, INDEX('Route Data'!$F$7:$F$8,E55),INDEX('Route Data'!$O$7:$O$8,E55), INDEX('Route Data'!$P$7:$P$8,E55),INDEX('Route Data'!$M$7:$M$8,E55))</f>
        <v>1.130811765868994</v>
      </c>
      <c r="K55" s="8">
        <f>FlowAngleAbsT(INDEX('Route Data'!$K$7:$K$8,E55), INDEX('Route Data'!$I$7:$I$8,E55), INDEX('Route Data'!$I$7:$I$8,E55)*INDEX('Route Data'!$J$7:$J$8,E55), INDEX('Route Data'!$L$7:$L$8,E55)*2*PI()/60, INDEX('Route Data'!$F$7:$F$8,E55),INDEX('Route Data'!$O$7:$O$8,E55), INDEX('Route Data'!$P$7:$P$8,E55), INDEX('Route Data'!$H$7:$H$8,E55), INDEX('Route Data'!$Q$7:$Q$8,E55), INDEX('Route Data'!$M$7:$M$8,E55))</f>
        <v>0.51617226640175828</v>
      </c>
      <c r="L55" s="5">
        <f>INDEX('Route Data'!$N$7:$N$8,E55)</f>
        <v>0.4</v>
      </c>
      <c r="M55" s="8">
        <v>0.32265037298202515</v>
      </c>
      <c r="N55" s="8">
        <f>ProbStrikeFrancis(K55, I55, L55, INDEX('Route Data'!$G$7:$G$8,E55),C55, INDEX('Route Data'!$F$7:$F$8,E55), INDEX('Route Data'!$O$7:$O$8,E55), INDEX('Route Data'!$H$7:$H$18,E55))</f>
        <v>1</v>
      </c>
      <c r="O55" s="5" t="str">
        <f>IF(F55&gt;=1,IF(M55&lt;=N55,"STRIKE","pass"),IF(M55&lt;=INDEX('Route Data'!$R$7:$R$8,E55),"NO PASS","pass"))</f>
        <v>STRIKE</v>
      </c>
      <c r="P55" s="5">
        <f>IF(F55&gt;=1,IF(M55&lt;=N55,1,0),IF(M55&lt;=INDEX('Route Data'!$R$7:$R$8,E55),-1,0))</f>
        <v>1</v>
      </c>
    </row>
    <row r="56" spans="1:16">
      <c r="A56" s="5">
        <v>46</v>
      </c>
      <c r="B56" s="12">
        <v>18.97</v>
      </c>
      <c r="C56" s="12">
        <f t="shared" si="0"/>
        <v>1.58</v>
      </c>
      <c r="D56" s="8">
        <v>1.5696883201599121E-2</v>
      </c>
      <c r="E56" s="5">
        <f>MATCH(D56,'Route Data'!$C$7:$C$8,1)</f>
        <v>2</v>
      </c>
      <c r="F56" s="5">
        <f>INDEX('Route Data'!$D$7:$D$8,E56)</f>
        <v>1</v>
      </c>
      <c r="G56" s="5" t="str">
        <f>INDEX('Route Data'!$A$7:$A$8,E56)</f>
        <v>u18</v>
      </c>
      <c r="H56" s="5">
        <f>EnergyCoeff(INDEX('Route Data'!$K$7:$K$8,E56),INDEX('Route Data'!$L$7:$L$8,E56)*2*PI()/60,INDEX('Route Data'!$F$7:$F$8,E56))</f>
        <v>0.19430699130049439</v>
      </c>
      <c r="I56" s="5">
        <f>DischargeCoeff(INDEX('Route Data'!$I$7:$I$8,E56), INDEX('Route Data'!$L$7:$L$8,E56)*2*PI()/60, INDEX('Route Data'!$F$7:$F$8,E56))</f>
        <v>0.15939200179827354</v>
      </c>
      <c r="J56" s="8">
        <f>FlowAngleRel(INDEX('Route Data'!$J$7:$J$8,E56)*INDEX('Route Data'!$I$7:$I$8,E56), INDEX('Route Data'!$L$7:$L$8,E56)*2*PI()/60, INDEX('Route Data'!$F$7:$F$8,E56),INDEX('Route Data'!$O$7:$O$8,E56), INDEX('Route Data'!$P$7:$P$8,E56),INDEX('Route Data'!$M$7:$M$8,E56))</f>
        <v>1.130811765868994</v>
      </c>
      <c r="K56" s="8">
        <f>FlowAngleAbsT(INDEX('Route Data'!$K$7:$K$8,E56), INDEX('Route Data'!$I$7:$I$8,E56), INDEX('Route Data'!$I$7:$I$8,E56)*INDEX('Route Data'!$J$7:$J$8,E56), INDEX('Route Data'!$L$7:$L$8,E56)*2*PI()/60, INDEX('Route Data'!$F$7:$F$8,E56),INDEX('Route Data'!$O$7:$O$8,E56), INDEX('Route Data'!$P$7:$P$8,E56), INDEX('Route Data'!$H$7:$H$8,E56), INDEX('Route Data'!$Q$7:$Q$8,E56), INDEX('Route Data'!$M$7:$M$8,E56))</f>
        <v>0.51617226640175828</v>
      </c>
      <c r="L56" s="5">
        <f>INDEX('Route Data'!$N$7:$N$8,E56)</f>
        <v>0.4</v>
      </c>
      <c r="M56" s="8">
        <v>0.14511287212371826</v>
      </c>
      <c r="N56" s="8">
        <f>ProbStrikeFrancis(K56, I56, L56, INDEX('Route Data'!$G$7:$G$8,E56),C56, INDEX('Route Data'!$F$7:$F$8,E56), INDEX('Route Data'!$O$7:$O$8,E56), INDEX('Route Data'!$H$7:$H$18,E56))</f>
        <v>1</v>
      </c>
      <c r="O56" s="5" t="str">
        <f>IF(F56&gt;=1,IF(M56&lt;=N56,"STRIKE","pass"),IF(M56&lt;=INDEX('Route Data'!$R$7:$R$8,E56),"NO PASS","pass"))</f>
        <v>STRIKE</v>
      </c>
      <c r="P56" s="5">
        <f>IF(F56&gt;=1,IF(M56&lt;=N56,1,0),IF(M56&lt;=INDEX('Route Data'!$R$7:$R$8,E56),-1,0))</f>
        <v>1</v>
      </c>
    </row>
    <row r="57" spans="1:16">
      <c r="A57" s="5">
        <v>47</v>
      </c>
      <c r="B57" s="12">
        <v>24.19</v>
      </c>
      <c r="C57" s="12">
        <f t="shared" si="0"/>
        <v>2.02</v>
      </c>
      <c r="D57" s="8">
        <v>0.94092756509780884</v>
      </c>
      <c r="E57" s="5">
        <f>MATCH(D57,'Route Data'!$C$7:$C$8,1)</f>
        <v>2</v>
      </c>
      <c r="F57" s="5">
        <f>INDEX('Route Data'!$D$7:$D$8,E57)</f>
        <v>1</v>
      </c>
      <c r="G57" s="5" t="str">
        <f>INDEX('Route Data'!$A$7:$A$8,E57)</f>
        <v>u18</v>
      </c>
      <c r="H57" s="5">
        <f>EnergyCoeff(INDEX('Route Data'!$K$7:$K$8,E57),INDEX('Route Data'!$L$7:$L$8,E57)*2*PI()/60,INDEX('Route Data'!$F$7:$F$8,E57))</f>
        <v>0.19430699130049439</v>
      </c>
      <c r="I57" s="5">
        <f>DischargeCoeff(INDEX('Route Data'!$I$7:$I$8,E57), INDEX('Route Data'!$L$7:$L$8,E57)*2*PI()/60, INDEX('Route Data'!$F$7:$F$8,E57))</f>
        <v>0.15939200179827354</v>
      </c>
      <c r="J57" s="8">
        <f>FlowAngleRel(INDEX('Route Data'!$J$7:$J$8,E57)*INDEX('Route Data'!$I$7:$I$8,E57), INDEX('Route Data'!$L$7:$L$8,E57)*2*PI()/60, INDEX('Route Data'!$F$7:$F$8,E57),INDEX('Route Data'!$O$7:$O$8,E57), INDEX('Route Data'!$P$7:$P$8,E57),INDEX('Route Data'!$M$7:$M$8,E57))</f>
        <v>1.130811765868994</v>
      </c>
      <c r="K57" s="8">
        <f>FlowAngleAbsT(INDEX('Route Data'!$K$7:$K$8,E57), INDEX('Route Data'!$I$7:$I$8,E57), INDEX('Route Data'!$I$7:$I$8,E57)*INDEX('Route Data'!$J$7:$J$8,E57), INDEX('Route Data'!$L$7:$L$8,E57)*2*PI()/60, INDEX('Route Data'!$F$7:$F$8,E57),INDEX('Route Data'!$O$7:$O$8,E57), INDEX('Route Data'!$P$7:$P$8,E57), INDEX('Route Data'!$H$7:$H$8,E57), INDEX('Route Data'!$Q$7:$Q$8,E57), INDEX('Route Data'!$M$7:$M$8,E57))</f>
        <v>0.51617226640175828</v>
      </c>
      <c r="L57" s="5">
        <f>INDEX('Route Data'!$N$7:$N$8,E57)</f>
        <v>0.4</v>
      </c>
      <c r="M57" s="8">
        <v>0.41214615106582642</v>
      </c>
      <c r="N57" s="8">
        <f>ProbStrikeFrancis(K57, I57, L57, INDEX('Route Data'!$G$7:$G$8,E57),C57, INDEX('Route Data'!$F$7:$F$8,E57), INDEX('Route Data'!$O$7:$O$8,E57), INDEX('Route Data'!$H$7:$H$18,E57))</f>
        <v>1</v>
      </c>
      <c r="O57" s="5" t="str">
        <f>IF(F57&gt;=1,IF(M57&lt;=N57,"STRIKE","pass"),IF(M57&lt;=INDEX('Route Data'!$R$7:$R$8,E57),"NO PASS","pass"))</f>
        <v>STRIKE</v>
      </c>
      <c r="P57" s="5">
        <f>IF(F57&gt;=1,IF(M57&lt;=N57,1,0),IF(M57&lt;=INDEX('Route Data'!$R$7:$R$8,E57),-1,0))</f>
        <v>1</v>
      </c>
    </row>
    <row r="58" spans="1:16">
      <c r="A58" s="5">
        <v>48</v>
      </c>
      <c r="B58" s="12">
        <v>20.14</v>
      </c>
      <c r="C58" s="12">
        <f t="shared" si="0"/>
        <v>1.68</v>
      </c>
      <c r="D58" s="8">
        <v>0.16523551940917969</v>
      </c>
      <c r="E58" s="5">
        <f>MATCH(D58,'Route Data'!$C$7:$C$8,1)</f>
        <v>2</v>
      </c>
      <c r="F58" s="5">
        <f>INDEX('Route Data'!$D$7:$D$8,E58)</f>
        <v>1</v>
      </c>
      <c r="G58" s="5" t="str">
        <f>INDEX('Route Data'!$A$7:$A$8,E58)</f>
        <v>u18</v>
      </c>
      <c r="H58" s="5">
        <f>EnergyCoeff(INDEX('Route Data'!$K$7:$K$8,E58),INDEX('Route Data'!$L$7:$L$8,E58)*2*PI()/60,INDEX('Route Data'!$F$7:$F$8,E58))</f>
        <v>0.19430699130049439</v>
      </c>
      <c r="I58" s="5">
        <f>DischargeCoeff(INDEX('Route Data'!$I$7:$I$8,E58), INDEX('Route Data'!$L$7:$L$8,E58)*2*PI()/60, INDEX('Route Data'!$F$7:$F$8,E58))</f>
        <v>0.15939200179827354</v>
      </c>
      <c r="J58" s="8">
        <f>FlowAngleRel(INDEX('Route Data'!$J$7:$J$8,E58)*INDEX('Route Data'!$I$7:$I$8,E58), INDEX('Route Data'!$L$7:$L$8,E58)*2*PI()/60, INDEX('Route Data'!$F$7:$F$8,E58),INDEX('Route Data'!$O$7:$O$8,E58), INDEX('Route Data'!$P$7:$P$8,E58),INDEX('Route Data'!$M$7:$M$8,E58))</f>
        <v>1.130811765868994</v>
      </c>
      <c r="K58" s="8">
        <f>FlowAngleAbsT(INDEX('Route Data'!$K$7:$K$8,E58), INDEX('Route Data'!$I$7:$I$8,E58), INDEX('Route Data'!$I$7:$I$8,E58)*INDEX('Route Data'!$J$7:$J$8,E58), INDEX('Route Data'!$L$7:$L$8,E58)*2*PI()/60, INDEX('Route Data'!$F$7:$F$8,E58),INDEX('Route Data'!$O$7:$O$8,E58), INDEX('Route Data'!$P$7:$P$8,E58), INDEX('Route Data'!$H$7:$H$8,E58), INDEX('Route Data'!$Q$7:$Q$8,E58), INDEX('Route Data'!$M$7:$M$8,E58))</f>
        <v>0.51617226640175828</v>
      </c>
      <c r="L58" s="5">
        <f>INDEX('Route Data'!$N$7:$N$8,E58)</f>
        <v>0.4</v>
      </c>
      <c r="M58" s="8">
        <v>0.61104631423950195</v>
      </c>
      <c r="N58" s="8">
        <f>ProbStrikeFrancis(K58, I58, L58, INDEX('Route Data'!$G$7:$G$8,E58),C58, INDEX('Route Data'!$F$7:$F$8,E58), INDEX('Route Data'!$O$7:$O$8,E58), INDEX('Route Data'!$H$7:$H$18,E58))</f>
        <v>1</v>
      </c>
      <c r="O58" s="5" t="str">
        <f>IF(F58&gt;=1,IF(M58&lt;=N58,"STRIKE","pass"),IF(M58&lt;=INDEX('Route Data'!$R$7:$R$8,E58),"NO PASS","pass"))</f>
        <v>STRIKE</v>
      </c>
      <c r="P58" s="5">
        <f>IF(F58&gt;=1,IF(M58&lt;=N58,1,0),IF(M58&lt;=INDEX('Route Data'!$R$7:$R$8,E58),-1,0))</f>
        <v>1</v>
      </c>
    </row>
    <row r="59" spans="1:16">
      <c r="A59" s="5">
        <v>49</v>
      </c>
      <c r="B59" s="12">
        <v>27.59</v>
      </c>
      <c r="C59" s="12">
        <f t="shared" si="0"/>
        <v>2.2999999999999998</v>
      </c>
      <c r="D59" s="8">
        <v>0.49231165647506714</v>
      </c>
      <c r="E59" s="5">
        <f>MATCH(D59,'Route Data'!$C$7:$C$8,1)</f>
        <v>2</v>
      </c>
      <c r="F59" s="5">
        <f>INDEX('Route Data'!$D$7:$D$8,E59)</f>
        <v>1</v>
      </c>
      <c r="G59" s="5" t="str">
        <f>INDEX('Route Data'!$A$7:$A$8,E59)</f>
        <v>u18</v>
      </c>
      <c r="H59" s="5">
        <f>EnergyCoeff(INDEX('Route Data'!$K$7:$K$8,E59),INDEX('Route Data'!$L$7:$L$8,E59)*2*PI()/60,INDEX('Route Data'!$F$7:$F$8,E59))</f>
        <v>0.19430699130049439</v>
      </c>
      <c r="I59" s="5">
        <f>DischargeCoeff(INDEX('Route Data'!$I$7:$I$8,E59), INDEX('Route Data'!$L$7:$L$8,E59)*2*PI()/60, INDEX('Route Data'!$F$7:$F$8,E59))</f>
        <v>0.15939200179827354</v>
      </c>
      <c r="J59" s="8">
        <f>FlowAngleRel(INDEX('Route Data'!$J$7:$J$8,E59)*INDEX('Route Data'!$I$7:$I$8,E59), INDEX('Route Data'!$L$7:$L$8,E59)*2*PI()/60, INDEX('Route Data'!$F$7:$F$8,E59),INDEX('Route Data'!$O$7:$O$8,E59), INDEX('Route Data'!$P$7:$P$8,E59),INDEX('Route Data'!$M$7:$M$8,E59))</f>
        <v>1.130811765868994</v>
      </c>
      <c r="K59" s="8">
        <f>FlowAngleAbsT(INDEX('Route Data'!$K$7:$K$8,E59), INDEX('Route Data'!$I$7:$I$8,E59), INDEX('Route Data'!$I$7:$I$8,E59)*INDEX('Route Data'!$J$7:$J$8,E59), INDEX('Route Data'!$L$7:$L$8,E59)*2*PI()/60, INDEX('Route Data'!$F$7:$F$8,E59),INDEX('Route Data'!$O$7:$O$8,E59), INDEX('Route Data'!$P$7:$P$8,E59), INDEX('Route Data'!$H$7:$H$8,E59), INDEX('Route Data'!$Q$7:$Q$8,E59), INDEX('Route Data'!$M$7:$M$8,E59))</f>
        <v>0.51617226640175828</v>
      </c>
      <c r="L59" s="5">
        <f>INDEX('Route Data'!$N$7:$N$8,E59)</f>
        <v>0.4</v>
      </c>
      <c r="M59" s="8">
        <v>0.27992504835128784</v>
      </c>
      <c r="N59" s="8">
        <f>ProbStrikeFrancis(K59, I59, L59, INDEX('Route Data'!$G$7:$G$8,E59),C59, INDEX('Route Data'!$F$7:$F$8,E59), INDEX('Route Data'!$O$7:$O$8,E59), INDEX('Route Data'!$H$7:$H$18,E59))</f>
        <v>1</v>
      </c>
      <c r="O59" s="5" t="str">
        <f>IF(F59&gt;=1,IF(M59&lt;=N59,"STRIKE","pass"),IF(M59&lt;=INDEX('Route Data'!$R$7:$R$8,E59),"NO PASS","pass"))</f>
        <v>STRIKE</v>
      </c>
      <c r="P59" s="5">
        <f>IF(F59&gt;=1,IF(M59&lt;=N59,1,0),IF(M59&lt;=INDEX('Route Data'!$R$7:$R$8,E59),-1,0))</f>
        <v>1</v>
      </c>
    </row>
    <row r="60" spans="1:16">
      <c r="A60" s="5">
        <v>50</v>
      </c>
      <c r="B60" s="12">
        <v>20.43</v>
      </c>
      <c r="C60" s="12">
        <f t="shared" si="0"/>
        <v>1.7</v>
      </c>
      <c r="D60" s="8">
        <v>0.51108324527740479</v>
      </c>
      <c r="E60" s="5">
        <f>MATCH(D60,'Route Data'!$C$7:$C$8,1)</f>
        <v>2</v>
      </c>
      <c r="F60" s="5">
        <f>INDEX('Route Data'!$D$7:$D$8,E60)</f>
        <v>1</v>
      </c>
      <c r="G60" s="5" t="str">
        <f>INDEX('Route Data'!$A$7:$A$8,E60)</f>
        <v>u18</v>
      </c>
      <c r="H60" s="5">
        <f>EnergyCoeff(INDEX('Route Data'!$K$7:$K$8,E60),INDEX('Route Data'!$L$7:$L$8,E60)*2*PI()/60,INDEX('Route Data'!$F$7:$F$8,E60))</f>
        <v>0.19430699130049439</v>
      </c>
      <c r="I60" s="5">
        <f>DischargeCoeff(INDEX('Route Data'!$I$7:$I$8,E60), INDEX('Route Data'!$L$7:$L$8,E60)*2*PI()/60, INDEX('Route Data'!$F$7:$F$8,E60))</f>
        <v>0.15939200179827354</v>
      </c>
      <c r="J60" s="8">
        <f>FlowAngleRel(INDEX('Route Data'!$J$7:$J$8,E60)*INDEX('Route Data'!$I$7:$I$8,E60), INDEX('Route Data'!$L$7:$L$8,E60)*2*PI()/60, INDEX('Route Data'!$F$7:$F$8,E60),INDEX('Route Data'!$O$7:$O$8,E60), INDEX('Route Data'!$P$7:$P$8,E60),INDEX('Route Data'!$M$7:$M$8,E60))</f>
        <v>1.130811765868994</v>
      </c>
      <c r="K60" s="8">
        <f>FlowAngleAbsT(INDEX('Route Data'!$K$7:$K$8,E60), INDEX('Route Data'!$I$7:$I$8,E60), INDEX('Route Data'!$I$7:$I$8,E60)*INDEX('Route Data'!$J$7:$J$8,E60), INDEX('Route Data'!$L$7:$L$8,E60)*2*PI()/60, INDEX('Route Data'!$F$7:$F$8,E60),INDEX('Route Data'!$O$7:$O$8,E60), INDEX('Route Data'!$P$7:$P$8,E60), INDEX('Route Data'!$H$7:$H$8,E60), INDEX('Route Data'!$Q$7:$Q$8,E60), INDEX('Route Data'!$M$7:$M$8,E60))</f>
        <v>0.51617226640175828</v>
      </c>
      <c r="L60" s="5">
        <f>INDEX('Route Data'!$N$7:$N$8,E60)</f>
        <v>0.4</v>
      </c>
      <c r="M60" s="8">
        <v>0.27328884601593018</v>
      </c>
      <c r="N60" s="8">
        <f>ProbStrikeFrancis(K60, I60, L60, INDEX('Route Data'!$G$7:$G$8,E60),C60, INDEX('Route Data'!$F$7:$F$8,E60), INDEX('Route Data'!$O$7:$O$8,E60), INDEX('Route Data'!$H$7:$H$18,E60))</f>
        <v>1</v>
      </c>
      <c r="O60" s="5" t="str">
        <f>IF(F60&gt;=1,IF(M60&lt;=N60,"STRIKE","pass"),IF(M60&lt;=INDEX('Route Data'!$R$7:$R$8,E60),"NO PASS","pass"))</f>
        <v>STRIKE</v>
      </c>
      <c r="P60" s="5">
        <f>IF(F60&gt;=1,IF(M60&lt;=N60,1,0),IF(M60&lt;=INDEX('Route Data'!$R$7:$R$8,E60),-1,0))</f>
        <v>1</v>
      </c>
    </row>
    <row r="61" spans="1:16">
      <c r="A61" s="5">
        <v>51</v>
      </c>
      <c r="B61" s="12">
        <v>21.07</v>
      </c>
      <c r="C61" s="12">
        <f t="shared" si="0"/>
        <v>1.76</v>
      </c>
      <c r="D61" s="8">
        <v>0.92361003160476685</v>
      </c>
      <c r="E61" s="5">
        <f>MATCH(D61,'Route Data'!$C$7:$C$8,1)</f>
        <v>2</v>
      </c>
      <c r="F61" s="5">
        <f>INDEX('Route Data'!$D$7:$D$8,E61)</f>
        <v>1</v>
      </c>
      <c r="G61" s="5" t="str">
        <f>INDEX('Route Data'!$A$7:$A$8,E61)</f>
        <v>u18</v>
      </c>
      <c r="H61" s="5">
        <f>EnergyCoeff(INDEX('Route Data'!$K$7:$K$8,E61),INDEX('Route Data'!$L$7:$L$8,E61)*2*PI()/60,INDEX('Route Data'!$F$7:$F$8,E61))</f>
        <v>0.19430699130049439</v>
      </c>
      <c r="I61" s="5">
        <f>DischargeCoeff(INDEX('Route Data'!$I$7:$I$8,E61), INDEX('Route Data'!$L$7:$L$8,E61)*2*PI()/60, INDEX('Route Data'!$F$7:$F$8,E61))</f>
        <v>0.15939200179827354</v>
      </c>
      <c r="J61" s="8">
        <f>FlowAngleRel(INDEX('Route Data'!$J$7:$J$8,E61)*INDEX('Route Data'!$I$7:$I$8,E61), INDEX('Route Data'!$L$7:$L$8,E61)*2*PI()/60, INDEX('Route Data'!$F$7:$F$8,E61),INDEX('Route Data'!$O$7:$O$8,E61), INDEX('Route Data'!$P$7:$P$8,E61),INDEX('Route Data'!$M$7:$M$8,E61))</f>
        <v>1.130811765868994</v>
      </c>
      <c r="K61" s="8">
        <f>FlowAngleAbsT(INDEX('Route Data'!$K$7:$K$8,E61), INDEX('Route Data'!$I$7:$I$8,E61), INDEX('Route Data'!$I$7:$I$8,E61)*INDEX('Route Data'!$J$7:$J$8,E61), INDEX('Route Data'!$L$7:$L$8,E61)*2*PI()/60, INDEX('Route Data'!$F$7:$F$8,E61),INDEX('Route Data'!$O$7:$O$8,E61), INDEX('Route Data'!$P$7:$P$8,E61), INDEX('Route Data'!$H$7:$H$8,E61), INDEX('Route Data'!$Q$7:$Q$8,E61), INDEX('Route Data'!$M$7:$M$8,E61))</f>
        <v>0.51617226640175828</v>
      </c>
      <c r="L61" s="5">
        <f>INDEX('Route Data'!$N$7:$N$8,E61)</f>
        <v>0.4</v>
      </c>
      <c r="M61" s="8">
        <v>2.7618229389190674E-2</v>
      </c>
      <c r="N61" s="8">
        <f>ProbStrikeFrancis(K61, I61, L61, INDEX('Route Data'!$G$7:$G$8,E61),C61, INDEX('Route Data'!$F$7:$F$8,E61), INDEX('Route Data'!$O$7:$O$8,E61), INDEX('Route Data'!$H$7:$H$18,E61))</f>
        <v>1</v>
      </c>
      <c r="O61" s="5" t="str">
        <f>IF(F61&gt;=1,IF(M61&lt;=N61,"STRIKE","pass"),IF(M61&lt;=INDEX('Route Data'!$R$7:$R$8,E61),"NO PASS","pass"))</f>
        <v>STRIKE</v>
      </c>
      <c r="P61" s="5">
        <f>IF(F61&gt;=1,IF(M61&lt;=N61,1,0),IF(M61&lt;=INDEX('Route Data'!$R$7:$R$8,E61),-1,0))</f>
        <v>1</v>
      </c>
    </row>
    <row r="62" spans="1:16">
      <c r="A62" s="5">
        <v>52</v>
      </c>
      <c r="B62" s="12">
        <v>21.51</v>
      </c>
      <c r="C62" s="12">
        <f t="shared" si="0"/>
        <v>1.79</v>
      </c>
      <c r="D62" s="8">
        <v>0.95160889625549316</v>
      </c>
      <c r="E62" s="5">
        <f>MATCH(D62,'Route Data'!$C$7:$C$8,1)</f>
        <v>2</v>
      </c>
      <c r="F62" s="5">
        <f>INDEX('Route Data'!$D$7:$D$8,E62)</f>
        <v>1</v>
      </c>
      <c r="G62" s="5" t="str">
        <f>INDEX('Route Data'!$A$7:$A$8,E62)</f>
        <v>u18</v>
      </c>
      <c r="H62" s="5">
        <f>EnergyCoeff(INDEX('Route Data'!$K$7:$K$8,E62),INDEX('Route Data'!$L$7:$L$8,E62)*2*PI()/60,INDEX('Route Data'!$F$7:$F$8,E62))</f>
        <v>0.19430699130049439</v>
      </c>
      <c r="I62" s="5">
        <f>DischargeCoeff(INDEX('Route Data'!$I$7:$I$8,E62), INDEX('Route Data'!$L$7:$L$8,E62)*2*PI()/60, INDEX('Route Data'!$F$7:$F$8,E62))</f>
        <v>0.15939200179827354</v>
      </c>
      <c r="J62" s="8">
        <f>FlowAngleRel(INDEX('Route Data'!$J$7:$J$8,E62)*INDEX('Route Data'!$I$7:$I$8,E62), INDEX('Route Data'!$L$7:$L$8,E62)*2*PI()/60, INDEX('Route Data'!$F$7:$F$8,E62),INDEX('Route Data'!$O$7:$O$8,E62), INDEX('Route Data'!$P$7:$P$8,E62),INDEX('Route Data'!$M$7:$M$8,E62))</f>
        <v>1.130811765868994</v>
      </c>
      <c r="K62" s="8">
        <f>FlowAngleAbsT(INDEX('Route Data'!$K$7:$K$8,E62), INDEX('Route Data'!$I$7:$I$8,E62), INDEX('Route Data'!$I$7:$I$8,E62)*INDEX('Route Data'!$J$7:$J$8,E62), INDEX('Route Data'!$L$7:$L$8,E62)*2*PI()/60, INDEX('Route Data'!$F$7:$F$8,E62),INDEX('Route Data'!$O$7:$O$8,E62), INDEX('Route Data'!$P$7:$P$8,E62), INDEX('Route Data'!$H$7:$H$8,E62), INDEX('Route Data'!$Q$7:$Q$8,E62), INDEX('Route Data'!$M$7:$M$8,E62))</f>
        <v>0.51617226640175828</v>
      </c>
      <c r="L62" s="5">
        <f>INDEX('Route Data'!$N$7:$N$8,E62)</f>
        <v>0.4</v>
      </c>
      <c r="M62" s="8">
        <v>3.020930290222168E-2</v>
      </c>
      <c r="N62" s="8">
        <f>ProbStrikeFrancis(K62, I62, L62, INDEX('Route Data'!$G$7:$G$8,E62),C62, INDEX('Route Data'!$F$7:$F$8,E62), INDEX('Route Data'!$O$7:$O$8,E62), INDEX('Route Data'!$H$7:$H$18,E62))</f>
        <v>1</v>
      </c>
      <c r="O62" s="5" t="str">
        <f>IF(F62&gt;=1,IF(M62&lt;=N62,"STRIKE","pass"),IF(M62&lt;=INDEX('Route Data'!$R$7:$R$8,E62),"NO PASS","pass"))</f>
        <v>STRIKE</v>
      </c>
      <c r="P62" s="5">
        <f>IF(F62&gt;=1,IF(M62&lt;=N62,1,0),IF(M62&lt;=INDEX('Route Data'!$R$7:$R$8,E62),-1,0))</f>
        <v>1</v>
      </c>
    </row>
    <row r="63" spans="1:16">
      <c r="A63" s="5">
        <v>53</v>
      </c>
      <c r="B63" s="12">
        <v>20.079999999999998</v>
      </c>
      <c r="C63" s="12">
        <f t="shared" si="0"/>
        <v>1.67</v>
      </c>
      <c r="D63" s="8">
        <v>0.13319152593612671</v>
      </c>
      <c r="E63" s="5">
        <f>MATCH(D63,'Route Data'!$C$7:$C$8,1)</f>
        <v>2</v>
      </c>
      <c r="F63" s="5">
        <f>INDEX('Route Data'!$D$7:$D$8,E63)</f>
        <v>1</v>
      </c>
      <c r="G63" s="5" t="str">
        <f>INDEX('Route Data'!$A$7:$A$8,E63)</f>
        <v>u18</v>
      </c>
      <c r="H63" s="5">
        <f>EnergyCoeff(INDEX('Route Data'!$K$7:$K$8,E63),INDEX('Route Data'!$L$7:$L$8,E63)*2*PI()/60,INDEX('Route Data'!$F$7:$F$8,E63))</f>
        <v>0.19430699130049439</v>
      </c>
      <c r="I63" s="5">
        <f>DischargeCoeff(INDEX('Route Data'!$I$7:$I$8,E63), INDEX('Route Data'!$L$7:$L$8,E63)*2*PI()/60, INDEX('Route Data'!$F$7:$F$8,E63))</f>
        <v>0.15939200179827354</v>
      </c>
      <c r="J63" s="8">
        <f>FlowAngleRel(INDEX('Route Data'!$J$7:$J$8,E63)*INDEX('Route Data'!$I$7:$I$8,E63), INDEX('Route Data'!$L$7:$L$8,E63)*2*PI()/60, INDEX('Route Data'!$F$7:$F$8,E63),INDEX('Route Data'!$O$7:$O$8,E63), INDEX('Route Data'!$P$7:$P$8,E63),INDEX('Route Data'!$M$7:$M$8,E63))</f>
        <v>1.130811765868994</v>
      </c>
      <c r="K63" s="8">
        <f>FlowAngleAbsT(INDEX('Route Data'!$K$7:$K$8,E63), INDEX('Route Data'!$I$7:$I$8,E63), INDEX('Route Data'!$I$7:$I$8,E63)*INDEX('Route Data'!$J$7:$J$8,E63), INDEX('Route Data'!$L$7:$L$8,E63)*2*PI()/60, INDEX('Route Data'!$F$7:$F$8,E63),INDEX('Route Data'!$O$7:$O$8,E63), INDEX('Route Data'!$P$7:$P$8,E63), INDEX('Route Data'!$H$7:$H$8,E63), INDEX('Route Data'!$Q$7:$Q$8,E63), INDEX('Route Data'!$M$7:$M$8,E63))</f>
        <v>0.51617226640175828</v>
      </c>
      <c r="L63" s="5">
        <f>INDEX('Route Data'!$N$7:$N$8,E63)</f>
        <v>0.4</v>
      </c>
      <c r="M63" s="8">
        <v>0.55359452962875366</v>
      </c>
      <c r="N63" s="8">
        <f>ProbStrikeFrancis(K63, I63, L63, INDEX('Route Data'!$G$7:$G$8,E63),C63, INDEX('Route Data'!$F$7:$F$8,E63), INDEX('Route Data'!$O$7:$O$8,E63), INDEX('Route Data'!$H$7:$H$18,E63))</f>
        <v>1</v>
      </c>
      <c r="O63" s="5" t="str">
        <f>IF(F63&gt;=1,IF(M63&lt;=N63,"STRIKE","pass"),IF(M63&lt;=INDEX('Route Data'!$R$7:$R$8,E63),"NO PASS","pass"))</f>
        <v>STRIKE</v>
      </c>
      <c r="P63" s="5">
        <f>IF(F63&gt;=1,IF(M63&lt;=N63,1,0),IF(M63&lt;=INDEX('Route Data'!$R$7:$R$8,E63),-1,0))</f>
        <v>1</v>
      </c>
    </row>
    <row r="64" spans="1:16">
      <c r="A64" s="5">
        <v>54</v>
      </c>
      <c r="B64" s="12">
        <v>24.09</v>
      </c>
      <c r="C64" s="12">
        <f t="shared" si="0"/>
        <v>2.0099999999999998</v>
      </c>
      <c r="D64" s="8">
        <v>0.58844363689422607</v>
      </c>
      <c r="E64" s="5">
        <f>MATCH(D64,'Route Data'!$C$7:$C$8,1)</f>
        <v>2</v>
      </c>
      <c r="F64" s="5">
        <f>INDEX('Route Data'!$D$7:$D$8,E64)</f>
        <v>1</v>
      </c>
      <c r="G64" s="5" t="str">
        <f>INDEX('Route Data'!$A$7:$A$8,E64)</f>
        <v>u18</v>
      </c>
      <c r="H64" s="5">
        <f>EnergyCoeff(INDEX('Route Data'!$K$7:$K$8,E64),INDEX('Route Data'!$L$7:$L$8,E64)*2*PI()/60,INDEX('Route Data'!$F$7:$F$8,E64))</f>
        <v>0.19430699130049439</v>
      </c>
      <c r="I64" s="5">
        <f>DischargeCoeff(INDEX('Route Data'!$I$7:$I$8,E64), INDEX('Route Data'!$L$7:$L$8,E64)*2*PI()/60, INDEX('Route Data'!$F$7:$F$8,E64))</f>
        <v>0.15939200179827354</v>
      </c>
      <c r="J64" s="8">
        <f>FlowAngleRel(INDEX('Route Data'!$J$7:$J$8,E64)*INDEX('Route Data'!$I$7:$I$8,E64), INDEX('Route Data'!$L$7:$L$8,E64)*2*PI()/60, INDEX('Route Data'!$F$7:$F$8,E64),INDEX('Route Data'!$O$7:$O$8,E64), INDEX('Route Data'!$P$7:$P$8,E64),INDEX('Route Data'!$M$7:$M$8,E64))</f>
        <v>1.130811765868994</v>
      </c>
      <c r="K64" s="8">
        <f>FlowAngleAbsT(INDEX('Route Data'!$K$7:$K$8,E64), INDEX('Route Data'!$I$7:$I$8,E64), INDEX('Route Data'!$I$7:$I$8,E64)*INDEX('Route Data'!$J$7:$J$8,E64), INDEX('Route Data'!$L$7:$L$8,E64)*2*PI()/60, INDEX('Route Data'!$F$7:$F$8,E64),INDEX('Route Data'!$O$7:$O$8,E64), INDEX('Route Data'!$P$7:$P$8,E64), INDEX('Route Data'!$H$7:$H$8,E64), INDEX('Route Data'!$Q$7:$Q$8,E64), INDEX('Route Data'!$M$7:$M$8,E64))</f>
        <v>0.51617226640175828</v>
      </c>
      <c r="L64" s="5">
        <f>INDEX('Route Data'!$N$7:$N$8,E64)</f>
        <v>0.4</v>
      </c>
      <c r="M64" s="8">
        <v>0.71785962581634521</v>
      </c>
      <c r="N64" s="8">
        <f>ProbStrikeFrancis(K64, I64, L64, INDEX('Route Data'!$G$7:$G$8,E64),C64, INDEX('Route Data'!$F$7:$F$8,E64), INDEX('Route Data'!$O$7:$O$8,E64), INDEX('Route Data'!$H$7:$H$18,E64))</f>
        <v>1</v>
      </c>
      <c r="O64" s="5" t="str">
        <f>IF(F64&gt;=1,IF(M64&lt;=N64,"STRIKE","pass"),IF(M64&lt;=INDEX('Route Data'!$R$7:$R$8,E64),"NO PASS","pass"))</f>
        <v>STRIKE</v>
      </c>
      <c r="P64" s="5">
        <f>IF(F64&gt;=1,IF(M64&lt;=N64,1,0),IF(M64&lt;=INDEX('Route Data'!$R$7:$R$8,E64),-1,0))</f>
        <v>1</v>
      </c>
    </row>
    <row r="65" spans="1:16">
      <c r="A65" s="5">
        <v>55</v>
      </c>
      <c r="B65" s="12">
        <v>20.46</v>
      </c>
      <c r="C65" s="12">
        <f t="shared" si="0"/>
        <v>1.71</v>
      </c>
      <c r="D65" s="8">
        <v>0.22268730401992798</v>
      </c>
      <c r="E65" s="5">
        <f>MATCH(D65,'Route Data'!$C$7:$C$8,1)</f>
        <v>2</v>
      </c>
      <c r="F65" s="5">
        <f>INDEX('Route Data'!$D$7:$D$8,E65)</f>
        <v>1</v>
      </c>
      <c r="G65" s="5" t="str">
        <f>INDEX('Route Data'!$A$7:$A$8,E65)</f>
        <v>u18</v>
      </c>
      <c r="H65" s="5">
        <f>EnergyCoeff(INDEX('Route Data'!$K$7:$K$8,E65),INDEX('Route Data'!$L$7:$L$8,E65)*2*PI()/60,INDEX('Route Data'!$F$7:$F$8,E65))</f>
        <v>0.19430699130049439</v>
      </c>
      <c r="I65" s="5">
        <f>DischargeCoeff(INDEX('Route Data'!$I$7:$I$8,E65), INDEX('Route Data'!$L$7:$L$8,E65)*2*PI()/60, INDEX('Route Data'!$F$7:$F$8,E65))</f>
        <v>0.15939200179827354</v>
      </c>
      <c r="J65" s="8">
        <f>FlowAngleRel(INDEX('Route Data'!$J$7:$J$8,E65)*INDEX('Route Data'!$I$7:$I$8,E65), INDEX('Route Data'!$L$7:$L$8,E65)*2*PI()/60, INDEX('Route Data'!$F$7:$F$8,E65),INDEX('Route Data'!$O$7:$O$8,E65), INDEX('Route Data'!$P$7:$P$8,E65),INDEX('Route Data'!$M$7:$M$8,E65))</f>
        <v>1.130811765868994</v>
      </c>
      <c r="K65" s="8">
        <f>FlowAngleAbsT(INDEX('Route Data'!$K$7:$K$8,E65), INDEX('Route Data'!$I$7:$I$8,E65), INDEX('Route Data'!$I$7:$I$8,E65)*INDEX('Route Data'!$J$7:$J$8,E65), INDEX('Route Data'!$L$7:$L$8,E65)*2*PI()/60, INDEX('Route Data'!$F$7:$F$8,E65),INDEX('Route Data'!$O$7:$O$8,E65), INDEX('Route Data'!$P$7:$P$8,E65), INDEX('Route Data'!$H$7:$H$8,E65), INDEX('Route Data'!$Q$7:$Q$8,E65), INDEX('Route Data'!$M$7:$M$8,E65))</f>
        <v>0.51617226640175828</v>
      </c>
      <c r="L65" s="5">
        <f>INDEX('Route Data'!$N$7:$N$8,E65)</f>
        <v>0.4</v>
      </c>
      <c r="M65" s="8">
        <v>0.95948511362075806</v>
      </c>
      <c r="N65" s="8">
        <f>ProbStrikeFrancis(K65, I65, L65, INDEX('Route Data'!$G$7:$G$8,E65),C65, INDEX('Route Data'!$F$7:$F$8,E65), INDEX('Route Data'!$O$7:$O$8,E65), INDEX('Route Data'!$H$7:$H$18,E65))</f>
        <v>1</v>
      </c>
      <c r="O65" s="5" t="str">
        <f>IF(F65&gt;=1,IF(M65&lt;=N65,"STRIKE","pass"),IF(M65&lt;=INDEX('Route Data'!$R$7:$R$8,E65),"NO PASS","pass"))</f>
        <v>STRIKE</v>
      </c>
      <c r="P65" s="5">
        <f>IF(F65&gt;=1,IF(M65&lt;=N65,1,0),IF(M65&lt;=INDEX('Route Data'!$R$7:$R$8,E65),-1,0))</f>
        <v>1</v>
      </c>
    </row>
    <row r="66" spans="1:16">
      <c r="A66" s="5">
        <v>56</v>
      </c>
      <c r="B66" s="12">
        <v>25.71</v>
      </c>
      <c r="C66" s="12">
        <f t="shared" si="0"/>
        <v>2.14</v>
      </c>
      <c r="D66" s="8">
        <v>0.78879785537719727</v>
      </c>
      <c r="E66" s="5">
        <f>MATCH(D66,'Route Data'!$C$7:$C$8,1)</f>
        <v>2</v>
      </c>
      <c r="F66" s="5">
        <f>INDEX('Route Data'!$D$7:$D$8,E66)</f>
        <v>1</v>
      </c>
      <c r="G66" s="5" t="str">
        <f>INDEX('Route Data'!$A$7:$A$8,E66)</f>
        <v>u18</v>
      </c>
      <c r="H66" s="5">
        <f>EnergyCoeff(INDEX('Route Data'!$K$7:$K$8,E66),INDEX('Route Data'!$L$7:$L$8,E66)*2*PI()/60,INDEX('Route Data'!$F$7:$F$8,E66))</f>
        <v>0.19430699130049439</v>
      </c>
      <c r="I66" s="5">
        <f>DischargeCoeff(INDEX('Route Data'!$I$7:$I$8,E66), INDEX('Route Data'!$L$7:$L$8,E66)*2*PI()/60, INDEX('Route Data'!$F$7:$F$8,E66))</f>
        <v>0.15939200179827354</v>
      </c>
      <c r="J66" s="8">
        <f>FlowAngleRel(INDEX('Route Data'!$J$7:$J$8,E66)*INDEX('Route Data'!$I$7:$I$8,E66), INDEX('Route Data'!$L$7:$L$8,E66)*2*PI()/60, INDEX('Route Data'!$F$7:$F$8,E66),INDEX('Route Data'!$O$7:$O$8,E66), INDEX('Route Data'!$P$7:$P$8,E66),INDEX('Route Data'!$M$7:$M$8,E66))</f>
        <v>1.130811765868994</v>
      </c>
      <c r="K66" s="8">
        <f>FlowAngleAbsT(INDEX('Route Data'!$K$7:$K$8,E66), INDEX('Route Data'!$I$7:$I$8,E66), INDEX('Route Data'!$I$7:$I$8,E66)*INDEX('Route Data'!$J$7:$J$8,E66), INDEX('Route Data'!$L$7:$L$8,E66)*2*PI()/60, INDEX('Route Data'!$F$7:$F$8,E66),INDEX('Route Data'!$O$7:$O$8,E66), INDEX('Route Data'!$P$7:$P$8,E66), INDEX('Route Data'!$H$7:$H$8,E66), INDEX('Route Data'!$Q$7:$Q$8,E66), INDEX('Route Data'!$M$7:$M$8,E66))</f>
        <v>0.51617226640175828</v>
      </c>
      <c r="L66" s="5">
        <f>INDEX('Route Data'!$N$7:$N$8,E66)</f>
        <v>0.4</v>
      </c>
      <c r="M66" s="8">
        <v>0.50018787384033203</v>
      </c>
      <c r="N66" s="8">
        <f>ProbStrikeFrancis(K66, I66, L66, INDEX('Route Data'!$G$7:$G$8,E66),C66, INDEX('Route Data'!$F$7:$F$8,E66), INDEX('Route Data'!$O$7:$O$8,E66), INDEX('Route Data'!$H$7:$H$18,E66))</f>
        <v>1</v>
      </c>
      <c r="O66" s="5" t="str">
        <f>IF(F66&gt;=1,IF(M66&lt;=N66,"STRIKE","pass"),IF(M66&lt;=INDEX('Route Data'!$R$7:$R$8,E66),"NO PASS","pass"))</f>
        <v>STRIKE</v>
      </c>
      <c r="P66" s="5">
        <f>IF(F66&gt;=1,IF(M66&lt;=N66,1,0),IF(M66&lt;=INDEX('Route Data'!$R$7:$R$8,E66),-1,0))</f>
        <v>1</v>
      </c>
    </row>
    <row r="67" spans="1:16">
      <c r="A67" s="5">
        <v>57</v>
      </c>
      <c r="B67" s="12">
        <v>22.8</v>
      </c>
      <c r="C67" s="12">
        <f t="shared" si="0"/>
        <v>1.9</v>
      </c>
      <c r="D67" s="8">
        <v>9.0466201305389404E-2</v>
      </c>
      <c r="E67" s="5">
        <f>MATCH(D67,'Route Data'!$C$7:$C$8,1)</f>
        <v>2</v>
      </c>
      <c r="F67" s="5">
        <f>INDEX('Route Data'!$D$7:$D$8,E67)</f>
        <v>1</v>
      </c>
      <c r="G67" s="5" t="str">
        <f>INDEX('Route Data'!$A$7:$A$8,E67)</f>
        <v>u18</v>
      </c>
      <c r="H67" s="5">
        <f>EnergyCoeff(INDEX('Route Data'!$K$7:$K$8,E67),INDEX('Route Data'!$L$7:$L$8,E67)*2*PI()/60,INDEX('Route Data'!$F$7:$F$8,E67))</f>
        <v>0.19430699130049439</v>
      </c>
      <c r="I67" s="5">
        <f>DischargeCoeff(INDEX('Route Data'!$I$7:$I$8,E67), INDEX('Route Data'!$L$7:$L$8,E67)*2*PI()/60, INDEX('Route Data'!$F$7:$F$8,E67))</f>
        <v>0.15939200179827354</v>
      </c>
      <c r="J67" s="8">
        <f>FlowAngleRel(INDEX('Route Data'!$J$7:$J$8,E67)*INDEX('Route Data'!$I$7:$I$8,E67), INDEX('Route Data'!$L$7:$L$8,E67)*2*PI()/60, INDEX('Route Data'!$F$7:$F$8,E67),INDEX('Route Data'!$O$7:$O$8,E67), INDEX('Route Data'!$P$7:$P$8,E67),INDEX('Route Data'!$M$7:$M$8,E67))</f>
        <v>1.130811765868994</v>
      </c>
      <c r="K67" s="8">
        <f>FlowAngleAbsT(INDEX('Route Data'!$K$7:$K$8,E67), INDEX('Route Data'!$I$7:$I$8,E67), INDEX('Route Data'!$I$7:$I$8,E67)*INDEX('Route Data'!$J$7:$J$8,E67), INDEX('Route Data'!$L$7:$L$8,E67)*2*PI()/60, INDEX('Route Data'!$F$7:$F$8,E67),INDEX('Route Data'!$O$7:$O$8,E67), INDEX('Route Data'!$P$7:$P$8,E67), INDEX('Route Data'!$H$7:$H$8,E67), INDEX('Route Data'!$Q$7:$Q$8,E67), INDEX('Route Data'!$M$7:$M$8,E67))</f>
        <v>0.51617226640175828</v>
      </c>
      <c r="L67" s="5">
        <f>INDEX('Route Data'!$N$7:$N$8,E67)</f>
        <v>0.4</v>
      </c>
      <c r="M67" s="8">
        <v>0.87807959318161011</v>
      </c>
      <c r="N67" s="8">
        <f>ProbStrikeFrancis(K67, I67, L67, INDEX('Route Data'!$G$7:$G$8,E67),C67, INDEX('Route Data'!$F$7:$F$8,E67), INDEX('Route Data'!$O$7:$O$8,E67), INDEX('Route Data'!$H$7:$H$18,E67))</f>
        <v>1</v>
      </c>
      <c r="O67" s="5" t="str">
        <f>IF(F67&gt;=1,IF(M67&lt;=N67,"STRIKE","pass"),IF(M67&lt;=INDEX('Route Data'!$R$7:$R$8,E67),"NO PASS","pass"))</f>
        <v>STRIKE</v>
      </c>
      <c r="P67" s="5">
        <f>IF(F67&gt;=1,IF(M67&lt;=N67,1,0),IF(M67&lt;=INDEX('Route Data'!$R$7:$R$8,E67),-1,0))</f>
        <v>1</v>
      </c>
    </row>
    <row r="68" spans="1:16">
      <c r="A68" s="5">
        <v>58</v>
      </c>
      <c r="B68" s="12">
        <v>22.15</v>
      </c>
      <c r="C68" s="12">
        <f t="shared" si="0"/>
        <v>1.85</v>
      </c>
      <c r="D68" s="8">
        <v>0.71661961078643799</v>
      </c>
      <c r="E68" s="5">
        <f>MATCH(D68,'Route Data'!$C$7:$C$8,1)</f>
        <v>2</v>
      </c>
      <c r="F68" s="5">
        <f>INDEX('Route Data'!$D$7:$D$8,E68)</f>
        <v>1</v>
      </c>
      <c r="G68" s="5" t="str">
        <f>INDEX('Route Data'!$A$7:$A$8,E68)</f>
        <v>u18</v>
      </c>
      <c r="H68" s="5">
        <f>EnergyCoeff(INDEX('Route Data'!$K$7:$K$8,E68),INDEX('Route Data'!$L$7:$L$8,E68)*2*PI()/60,INDEX('Route Data'!$F$7:$F$8,E68))</f>
        <v>0.19430699130049439</v>
      </c>
      <c r="I68" s="5">
        <f>DischargeCoeff(INDEX('Route Data'!$I$7:$I$8,E68), INDEX('Route Data'!$L$7:$L$8,E68)*2*PI()/60, INDEX('Route Data'!$F$7:$F$8,E68))</f>
        <v>0.15939200179827354</v>
      </c>
      <c r="J68" s="8">
        <f>FlowAngleRel(INDEX('Route Data'!$J$7:$J$8,E68)*INDEX('Route Data'!$I$7:$I$8,E68), INDEX('Route Data'!$L$7:$L$8,E68)*2*PI()/60, INDEX('Route Data'!$F$7:$F$8,E68),INDEX('Route Data'!$O$7:$O$8,E68), INDEX('Route Data'!$P$7:$P$8,E68),INDEX('Route Data'!$M$7:$M$8,E68))</f>
        <v>1.130811765868994</v>
      </c>
      <c r="K68" s="8">
        <f>FlowAngleAbsT(INDEX('Route Data'!$K$7:$K$8,E68), INDEX('Route Data'!$I$7:$I$8,E68), INDEX('Route Data'!$I$7:$I$8,E68)*INDEX('Route Data'!$J$7:$J$8,E68), INDEX('Route Data'!$L$7:$L$8,E68)*2*PI()/60, INDEX('Route Data'!$F$7:$F$8,E68),INDEX('Route Data'!$O$7:$O$8,E68), INDEX('Route Data'!$P$7:$P$8,E68), INDEX('Route Data'!$H$7:$H$8,E68), INDEX('Route Data'!$Q$7:$Q$8,E68), INDEX('Route Data'!$M$7:$M$8,E68))</f>
        <v>0.51617226640175828</v>
      </c>
      <c r="L68" s="5">
        <f>INDEX('Route Data'!$N$7:$N$8,E68)</f>
        <v>0.4</v>
      </c>
      <c r="M68" s="8">
        <v>0.47882521152496338</v>
      </c>
      <c r="N68" s="8">
        <f>ProbStrikeFrancis(K68, I68, L68, INDEX('Route Data'!$G$7:$G$8,E68),C68, INDEX('Route Data'!$F$7:$F$8,E68), INDEX('Route Data'!$O$7:$O$8,E68), INDEX('Route Data'!$H$7:$H$18,E68))</f>
        <v>1</v>
      </c>
      <c r="O68" s="5" t="str">
        <f>IF(F68&gt;=1,IF(M68&lt;=N68,"STRIKE","pass"),IF(M68&lt;=INDEX('Route Data'!$R$7:$R$8,E68),"NO PASS","pass"))</f>
        <v>STRIKE</v>
      </c>
      <c r="P68" s="5">
        <f>IF(F68&gt;=1,IF(M68&lt;=N68,1,0),IF(M68&lt;=INDEX('Route Data'!$R$7:$R$8,E68),-1,0))</f>
        <v>1</v>
      </c>
    </row>
    <row r="69" spans="1:16">
      <c r="A69" s="5">
        <v>59</v>
      </c>
      <c r="B69" s="12">
        <v>20.29</v>
      </c>
      <c r="C69" s="12">
        <f t="shared" si="0"/>
        <v>1.69</v>
      </c>
      <c r="D69" s="8">
        <v>0.83815938234329224</v>
      </c>
      <c r="E69" s="5">
        <f>MATCH(D69,'Route Data'!$C$7:$C$8,1)</f>
        <v>2</v>
      </c>
      <c r="F69" s="5">
        <f>INDEX('Route Data'!$D$7:$D$8,E69)</f>
        <v>1</v>
      </c>
      <c r="G69" s="5" t="str">
        <f>INDEX('Route Data'!$A$7:$A$8,E69)</f>
        <v>u18</v>
      </c>
      <c r="H69" s="5">
        <f>EnergyCoeff(INDEX('Route Data'!$K$7:$K$8,E69),INDEX('Route Data'!$L$7:$L$8,E69)*2*PI()/60,INDEX('Route Data'!$F$7:$F$8,E69))</f>
        <v>0.19430699130049439</v>
      </c>
      <c r="I69" s="5">
        <f>DischargeCoeff(INDEX('Route Data'!$I$7:$I$8,E69), INDEX('Route Data'!$L$7:$L$8,E69)*2*PI()/60, INDEX('Route Data'!$F$7:$F$8,E69))</f>
        <v>0.15939200179827354</v>
      </c>
      <c r="J69" s="8">
        <f>FlowAngleRel(INDEX('Route Data'!$J$7:$J$8,E69)*INDEX('Route Data'!$I$7:$I$8,E69), INDEX('Route Data'!$L$7:$L$8,E69)*2*PI()/60, INDEX('Route Data'!$F$7:$F$8,E69),INDEX('Route Data'!$O$7:$O$8,E69), INDEX('Route Data'!$P$7:$P$8,E69),INDEX('Route Data'!$M$7:$M$8,E69))</f>
        <v>1.130811765868994</v>
      </c>
      <c r="K69" s="8">
        <f>FlowAngleAbsT(INDEX('Route Data'!$K$7:$K$8,E69), INDEX('Route Data'!$I$7:$I$8,E69), INDEX('Route Data'!$I$7:$I$8,E69)*INDEX('Route Data'!$J$7:$J$8,E69), INDEX('Route Data'!$L$7:$L$8,E69)*2*PI()/60, INDEX('Route Data'!$F$7:$F$8,E69),INDEX('Route Data'!$O$7:$O$8,E69), INDEX('Route Data'!$P$7:$P$8,E69), INDEX('Route Data'!$H$7:$H$8,E69), INDEX('Route Data'!$Q$7:$Q$8,E69), INDEX('Route Data'!$M$7:$M$8,E69))</f>
        <v>0.51617226640175828</v>
      </c>
      <c r="L69" s="5">
        <f>INDEX('Route Data'!$N$7:$N$8,E69)</f>
        <v>0.4</v>
      </c>
      <c r="M69" s="8">
        <v>0.94216758012771606</v>
      </c>
      <c r="N69" s="8">
        <f>ProbStrikeFrancis(K69, I69, L69, INDEX('Route Data'!$G$7:$G$8,E69),C69, INDEX('Route Data'!$F$7:$F$8,E69), INDEX('Route Data'!$O$7:$O$8,E69), INDEX('Route Data'!$H$7:$H$18,E69))</f>
        <v>1</v>
      </c>
      <c r="O69" s="5" t="str">
        <f>IF(F69&gt;=1,IF(M69&lt;=N69,"STRIKE","pass"),IF(M69&lt;=INDEX('Route Data'!$R$7:$R$8,E69),"NO PASS","pass"))</f>
        <v>STRIKE</v>
      </c>
      <c r="P69" s="5">
        <f>IF(F69&gt;=1,IF(M69&lt;=N69,1,0),IF(M69&lt;=INDEX('Route Data'!$R$7:$R$8,E69),-1,0))</f>
        <v>1</v>
      </c>
    </row>
    <row r="70" spans="1:16">
      <c r="A70" s="5">
        <v>60</v>
      </c>
      <c r="B70" s="12">
        <v>23.54</v>
      </c>
      <c r="C70" s="12">
        <f t="shared" si="0"/>
        <v>1.96</v>
      </c>
      <c r="D70" s="8">
        <v>0.20796084403991699</v>
      </c>
      <c r="E70" s="5">
        <f>MATCH(D70,'Route Data'!$C$7:$C$8,1)</f>
        <v>2</v>
      </c>
      <c r="F70" s="5">
        <f>INDEX('Route Data'!$D$7:$D$8,E70)</f>
        <v>1</v>
      </c>
      <c r="G70" s="5" t="str">
        <f>INDEX('Route Data'!$A$7:$A$8,E70)</f>
        <v>u18</v>
      </c>
      <c r="H70" s="5">
        <f>EnergyCoeff(INDEX('Route Data'!$K$7:$K$8,E70),INDEX('Route Data'!$L$7:$L$8,E70)*2*PI()/60,INDEX('Route Data'!$F$7:$F$8,E70))</f>
        <v>0.19430699130049439</v>
      </c>
      <c r="I70" s="5">
        <f>DischargeCoeff(INDEX('Route Data'!$I$7:$I$8,E70), INDEX('Route Data'!$L$7:$L$8,E70)*2*PI()/60, INDEX('Route Data'!$F$7:$F$8,E70))</f>
        <v>0.15939200179827354</v>
      </c>
      <c r="J70" s="8">
        <f>FlowAngleRel(INDEX('Route Data'!$J$7:$J$8,E70)*INDEX('Route Data'!$I$7:$I$8,E70), INDEX('Route Data'!$L$7:$L$8,E70)*2*PI()/60, INDEX('Route Data'!$F$7:$F$8,E70),INDEX('Route Data'!$O$7:$O$8,E70), INDEX('Route Data'!$P$7:$P$8,E70),INDEX('Route Data'!$M$7:$M$8,E70))</f>
        <v>1.130811765868994</v>
      </c>
      <c r="K70" s="8">
        <f>FlowAngleAbsT(INDEX('Route Data'!$K$7:$K$8,E70), INDEX('Route Data'!$I$7:$I$8,E70), INDEX('Route Data'!$I$7:$I$8,E70)*INDEX('Route Data'!$J$7:$J$8,E70), INDEX('Route Data'!$L$7:$L$8,E70)*2*PI()/60, INDEX('Route Data'!$F$7:$F$8,E70),INDEX('Route Data'!$O$7:$O$8,E70), INDEX('Route Data'!$P$7:$P$8,E70), INDEX('Route Data'!$H$7:$H$8,E70), INDEX('Route Data'!$Q$7:$Q$8,E70), INDEX('Route Data'!$M$7:$M$8,E70))</f>
        <v>0.51617226640175828</v>
      </c>
      <c r="L70" s="5">
        <f>INDEX('Route Data'!$N$7:$N$8,E70)</f>
        <v>0.4</v>
      </c>
      <c r="M70" s="8">
        <v>0.28656125068664551</v>
      </c>
      <c r="N70" s="8">
        <f>ProbStrikeFrancis(K70, I70, L70, INDEX('Route Data'!$G$7:$G$8,E70),C70, INDEX('Route Data'!$F$7:$F$8,E70), INDEX('Route Data'!$O$7:$O$8,E70), INDEX('Route Data'!$H$7:$H$18,E70))</f>
        <v>1</v>
      </c>
      <c r="O70" s="5" t="str">
        <f>IF(F70&gt;=1,IF(M70&lt;=N70,"STRIKE","pass"),IF(M70&lt;=INDEX('Route Data'!$R$7:$R$8,E70),"NO PASS","pass"))</f>
        <v>STRIKE</v>
      </c>
      <c r="P70" s="5">
        <f>IF(F70&gt;=1,IF(M70&lt;=N70,1,0),IF(M70&lt;=INDEX('Route Data'!$R$7:$R$8,E70),-1,0))</f>
        <v>1</v>
      </c>
    </row>
    <row r="71" spans="1:16">
      <c r="A71" s="5">
        <v>61</v>
      </c>
      <c r="B71" s="12">
        <v>22.07</v>
      </c>
      <c r="C71" s="12">
        <f t="shared" si="0"/>
        <v>1.84</v>
      </c>
      <c r="D71" s="8">
        <v>0.36413568258285522</v>
      </c>
      <c r="E71" s="5">
        <f>MATCH(D71,'Route Data'!$C$7:$C$8,1)</f>
        <v>2</v>
      </c>
      <c r="F71" s="5">
        <f>INDEX('Route Data'!$D$7:$D$8,E71)</f>
        <v>1</v>
      </c>
      <c r="G71" s="5" t="str">
        <f>INDEX('Route Data'!$A$7:$A$8,E71)</f>
        <v>u18</v>
      </c>
      <c r="H71" s="5">
        <f>EnergyCoeff(INDEX('Route Data'!$K$7:$K$8,E71),INDEX('Route Data'!$L$7:$L$8,E71)*2*PI()/60,INDEX('Route Data'!$F$7:$F$8,E71))</f>
        <v>0.19430699130049439</v>
      </c>
      <c r="I71" s="5">
        <f>DischargeCoeff(INDEX('Route Data'!$I$7:$I$8,E71), INDEX('Route Data'!$L$7:$L$8,E71)*2*PI()/60, INDEX('Route Data'!$F$7:$F$8,E71))</f>
        <v>0.15939200179827354</v>
      </c>
      <c r="J71" s="8">
        <f>FlowAngleRel(INDEX('Route Data'!$J$7:$J$8,E71)*INDEX('Route Data'!$I$7:$I$8,E71), INDEX('Route Data'!$L$7:$L$8,E71)*2*PI()/60, INDEX('Route Data'!$F$7:$F$8,E71),INDEX('Route Data'!$O$7:$O$8,E71), INDEX('Route Data'!$P$7:$P$8,E71),INDEX('Route Data'!$M$7:$M$8,E71))</f>
        <v>1.130811765868994</v>
      </c>
      <c r="K71" s="8">
        <f>FlowAngleAbsT(INDEX('Route Data'!$K$7:$K$8,E71), INDEX('Route Data'!$I$7:$I$8,E71), INDEX('Route Data'!$I$7:$I$8,E71)*INDEX('Route Data'!$J$7:$J$8,E71), INDEX('Route Data'!$L$7:$L$8,E71)*2*PI()/60, INDEX('Route Data'!$F$7:$F$8,E71),INDEX('Route Data'!$O$7:$O$8,E71), INDEX('Route Data'!$P$7:$P$8,E71), INDEX('Route Data'!$H$7:$H$8,E71), INDEX('Route Data'!$Q$7:$Q$8,E71), INDEX('Route Data'!$M$7:$M$8,E71))</f>
        <v>0.51617226640175828</v>
      </c>
      <c r="L71" s="5">
        <f>INDEX('Route Data'!$N$7:$N$8,E71)</f>
        <v>0.4</v>
      </c>
      <c r="M71" s="8">
        <v>0.51895946264266968</v>
      </c>
      <c r="N71" s="8">
        <f>ProbStrikeFrancis(K71, I71, L71, INDEX('Route Data'!$G$7:$G$8,E71),C71, INDEX('Route Data'!$F$7:$F$8,E71), INDEX('Route Data'!$O$7:$O$8,E71), INDEX('Route Data'!$H$7:$H$18,E71))</f>
        <v>1</v>
      </c>
      <c r="O71" s="5" t="str">
        <f>IF(F71&gt;=1,IF(M71&lt;=N71,"STRIKE","pass"),IF(M71&lt;=INDEX('Route Data'!$R$7:$R$8,E71),"NO PASS","pass"))</f>
        <v>STRIKE</v>
      </c>
      <c r="P71" s="5">
        <f>IF(F71&gt;=1,IF(M71&lt;=N71,1,0),IF(M71&lt;=INDEX('Route Data'!$R$7:$R$8,E71),-1,0))</f>
        <v>1</v>
      </c>
    </row>
    <row r="72" spans="1:16">
      <c r="A72" s="5">
        <v>62</v>
      </c>
      <c r="B72" s="12">
        <v>20.59</v>
      </c>
      <c r="C72" s="12">
        <f t="shared" si="0"/>
        <v>1.72</v>
      </c>
      <c r="D72" s="8">
        <v>0.16119039058685303</v>
      </c>
      <c r="E72" s="5">
        <f>MATCH(D72,'Route Data'!$C$7:$C$8,1)</f>
        <v>2</v>
      </c>
      <c r="F72" s="5">
        <f>INDEX('Route Data'!$D$7:$D$8,E72)</f>
        <v>1</v>
      </c>
      <c r="G72" s="5" t="str">
        <f>INDEX('Route Data'!$A$7:$A$8,E72)</f>
        <v>u18</v>
      </c>
      <c r="H72" s="5">
        <f>EnergyCoeff(INDEX('Route Data'!$K$7:$K$8,E72),INDEX('Route Data'!$L$7:$L$8,E72)*2*PI()/60,INDEX('Route Data'!$F$7:$F$8,E72))</f>
        <v>0.19430699130049439</v>
      </c>
      <c r="I72" s="5">
        <f>DischargeCoeff(INDEX('Route Data'!$I$7:$I$8,E72), INDEX('Route Data'!$L$7:$L$8,E72)*2*PI()/60, INDEX('Route Data'!$F$7:$F$8,E72))</f>
        <v>0.15939200179827354</v>
      </c>
      <c r="J72" s="8">
        <f>FlowAngleRel(INDEX('Route Data'!$J$7:$J$8,E72)*INDEX('Route Data'!$I$7:$I$8,E72), INDEX('Route Data'!$L$7:$L$8,E72)*2*PI()/60, INDEX('Route Data'!$F$7:$F$8,E72),INDEX('Route Data'!$O$7:$O$8,E72), INDEX('Route Data'!$P$7:$P$8,E72),INDEX('Route Data'!$M$7:$M$8,E72))</f>
        <v>1.130811765868994</v>
      </c>
      <c r="K72" s="8">
        <f>FlowAngleAbsT(INDEX('Route Data'!$K$7:$K$8,E72), INDEX('Route Data'!$I$7:$I$8,E72), INDEX('Route Data'!$I$7:$I$8,E72)*INDEX('Route Data'!$J$7:$J$8,E72), INDEX('Route Data'!$L$7:$L$8,E72)*2*PI()/60, INDEX('Route Data'!$F$7:$F$8,E72),INDEX('Route Data'!$O$7:$O$8,E72), INDEX('Route Data'!$P$7:$P$8,E72), INDEX('Route Data'!$H$7:$H$8,E72), INDEX('Route Data'!$Q$7:$Q$8,E72), INDEX('Route Data'!$M$7:$M$8,E72))</f>
        <v>0.51617226640175828</v>
      </c>
      <c r="L72" s="5">
        <f>INDEX('Route Data'!$N$7:$N$8,E72)</f>
        <v>0.4</v>
      </c>
      <c r="M72" s="8">
        <v>0.29060637950897217</v>
      </c>
      <c r="N72" s="8">
        <f>ProbStrikeFrancis(K72, I72, L72, INDEX('Route Data'!$G$7:$G$8,E72),C72, INDEX('Route Data'!$F$7:$F$8,E72), INDEX('Route Data'!$O$7:$O$8,E72), INDEX('Route Data'!$H$7:$H$18,E72))</f>
        <v>1</v>
      </c>
      <c r="O72" s="5" t="str">
        <f>IF(F72&gt;=1,IF(M72&lt;=N72,"STRIKE","pass"),IF(M72&lt;=INDEX('Route Data'!$R$7:$R$8,E72),"NO PASS","pass"))</f>
        <v>STRIKE</v>
      </c>
      <c r="P72" s="5">
        <f>IF(F72&gt;=1,IF(M72&lt;=N72,1,0),IF(M72&lt;=INDEX('Route Data'!$R$7:$R$8,E72),-1,0))</f>
        <v>1</v>
      </c>
    </row>
    <row r="73" spans="1:16">
      <c r="A73" s="5">
        <v>63</v>
      </c>
      <c r="B73" s="12">
        <v>22.77</v>
      </c>
      <c r="C73" s="12">
        <f t="shared" si="0"/>
        <v>1.9</v>
      </c>
      <c r="D73" s="8">
        <v>0.77002626657485962</v>
      </c>
      <c r="E73" s="5">
        <f>MATCH(D73,'Route Data'!$C$7:$C$8,1)</f>
        <v>2</v>
      </c>
      <c r="F73" s="5">
        <f>INDEX('Route Data'!$D$7:$D$8,E73)</f>
        <v>1</v>
      </c>
      <c r="G73" s="5" t="str">
        <f>INDEX('Route Data'!$A$7:$A$8,E73)</f>
        <v>u18</v>
      </c>
      <c r="H73" s="5">
        <f>EnergyCoeff(INDEX('Route Data'!$K$7:$K$8,E73),INDEX('Route Data'!$L$7:$L$8,E73)*2*PI()/60,INDEX('Route Data'!$F$7:$F$8,E73))</f>
        <v>0.19430699130049439</v>
      </c>
      <c r="I73" s="5">
        <f>DischargeCoeff(INDEX('Route Data'!$I$7:$I$8,E73), INDEX('Route Data'!$L$7:$L$8,E73)*2*PI()/60, INDEX('Route Data'!$F$7:$F$8,E73))</f>
        <v>0.15939200179827354</v>
      </c>
      <c r="J73" s="8">
        <f>FlowAngleRel(INDEX('Route Data'!$J$7:$J$8,E73)*INDEX('Route Data'!$I$7:$I$8,E73), INDEX('Route Data'!$L$7:$L$8,E73)*2*PI()/60, INDEX('Route Data'!$F$7:$F$8,E73),INDEX('Route Data'!$O$7:$O$8,E73), INDEX('Route Data'!$P$7:$P$8,E73),INDEX('Route Data'!$M$7:$M$8,E73))</f>
        <v>1.130811765868994</v>
      </c>
      <c r="K73" s="8">
        <f>FlowAngleAbsT(INDEX('Route Data'!$K$7:$K$8,E73), INDEX('Route Data'!$I$7:$I$8,E73), INDEX('Route Data'!$I$7:$I$8,E73)*INDEX('Route Data'!$J$7:$J$8,E73), INDEX('Route Data'!$L$7:$L$8,E73)*2*PI()/60, INDEX('Route Data'!$F$7:$F$8,E73),INDEX('Route Data'!$O$7:$O$8,E73), INDEX('Route Data'!$P$7:$P$8,E73), INDEX('Route Data'!$H$7:$H$8,E73), INDEX('Route Data'!$Q$7:$Q$8,E73), INDEX('Route Data'!$M$7:$M$8,E73))</f>
        <v>0.51617226640175828</v>
      </c>
      <c r="L73" s="5">
        <f>INDEX('Route Data'!$N$7:$N$8,E73)</f>
        <v>0.4</v>
      </c>
      <c r="M73" s="8">
        <v>0.2412448525428772</v>
      </c>
      <c r="N73" s="8">
        <f>ProbStrikeFrancis(K73, I73, L73, INDEX('Route Data'!$G$7:$G$8,E73),C73, INDEX('Route Data'!$F$7:$F$8,E73), INDEX('Route Data'!$O$7:$O$8,E73), INDEX('Route Data'!$H$7:$H$18,E73))</f>
        <v>1</v>
      </c>
      <c r="O73" s="5" t="str">
        <f>IF(F73&gt;=1,IF(M73&lt;=N73,"STRIKE","pass"),IF(M73&lt;=INDEX('Route Data'!$R$7:$R$8,E73),"NO PASS","pass"))</f>
        <v>STRIKE</v>
      </c>
      <c r="P73" s="5">
        <f>IF(F73&gt;=1,IF(M73&lt;=N73,1,0),IF(M73&lt;=INDEX('Route Data'!$R$7:$R$8,E73),-1,0))</f>
        <v>1</v>
      </c>
    </row>
    <row r="74" spans="1:16">
      <c r="A74" s="5">
        <v>64</v>
      </c>
      <c r="B74" s="12">
        <v>24.45</v>
      </c>
      <c r="C74" s="12">
        <f t="shared" si="0"/>
        <v>2.04</v>
      </c>
      <c r="D74" s="8">
        <v>0.67793941497802734</v>
      </c>
      <c r="E74" s="5">
        <f>MATCH(D74,'Route Data'!$C$7:$C$8,1)</f>
        <v>2</v>
      </c>
      <c r="F74" s="5">
        <f>INDEX('Route Data'!$D$7:$D$8,E74)</f>
        <v>1</v>
      </c>
      <c r="G74" s="5" t="str">
        <f>INDEX('Route Data'!$A$7:$A$8,E74)</f>
        <v>u18</v>
      </c>
      <c r="H74" s="5">
        <f>EnergyCoeff(INDEX('Route Data'!$K$7:$K$8,E74),INDEX('Route Data'!$L$7:$L$8,E74)*2*PI()/60,INDEX('Route Data'!$F$7:$F$8,E74))</f>
        <v>0.19430699130049439</v>
      </c>
      <c r="I74" s="5">
        <f>DischargeCoeff(INDEX('Route Data'!$I$7:$I$8,E74), INDEX('Route Data'!$L$7:$L$8,E74)*2*PI()/60, INDEX('Route Data'!$F$7:$F$8,E74))</f>
        <v>0.15939200179827354</v>
      </c>
      <c r="J74" s="8">
        <f>FlowAngleRel(INDEX('Route Data'!$J$7:$J$8,E74)*INDEX('Route Data'!$I$7:$I$8,E74), INDEX('Route Data'!$L$7:$L$8,E74)*2*PI()/60, INDEX('Route Data'!$F$7:$F$8,E74),INDEX('Route Data'!$O$7:$O$8,E74), INDEX('Route Data'!$P$7:$P$8,E74),INDEX('Route Data'!$M$7:$M$8,E74))</f>
        <v>1.130811765868994</v>
      </c>
      <c r="K74" s="8">
        <f>FlowAngleAbsT(INDEX('Route Data'!$K$7:$K$8,E74), INDEX('Route Data'!$I$7:$I$8,E74), INDEX('Route Data'!$I$7:$I$8,E74)*INDEX('Route Data'!$J$7:$J$8,E74), INDEX('Route Data'!$L$7:$L$8,E74)*2*PI()/60, INDEX('Route Data'!$F$7:$F$8,E74),INDEX('Route Data'!$O$7:$O$8,E74), INDEX('Route Data'!$P$7:$P$8,E74), INDEX('Route Data'!$H$7:$H$8,E74), INDEX('Route Data'!$Q$7:$Q$8,E74), INDEX('Route Data'!$M$7:$M$8,E74))</f>
        <v>0.51617226640175828</v>
      </c>
      <c r="L74" s="5">
        <f>INDEX('Route Data'!$N$7:$N$8,E74)</f>
        <v>0.4</v>
      </c>
      <c r="M74" s="8">
        <v>0.12375020980834961</v>
      </c>
      <c r="N74" s="8">
        <f>ProbStrikeFrancis(K74, I74, L74, INDEX('Route Data'!$G$7:$G$8,E74),C74, INDEX('Route Data'!$F$7:$F$8,E74), INDEX('Route Data'!$O$7:$O$8,E74), INDEX('Route Data'!$H$7:$H$18,E74))</f>
        <v>1</v>
      </c>
      <c r="O74" s="5" t="str">
        <f>IF(F74&gt;=1,IF(M74&lt;=N74,"STRIKE","pass"),IF(M74&lt;=INDEX('Route Data'!$R$7:$R$8,E74),"NO PASS","pass"))</f>
        <v>STRIKE</v>
      </c>
      <c r="P74" s="5">
        <f>IF(F74&gt;=1,IF(M74&lt;=N74,1,0),IF(M74&lt;=INDEX('Route Data'!$R$7:$R$8,E74),-1,0))</f>
        <v>1</v>
      </c>
    </row>
    <row r="75" spans="1:16">
      <c r="A75" s="5">
        <v>65</v>
      </c>
      <c r="B75" s="12">
        <v>21.73</v>
      </c>
      <c r="C75" s="12">
        <f t="shared" ref="C75:C138" si="1">ROUND(B75/12,2)</f>
        <v>1.81</v>
      </c>
      <c r="D75" s="8">
        <v>0.68862074613571167</v>
      </c>
      <c r="E75" s="5">
        <f>MATCH(D75,'Route Data'!$C$7:$C$8,1)</f>
        <v>2</v>
      </c>
      <c r="F75" s="5">
        <f>INDEX('Route Data'!$D$7:$D$8,E75)</f>
        <v>1</v>
      </c>
      <c r="G75" s="5" t="str">
        <f>INDEX('Route Data'!$A$7:$A$8,E75)</f>
        <v>u18</v>
      </c>
      <c r="H75" s="5">
        <f>EnergyCoeff(INDEX('Route Data'!$K$7:$K$8,E75),INDEX('Route Data'!$L$7:$L$8,E75)*2*PI()/60,INDEX('Route Data'!$F$7:$F$8,E75))</f>
        <v>0.19430699130049439</v>
      </c>
      <c r="I75" s="5">
        <f>DischargeCoeff(INDEX('Route Data'!$I$7:$I$8,E75), INDEX('Route Data'!$L$7:$L$8,E75)*2*PI()/60, INDEX('Route Data'!$F$7:$F$8,E75))</f>
        <v>0.15939200179827354</v>
      </c>
      <c r="J75" s="8">
        <f>FlowAngleRel(INDEX('Route Data'!$J$7:$J$8,E75)*INDEX('Route Data'!$I$7:$I$8,E75), INDEX('Route Data'!$L$7:$L$8,E75)*2*PI()/60, INDEX('Route Data'!$F$7:$F$8,E75),INDEX('Route Data'!$O$7:$O$8,E75), INDEX('Route Data'!$P$7:$P$8,E75),INDEX('Route Data'!$M$7:$M$8,E75))</f>
        <v>1.130811765868994</v>
      </c>
      <c r="K75" s="8">
        <f>FlowAngleAbsT(INDEX('Route Data'!$K$7:$K$8,E75), INDEX('Route Data'!$I$7:$I$8,E75), INDEX('Route Data'!$I$7:$I$8,E75)*INDEX('Route Data'!$J$7:$J$8,E75), INDEX('Route Data'!$L$7:$L$8,E75)*2*PI()/60, INDEX('Route Data'!$F$7:$F$8,E75),INDEX('Route Data'!$O$7:$O$8,E75), INDEX('Route Data'!$P$7:$P$8,E75), INDEX('Route Data'!$H$7:$H$8,E75), INDEX('Route Data'!$Q$7:$Q$8,E75), INDEX('Route Data'!$M$7:$M$8,E75))</f>
        <v>0.51617226640175828</v>
      </c>
      <c r="L75" s="5">
        <f>INDEX('Route Data'!$N$7:$N$8,E75)</f>
        <v>0.4</v>
      </c>
      <c r="M75" s="8">
        <v>0.47623413801193237</v>
      </c>
      <c r="N75" s="8">
        <f>ProbStrikeFrancis(K75, I75, L75, INDEX('Route Data'!$G$7:$G$8,E75),C75, INDEX('Route Data'!$F$7:$F$8,E75), INDEX('Route Data'!$O$7:$O$8,E75), INDEX('Route Data'!$H$7:$H$18,E75))</f>
        <v>1</v>
      </c>
      <c r="O75" s="5" t="str">
        <f>IF(F75&gt;=1,IF(M75&lt;=N75,"STRIKE","pass"),IF(M75&lt;=INDEX('Route Data'!$R$7:$R$8,E75),"NO PASS","pass"))</f>
        <v>STRIKE</v>
      </c>
      <c r="P75" s="5">
        <f>IF(F75&gt;=1,IF(M75&lt;=N75,1,0),IF(M75&lt;=INDEX('Route Data'!$R$7:$R$8,E75),-1,0))</f>
        <v>1</v>
      </c>
    </row>
    <row r="76" spans="1:16">
      <c r="A76" s="5">
        <v>66</v>
      </c>
      <c r="B76" s="12">
        <v>21.68</v>
      </c>
      <c r="C76" s="12">
        <f t="shared" si="1"/>
        <v>1.81</v>
      </c>
      <c r="D76" s="8">
        <v>0.65657675266265869</v>
      </c>
      <c r="E76" s="5">
        <f>MATCH(D76,'Route Data'!$C$7:$C$8,1)</f>
        <v>2</v>
      </c>
      <c r="F76" s="5">
        <f>INDEX('Route Data'!$D$7:$D$8,E76)</f>
        <v>1</v>
      </c>
      <c r="G76" s="5" t="str">
        <f>INDEX('Route Data'!$A$7:$A$8,E76)</f>
        <v>u18</v>
      </c>
      <c r="H76" s="5">
        <f>EnergyCoeff(INDEX('Route Data'!$K$7:$K$8,E76),INDEX('Route Data'!$L$7:$L$8,E76)*2*PI()/60,INDEX('Route Data'!$F$7:$F$8,E76))</f>
        <v>0.19430699130049439</v>
      </c>
      <c r="I76" s="5">
        <f>DischargeCoeff(INDEX('Route Data'!$I$7:$I$8,E76), INDEX('Route Data'!$L$7:$L$8,E76)*2*PI()/60, INDEX('Route Data'!$F$7:$F$8,E76))</f>
        <v>0.15939200179827354</v>
      </c>
      <c r="J76" s="8">
        <f>FlowAngleRel(INDEX('Route Data'!$J$7:$J$8,E76)*INDEX('Route Data'!$I$7:$I$8,E76), INDEX('Route Data'!$L$7:$L$8,E76)*2*PI()/60, INDEX('Route Data'!$F$7:$F$8,E76),INDEX('Route Data'!$O$7:$O$8,E76), INDEX('Route Data'!$P$7:$P$8,E76),INDEX('Route Data'!$M$7:$M$8,E76))</f>
        <v>1.130811765868994</v>
      </c>
      <c r="K76" s="8">
        <f>FlowAngleAbsT(INDEX('Route Data'!$K$7:$K$8,E76), INDEX('Route Data'!$I$7:$I$8,E76), INDEX('Route Data'!$I$7:$I$8,E76)*INDEX('Route Data'!$J$7:$J$8,E76), INDEX('Route Data'!$L$7:$L$8,E76)*2*PI()/60, INDEX('Route Data'!$F$7:$F$8,E76),INDEX('Route Data'!$O$7:$O$8,E76), INDEX('Route Data'!$P$7:$P$8,E76), INDEX('Route Data'!$H$7:$H$8,E76), INDEX('Route Data'!$Q$7:$Q$8,E76), INDEX('Route Data'!$M$7:$M$8,E76))</f>
        <v>0.51617226640175828</v>
      </c>
      <c r="L76" s="5">
        <f>INDEX('Route Data'!$N$7:$N$8,E76)</f>
        <v>0.4</v>
      </c>
      <c r="M76" s="8">
        <v>0.41878235340118408</v>
      </c>
      <c r="N76" s="8">
        <f>ProbStrikeFrancis(K76, I76, L76, INDEX('Route Data'!$G$7:$G$8,E76),C76, INDEX('Route Data'!$F$7:$F$8,E76), INDEX('Route Data'!$O$7:$O$8,E76), INDEX('Route Data'!$H$7:$H$18,E76))</f>
        <v>1</v>
      </c>
      <c r="O76" s="5" t="str">
        <f>IF(F76&gt;=1,IF(M76&lt;=N76,"STRIKE","pass"),IF(M76&lt;=INDEX('Route Data'!$R$7:$R$8,E76),"NO PASS","pass"))</f>
        <v>STRIKE</v>
      </c>
      <c r="P76" s="5">
        <f>IF(F76&gt;=1,IF(M76&lt;=N76,1,0),IF(M76&lt;=INDEX('Route Data'!$R$7:$R$8,E76),-1,0))</f>
        <v>1</v>
      </c>
    </row>
    <row r="77" spans="1:16">
      <c r="A77" s="5">
        <v>67</v>
      </c>
      <c r="B77" s="12">
        <v>19.350000000000001</v>
      </c>
      <c r="C77" s="12">
        <f t="shared" si="1"/>
        <v>1.61</v>
      </c>
      <c r="D77" s="8">
        <v>0.75270873308181763</v>
      </c>
      <c r="E77" s="5">
        <f>MATCH(D77,'Route Data'!$C$7:$C$8,1)</f>
        <v>2</v>
      </c>
      <c r="F77" s="5">
        <f>INDEX('Route Data'!$D$7:$D$8,E77)</f>
        <v>1</v>
      </c>
      <c r="G77" s="5" t="str">
        <f>INDEX('Route Data'!$A$7:$A$8,E77)</f>
        <v>u18</v>
      </c>
      <c r="H77" s="5">
        <f>EnergyCoeff(INDEX('Route Data'!$K$7:$K$8,E77),INDEX('Route Data'!$L$7:$L$8,E77)*2*PI()/60,INDEX('Route Data'!$F$7:$F$8,E77))</f>
        <v>0.19430699130049439</v>
      </c>
      <c r="I77" s="5">
        <f>DischargeCoeff(INDEX('Route Data'!$I$7:$I$8,E77), INDEX('Route Data'!$L$7:$L$8,E77)*2*PI()/60, INDEX('Route Data'!$F$7:$F$8,E77))</f>
        <v>0.15939200179827354</v>
      </c>
      <c r="J77" s="8">
        <f>FlowAngleRel(INDEX('Route Data'!$J$7:$J$8,E77)*INDEX('Route Data'!$I$7:$I$8,E77), INDEX('Route Data'!$L$7:$L$8,E77)*2*PI()/60, INDEX('Route Data'!$F$7:$F$8,E77),INDEX('Route Data'!$O$7:$O$8,E77), INDEX('Route Data'!$P$7:$P$8,E77),INDEX('Route Data'!$M$7:$M$8,E77))</f>
        <v>1.130811765868994</v>
      </c>
      <c r="K77" s="8">
        <f>FlowAngleAbsT(INDEX('Route Data'!$K$7:$K$8,E77), INDEX('Route Data'!$I$7:$I$8,E77), INDEX('Route Data'!$I$7:$I$8,E77)*INDEX('Route Data'!$J$7:$J$8,E77), INDEX('Route Data'!$L$7:$L$8,E77)*2*PI()/60, INDEX('Route Data'!$F$7:$F$8,E77),INDEX('Route Data'!$O$7:$O$8,E77), INDEX('Route Data'!$P$7:$P$8,E77), INDEX('Route Data'!$H$7:$H$8,E77), INDEX('Route Data'!$Q$7:$Q$8,E77), INDEX('Route Data'!$M$7:$M$8,E77))</f>
        <v>0.51617226640175828</v>
      </c>
      <c r="L77" s="5">
        <f>INDEX('Route Data'!$N$7:$N$8,E77)</f>
        <v>0.4</v>
      </c>
      <c r="M77" s="8">
        <v>0.85671693086624146</v>
      </c>
      <c r="N77" s="8">
        <f>ProbStrikeFrancis(K77, I77, L77, INDEX('Route Data'!$G$7:$G$8,E77),C77, INDEX('Route Data'!$F$7:$F$8,E77), INDEX('Route Data'!$O$7:$O$8,E77), INDEX('Route Data'!$H$7:$H$18,E77))</f>
        <v>1</v>
      </c>
      <c r="O77" s="5" t="str">
        <f>IF(F77&gt;=1,IF(M77&lt;=N77,"STRIKE","pass"),IF(M77&lt;=INDEX('Route Data'!$R$7:$R$8,E77),"NO PASS","pass"))</f>
        <v>STRIKE</v>
      </c>
      <c r="P77" s="5">
        <f>IF(F77&gt;=1,IF(M77&lt;=N77,1,0),IF(M77&lt;=INDEX('Route Data'!$R$7:$R$8,E77),-1,0))</f>
        <v>1</v>
      </c>
    </row>
    <row r="78" spans="1:16">
      <c r="A78" s="5">
        <v>68</v>
      </c>
      <c r="B78" s="12">
        <v>26.37</v>
      </c>
      <c r="C78" s="12">
        <f t="shared" si="1"/>
        <v>2.2000000000000002</v>
      </c>
      <c r="D78" s="8">
        <v>0.46431279182434082</v>
      </c>
      <c r="E78" s="5">
        <f>MATCH(D78,'Route Data'!$C$7:$C$8,1)</f>
        <v>2</v>
      </c>
      <c r="F78" s="5">
        <f>INDEX('Route Data'!$D$7:$D$8,E78)</f>
        <v>1</v>
      </c>
      <c r="G78" s="5" t="str">
        <f>INDEX('Route Data'!$A$7:$A$8,E78)</f>
        <v>u18</v>
      </c>
      <c r="H78" s="5">
        <f>EnergyCoeff(INDEX('Route Data'!$K$7:$K$8,E78),INDEX('Route Data'!$L$7:$L$8,E78)*2*PI()/60,INDEX('Route Data'!$F$7:$F$8,E78))</f>
        <v>0.19430699130049439</v>
      </c>
      <c r="I78" s="5">
        <f>DischargeCoeff(INDEX('Route Data'!$I$7:$I$8,E78), INDEX('Route Data'!$L$7:$L$8,E78)*2*PI()/60, INDEX('Route Data'!$F$7:$F$8,E78))</f>
        <v>0.15939200179827354</v>
      </c>
      <c r="J78" s="8">
        <f>FlowAngleRel(INDEX('Route Data'!$J$7:$J$8,E78)*INDEX('Route Data'!$I$7:$I$8,E78), INDEX('Route Data'!$L$7:$L$8,E78)*2*PI()/60, INDEX('Route Data'!$F$7:$F$8,E78),INDEX('Route Data'!$O$7:$O$8,E78), INDEX('Route Data'!$P$7:$P$8,E78),INDEX('Route Data'!$M$7:$M$8,E78))</f>
        <v>1.130811765868994</v>
      </c>
      <c r="K78" s="8">
        <f>FlowAngleAbsT(INDEX('Route Data'!$K$7:$K$8,E78), INDEX('Route Data'!$I$7:$I$8,E78), INDEX('Route Data'!$I$7:$I$8,E78)*INDEX('Route Data'!$J$7:$J$8,E78), INDEX('Route Data'!$L$7:$L$8,E78)*2*PI()/60, INDEX('Route Data'!$F$7:$F$8,E78),INDEX('Route Data'!$O$7:$O$8,E78), INDEX('Route Data'!$P$7:$P$8,E78), INDEX('Route Data'!$H$7:$H$8,E78), INDEX('Route Data'!$Q$7:$Q$8,E78), INDEX('Route Data'!$M$7:$M$8,E78))</f>
        <v>0.51617226640175828</v>
      </c>
      <c r="L78" s="5">
        <f>INDEX('Route Data'!$N$7:$N$8,E78)</f>
        <v>0.4</v>
      </c>
      <c r="M78" s="8">
        <v>0.54291319847106934</v>
      </c>
      <c r="N78" s="8">
        <f>ProbStrikeFrancis(K78, I78, L78, INDEX('Route Data'!$G$7:$G$8,E78),C78, INDEX('Route Data'!$F$7:$F$8,E78), INDEX('Route Data'!$O$7:$O$8,E78), INDEX('Route Data'!$H$7:$H$18,E78))</f>
        <v>1</v>
      </c>
      <c r="O78" s="5" t="str">
        <f>IF(F78&gt;=1,IF(M78&lt;=N78,"STRIKE","pass"),IF(M78&lt;=INDEX('Route Data'!$R$7:$R$8,E78),"NO PASS","pass"))</f>
        <v>STRIKE</v>
      </c>
      <c r="P78" s="5">
        <f>IF(F78&gt;=1,IF(M78&lt;=N78,1,0),IF(M78&lt;=INDEX('Route Data'!$R$7:$R$8,E78),-1,0))</f>
        <v>1</v>
      </c>
    </row>
    <row r="79" spans="1:16">
      <c r="A79" s="5">
        <v>69</v>
      </c>
      <c r="B79" s="12">
        <v>21.8</v>
      </c>
      <c r="C79" s="12">
        <f t="shared" si="1"/>
        <v>1.82</v>
      </c>
      <c r="D79" s="8">
        <v>0.32950061559677124</v>
      </c>
      <c r="E79" s="5">
        <f>MATCH(D79,'Route Data'!$C$7:$C$8,1)</f>
        <v>2</v>
      </c>
      <c r="F79" s="5">
        <f>INDEX('Route Data'!$D$7:$D$8,E79)</f>
        <v>1</v>
      </c>
      <c r="G79" s="5" t="str">
        <f>INDEX('Route Data'!$A$7:$A$8,E79)</f>
        <v>u18</v>
      </c>
      <c r="H79" s="5">
        <f>EnergyCoeff(INDEX('Route Data'!$K$7:$K$8,E79),INDEX('Route Data'!$L$7:$L$8,E79)*2*PI()/60,INDEX('Route Data'!$F$7:$F$8,E79))</f>
        <v>0.19430699130049439</v>
      </c>
      <c r="I79" s="5">
        <f>DischargeCoeff(INDEX('Route Data'!$I$7:$I$8,E79), INDEX('Route Data'!$L$7:$L$8,E79)*2*PI()/60, INDEX('Route Data'!$F$7:$F$8,E79))</f>
        <v>0.15939200179827354</v>
      </c>
      <c r="J79" s="8">
        <f>FlowAngleRel(INDEX('Route Data'!$J$7:$J$8,E79)*INDEX('Route Data'!$I$7:$I$8,E79), INDEX('Route Data'!$L$7:$L$8,E79)*2*PI()/60, INDEX('Route Data'!$F$7:$F$8,E79),INDEX('Route Data'!$O$7:$O$8,E79), INDEX('Route Data'!$P$7:$P$8,E79),INDEX('Route Data'!$M$7:$M$8,E79))</f>
        <v>1.130811765868994</v>
      </c>
      <c r="K79" s="8">
        <f>FlowAngleAbsT(INDEX('Route Data'!$K$7:$K$8,E79), INDEX('Route Data'!$I$7:$I$8,E79), INDEX('Route Data'!$I$7:$I$8,E79)*INDEX('Route Data'!$J$7:$J$8,E79), INDEX('Route Data'!$L$7:$L$8,E79)*2*PI()/60, INDEX('Route Data'!$F$7:$F$8,E79),INDEX('Route Data'!$O$7:$O$8,E79), INDEX('Route Data'!$P$7:$P$8,E79), INDEX('Route Data'!$H$7:$H$8,E79), INDEX('Route Data'!$Q$7:$Q$8,E79), INDEX('Route Data'!$M$7:$M$8,E79))</f>
        <v>0.51617226640175828</v>
      </c>
      <c r="L79" s="5">
        <f>INDEX('Route Data'!$N$7:$N$8,E79)</f>
        <v>0.4</v>
      </c>
      <c r="M79" s="8">
        <v>0.74990361928939819</v>
      </c>
      <c r="N79" s="8">
        <f>ProbStrikeFrancis(K79, I79, L79, INDEX('Route Data'!$G$7:$G$8,E79),C79, INDEX('Route Data'!$F$7:$F$8,E79), INDEX('Route Data'!$O$7:$O$8,E79), INDEX('Route Data'!$H$7:$H$18,E79))</f>
        <v>1</v>
      </c>
      <c r="O79" s="5" t="str">
        <f>IF(F79&gt;=1,IF(M79&lt;=N79,"STRIKE","pass"),IF(M79&lt;=INDEX('Route Data'!$R$7:$R$8,E79),"NO PASS","pass"))</f>
        <v>STRIKE</v>
      </c>
      <c r="P79" s="5">
        <f>IF(F79&gt;=1,IF(M79&lt;=N79,1,0),IF(M79&lt;=INDEX('Route Data'!$R$7:$R$8,E79),-1,0))</f>
        <v>1</v>
      </c>
    </row>
    <row r="80" spans="1:16">
      <c r="A80" s="5">
        <v>70</v>
      </c>
      <c r="B80" s="12">
        <v>25.65</v>
      </c>
      <c r="C80" s="12">
        <f t="shared" si="1"/>
        <v>2.14</v>
      </c>
      <c r="D80" s="8">
        <v>0.46835792064666748</v>
      </c>
      <c r="E80" s="5">
        <f>MATCH(D80,'Route Data'!$C$7:$C$8,1)</f>
        <v>2</v>
      </c>
      <c r="F80" s="5">
        <f>INDEX('Route Data'!$D$7:$D$8,E80)</f>
        <v>1</v>
      </c>
      <c r="G80" s="5" t="str">
        <f>INDEX('Route Data'!$A$7:$A$8,E80)</f>
        <v>u18</v>
      </c>
      <c r="H80" s="5">
        <f>EnergyCoeff(INDEX('Route Data'!$K$7:$K$8,E80),INDEX('Route Data'!$L$7:$L$8,E80)*2*PI()/60,INDEX('Route Data'!$F$7:$F$8,E80))</f>
        <v>0.19430699130049439</v>
      </c>
      <c r="I80" s="5">
        <f>DischargeCoeff(INDEX('Route Data'!$I$7:$I$8,E80), INDEX('Route Data'!$L$7:$L$8,E80)*2*PI()/60, INDEX('Route Data'!$F$7:$F$8,E80))</f>
        <v>0.15939200179827354</v>
      </c>
      <c r="J80" s="8">
        <f>FlowAngleRel(INDEX('Route Data'!$J$7:$J$8,E80)*INDEX('Route Data'!$I$7:$I$8,E80), INDEX('Route Data'!$L$7:$L$8,E80)*2*PI()/60, INDEX('Route Data'!$F$7:$F$8,E80),INDEX('Route Data'!$O$7:$O$8,E80), INDEX('Route Data'!$P$7:$P$8,E80),INDEX('Route Data'!$M$7:$M$8,E80))</f>
        <v>1.130811765868994</v>
      </c>
      <c r="K80" s="8">
        <f>FlowAngleAbsT(INDEX('Route Data'!$K$7:$K$8,E80), INDEX('Route Data'!$I$7:$I$8,E80), INDEX('Route Data'!$I$7:$I$8,E80)*INDEX('Route Data'!$J$7:$J$8,E80), INDEX('Route Data'!$L$7:$L$8,E80)*2*PI()/60, INDEX('Route Data'!$F$7:$F$8,E80),INDEX('Route Data'!$O$7:$O$8,E80), INDEX('Route Data'!$P$7:$P$8,E80), INDEX('Route Data'!$H$7:$H$8,E80), INDEX('Route Data'!$Q$7:$Q$8,E80), INDEX('Route Data'!$M$7:$M$8,E80))</f>
        <v>0.51617226640175828</v>
      </c>
      <c r="L80" s="5">
        <f>INDEX('Route Data'!$N$7:$N$8,E80)</f>
        <v>0.4</v>
      </c>
      <c r="M80" s="8">
        <v>0.86335313320159912</v>
      </c>
      <c r="N80" s="8">
        <f>ProbStrikeFrancis(K80, I80, L80, INDEX('Route Data'!$G$7:$G$8,E80),C80, INDEX('Route Data'!$F$7:$F$8,E80), INDEX('Route Data'!$O$7:$O$8,E80), INDEX('Route Data'!$H$7:$H$18,E80))</f>
        <v>1</v>
      </c>
      <c r="O80" s="5" t="str">
        <f>IF(F80&gt;=1,IF(M80&lt;=N80,"STRIKE","pass"),IF(M80&lt;=INDEX('Route Data'!$R$7:$R$8,E80),"NO PASS","pass"))</f>
        <v>STRIKE</v>
      </c>
      <c r="P80" s="5">
        <f>IF(F80&gt;=1,IF(M80&lt;=N80,1,0),IF(M80&lt;=INDEX('Route Data'!$R$7:$R$8,E80),-1,0))</f>
        <v>1</v>
      </c>
    </row>
    <row r="81" spans="1:16">
      <c r="A81" s="5">
        <v>71</v>
      </c>
      <c r="B81" s="12">
        <v>18.329999999999998</v>
      </c>
      <c r="C81" s="12">
        <f t="shared" si="1"/>
        <v>1.53</v>
      </c>
      <c r="D81" s="8">
        <v>5.178600549697876E-2</v>
      </c>
      <c r="E81" s="5">
        <f>MATCH(D81,'Route Data'!$C$7:$C$8,1)</f>
        <v>2</v>
      </c>
      <c r="F81" s="5">
        <f>INDEX('Route Data'!$D$7:$D$8,E81)</f>
        <v>1</v>
      </c>
      <c r="G81" s="5" t="str">
        <f>INDEX('Route Data'!$A$7:$A$8,E81)</f>
        <v>u18</v>
      </c>
      <c r="H81" s="5">
        <f>EnergyCoeff(INDEX('Route Data'!$K$7:$K$8,E81),INDEX('Route Data'!$L$7:$L$8,E81)*2*PI()/60,INDEX('Route Data'!$F$7:$F$8,E81))</f>
        <v>0.19430699130049439</v>
      </c>
      <c r="I81" s="5">
        <f>DischargeCoeff(INDEX('Route Data'!$I$7:$I$8,E81), INDEX('Route Data'!$L$7:$L$8,E81)*2*PI()/60, INDEX('Route Data'!$F$7:$F$8,E81))</f>
        <v>0.15939200179827354</v>
      </c>
      <c r="J81" s="8">
        <f>FlowAngleRel(INDEX('Route Data'!$J$7:$J$8,E81)*INDEX('Route Data'!$I$7:$I$8,E81), INDEX('Route Data'!$L$7:$L$8,E81)*2*PI()/60, INDEX('Route Data'!$F$7:$F$8,E81),INDEX('Route Data'!$O$7:$O$8,E81), INDEX('Route Data'!$P$7:$P$8,E81),INDEX('Route Data'!$M$7:$M$8,E81))</f>
        <v>1.130811765868994</v>
      </c>
      <c r="K81" s="8">
        <f>FlowAngleAbsT(INDEX('Route Data'!$K$7:$K$8,E81), INDEX('Route Data'!$I$7:$I$8,E81), INDEX('Route Data'!$I$7:$I$8,E81)*INDEX('Route Data'!$J$7:$J$8,E81), INDEX('Route Data'!$L$7:$L$8,E81)*2*PI()/60, INDEX('Route Data'!$F$7:$F$8,E81),INDEX('Route Data'!$O$7:$O$8,E81), INDEX('Route Data'!$P$7:$P$8,E81), INDEX('Route Data'!$H$7:$H$8,E81), INDEX('Route Data'!$Q$7:$Q$8,E81), INDEX('Route Data'!$M$7:$M$8,E81))</f>
        <v>0.51617226640175828</v>
      </c>
      <c r="L81" s="5">
        <f>INDEX('Route Data'!$N$7:$N$8,E81)</f>
        <v>0.4</v>
      </c>
      <c r="M81" s="8">
        <v>0.78858381509780884</v>
      </c>
      <c r="N81" s="8">
        <f>ProbStrikeFrancis(K81, I81, L81, INDEX('Route Data'!$G$7:$G$8,E81),C81, INDEX('Route Data'!$F$7:$F$8,E81), INDEX('Route Data'!$O$7:$O$8,E81), INDEX('Route Data'!$H$7:$H$18,E81))</f>
        <v>1</v>
      </c>
      <c r="O81" s="5" t="str">
        <f>IF(F81&gt;=1,IF(M81&lt;=N81,"STRIKE","pass"),IF(M81&lt;=INDEX('Route Data'!$R$7:$R$8,E81),"NO PASS","pass"))</f>
        <v>STRIKE</v>
      </c>
      <c r="P81" s="5">
        <f>IF(F81&gt;=1,IF(M81&lt;=N81,1,0),IF(M81&lt;=INDEX('Route Data'!$R$7:$R$8,E81),-1,0))</f>
        <v>1</v>
      </c>
    </row>
    <row r="82" spans="1:16">
      <c r="A82" s="5">
        <v>72</v>
      </c>
      <c r="B82" s="12">
        <v>21.37</v>
      </c>
      <c r="C82" s="12">
        <f t="shared" si="1"/>
        <v>1.78</v>
      </c>
      <c r="D82" s="8">
        <v>0.56708097457885742</v>
      </c>
      <c r="E82" s="5">
        <f>MATCH(D82,'Route Data'!$C$7:$C$8,1)</f>
        <v>2</v>
      </c>
      <c r="F82" s="5">
        <f>INDEX('Route Data'!$D$7:$D$8,E82)</f>
        <v>1</v>
      </c>
      <c r="G82" s="5" t="str">
        <f>INDEX('Route Data'!$A$7:$A$8,E82)</f>
        <v>u18</v>
      </c>
      <c r="H82" s="5">
        <f>EnergyCoeff(INDEX('Route Data'!$K$7:$K$8,E82),INDEX('Route Data'!$L$7:$L$8,E82)*2*PI()/60,INDEX('Route Data'!$F$7:$F$8,E82))</f>
        <v>0.19430699130049439</v>
      </c>
      <c r="I82" s="5">
        <f>DischargeCoeff(INDEX('Route Data'!$I$7:$I$8,E82), INDEX('Route Data'!$L$7:$L$8,E82)*2*PI()/60, INDEX('Route Data'!$F$7:$F$8,E82))</f>
        <v>0.15939200179827354</v>
      </c>
      <c r="J82" s="8">
        <f>FlowAngleRel(INDEX('Route Data'!$J$7:$J$8,E82)*INDEX('Route Data'!$I$7:$I$8,E82), INDEX('Route Data'!$L$7:$L$8,E82)*2*PI()/60, INDEX('Route Data'!$F$7:$F$8,E82),INDEX('Route Data'!$O$7:$O$8,E82), INDEX('Route Data'!$P$7:$P$8,E82),INDEX('Route Data'!$M$7:$M$8,E82))</f>
        <v>1.130811765868994</v>
      </c>
      <c r="K82" s="8">
        <f>FlowAngleAbsT(INDEX('Route Data'!$K$7:$K$8,E82), INDEX('Route Data'!$I$7:$I$8,E82), INDEX('Route Data'!$I$7:$I$8,E82)*INDEX('Route Data'!$J$7:$J$8,E82), INDEX('Route Data'!$L$7:$L$8,E82)*2*PI()/60, INDEX('Route Data'!$F$7:$F$8,E82),INDEX('Route Data'!$O$7:$O$8,E82), INDEX('Route Data'!$P$7:$P$8,E82), INDEX('Route Data'!$H$7:$H$8,E82), INDEX('Route Data'!$Q$7:$Q$8,E82), INDEX('Route Data'!$M$7:$M$8,E82))</f>
        <v>0.51617226640175828</v>
      </c>
      <c r="L82" s="5">
        <f>INDEX('Route Data'!$N$7:$N$8,E82)</f>
        <v>0.4</v>
      </c>
      <c r="M82" s="8">
        <v>1.2891769409179688E-2</v>
      </c>
      <c r="N82" s="8">
        <f>ProbStrikeFrancis(K82, I82, L82, INDEX('Route Data'!$G$7:$G$8,E82),C82, INDEX('Route Data'!$F$7:$F$8,E82), INDEX('Route Data'!$O$7:$O$8,E82), INDEX('Route Data'!$H$7:$H$18,E82))</f>
        <v>1</v>
      </c>
      <c r="O82" s="5" t="str">
        <f>IF(F82&gt;=1,IF(M82&lt;=N82,"STRIKE","pass"),IF(M82&lt;=INDEX('Route Data'!$R$7:$R$8,E82),"NO PASS","pass"))</f>
        <v>STRIKE</v>
      </c>
      <c r="P82" s="5">
        <f>IF(F82&gt;=1,IF(M82&lt;=N82,1,0),IF(M82&lt;=INDEX('Route Data'!$R$7:$R$8,E82),-1,0))</f>
        <v>1</v>
      </c>
    </row>
    <row r="83" spans="1:16">
      <c r="A83" s="5">
        <v>73</v>
      </c>
      <c r="B83" s="12">
        <v>15.5</v>
      </c>
      <c r="C83" s="12">
        <f t="shared" si="1"/>
        <v>1.29</v>
      </c>
      <c r="D83" s="8">
        <v>0.28677529096603394</v>
      </c>
      <c r="E83" s="5">
        <f>MATCH(D83,'Route Data'!$C$7:$C$8,1)</f>
        <v>2</v>
      </c>
      <c r="F83" s="5">
        <f>INDEX('Route Data'!$D$7:$D$8,E83)</f>
        <v>1</v>
      </c>
      <c r="G83" s="5" t="str">
        <f>INDEX('Route Data'!$A$7:$A$8,E83)</f>
        <v>u18</v>
      </c>
      <c r="H83" s="5">
        <f>EnergyCoeff(INDEX('Route Data'!$K$7:$K$8,E83),INDEX('Route Data'!$L$7:$L$8,E83)*2*PI()/60,INDEX('Route Data'!$F$7:$F$8,E83))</f>
        <v>0.19430699130049439</v>
      </c>
      <c r="I83" s="5">
        <f>DischargeCoeff(INDEX('Route Data'!$I$7:$I$8,E83), INDEX('Route Data'!$L$7:$L$8,E83)*2*PI()/60, INDEX('Route Data'!$F$7:$F$8,E83))</f>
        <v>0.15939200179827354</v>
      </c>
      <c r="J83" s="8">
        <f>FlowAngleRel(INDEX('Route Data'!$J$7:$J$8,E83)*INDEX('Route Data'!$I$7:$I$8,E83), INDEX('Route Data'!$L$7:$L$8,E83)*2*PI()/60, INDEX('Route Data'!$F$7:$F$8,E83),INDEX('Route Data'!$O$7:$O$8,E83), INDEX('Route Data'!$P$7:$P$8,E83),INDEX('Route Data'!$M$7:$M$8,E83))</f>
        <v>1.130811765868994</v>
      </c>
      <c r="K83" s="8">
        <f>FlowAngleAbsT(INDEX('Route Data'!$K$7:$K$8,E83), INDEX('Route Data'!$I$7:$I$8,E83), INDEX('Route Data'!$I$7:$I$8,E83)*INDEX('Route Data'!$J$7:$J$8,E83), INDEX('Route Data'!$L$7:$L$8,E83)*2*PI()/60, INDEX('Route Data'!$F$7:$F$8,E83),INDEX('Route Data'!$O$7:$O$8,E83), INDEX('Route Data'!$P$7:$P$8,E83), INDEX('Route Data'!$H$7:$H$8,E83), INDEX('Route Data'!$Q$7:$Q$8,E83), INDEX('Route Data'!$M$7:$M$8,E83))</f>
        <v>0.51617226640175828</v>
      </c>
      <c r="L83" s="5">
        <f>INDEX('Route Data'!$N$7:$N$8,E83)</f>
        <v>0.4</v>
      </c>
      <c r="M83" s="8">
        <v>0.33996790647506714</v>
      </c>
      <c r="N83" s="8">
        <f>ProbStrikeFrancis(K83, I83, L83, INDEX('Route Data'!$G$7:$G$8,E83),C83, INDEX('Route Data'!$F$7:$F$8,E83), INDEX('Route Data'!$O$7:$O$8,E83), INDEX('Route Data'!$H$7:$H$18,E83))</f>
        <v>1</v>
      </c>
      <c r="O83" s="5" t="str">
        <f>IF(F83&gt;=1,IF(M83&lt;=N83,"STRIKE","pass"),IF(M83&lt;=INDEX('Route Data'!$R$7:$R$8,E83),"NO PASS","pass"))</f>
        <v>STRIKE</v>
      </c>
      <c r="P83" s="5">
        <f>IF(F83&gt;=1,IF(M83&lt;=N83,1,0),IF(M83&lt;=INDEX('Route Data'!$R$7:$R$8,E83),-1,0))</f>
        <v>1</v>
      </c>
    </row>
    <row r="84" spans="1:16">
      <c r="A84" s="5">
        <v>74</v>
      </c>
      <c r="B84" s="12">
        <v>21.19</v>
      </c>
      <c r="C84" s="12">
        <f t="shared" si="1"/>
        <v>1.77</v>
      </c>
      <c r="D84" s="8">
        <v>0.59653389453887939</v>
      </c>
      <c r="E84" s="5">
        <f>MATCH(D84,'Route Data'!$C$7:$C$8,1)</f>
        <v>2</v>
      </c>
      <c r="F84" s="5">
        <f>INDEX('Route Data'!$D$7:$D$8,E84)</f>
        <v>1</v>
      </c>
      <c r="G84" s="5" t="str">
        <f>INDEX('Route Data'!$A$7:$A$8,E84)</f>
        <v>u18</v>
      </c>
      <c r="H84" s="5">
        <f>EnergyCoeff(INDEX('Route Data'!$K$7:$K$8,E84),INDEX('Route Data'!$L$7:$L$8,E84)*2*PI()/60,INDEX('Route Data'!$F$7:$F$8,E84))</f>
        <v>0.19430699130049439</v>
      </c>
      <c r="I84" s="5">
        <f>DischargeCoeff(INDEX('Route Data'!$I$7:$I$8,E84), INDEX('Route Data'!$L$7:$L$8,E84)*2*PI()/60, INDEX('Route Data'!$F$7:$F$8,E84))</f>
        <v>0.15939200179827354</v>
      </c>
      <c r="J84" s="8">
        <f>FlowAngleRel(INDEX('Route Data'!$J$7:$J$8,E84)*INDEX('Route Data'!$I$7:$I$8,E84), INDEX('Route Data'!$L$7:$L$8,E84)*2*PI()/60, INDEX('Route Data'!$F$7:$F$8,E84),INDEX('Route Data'!$O$7:$O$8,E84), INDEX('Route Data'!$P$7:$P$8,E84),INDEX('Route Data'!$M$7:$M$8,E84))</f>
        <v>1.130811765868994</v>
      </c>
      <c r="K84" s="8">
        <f>FlowAngleAbsT(INDEX('Route Data'!$K$7:$K$8,E84), INDEX('Route Data'!$I$7:$I$8,E84), INDEX('Route Data'!$I$7:$I$8,E84)*INDEX('Route Data'!$J$7:$J$8,E84), INDEX('Route Data'!$L$7:$L$8,E84)*2*PI()/60, INDEX('Route Data'!$F$7:$F$8,E84),INDEX('Route Data'!$O$7:$O$8,E84), INDEX('Route Data'!$P$7:$P$8,E84), INDEX('Route Data'!$H$7:$H$8,E84), INDEX('Route Data'!$Q$7:$Q$8,E84), INDEX('Route Data'!$M$7:$M$8,E84))</f>
        <v>0.51617226640175828</v>
      </c>
      <c r="L84" s="5">
        <f>INDEX('Route Data'!$N$7:$N$8,E84)</f>
        <v>0.4</v>
      </c>
      <c r="M84" s="8">
        <v>0.35873949527740479</v>
      </c>
      <c r="N84" s="8">
        <f>ProbStrikeFrancis(K84, I84, L84, INDEX('Route Data'!$G$7:$G$8,E84),C84, INDEX('Route Data'!$F$7:$F$8,E84), INDEX('Route Data'!$O$7:$O$8,E84), INDEX('Route Data'!$H$7:$H$18,E84))</f>
        <v>1</v>
      </c>
      <c r="O84" s="5" t="str">
        <f>IF(F84&gt;=1,IF(M84&lt;=N84,"STRIKE","pass"),IF(M84&lt;=INDEX('Route Data'!$R$7:$R$8,E84),"NO PASS","pass"))</f>
        <v>STRIKE</v>
      </c>
      <c r="P84" s="5">
        <f>IF(F84&gt;=1,IF(M84&lt;=N84,1,0),IF(M84&lt;=INDEX('Route Data'!$R$7:$R$8,E84),-1,0))</f>
        <v>1</v>
      </c>
    </row>
    <row r="85" spans="1:16">
      <c r="A85" s="5">
        <v>75</v>
      </c>
      <c r="B85" s="12">
        <v>17.98</v>
      </c>
      <c r="C85" s="12">
        <f t="shared" si="1"/>
        <v>1.5</v>
      </c>
      <c r="D85" s="8">
        <v>0.66725808382034302</v>
      </c>
      <c r="E85" s="5">
        <f>MATCH(D85,'Route Data'!$C$7:$C$8,1)</f>
        <v>2</v>
      </c>
      <c r="F85" s="5">
        <f>INDEX('Route Data'!$D$7:$D$8,E85)</f>
        <v>1</v>
      </c>
      <c r="G85" s="5" t="str">
        <f>INDEX('Route Data'!$A$7:$A$8,E85)</f>
        <v>u18</v>
      </c>
      <c r="H85" s="5">
        <f>EnergyCoeff(INDEX('Route Data'!$K$7:$K$8,E85),INDEX('Route Data'!$L$7:$L$8,E85)*2*PI()/60,INDEX('Route Data'!$F$7:$F$8,E85))</f>
        <v>0.19430699130049439</v>
      </c>
      <c r="I85" s="5">
        <f>DischargeCoeff(INDEX('Route Data'!$I$7:$I$8,E85), INDEX('Route Data'!$L$7:$L$8,E85)*2*PI()/60, INDEX('Route Data'!$F$7:$F$8,E85))</f>
        <v>0.15939200179827354</v>
      </c>
      <c r="J85" s="8">
        <f>FlowAngleRel(INDEX('Route Data'!$J$7:$J$8,E85)*INDEX('Route Data'!$I$7:$I$8,E85), INDEX('Route Data'!$L$7:$L$8,E85)*2*PI()/60, INDEX('Route Data'!$F$7:$F$8,E85),INDEX('Route Data'!$O$7:$O$8,E85), INDEX('Route Data'!$P$7:$P$8,E85),INDEX('Route Data'!$M$7:$M$8,E85))</f>
        <v>1.130811765868994</v>
      </c>
      <c r="K85" s="8">
        <f>FlowAngleAbsT(INDEX('Route Data'!$K$7:$K$8,E85), INDEX('Route Data'!$I$7:$I$8,E85), INDEX('Route Data'!$I$7:$I$8,E85)*INDEX('Route Data'!$J$7:$J$8,E85), INDEX('Route Data'!$L$7:$L$8,E85)*2*PI()/60, INDEX('Route Data'!$F$7:$F$8,E85),INDEX('Route Data'!$O$7:$O$8,E85), INDEX('Route Data'!$P$7:$P$8,E85), INDEX('Route Data'!$H$7:$H$8,E85), INDEX('Route Data'!$Q$7:$Q$8,E85), INDEX('Route Data'!$M$7:$M$8,E85))</f>
        <v>0.51617226640175828</v>
      </c>
      <c r="L85" s="5">
        <f>INDEX('Route Data'!$N$7:$N$8,E85)</f>
        <v>0.4</v>
      </c>
      <c r="M85" s="8">
        <v>0.77126628160476685</v>
      </c>
      <c r="N85" s="8">
        <f>ProbStrikeFrancis(K85, I85, L85, INDEX('Route Data'!$G$7:$G$8,E85),C85, INDEX('Route Data'!$F$7:$F$8,E85), INDEX('Route Data'!$O$7:$O$8,E85), INDEX('Route Data'!$H$7:$H$18,E85))</f>
        <v>1</v>
      </c>
      <c r="O85" s="5" t="str">
        <f>IF(F85&gt;=1,IF(M85&lt;=N85,"STRIKE","pass"),IF(M85&lt;=INDEX('Route Data'!$R$7:$R$8,E85),"NO PASS","pass"))</f>
        <v>STRIKE</v>
      </c>
      <c r="P85" s="5">
        <f>IF(F85&gt;=1,IF(M85&lt;=N85,1,0),IF(M85&lt;=INDEX('Route Data'!$R$7:$R$8,E85),-1,0))</f>
        <v>1</v>
      </c>
    </row>
    <row r="86" spans="1:16">
      <c r="A86" s="5">
        <v>76</v>
      </c>
      <c r="B86" s="12">
        <v>19.27</v>
      </c>
      <c r="C86" s="12">
        <f t="shared" si="1"/>
        <v>1.61</v>
      </c>
      <c r="D86" s="8">
        <v>0.72066473960876465</v>
      </c>
      <c r="E86" s="5">
        <f>MATCH(D86,'Route Data'!$C$7:$C$8,1)</f>
        <v>2</v>
      </c>
      <c r="F86" s="5">
        <f>INDEX('Route Data'!$D$7:$D$8,E86)</f>
        <v>1</v>
      </c>
      <c r="G86" s="5" t="str">
        <f>INDEX('Route Data'!$A$7:$A$8,E86)</f>
        <v>u18</v>
      </c>
      <c r="H86" s="5">
        <f>EnergyCoeff(INDEX('Route Data'!$K$7:$K$8,E86),INDEX('Route Data'!$L$7:$L$8,E86)*2*PI()/60,INDEX('Route Data'!$F$7:$F$8,E86))</f>
        <v>0.19430699130049439</v>
      </c>
      <c r="I86" s="5">
        <f>DischargeCoeff(INDEX('Route Data'!$I$7:$I$8,E86), INDEX('Route Data'!$L$7:$L$8,E86)*2*PI()/60, INDEX('Route Data'!$F$7:$F$8,E86))</f>
        <v>0.15939200179827354</v>
      </c>
      <c r="J86" s="8">
        <f>FlowAngleRel(INDEX('Route Data'!$J$7:$J$8,E86)*INDEX('Route Data'!$I$7:$I$8,E86), INDEX('Route Data'!$L$7:$L$8,E86)*2*PI()/60, INDEX('Route Data'!$F$7:$F$8,E86),INDEX('Route Data'!$O$7:$O$8,E86), INDEX('Route Data'!$P$7:$P$8,E86),INDEX('Route Data'!$M$7:$M$8,E86))</f>
        <v>1.130811765868994</v>
      </c>
      <c r="K86" s="8">
        <f>FlowAngleAbsT(INDEX('Route Data'!$K$7:$K$8,E86), INDEX('Route Data'!$I$7:$I$8,E86), INDEX('Route Data'!$I$7:$I$8,E86)*INDEX('Route Data'!$J$7:$J$8,E86), INDEX('Route Data'!$L$7:$L$8,E86)*2*PI()/60, INDEX('Route Data'!$F$7:$F$8,E86),INDEX('Route Data'!$O$7:$O$8,E86), INDEX('Route Data'!$P$7:$P$8,E86), INDEX('Route Data'!$H$7:$H$8,E86), INDEX('Route Data'!$Q$7:$Q$8,E86), INDEX('Route Data'!$M$7:$M$8,E86))</f>
        <v>0.51617226640175828</v>
      </c>
      <c r="L86" s="5">
        <f>INDEX('Route Data'!$N$7:$N$8,E86)</f>
        <v>0.4</v>
      </c>
      <c r="M86" s="8">
        <v>0.79926514625549316</v>
      </c>
      <c r="N86" s="8">
        <f>ProbStrikeFrancis(K86, I86, L86, INDEX('Route Data'!$G$7:$G$8,E86),C86, INDEX('Route Data'!$F$7:$F$8,E86), INDEX('Route Data'!$O$7:$O$8,E86), INDEX('Route Data'!$H$7:$H$18,E86))</f>
        <v>1</v>
      </c>
      <c r="O86" s="5" t="str">
        <f>IF(F86&gt;=1,IF(M86&lt;=N86,"STRIKE","pass"),IF(M86&lt;=INDEX('Route Data'!$R$7:$R$8,E86),"NO PASS","pass"))</f>
        <v>STRIKE</v>
      </c>
      <c r="P86" s="5">
        <f>IF(F86&gt;=1,IF(M86&lt;=N86,1,0),IF(M86&lt;=INDEX('Route Data'!$R$7:$R$8,E86),-1,0))</f>
        <v>1</v>
      </c>
    </row>
    <row r="87" spans="1:16">
      <c r="A87" s="5">
        <v>77</v>
      </c>
      <c r="B87" s="12">
        <v>23.63</v>
      </c>
      <c r="C87" s="12">
        <f t="shared" si="1"/>
        <v>1.97</v>
      </c>
      <c r="D87" s="8">
        <v>0.56044477224349976</v>
      </c>
      <c r="E87" s="5">
        <f>MATCH(D87,'Route Data'!$C$7:$C$8,1)</f>
        <v>2</v>
      </c>
      <c r="F87" s="5">
        <f>INDEX('Route Data'!$D$7:$D$8,E87)</f>
        <v>1</v>
      </c>
      <c r="G87" s="5" t="str">
        <f>INDEX('Route Data'!$A$7:$A$8,E87)</f>
        <v>u18</v>
      </c>
      <c r="H87" s="5">
        <f>EnergyCoeff(INDEX('Route Data'!$K$7:$K$8,E87),INDEX('Route Data'!$L$7:$L$8,E87)*2*PI()/60,INDEX('Route Data'!$F$7:$F$8,E87))</f>
        <v>0.19430699130049439</v>
      </c>
      <c r="I87" s="5">
        <f>DischargeCoeff(INDEX('Route Data'!$I$7:$I$8,E87), INDEX('Route Data'!$L$7:$L$8,E87)*2*PI()/60, INDEX('Route Data'!$F$7:$F$8,E87))</f>
        <v>0.15939200179827354</v>
      </c>
      <c r="J87" s="8">
        <f>FlowAngleRel(INDEX('Route Data'!$J$7:$J$8,E87)*INDEX('Route Data'!$I$7:$I$8,E87), INDEX('Route Data'!$L$7:$L$8,E87)*2*PI()/60, INDEX('Route Data'!$F$7:$F$8,E87),INDEX('Route Data'!$O$7:$O$8,E87), INDEX('Route Data'!$P$7:$P$8,E87),INDEX('Route Data'!$M$7:$M$8,E87))</f>
        <v>1.130811765868994</v>
      </c>
      <c r="K87" s="8">
        <f>FlowAngleAbsT(INDEX('Route Data'!$K$7:$K$8,E87), INDEX('Route Data'!$I$7:$I$8,E87), INDEX('Route Data'!$I$7:$I$8,E87)*INDEX('Route Data'!$J$7:$J$8,E87), INDEX('Route Data'!$L$7:$L$8,E87)*2*PI()/60, INDEX('Route Data'!$F$7:$F$8,E87),INDEX('Route Data'!$O$7:$O$8,E87), INDEX('Route Data'!$P$7:$P$8,E87), INDEX('Route Data'!$H$7:$H$8,E87), INDEX('Route Data'!$Q$7:$Q$8,E87), INDEX('Route Data'!$M$7:$M$8,E87))</f>
        <v>0.51617226640175828</v>
      </c>
      <c r="L87" s="5">
        <f>INDEX('Route Data'!$N$7:$N$8,E87)</f>
        <v>0.4</v>
      </c>
      <c r="M87" s="8">
        <v>0.98084777593612671</v>
      </c>
      <c r="N87" s="8">
        <f>ProbStrikeFrancis(K87, I87, L87, INDEX('Route Data'!$G$7:$G$8,E87),C87, INDEX('Route Data'!$F$7:$F$8,E87), INDEX('Route Data'!$O$7:$O$8,E87), INDEX('Route Data'!$H$7:$H$18,E87))</f>
        <v>1</v>
      </c>
      <c r="O87" s="5" t="str">
        <f>IF(F87&gt;=1,IF(M87&lt;=N87,"STRIKE","pass"),IF(M87&lt;=INDEX('Route Data'!$R$7:$R$8,E87),"NO PASS","pass"))</f>
        <v>STRIKE</v>
      </c>
      <c r="P87" s="5">
        <f>IF(F87&gt;=1,IF(M87&lt;=N87,1,0),IF(M87&lt;=INDEX('Route Data'!$R$7:$R$8,E87),-1,0))</f>
        <v>1</v>
      </c>
    </row>
    <row r="88" spans="1:16">
      <c r="A88" s="5">
        <v>78</v>
      </c>
      <c r="B88" s="12">
        <v>21.82</v>
      </c>
      <c r="C88" s="12">
        <f t="shared" si="1"/>
        <v>1.82</v>
      </c>
      <c r="D88" s="8">
        <v>4.1104674339294434E-2</v>
      </c>
      <c r="E88" s="5">
        <f>MATCH(D88,'Route Data'!$C$7:$C$8,1)</f>
        <v>2</v>
      </c>
      <c r="F88" s="5">
        <f>INDEX('Route Data'!$D$7:$D$8,E88)</f>
        <v>1</v>
      </c>
      <c r="G88" s="5" t="str">
        <f>INDEX('Route Data'!$A$7:$A$8,E88)</f>
        <v>u18</v>
      </c>
      <c r="H88" s="5">
        <f>EnergyCoeff(INDEX('Route Data'!$K$7:$K$8,E88),INDEX('Route Data'!$L$7:$L$8,E88)*2*PI()/60,INDEX('Route Data'!$F$7:$F$8,E88))</f>
        <v>0.19430699130049439</v>
      </c>
      <c r="I88" s="5">
        <f>DischargeCoeff(INDEX('Route Data'!$I$7:$I$8,E88), INDEX('Route Data'!$L$7:$L$8,E88)*2*PI()/60, INDEX('Route Data'!$F$7:$F$8,E88))</f>
        <v>0.15939200179827354</v>
      </c>
      <c r="J88" s="8">
        <f>FlowAngleRel(INDEX('Route Data'!$J$7:$J$8,E88)*INDEX('Route Data'!$I$7:$I$8,E88), INDEX('Route Data'!$L$7:$L$8,E88)*2*PI()/60, INDEX('Route Data'!$F$7:$F$8,E88),INDEX('Route Data'!$O$7:$O$8,E88), INDEX('Route Data'!$P$7:$P$8,E88),INDEX('Route Data'!$M$7:$M$8,E88))</f>
        <v>1.130811765868994</v>
      </c>
      <c r="K88" s="8">
        <f>FlowAngleAbsT(INDEX('Route Data'!$K$7:$K$8,E88), INDEX('Route Data'!$I$7:$I$8,E88), INDEX('Route Data'!$I$7:$I$8,E88)*INDEX('Route Data'!$J$7:$J$8,E88), INDEX('Route Data'!$L$7:$L$8,E88)*2*PI()/60, INDEX('Route Data'!$F$7:$F$8,E88),INDEX('Route Data'!$O$7:$O$8,E88), INDEX('Route Data'!$P$7:$P$8,E88), INDEX('Route Data'!$H$7:$H$8,E88), INDEX('Route Data'!$Q$7:$Q$8,E88), INDEX('Route Data'!$M$7:$M$8,E88))</f>
        <v>0.51617226640175828</v>
      </c>
      <c r="L88" s="5">
        <f>INDEX('Route Data'!$N$7:$N$8,E88)</f>
        <v>0.4</v>
      </c>
      <c r="M88" s="8">
        <v>0.43609988689422607</v>
      </c>
      <c r="N88" s="8">
        <f>ProbStrikeFrancis(K88, I88, L88, INDEX('Route Data'!$G$7:$G$8,E88),C88, INDEX('Route Data'!$F$7:$F$8,E88), INDEX('Route Data'!$O$7:$O$8,E88), INDEX('Route Data'!$H$7:$H$18,E88))</f>
        <v>1</v>
      </c>
      <c r="O88" s="5" t="str">
        <f>IF(F88&gt;=1,IF(M88&lt;=N88,"STRIKE","pass"),IF(M88&lt;=INDEX('Route Data'!$R$7:$R$8,E88),"NO PASS","pass"))</f>
        <v>STRIKE</v>
      </c>
      <c r="P88" s="5">
        <f>IF(F88&gt;=1,IF(M88&lt;=N88,1,0),IF(M88&lt;=INDEX('Route Data'!$R$7:$R$8,E88),-1,0))</f>
        <v>1</v>
      </c>
    </row>
    <row r="89" spans="1:16">
      <c r="A89" s="5">
        <v>79</v>
      </c>
      <c r="B89" s="12">
        <v>21.42</v>
      </c>
      <c r="C89" s="12">
        <f t="shared" si="1"/>
        <v>1.79</v>
      </c>
      <c r="D89" s="8">
        <v>0.5991249680519104</v>
      </c>
      <c r="E89" s="5">
        <f>MATCH(D89,'Route Data'!$C$7:$C$8,1)</f>
        <v>2</v>
      </c>
      <c r="F89" s="5">
        <f>INDEX('Route Data'!$D$7:$D$8,E89)</f>
        <v>1</v>
      </c>
      <c r="G89" s="5" t="str">
        <f>INDEX('Route Data'!$A$7:$A$8,E89)</f>
        <v>u18</v>
      </c>
      <c r="H89" s="5">
        <f>EnergyCoeff(INDEX('Route Data'!$K$7:$K$8,E89),INDEX('Route Data'!$L$7:$L$8,E89)*2*PI()/60,INDEX('Route Data'!$F$7:$F$8,E89))</f>
        <v>0.19430699130049439</v>
      </c>
      <c r="I89" s="5">
        <f>DischargeCoeff(INDEX('Route Data'!$I$7:$I$8,E89), INDEX('Route Data'!$L$7:$L$8,E89)*2*PI()/60, INDEX('Route Data'!$F$7:$F$8,E89))</f>
        <v>0.15939200179827354</v>
      </c>
      <c r="J89" s="8">
        <f>FlowAngleRel(INDEX('Route Data'!$J$7:$J$8,E89)*INDEX('Route Data'!$I$7:$I$8,E89), INDEX('Route Data'!$L$7:$L$8,E89)*2*PI()/60, INDEX('Route Data'!$F$7:$F$8,E89),INDEX('Route Data'!$O$7:$O$8,E89), INDEX('Route Data'!$P$7:$P$8,E89),INDEX('Route Data'!$M$7:$M$8,E89))</f>
        <v>1.130811765868994</v>
      </c>
      <c r="K89" s="8">
        <f>FlowAngleAbsT(INDEX('Route Data'!$K$7:$K$8,E89), INDEX('Route Data'!$I$7:$I$8,E89), INDEX('Route Data'!$I$7:$I$8,E89)*INDEX('Route Data'!$J$7:$J$8,E89), INDEX('Route Data'!$L$7:$L$8,E89)*2*PI()/60, INDEX('Route Data'!$F$7:$F$8,E89),INDEX('Route Data'!$O$7:$O$8,E89), INDEX('Route Data'!$P$7:$P$8,E89), INDEX('Route Data'!$H$7:$H$8,E89), INDEX('Route Data'!$Q$7:$Q$8,E89), INDEX('Route Data'!$M$7:$M$8,E89))</f>
        <v>0.51617226640175828</v>
      </c>
      <c r="L89" s="5">
        <f>INDEX('Route Data'!$N$7:$N$8,E89)</f>
        <v>0.4</v>
      </c>
      <c r="M89" s="8">
        <v>7.0343554019927979E-2</v>
      </c>
      <c r="N89" s="8">
        <f>ProbStrikeFrancis(K89, I89, L89, INDEX('Route Data'!$G$7:$G$8,E89),C89, INDEX('Route Data'!$F$7:$F$8,E89), INDEX('Route Data'!$O$7:$O$8,E89), INDEX('Route Data'!$H$7:$H$18,E89))</f>
        <v>1</v>
      </c>
      <c r="O89" s="5" t="str">
        <f>IF(F89&gt;=1,IF(M89&lt;=N89,"STRIKE","pass"),IF(M89&lt;=INDEX('Route Data'!$R$7:$R$8,E89),"NO PASS","pass"))</f>
        <v>STRIKE</v>
      </c>
      <c r="P89" s="5">
        <f>IF(F89&gt;=1,IF(M89&lt;=N89,1,0),IF(M89&lt;=INDEX('Route Data'!$R$7:$R$8,E89),-1,0))</f>
        <v>1</v>
      </c>
    </row>
    <row r="90" spans="1:16">
      <c r="A90" s="5">
        <v>80</v>
      </c>
      <c r="B90" s="12">
        <v>20.39</v>
      </c>
      <c r="C90" s="12">
        <f t="shared" si="1"/>
        <v>1.7</v>
      </c>
      <c r="D90" s="8">
        <v>0.190643310546875</v>
      </c>
      <c r="E90" s="5">
        <f>MATCH(D90,'Route Data'!$C$7:$C$8,1)</f>
        <v>2</v>
      </c>
      <c r="F90" s="5">
        <f>INDEX('Route Data'!$D$7:$D$8,E90)</f>
        <v>1</v>
      </c>
      <c r="G90" s="5" t="str">
        <f>INDEX('Route Data'!$A$7:$A$8,E90)</f>
        <v>u18</v>
      </c>
      <c r="H90" s="5">
        <f>EnergyCoeff(INDEX('Route Data'!$K$7:$K$8,E90),INDEX('Route Data'!$L$7:$L$8,E90)*2*PI()/60,INDEX('Route Data'!$F$7:$F$8,E90))</f>
        <v>0.19430699130049439</v>
      </c>
      <c r="I90" s="5">
        <f>DischargeCoeff(INDEX('Route Data'!$I$7:$I$8,E90), INDEX('Route Data'!$L$7:$L$8,E90)*2*PI()/60, INDEX('Route Data'!$F$7:$F$8,E90))</f>
        <v>0.15939200179827354</v>
      </c>
      <c r="J90" s="8">
        <f>FlowAngleRel(INDEX('Route Data'!$J$7:$J$8,E90)*INDEX('Route Data'!$I$7:$I$8,E90), INDEX('Route Data'!$L$7:$L$8,E90)*2*PI()/60, INDEX('Route Data'!$F$7:$F$8,E90),INDEX('Route Data'!$O$7:$O$8,E90), INDEX('Route Data'!$P$7:$P$8,E90),INDEX('Route Data'!$M$7:$M$8,E90))</f>
        <v>1.130811765868994</v>
      </c>
      <c r="K90" s="8">
        <f>FlowAngleAbsT(INDEX('Route Data'!$K$7:$K$8,E90), INDEX('Route Data'!$I$7:$I$8,E90), INDEX('Route Data'!$I$7:$I$8,E90)*INDEX('Route Data'!$J$7:$J$8,E90), INDEX('Route Data'!$L$7:$L$8,E90)*2*PI()/60, INDEX('Route Data'!$F$7:$F$8,E90),INDEX('Route Data'!$O$7:$O$8,E90), INDEX('Route Data'!$P$7:$P$8,E90), INDEX('Route Data'!$H$7:$H$8,E90), INDEX('Route Data'!$Q$7:$Q$8,E90), INDEX('Route Data'!$M$7:$M$8,E90))</f>
        <v>0.51617226640175828</v>
      </c>
      <c r="L90" s="5">
        <f>INDEX('Route Data'!$N$7:$N$8,E90)</f>
        <v>0.4</v>
      </c>
      <c r="M90" s="8">
        <v>0.63645410537719727</v>
      </c>
      <c r="N90" s="8">
        <f>ProbStrikeFrancis(K90, I90, L90, INDEX('Route Data'!$G$7:$G$8,E90),C90, INDEX('Route Data'!$F$7:$F$8,E90), INDEX('Route Data'!$O$7:$O$8,E90), INDEX('Route Data'!$H$7:$H$18,E90))</f>
        <v>1</v>
      </c>
      <c r="O90" s="5" t="str">
        <f>IF(F90&gt;=1,IF(M90&lt;=N90,"STRIKE","pass"),IF(M90&lt;=INDEX('Route Data'!$R$7:$R$8,E90),"NO PASS","pass"))</f>
        <v>STRIKE</v>
      </c>
      <c r="P90" s="5">
        <f>IF(F90&gt;=1,IF(M90&lt;=N90,1,0),IF(M90&lt;=INDEX('Route Data'!$R$7:$R$8,E90),-1,0))</f>
        <v>1</v>
      </c>
    </row>
    <row r="91" spans="1:16">
      <c r="A91" s="5">
        <v>81</v>
      </c>
      <c r="B91" s="12">
        <v>23.28</v>
      </c>
      <c r="C91" s="12">
        <f t="shared" si="1"/>
        <v>1.94</v>
      </c>
      <c r="D91" s="8">
        <v>0.8849298357963562</v>
      </c>
      <c r="E91" s="5">
        <f>MATCH(D91,'Route Data'!$C$7:$C$8,1)</f>
        <v>2</v>
      </c>
      <c r="F91" s="5">
        <f>INDEX('Route Data'!$D$7:$D$8,E91)</f>
        <v>1</v>
      </c>
      <c r="G91" s="5" t="str">
        <f>INDEX('Route Data'!$A$7:$A$8,E91)</f>
        <v>u18</v>
      </c>
      <c r="H91" s="5">
        <f>EnergyCoeff(INDEX('Route Data'!$K$7:$K$8,E91),INDEX('Route Data'!$L$7:$L$8,E91)*2*PI()/60,INDEX('Route Data'!$F$7:$F$8,E91))</f>
        <v>0.19430699130049439</v>
      </c>
      <c r="I91" s="5">
        <f>DischargeCoeff(INDEX('Route Data'!$I$7:$I$8,E91), INDEX('Route Data'!$L$7:$L$8,E91)*2*PI()/60, INDEX('Route Data'!$F$7:$F$8,E91))</f>
        <v>0.15939200179827354</v>
      </c>
      <c r="J91" s="8">
        <f>FlowAngleRel(INDEX('Route Data'!$J$7:$J$8,E91)*INDEX('Route Data'!$I$7:$I$8,E91), INDEX('Route Data'!$L$7:$L$8,E91)*2*PI()/60, INDEX('Route Data'!$F$7:$F$8,E91),INDEX('Route Data'!$O$7:$O$8,E91), INDEX('Route Data'!$P$7:$P$8,E91),INDEX('Route Data'!$M$7:$M$8,E91))</f>
        <v>1.130811765868994</v>
      </c>
      <c r="K91" s="8">
        <f>FlowAngleAbsT(INDEX('Route Data'!$K$7:$K$8,E91), INDEX('Route Data'!$I$7:$I$8,E91), INDEX('Route Data'!$I$7:$I$8,E91)*INDEX('Route Data'!$J$7:$J$8,E91), INDEX('Route Data'!$L$7:$L$8,E91)*2*PI()/60, INDEX('Route Data'!$F$7:$F$8,E91),INDEX('Route Data'!$O$7:$O$8,E91), INDEX('Route Data'!$P$7:$P$8,E91), INDEX('Route Data'!$H$7:$H$8,E91), INDEX('Route Data'!$Q$7:$Q$8,E91), INDEX('Route Data'!$M$7:$M$8,E91))</f>
        <v>0.51617226640175828</v>
      </c>
      <c r="L91" s="5">
        <f>INDEX('Route Data'!$N$7:$N$8,E91)</f>
        <v>0.4</v>
      </c>
      <c r="M91" s="8">
        <v>0.9381224513053894</v>
      </c>
      <c r="N91" s="8">
        <f>ProbStrikeFrancis(K91, I91, L91, INDEX('Route Data'!$G$7:$G$8,E91),C91, INDEX('Route Data'!$F$7:$F$8,E91), INDEX('Route Data'!$O$7:$O$8,E91), INDEX('Route Data'!$H$7:$H$18,E91))</f>
        <v>1</v>
      </c>
      <c r="O91" s="5" t="str">
        <f>IF(F91&gt;=1,IF(M91&lt;=N91,"STRIKE","pass"),IF(M91&lt;=INDEX('Route Data'!$R$7:$R$8,E91),"NO PASS","pass"))</f>
        <v>STRIKE</v>
      </c>
      <c r="P91" s="5">
        <f>IF(F91&gt;=1,IF(M91&lt;=N91,1,0),IF(M91&lt;=INDEX('Route Data'!$R$7:$R$8,E91),-1,0))</f>
        <v>1</v>
      </c>
    </row>
    <row r="92" spans="1:16">
      <c r="A92" s="5">
        <v>82</v>
      </c>
      <c r="B92" s="12">
        <v>22.82</v>
      </c>
      <c r="C92" s="12">
        <f t="shared" si="1"/>
        <v>1.9</v>
      </c>
      <c r="D92" s="8">
        <v>0.8020702600479126</v>
      </c>
      <c r="E92" s="5">
        <f>MATCH(D92,'Route Data'!$C$7:$C$8,1)</f>
        <v>2</v>
      </c>
      <c r="F92" s="5">
        <f>INDEX('Route Data'!$D$7:$D$8,E92)</f>
        <v>1</v>
      </c>
      <c r="G92" s="5" t="str">
        <f>INDEX('Route Data'!$A$7:$A$8,E92)</f>
        <v>u18</v>
      </c>
      <c r="H92" s="5">
        <f>EnergyCoeff(INDEX('Route Data'!$K$7:$K$8,E92),INDEX('Route Data'!$L$7:$L$8,E92)*2*PI()/60,INDEX('Route Data'!$F$7:$F$8,E92))</f>
        <v>0.19430699130049439</v>
      </c>
      <c r="I92" s="5">
        <f>DischargeCoeff(INDEX('Route Data'!$I$7:$I$8,E92), INDEX('Route Data'!$L$7:$L$8,E92)*2*PI()/60, INDEX('Route Data'!$F$7:$F$8,E92))</f>
        <v>0.15939200179827354</v>
      </c>
      <c r="J92" s="8">
        <f>FlowAngleRel(INDEX('Route Data'!$J$7:$J$8,E92)*INDEX('Route Data'!$I$7:$I$8,E92), INDEX('Route Data'!$L$7:$L$8,E92)*2*PI()/60, INDEX('Route Data'!$F$7:$F$8,E92),INDEX('Route Data'!$O$7:$O$8,E92), INDEX('Route Data'!$P$7:$P$8,E92),INDEX('Route Data'!$M$7:$M$8,E92))</f>
        <v>1.130811765868994</v>
      </c>
      <c r="K92" s="8">
        <f>FlowAngleAbsT(INDEX('Route Data'!$K$7:$K$8,E92), INDEX('Route Data'!$I$7:$I$8,E92), INDEX('Route Data'!$I$7:$I$8,E92)*INDEX('Route Data'!$J$7:$J$8,E92), INDEX('Route Data'!$L$7:$L$8,E92)*2*PI()/60, INDEX('Route Data'!$F$7:$F$8,E92),INDEX('Route Data'!$O$7:$O$8,E92), INDEX('Route Data'!$P$7:$P$8,E92), INDEX('Route Data'!$H$7:$H$8,E92), INDEX('Route Data'!$Q$7:$Q$8,E92), INDEX('Route Data'!$M$7:$M$8,E92))</f>
        <v>0.51617226640175828</v>
      </c>
      <c r="L92" s="5">
        <f>INDEX('Route Data'!$N$7:$N$8,E92)</f>
        <v>0.4</v>
      </c>
      <c r="M92" s="8">
        <v>0.56427586078643799</v>
      </c>
      <c r="N92" s="8">
        <f>ProbStrikeFrancis(K92, I92, L92, INDEX('Route Data'!$G$7:$G$8,E92),C92, INDEX('Route Data'!$F$7:$F$8,E92), INDEX('Route Data'!$O$7:$O$8,E92), INDEX('Route Data'!$H$7:$H$18,E92))</f>
        <v>1</v>
      </c>
      <c r="O92" s="5" t="str">
        <f>IF(F92&gt;=1,IF(M92&lt;=N92,"STRIKE","pass"),IF(M92&lt;=INDEX('Route Data'!$R$7:$R$8,E92),"NO PASS","pass"))</f>
        <v>STRIKE</v>
      </c>
      <c r="P92" s="5">
        <f>IF(F92&gt;=1,IF(M92&lt;=N92,1,0),IF(M92&lt;=INDEX('Route Data'!$R$7:$R$8,E92),-1,0))</f>
        <v>1</v>
      </c>
    </row>
    <row r="93" spans="1:16">
      <c r="A93" s="5">
        <v>83</v>
      </c>
      <c r="B93" s="12">
        <v>29.83</v>
      </c>
      <c r="C93" s="12">
        <f t="shared" si="1"/>
        <v>2.4900000000000002</v>
      </c>
      <c r="D93" s="8">
        <v>0.58180743455886841</v>
      </c>
      <c r="E93" s="5">
        <f>MATCH(D93,'Route Data'!$C$7:$C$8,1)</f>
        <v>2</v>
      </c>
      <c r="F93" s="5">
        <f>INDEX('Route Data'!$D$7:$D$8,E93)</f>
        <v>1</v>
      </c>
      <c r="G93" s="5" t="str">
        <f>INDEX('Route Data'!$A$7:$A$8,E93)</f>
        <v>u18</v>
      </c>
      <c r="H93" s="5">
        <f>EnergyCoeff(INDEX('Route Data'!$K$7:$K$8,E93),INDEX('Route Data'!$L$7:$L$8,E93)*2*PI()/60,INDEX('Route Data'!$F$7:$F$8,E93))</f>
        <v>0.19430699130049439</v>
      </c>
      <c r="I93" s="5">
        <f>DischargeCoeff(INDEX('Route Data'!$I$7:$I$8,E93), INDEX('Route Data'!$L$7:$L$8,E93)*2*PI()/60, INDEX('Route Data'!$F$7:$F$8,E93))</f>
        <v>0.15939200179827354</v>
      </c>
      <c r="J93" s="8">
        <f>FlowAngleRel(INDEX('Route Data'!$J$7:$J$8,E93)*INDEX('Route Data'!$I$7:$I$8,E93), INDEX('Route Data'!$L$7:$L$8,E93)*2*PI()/60, INDEX('Route Data'!$F$7:$F$8,E93),INDEX('Route Data'!$O$7:$O$8,E93), INDEX('Route Data'!$P$7:$P$8,E93),INDEX('Route Data'!$M$7:$M$8,E93))</f>
        <v>1.130811765868994</v>
      </c>
      <c r="K93" s="8">
        <f>FlowAngleAbsT(INDEX('Route Data'!$K$7:$K$8,E93), INDEX('Route Data'!$I$7:$I$8,E93), INDEX('Route Data'!$I$7:$I$8,E93)*INDEX('Route Data'!$J$7:$J$8,E93), INDEX('Route Data'!$L$7:$L$8,E93)*2*PI()/60, INDEX('Route Data'!$F$7:$F$8,E93),INDEX('Route Data'!$O$7:$O$8,E93), INDEX('Route Data'!$P$7:$P$8,E93), INDEX('Route Data'!$H$7:$H$8,E93), INDEX('Route Data'!$Q$7:$Q$8,E93), INDEX('Route Data'!$M$7:$M$8,E93))</f>
        <v>0.51617226640175828</v>
      </c>
      <c r="L93" s="5">
        <f>INDEX('Route Data'!$N$7:$N$8,E93)</f>
        <v>0.4</v>
      </c>
      <c r="M93" s="8">
        <v>0.68581563234329224</v>
      </c>
      <c r="N93" s="8">
        <f>ProbStrikeFrancis(K93, I93, L93, INDEX('Route Data'!$G$7:$G$8,E93),C93, INDEX('Route Data'!$F$7:$F$8,E93), INDEX('Route Data'!$O$7:$O$8,E93), INDEX('Route Data'!$H$7:$H$18,E93))</f>
        <v>1</v>
      </c>
      <c r="O93" s="5" t="str">
        <f>IF(F93&gt;=1,IF(M93&lt;=N93,"STRIKE","pass"),IF(M93&lt;=INDEX('Route Data'!$R$7:$R$8,E93),"NO PASS","pass"))</f>
        <v>STRIKE</v>
      </c>
      <c r="P93" s="5">
        <f>IF(F93&gt;=1,IF(M93&lt;=N93,1,0),IF(M93&lt;=INDEX('Route Data'!$R$7:$R$8,E93),-1,0))</f>
        <v>1</v>
      </c>
    </row>
    <row r="94" spans="1:16">
      <c r="A94" s="5">
        <v>84</v>
      </c>
      <c r="B94" s="12">
        <v>21.71</v>
      </c>
      <c r="C94" s="12">
        <f t="shared" si="1"/>
        <v>1.81</v>
      </c>
      <c r="D94" s="8">
        <v>0.97701668739318848</v>
      </c>
      <c r="E94" s="5">
        <f>MATCH(D94,'Route Data'!$C$7:$C$8,1)</f>
        <v>2</v>
      </c>
      <c r="F94" s="5">
        <f>INDEX('Route Data'!$D$7:$D$8,E94)</f>
        <v>1</v>
      </c>
      <c r="G94" s="5" t="str">
        <f>INDEX('Route Data'!$A$7:$A$8,E94)</f>
        <v>u18</v>
      </c>
      <c r="H94" s="5">
        <f>EnergyCoeff(INDEX('Route Data'!$K$7:$K$8,E94),INDEX('Route Data'!$L$7:$L$8,E94)*2*PI()/60,INDEX('Route Data'!$F$7:$F$8,E94))</f>
        <v>0.19430699130049439</v>
      </c>
      <c r="I94" s="5">
        <f>DischargeCoeff(INDEX('Route Data'!$I$7:$I$8,E94), INDEX('Route Data'!$L$7:$L$8,E94)*2*PI()/60, INDEX('Route Data'!$F$7:$F$8,E94))</f>
        <v>0.15939200179827354</v>
      </c>
      <c r="J94" s="8">
        <f>FlowAngleRel(INDEX('Route Data'!$J$7:$J$8,E94)*INDEX('Route Data'!$I$7:$I$8,E94), INDEX('Route Data'!$L$7:$L$8,E94)*2*PI()/60, INDEX('Route Data'!$F$7:$F$8,E94),INDEX('Route Data'!$O$7:$O$8,E94), INDEX('Route Data'!$P$7:$P$8,E94),INDEX('Route Data'!$M$7:$M$8,E94))</f>
        <v>1.130811765868994</v>
      </c>
      <c r="K94" s="8">
        <f>FlowAngleAbsT(INDEX('Route Data'!$K$7:$K$8,E94), INDEX('Route Data'!$I$7:$I$8,E94), INDEX('Route Data'!$I$7:$I$8,E94)*INDEX('Route Data'!$J$7:$J$8,E94), INDEX('Route Data'!$L$7:$L$8,E94)*2*PI()/60, INDEX('Route Data'!$F$7:$F$8,E94),INDEX('Route Data'!$O$7:$O$8,E94), INDEX('Route Data'!$P$7:$P$8,E94), INDEX('Route Data'!$H$7:$H$8,E94), INDEX('Route Data'!$Q$7:$Q$8,E94), INDEX('Route Data'!$M$7:$M$8,E94))</f>
        <v>0.51617226640175828</v>
      </c>
      <c r="L94" s="5">
        <f>INDEX('Route Data'!$N$7:$N$8,E94)</f>
        <v>0.4</v>
      </c>
      <c r="M94" s="8">
        <v>5.5617094039916992E-2</v>
      </c>
      <c r="N94" s="8">
        <f>ProbStrikeFrancis(K94, I94, L94, INDEX('Route Data'!$G$7:$G$8,E94),C94, INDEX('Route Data'!$F$7:$F$8,E94), INDEX('Route Data'!$O$7:$O$8,E94), INDEX('Route Data'!$H$7:$H$18,E94))</f>
        <v>1</v>
      </c>
      <c r="O94" s="5" t="str">
        <f>IF(F94&gt;=1,IF(M94&lt;=N94,"STRIKE","pass"),IF(M94&lt;=INDEX('Route Data'!$R$7:$R$8,E94),"NO PASS","pass"))</f>
        <v>STRIKE</v>
      </c>
      <c r="P94" s="5">
        <f>IF(F94&gt;=1,IF(M94&lt;=N94,1,0),IF(M94&lt;=INDEX('Route Data'!$R$7:$R$8,E94),-1,0))</f>
        <v>1</v>
      </c>
    </row>
    <row r="95" spans="1:16">
      <c r="A95" s="5">
        <v>85</v>
      </c>
      <c r="B95" s="12">
        <v>26.12</v>
      </c>
      <c r="C95" s="12">
        <f t="shared" si="1"/>
        <v>2.1800000000000002</v>
      </c>
      <c r="D95" s="8">
        <v>0.79138892889022827</v>
      </c>
      <c r="E95" s="5">
        <f>MATCH(D95,'Route Data'!$C$7:$C$8,1)</f>
        <v>2</v>
      </c>
      <c r="F95" s="5">
        <f>INDEX('Route Data'!$D$7:$D$8,E95)</f>
        <v>1</v>
      </c>
      <c r="G95" s="5" t="str">
        <f>INDEX('Route Data'!$A$7:$A$8,E95)</f>
        <v>u18</v>
      </c>
      <c r="H95" s="5">
        <f>EnergyCoeff(INDEX('Route Data'!$K$7:$K$8,E95),INDEX('Route Data'!$L$7:$L$8,E95)*2*PI()/60,INDEX('Route Data'!$F$7:$F$8,E95))</f>
        <v>0.19430699130049439</v>
      </c>
      <c r="I95" s="5">
        <f>DischargeCoeff(INDEX('Route Data'!$I$7:$I$8,E95), INDEX('Route Data'!$L$7:$L$8,E95)*2*PI()/60, INDEX('Route Data'!$F$7:$F$8,E95))</f>
        <v>0.15939200179827354</v>
      </c>
      <c r="J95" s="8">
        <f>FlowAngleRel(INDEX('Route Data'!$J$7:$J$8,E95)*INDEX('Route Data'!$I$7:$I$8,E95), INDEX('Route Data'!$L$7:$L$8,E95)*2*PI()/60, INDEX('Route Data'!$F$7:$F$8,E95),INDEX('Route Data'!$O$7:$O$8,E95), INDEX('Route Data'!$P$7:$P$8,E95),INDEX('Route Data'!$M$7:$M$8,E95))</f>
        <v>1.130811765868994</v>
      </c>
      <c r="K95" s="8">
        <f>FlowAngleAbsT(INDEX('Route Data'!$K$7:$K$8,E95), INDEX('Route Data'!$I$7:$I$8,E95), INDEX('Route Data'!$I$7:$I$8,E95)*INDEX('Route Data'!$J$7:$J$8,E95), INDEX('Route Data'!$L$7:$L$8,E95)*2*PI()/60, INDEX('Route Data'!$F$7:$F$8,E95),INDEX('Route Data'!$O$7:$O$8,E95), INDEX('Route Data'!$P$7:$P$8,E95), INDEX('Route Data'!$H$7:$H$8,E95), INDEX('Route Data'!$Q$7:$Q$8,E95), INDEX('Route Data'!$M$7:$M$8,E95))</f>
        <v>0.51617226640175828</v>
      </c>
      <c r="L95" s="5">
        <f>INDEX('Route Data'!$N$7:$N$8,E95)</f>
        <v>0.4</v>
      </c>
      <c r="M95" s="8">
        <v>0.21179193258285522</v>
      </c>
      <c r="N95" s="8">
        <f>ProbStrikeFrancis(K95, I95, L95, INDEX('Route Data'!$G$7:$G$8,E95),C95, INDEX('Route Data'!$F$7:$F$8,E95), INDEX('Route Data'!$O$7:$O$8,E95), INDEX('Route Data'!$H$7:$H$18,E95))</f>
        <v>1</v>
      </c>
      <c r="O95" s="5" t="str">
        <f>IF(F95&gt;=1,IF(M95&lt;=N95,"STRIKE","pass"),IF(M95&lt;=INDEX('Route Data'!$R$7:$R$8,E95),"NO PASS","pass"))</f>
        <v>STRIKE</v>
      </c>
      <c r="P95" s="5">
        <f>IF(F95&gt;=1,IF(M95&lt;=N95,1,0),IF(M95&lt;=INDEX('Route Data'!$R$7:$R$8,E95),-1,0))</f>
        <v>1</v>
      </c>
    </row>
    <row r="96" spans="1:16">
      <c r="A96" s="5">
        <v>86</v>
      </c>
      <c r="B96" s="12">
        <v>31.5</v>
      </c>
      <c r="C96" s="12">
        <f t="shared" si="1"/>
        <v>2.63</v>
      </c>
      <c r="D96" s="8">
        <v>0.61385142803192139</v>
      </c>
      <c r="E96" s="5">
        <f>MATCH(D96,'Route Data'!$C$7:$C$8,1)</f>
        <v>2</v>
      </c>
      <c r="F96" s="5">
        <f>INDEX('Route Data'!$D$7:$D$8,E96)</f>
        <v>1</v>
      </c>
      <c r="G96" s="5" t="str">
        <f>INDEX('Route Data'!$A$7:$A$8,E96)</f>
        <v>u18</v>
      </c>
      <c r="H96" s="5">
        <f>EnergyCoeff(INDEX('Route Data'!$K$7:$K$8,E96),INDEX('Route Data'!$L$7:$L$8,E96)*2*PI()/60,INDEX('Route Data'!$F$7:$F$8,E96))</f>
        <v>0.19430699130049439</v>
      </c>
      <c r="I96" s="5">
        <f>DischargeCoeff(INDEX('Route Data'!$I$7:$I$8,E96), INDEX('Route Data'!$L$7:$L$8,E96)*2*PI()/60, INDEX('Route Data'!$F$7:$F$8,E96))</f>
        <v>0.15939200179827354</v>
      </c>
      <c r="J96" s="8">
        <f>FlowAngleRel(INDEX('Route Data'!$J$7:$J$8,E96)*INDEX('Route Data'!$I$7:$I$8,E96), INDEX('Route Data'!$L$7:$L$8,E96)*2*PI()/60, INDEX('Route Data'!$F$7:$F$8,E96),INDEX('Route Data'!$O$7:$O$8,E96), INDEX('Route Data'!$P$7:$P$8,E96),INDEX('Route Data'!$M$7:$M$8,E96))</f>
        <v>1.130811765868994</v>
      </c>
      <c r="K96" s="8">
        <f>FlowAngleAbsT(INDEX('Route Data'!$K$7:$K$8,E96), INDEX('Route Data'!$I$7:$I$8,E96), INDEX('Route Data'!$I$7:$I$8,E96)*INDEX('Route Data'!$J$7:$J$8,E96), INDEX('Route Data'!$L$7:$L$8,E96)*2*PI()/60, INDEX('Route Data'!$F$7:$F$8,E96),INDEX('Route Data'!$O$7:$O$8,E96), INDEX('Route Data'!$P$7:$P$8,E96), INDEX('Route Data'!$H$7:$H$8,E96), INDEX('Route Data'!$Q$7:$Q$8,E96), INDEX('Route Data'!$M$7:$M$8,E96))</f>
        <v>0.51617226640175828</v>
      </c>
      <c r="L96" s="5">
        <f>INDEX('Route Data'!$N$7:$N$8,E96)</f>
        <v>0.4</v>
      </c>
      <c r="M96" s="8">
        <v>8.8466405868530273E-3</v>
      </c>
      <c r="N96" s="8">
        <f>ProbStrikeFrancis(K96, I96, L96, INDEX('Route Data'!$G$7:$G$8,E96),C96, INDEX('Route Data'!$F$7:$F$8,E96), INDEX('Route Data'!$O$7:$O$8,E96), INDEX('Route Data'!$H$7:$H$18,E96))</f>
        <v>1</v>
      </c>
      <c r="O96" s="5" t="str">
        <f>IF(F96&gt;=1,IF(M96&lt;=N96,"STRIKE","pass"),IF(M96&lt;=INDEX('Route Data'!$R$7:$R$8,E96),"NO PASS","pass"))</f>
        <v>STRIKE</v>
      </c>
      <c r="P96" s="5">
        <f>IF(F96&gt;=1,IF(M96&lt;=N96,1,0),IF(M96&lt;=INDEX('Route Data'!$R$7:$R$8,E96),-1,0))</f>
        <v>1</v>
      </c>
    </row>
    <row r="97" spans="1:16">
      <c r="A97" s="5">
        <v>87</v>
      </c>
      <c r="B97" s="12">
        <v>26.83</v>
      </c>
      <c r="C97" s="12">
        <f t="shared" si="1"/>
        <v>2.2400000000000002</v>
      </c>
      <c r="D97" s="8">
        <v>0.88088470697402954</v>
      </c>
      <c r="E97" s="5">
        <f>MATCH(D97,'Route Data'!$C$7:$C$8,1)</f>
        <v>2</v>
      </c>
      <c r="F97" s="5">
        <f>INDEX('Route Data'!$D$7:$D$8,E97)</f>
        <v>1</v>
      </c>
      <c r="G97" s="5" t="str">
        <f>INDEX('Route Data'!$A$7:$A$8,E97)</f>
        <v>u18</v>
      </c>
      <c r="H97" s="5">
        <f>EnergyCoeff(INDEX('Route Data'!$K$7:$K$8,E97),INDEX('Route Data'!$L$7:$L$8,E97)*2*PI()/60,INDEX('Route Data'!$F$7:$F$8,E97))</f>
        <v>0.19430699130049439</v>
      </c>
      <c r="I97" s="5">
        <f>DischargeCoeff(INDEX('Route Data'!$I$7:$I$8,E97), INDEX('Route Data'!$L$7:$L$8,E97)*2*PI()/60, INDEX('Route Data'!$F$7:$F$8,E97))</f>
        <v>0.15939200179827354</v>
      </c>
      <c r="J97" s="8">
        <f>FlowAngleRel(INDEX('Route Data'!$J$7:$J$8,E97)*INDEX('Route Data'!$I$7:$I$8,E97), INDEX('Route Data'!$L$7:$L$8,E97)*2*PI()/60, INDEX('Route Data'!$F$7:$F$8,E97),INDEX('Route Data'!$O$7:$O$8,E97), INDEX('Route Data'!$P$7:$P$8,E97),INDEX('Route Data'!$M$7:$M$8,E97))</f>
        <v>1.130811765868994</v>
      </c>
      <c r="K97" s="8">
        <f>FlowAngleAbsT(INDEX('Route Data'!$K$7:$K$8,E97), INDEX('Route Data'!$I$7:$I$8,E97), INDEX('Route Data'!$I$7:$I$8,E97)*INDEX('Route Data'!$J$7:$J$8,E97), INDEX('Route Data'!$L$7:$L$8,E97)*2*PI()/60, INDEX('Route Data'!$F$7:$F$8,E97),INDEX('Route Data'!$O$7:$O$8,E97), INDEX('Route Data'!$P$7:$P$8,E97), INDEX('Route Data'!$H$7:$H$8,E97), INDEX('Route Data'!$Q$7:$Q$8,E97), INDEX('Route Data'!$M$7:$M$8,E97))</f>
        <v>0.51617226640175828</v>
      </c>
      <c r="L97" s="5">
        <f>INDEX('Route Data'!$N$7:$N$8,E97)</f>
        <v>0.4</v>
      </c>
      <c r="M97" s="8">
        <v>0.61768251657485962</v>
      </c>
      <c r="N97" s="8">
        <f>ProbStrikeFrancis(K97, I97, L97, INDEX('Route Data'!$G$7:$G$8,E97),C97, INDEX('Route Data'!$F$7:$F$8,E97), INDEX('Route Data'!$O$7:$O$8,E97), INDEX('Route Data'!$H$7:$H$18,E97))</f>
        <v>1</v>
      </c>
      <c r="O97" s="5" t="str">
        <f>IF(F97&gt;=1,IF(M97&lt;=N97,"STRIKE","pass"),IF(M97&lt;=INDEX('Route Data'!$R$7:$R$8,E97),"NO PASS","pass"))</f>
        <v>STRIKE</v>
      </c>
      <c r="P97" s="5">
        <f>IF(F97&gt;=1,IF(M97&lt;=N97,1,0),IF(M97&lt;=INDEX('Route Data'!$R$7:$R$8,E97),-1,0))</f>
        <v>1</v>
      </c>
    </row>
    <row r="98" spans="1:16">
      <c r="A98" s="5">
        <v>88</v>
      </c>
      <c r="B98" s="12">
        <v>19.16</v>
      </c>
      <c r="C98" s="12">
        <f t="shared" si="1"/>
        <v>1.6</v>
      </c>
      <c r="D98" s="8">
        <v>7.9784870147705078E-2</v>
      </c>
      <c r="E98" s="5">
        <f>MATCH(D98,'Route Data'!$C$7:$C$8,1)</f>
        <v>2</v>
      </c>
      <c r="F98" s="5">
        <f>INDEX('Route Data'!$D$7:$D$8,E98)</f>
        <v>1</v>
      </c>
      <c r="G98" s="5" t="str">
        <f>INDEX('Route Data'!$A$7:$A$8,E98)</f>
        <v>u18</v>
      </c>
      <c r="H98" s="5">
        <f>EnergyCoeff(INDEX('Route Data'!$K$7:$K$8,E98),INDEX('Route Data'!$L$7:$L$8,E98)*2*PI()/60,INDEX('Route Data'!$F$7:$F$8,E98))</f>
        <v>0.19430699130049439</v>
      </c>
      <c r="I98" s="5">
        <f>DischargeCoeff(INDEX('Route Data'!$I$7:$I$8,E98), INDEX('Route Data'!$L$7:$L$8,E98)*2*PI()/60, INDEX('Route Data'!$F$7:$F$8,E98))</f>
        <v>0.15939200179827354</v>
      </c>
      <c r="J98" s="8">
        <f>FlowAngleRel(INDEX('Route Data'!$J$7:$J$8,E98)*INDEX('Route Data'!$I$7:$I$8,E98), INDEX('Route Data'!$L$7:$L$8,E98)*2*PI()/60, INDEX('Route Data'!$F$7:$F$8,E98),INDEX('Route Data'!$O$7:$O$8,E98), INDEX('Route Data'!$P$7:$P$8,E98),INDEX('Route Data'!$M$7:$M$8,E98))</f>
        <v>1.130811765868994</v>
      </c>
      <c r="K98" s="8">
        <f>FlowAngleAbsT(INDEX('Route Data'!$K$7:$K$8,E98), INDEX('Route Data'!$I$7:$I$8,E98), INDEX('Route Data'!$I$7:$I$8,E98)*INDEX('Route Data'!$J$7:$J$8,E98), INDEX('Route Data'!$L$7:$L$8,E98)*2*PI()/60, INDEX('Route Data'!$F$7:$F$8,E98),INDEX('Route Data'!$O$7:$O$8,E98), INDEX('Route Data'!$P$7:$P$8,E98), INDEX('Route Data'!$H$7:$H$8,E98), INDEX('Route Data'!$Q$7:$Q$8,E98), INDEX('Route Data'!$M$7:$M$8,E98))</f>
        <v>0.51617226640175828</v>
      </c>
      <c r="L98" s="5">
        <f>INDEX('Route Data'!$N$7:$N$8,E98)</f>
        <v>0.4</v>
      </c>
      <c r="M98" s="8">
        <v>0.40096187591552734</v>
      </c>
      <c r="N98" s="8">
        <f>ProbStrikeFrancis(K98, I98, L98, INDEX('Route Data'!$G$7:$G$8,E98),C98, INDEX('Route Data'!$F$7:$F$8,E98), INDEX('Route Data'!$O$7:$O$8,E98), INDEX('Route Data'!$H$7:$H$18,E98))</f>
        <v>1</v>
      </c>
      <c r="O98" s="5" t="str">
        <f>IF(F98&gt;=1,IF(M98&lt;=N98,"STRIKE","pass"),IF(M98&lt;=INDEX('Route Data'!$R$7:$R$8,E98),"NO PASS","pass"))</f>
        <v>STRIKE</v>
      </c>
      <c r="P98" s="5">
        <f>IF(F98&gt;=1,IF(M98&lt;=N98,1,0),IF(M98&lt;=INDEX('Route Data'!$R$7:$R$8,E98),-1,0))</f>
        <v>1</v>
      </c>
    </row>
    <row r="99" spans="1:16">
      <c r="A99" s="5">
        <v>89</v>
      </c>
      <c r="B99" s="12">
        <v>19.89</v>
      </c>
      <c r="C99" s="12">
        <f t="shared" si="1"/>
        <v>1.66</v>
      </c>
      <c r="D99" s="8">
        <v>0.74866360425949097</v>
      </c>
      <c r="E99" s="5">
        <f>MATCH(D99,'Route Data'!$C$7:$C$8,1)</f>
        <v>2</v>
      </c>
      <c r="F99" s="5">
        <f>INDEX('Route Data'!$D$7:$D$8,E99)</f>
        <v>1</v>
      </c>
      <c r="G99" s="5" t="str">
        <f>INDEX('Route Data'!$A$7:$A$8,E99)</f>
        <v>u18</v>
      </c>
      <c r="H99" s="5">
        <f>EnergyCoeff(INDEX('Route Data'!$K$7:$K$8,E99),INDEX('Route Data'!$L$7:$L$8,E99)*2*PI()/60,INDEX('Route Data'!$F$7:$F$8,E99))</f>
        <v>0.19430699130049439</v>
      </c>
      <c r="I99" s="5">
        <f>DischargeCoeff(INDEX('Route Data'!$I$7:$I$8,E99), INDEX('Route Data'!$L$7:$L$8,E99)*2*PI()/60, INDEX('Route Data'!$F$7:$F$8,E99))</f>
        <v>0.15939200179827354</v>
      </c>
      <c r="J99" s="8">
        <f>FlowAngleRel(INDEX('Route Data'!$J$7:$J$8,E99)*INDEX('Route Data'!$I$7:$I$8,E99), INDEX('Route Data'!$L$7:$L$8,E99)*2*PI()/60, INDEX('Route Data'!$F$7:$F$8,E99),INDEX('Route Data'!$O$7:$O$8,E99), INDEX('Route Data'!$P$7:$P$8,E99),INDEX('Route Data'!$M$7:$M$8,E99))</f>
        <v>1.130811765868994</v>
      </c>
      <c r="K99" s="8">
        <f>FlowAngleAbsT(INDEX('Route Data'!$K$7:$K$8,E99), INDEX('Route Data'!$I$7:$I$8,E99), INDEX('Route Data'!$I$7:$I$8,E99)*INDEX('Route Data'!$J$7:$J$8,E99), INDEX('Route Data'!$L$7:$L$8,E99)*2*PI()/60, INDEX('Route Data'!$F$7:$F$8,E99),INDEX('Route Data'!$O$7:$O$8,E99), INDEX('Route Data'!$P$7:$P$8,E99), INDEX('Route Data'!$H$7:$H$8,E99), INDEX('Route Data'!$Q$7:$Q$8,E99), INDEX('Route Data'!$M$7:$M$8,E99))</f>
        <v>0.51617226640175828</v>
      </c>
      <c r="L99" s="5">
        <f>INDEX('Route Data'!$N$7:$N$8,E99)</f>
        <v>0.4</v>
      </c>
      <c r="M99" s="8">
        <v>0.41164320707321167</v>
      </c>
      <c r="N99" s="8">
        <f>ProbStrikeFrancis(K99, I99, L99, INDEX('Route Data'!$G$7:$G$8,E99),C99, INDEX('Route Data'!$F$7:$F$8,E99), INDEX('Route Data'!$O$7:$O$8,E99), INDEX('Route Data'!$H$7:$H$18,E99))</f>
        <v>1</v>
      </c>
      <c r="O99" s="5" t="str">
        <f>IF(F99&gt;=1,IF(M99&lt;=N99,"STRIKE","pass"),IF(M99&lt;=INDEX('Route Data'!$R$7:$R$8,E99),"NO PASS","pass"))</f>
        <v>STRIKE</v>
      </c>
      <c r="P99" s="5">
        <f>IF(F99&gt;=1,IF(M99&lt;=N99,1,0),IF(M99&lt;=INDEX('Route Data'!$R$7:$R$8,E99),-1,0))</f>
        <v>1</v>
      </c>
    </row>
    <row r="100" spans="1:16">
      <c r="A100" s="5">
        <v>90</v>
      </c>
      <c r="B100" s="12">
        <v>22.35</v>
      </c>
      <c r="C100" s="12">
        <f t="shared" si="1"/>
        <v>1.86</v>
      </c>
      <c r="D100" s="8">
        <v>0.7420274019241333</v>
      </c>
      <c r="E100" s="5">
        <f>MATCH(D100,'Route Data'!$C$7:$C$8,1)</f>
        <v>2</v>
      </c>
      <c r="F100" s="5">
        <f>INDEX('Route Data'!$D$7:$D$8,E100)</f>
        <v>1</v>
      </c>
      <c r="G100" s="5" t="str">
        <f>INDEX('Route Data'!$A$7:$A$8,E100)</f>
        <v>u18</v>
      </c>
      <c r="H100" s="5">
        <f>EnergyCoeff(INDEX('Route Data'!$K$7:$K$8,E100),INDEX('Route Data'!$L$7:$L$8,E100)*2*PI()/60,INDEX('Route Data'!$F$7:$F$8,E100))</f>
        <v>0.19430699130049439</v>
      </c>
      <c r="I100" s="5">
        <f>DischargeCoeff(INDEX('Route Data'!$I$7:$I$8,E100), INDEX('Route Data'!$L$7:$L$8,E100)*2*PI()/60, INDEX('Route Data'!$F$7:$F$8,E100))</f>
        <v>0.15939200179827354</v>
      </c>
      <c r="J100" s="8">
        <f>FlowAngleRel(INDEX('Route Data'!$J$7:$J$8,E100)*INDEX('Route Data'!$I$7:$I$8,E100), INDEX('Route Data'!$L$7:$L$8,E100)*2*PI()/60, INDEX('Route Data'!$F$7:$F$8,E100),INDEX('Route Data'!$O$7:$O$8,E100), INDEX('Route Data'!$P$7:$P$8,E100),INDEX('Route Data'!$M$7:$M$8,E100))</f>
        <v>1.130811765868994</v>
      </c>
      <c r="K100" s="8">
        <f>FlowAngleAbsT(INDEX('Route Data'!$K$7:$K$8,E100), INDEX('Route Data'!$I$7:$I$8,E100), INDEX('Route Data'!$I$7:$I$8,E100)*INDEX('Route Data'!$J$7:$J$8,E100), INDEX('Route Data'!$L$7:$L$8,E100)*2*PI()/60, INDEX('Route Data'!$F$7:$F$8,E100),INDEX('Route Data'!$O$7:$O$8,E100), INDEX('Route Data'!$P$7:$P$8,E100), INDEX('Route Data'!$H$7:$H$8,E100), INDEX('Route Data'!$Q$7:$Q$8,E100), INDEX('Route Data'!$M$7:$M$8,E100))</f>
        <v>0.51617226640175828</v>
      </c>
      <c r="L100" s="5">
        <f>INDEX('Route Data'!$N$7:$N$8,E100)</f>
        <v>0.4</v>
      </c>
      <c r="M100" s="8">
        <v>0.37959921360015869</v>
      </c>
      <c r="N100" s="8">
        <f>ProbStrikeFrancis(K100, I100, L100, INDEX('Route Data'!$G$7:$G$8,E100),C100, INDEX('Route Data'!$F$7:$F$8,E100), INDEX('Route Data'!$O$7:$O$8,E100), INDEX('Route Data'!$H$7:$H$18,E100))</f>
        <v>1</v>
      </c>
      <c r="O100" s="5" t="str">
        <f>IF(F100&gt;=1,IF(M100&lt;=N100,"STRIKE","pass"),IF(M100&lt;=INDEX('Route Data'!$R$7:$R$8,E100),"NO PASS","pass"))</f>
        <v>STRIKE</v>
      </c>
      <c r="P100" s="5">
        <f>IF(F100&gt;=1,IF(M100&lt;=N100,1,0),IF(M100&lt;=INDEX('Route Data'!$R$7:$R$8,E100),-1,0))</f>
        <v>1</v>
      </c>
    </row>
    <row r="101" spans="1:16">
      <c r="A101" s="5">
        <v>91</v>
      </c>
      <c r="B101" s="12">
        <v>26.49</v>
      </c>
      <c r="C101" s="12">
        <f t="shared" si="1"/>
        <v>2.21</v>
      </c>
      <c r="D101" s="8">
        <v>0.4963567852973938</v>
      </c>
      <c r="E101" s="5">
        <f>MATCH(D101,'Route Data'!$C$7:$C$8,1)</f>
        <v>2</v>
      </c>
      <c r="F101" s="5">
        <f>INDEX('Route Data'!$D$7:$D$8,E101)</f>
        <v>1</v>
      </c>
      <c r="G101" s="5" t="str">
        <f>INDEX('Route Data'!$A$7:$A$8,E101)</f>
        <v>u18</v>
      </c>
      <c r="H101" s="5">
        <f>EnergyCoeff(INDEX('Route Data'!$K$7:$K$8,E101),INDEX('Route Data'!$L$7:$L$8,E101)*2*PI()/60,INDEX('Route Data'!$F$7:$F$8,E101))</f>
        <v>0.19430699130049439</v>
      </c>
      <c r="I101" s="5">
        <f>DischargeCoeff(INDEX('Route Data'!$I$7:$I$8,E101), INDEX('Route Data'!$L$7:$L$8,E101)*2*PI()/60, INDEX('Route Data'!$F$7:$F$8,E101))</f>
        <v>0.15939200179827354</v>
      </c>
      <c r="J101" s="8">
        <f>FlowAngleRel(INDEX('Route Data'!$J$7:$J$8,E101)*INDEX('Route Data'!$I$7:$I$8,E101), INDEX('Route Data'!$L$7:$L$8,E101)*2*PI()/60, INDEX('Route Data'!$F$7:$F$8,E101),INDEX('Route Data'!$O$7:$O$8,E101), INDEX('Route Data'!$P$7:$P$8,E101),INDEX('Route Data'!$M$7:$M$8,E101))</f>
        <v>1.130811765868994</v>
      </c>
      <c r="K101" s="8">
        <f>FlowAngleAbsT(INDEX('Route Data'!$K$7:$K$8,E101), INDEX('Route Data'!$I$7:$I$8,E101), INDEX('Route Data'!$I$7:$I$8,E101)*INDEX('Route Data'!$J$7:$J$8,E101), INDEX('Route Data'!$L$7:$L$8,E101)*2*PI()/60, INDEX('Route Data'!$F$7:$F$8,E101),INDEX('Route Data'!$O$7:$O$8,E101), INDEX('Route Data'!$P$7:$P$8,E101), INDEX('Route Data'!$H$7:$H$8,E101), INDEX('Route Data'!$Q$7:$Q$8,E101), INDEX('Route Data'!$M$7:$M$8,E101))</f>
        <v>0.51617226640175828</v>
      </c>
      <c r="L101" s="5">
        <f>INDEX('Route Data'!$N$7:$N$8,E101)</f>
        <v>0.4</v>
      </c>
      <c r="M101" s="8">
        <v>0.74131041765213013</v>
      </c>
      <c r="N101" s="8">
        <f>ProbStrikeFrancis(K101, I101, L101, INDEX('Route Data'!$G$7:$G$8,E101),C101, INDEX('Route Data'!$F$7:$F$8,E101), INDEX('Route Data'!$O$7:$O$8,E101), INDEX('Route Data'!$H$7:$H$18,E101))</f>
        <v>1</v>
      </c>
      <c r="O101" s="5" t="str">
        <f>IF(F101&gt;=1,IF(M101&lt;=N101,"STRIKE","pass"),IF(M101&lt;=INDEX('Route Data'!$R$7:$R$8,E101),"NO PASS","pass"))</f>
        <v>STRIKE</v>
      </c>
      <c r="P101" s="5">
        <f>IF(F101&gt;=1,IF(M101&lt;=N101,1,0),IF(M101&lt;=INDEX('Route Data'!$R$7:$R$8,E101),-1,0))</f>
        <v>1</v>
      </c>
    </row>
    <row r="102" spans="1:16">
      <c r="A102" s="5">
        <v>92</v>
      </c>
      <c r="B102" s="12">
        <v>27.08</v>
      </c>
      <c r="C102" s="12">
        <f t="shared" si="1"/>
        <v>2.2599999999999998</v>
      </c>
      <c r="D102" s="8">
        <v>0.2333686351776123</v>
      </c>
      <c r="E102" s="5">
        <f>MATCH(D102,'Route Data'!$C$7:$C$8,1)</f>
        <v>2</v>
      </c>
      <c r="F102" s="5">
        <f>INDEX('Route Data'!$D$7:$D$8,E102)</f>
        <v>1</v>
      </c>
      <c r="G102" s="5" t="str">
        <f>INDEX('Route Data'!$A$7:$A$8,E102)</f>
        <v>u18</v>
      </c>
      <c r="H102" s="5">
        <f>EnergyCoeff(INDEX('Route Data'!$K$7:$K$8,E102),INDEX('Route Data'!$L$7:$L$8,E102)*2*PI()/60,INDEX('Route Data'!$F$7:$F$8,E102))</f>
        <v>0.19430699130049439</v>
      </c>
      <c r="I102" s="5">
        <f>DischargeCoeff(INDEX('Route Data'!$I$7:$I$8,E102), INDEX('Route Data'!$L$7:$L$8,E102)*2*PI()/60, INDEX('Route Data'!$F$7:$F$8,E102))</f>
        <v>0.15939200179827354</v>
      </c>
      <c r="J102" s="8">
        <f>FlowAngleRel(INDEX('Route Data'!$J$7:$J$8,E102)*INDEX('Route Data'!$I$7:$I$8,E102), INDEX('Route Data'!$L$7:$L$8,E102)*2*PI()/60, INDEX('Route Data'!$F$7:$F$8,E102),INDEX('Route Data'!$O$7:$O$8,E102), INDEX('Route Data'!$P$7:$P$8,E102),INDEX('Route Data'!$M$7:$M$8,E102))</f>
        <v>1.130811765868994</v>
      </c>
      <c r="K102" s="8">
        <f>FlowAngleAbsT(INDEX('Route Data'!$K$7:$K$8,E102), INDEX('Route Data'!$I$7:$I$8,E102), INDEX('Route Data'!$I$7:$I$8,E102)*INDEX('Route Data'!$J$7:$J$8,E102), INDEX('Route Data'!$L$7:$L$8,E102)*2*PI()/60, INDEX('Route Data'!$F$7:$F$8,E102),INDEX('Route Data'!$O$7:$O$8,E102), INDEX('Route Data'!$P$7:$P$8,E102), INDEX('Route Data'!$H$7:$H$8,E102), INDEX('Route Data'!$Q$7:$Q$8,E102), INDEX('Route Data'!$M$7:$M$8,E102))</f>
        <v>0.51617226640175828</v>
      </c>
      <c r="L102" s="5">
        <f>INDEX('Route Data'!$N$7:$N$8,E102)</f>
        <v>0.4</v>
      </c>
      <c r="M102" s="8">
        <v>0.45291447639465332</v>
      </c>
      <c r="N102" s="8">
        <f>ProbStrikeFrancis(K102, I102, L102, INDEX('Route Data'!$G$7:$G$8,E102),C102, INDEX('Route Data'!$F$7:$F$8,E102), INDEX('Route Data'!$O$7:$O$8,E102), INDEX('Route Data'!$H$7:$H$18,E102))</f>
        <v>1</v>
      </c>
      <c r="O102" s="5" t="str">
        <f>IF(F102&gt;=1,IF(M102&lt;=N102,"STRIKE","pass"),IF(M102&lt;=INDEX('Route Data'!$R$7:$R$8,E102),"NO PASS","pass"))</f>
        <v>STRIKE</v>
      </c>
      <c r="P102" s="5">
        <f>IF(F102&gt;=1,IF(M102&lt;=N102,1,0),IF(M102&lt;=INDEX('Route Data'!$R$7:$R$8,E102),-1,0))</f>
        <v>1</v>
      </c>
    </row>
    <row r="103" spans="1:16">
      <c r="A103" s="5">
        <v>93</v>
      </c>
      <c r="B103" s="12">
        <v>18.690000000000001</v>
      </c>
      <c r="C103" s="12">
        <f t="shared" si="1"/>
        <v>1.56</v>
      </c>
      <c r="D103" s="8">
        <v>0.75675386190414429</v>
      </c>
      <c r="E103" s="5">
        <f>MATCH(D103,'Route Data'!$C$7:$C$8,1)</f>
        <v>2</v>
      </c>
      <c r="F103" s="5">
        <f>INDEX('Route Data'!$D$7:$D$8,E103)</f>
        <v>1</v>
      </c>
      <c r="G103" s="5" t="str">
        <f>INDEX('Route Data'!$A$7:$A$8,E103)</f>
        <v>u18</v>
      </c>
      <c r="H103" s="5">
        <f>EnergyCoeff(INDEX('Route Data'!$K$7:$K$8,E103),INDEX('Route Data'!$L$7:$L$8,E103)*2*PI()/60,INDEX('Route Data'!$F$7:$F$8,E103))</f>
        <v>0.19430699130049439</v>
      </c>
      <c r="I103" s="5">
        <f>DischargeCoeff(INDEX('Route Data'!$I$7:$I$8,E103), INDEX('Route Data'!$L$7:$L$8,E103)*2*PI()/60, INDEX('Route Data'!$F$7:$F$8,E103))</f>
        <v>0.15939200179827354</v>
      </c>
      <c r="J103" s="8">
        <f>FlowAngleRel(INDEX('Route Data'!$J$7:$J$8,E103)*INDEX('Route Data'!$I$7:$I$8,E103), INDEX('Route Data'!$L$7:$L$8,E103)*2*PI()/60, INDEX('Route Data'!$F$7:$F$8,E103),INDEX('Route Data'!$O$7:$O$8,E103), INDEX('Route Data'!$P$7:$P$8,E103),INDEX('Route Data'!$M$7:$M$8,E103))</f>
        <v>1.130811765868994</v>
      </c>
      <c r="K103" s="8">
        <f>FlowAngleAbsT(INDEX('Route Data'!$K$7:$K$8,E103), INDEX('Route Data'!$I$7:$I$8,E103), INDEX('Route Data'!$I$7:$I$8,E103)*INDEX('Route Data'!$J$7:$J$8,E103), INDEX('Route Data'!$L$7:$L$8,E103)*2*PI()/60, INDEX('Route Data'!$F$7:$F$8,E103),INDEX('Route Data'!$O$7:$O$8,E103), INDEX('Route Data'!$P$7:$P$8,E103), INDEX('Route Data'!$H$7:$H$8,E103), INDEX('Route Data'!$Q$7:$Q$8,E103), INDEX('Route Data'!$M$7:$M$8,E103))</f>
        <v>0.51617226640175828</v>
      </c>
      <c r="L103" s="5">
        <f>INDEX('Route Data'!$N$7:$N$8,E103)</f>
        <v>0.4</v>
      </c>
      <c r="M103" s="8">
        <v>0.31810230016708374</v>
      </c>
      <c r="N103" s="8">
        <f>ProbStrikeFrancis(K103, I103, L103, INDEX('Route Data'!$G$7:$G$8,E103),C103, INDEX('Route Data'!$F$7:$F$8,E103), INDEX('Route Data'!$O$7:$O$8,E103), INDEX('Route Data'!$H$7:$H$18,E103))</f>
        <v>1</v>
      </c>
      <c r="O103" s="5" t="str">
        <f>IF(F103&gt;=1,IF(M103&lt;=N103,"STRIKE","pass"),IF(M103&lt;=INDEX('Route Data'!$R$7:$R$8,E103),"NO PASS","pass"))</f>
        <v>STRIKE</v>
      </c>
      <c r="P103" s="5">
        <f>IF(F103&gt;=1,IF(M103&lt;=N103,1,0),IF(M103&lt;=INDEX('Route Data'!$R$7:$R$8,E103),-1,0))</f>
        <v>1</v>
      </c>
    </row>
    <row r="104" spans="1:16">
      <c r="A104" s="5">
        <v>94</v>
      </c>
      <c r="B104" s="12">
        <v>20.82</v>
      </c>
      <c r="C104" s="12">
        <f t="shared" si="1"/>
        <v>1.74</v>
      </c>
      <c r="D104" s="8">
        <v>0.18659818172454834</v>
      </c>
      <c r="E104" s="5">
        <f>MATCH(D104,'Route Data'!$C$7:$C$8,1)</f>
        <v>2</v>
      </c>
      <c r="F104" s="5">
        <f>INDEX('Route Data'!$D$7:$D$8,E104)</f>
        <v>1</v>
      </c>
      <c r="G104" s="5" t="str">
        <f>INDEX('Route Data'!$A$7:$A$8,E104)</f>
        <v>u18</v>
      </c>
      <c r="H104" s="5">
        <f>EnergyCoeff(INDEX('Route Data'!$K$7:$K$8,E104),INDEX('Route Data'!$L$7:$L$8,E104)*2*PI()/60,INDEX('Route Data'!$F$7:$F$8,E104))</f>
        <v>0.19430699130049439</v>
      </c>
      <c r="I104" s="5">
        <f>DischargeCoeff(INDEX('Route Data'!$I$7:$I$8,E104), INDEX('Route Data'!$L$7:$L$8,E104)*2*PI()/60, INDEX('Route Data'!$F$7:$F$8,E104))</f>
        <v>0.15939200179827354</v>
      </c>
      <c r="J104" s="8">
        <f>FlowAngleRel(INDEX('Route Data'!$J$7:$J$8,E104)*INDEX('Route Data'!$I$7:$I$8,E104), INDEX('Route Data'!$L$7:$L$8,E104)*2*PI()/60, INDEX('Route Data'!$F$7:$F$8,E104),INDEX('Route Data'!$O$7:$O$8,E104), INDEX('Route Data'!$P$7:$P$8,E104),INDEX('Route Data'!$M$7:$M$8,E104))</f>
        <v>1.130811765868994</v>
      </c>
      <c r="K104" s="8">
        <f>FlowAngleAbsT(INDEX('Route Data'!$K$7:$K$8,E104), INDEX('Route Data'!$I$7:$I$8,E104), INDEX('Route Data'!$I$7:$I$8,E104)*INDEX('Route Data'!$J$7:$J$8,E104), INDEX('Route Data'!$L$7:$L$8,E104)*2*PI()/60, INDEX('Route Data'!$F$7:$F$8,E104),INDEX('Route Data'!$O$7:$O$8,E104), INDEX('Route Data'!$P$7:$P$8,E104), INDEX('Route Data'!$H$7:$H$8,E104), INDEX('Route Data'!$Q$7:$Q$8,E104), INDEX('Route Data'!$M$7:$M$8,E104))</f>
        <v>0.51617226640175828</v>
      </c>
      <c r="L104" s="5">
        <f>INDEX('Route Data'!$N$7:$N$8,E104)</f>
        <v>0.4</v>
      </c>
      <c r="M104" s="8">
        <v>0.45695960521697998</v>
      </c>
      <c r="N104" s="8">
        <f>ProbStrikeFrancis(K104, I104, L104, INDEX('Route Data'!$G$7:$G$8,E104),C104, INDEX('Route Data'!$F$7:$F$8,E104), INDEX('Route Data'!$O$7:$O$8,E104), INDEX('Route Data'!$H$7:$H$18,E104))</f>
        <v>1</v>
      </c>
      <c r="O104" s="5" t="str">
        <f>IF(F104&gt;=1,IF(M104&lt;=N104,"STRIKE","pass"),IF(M104&lt;=INDEX('Route Data'!$R$7:$R$8,E104),"NO PASS","pass"))</f>
        <v>STRIKE</v>
      </c>
      <c r="P104" s="5">
        <f>IF(F104&gt;=1,IF(M104&lt;=N104,1,0),IF(M104&lt;=INDEX('Route Data'!$R$7:$R$8,E104),-1,0))</f>
        <v>1</v>
      </c>
    </row>
    <row r="105" spans="1:16">
      <c r="A105" s="5">
        <v>95</v>
      </c>
      <c r="B105" s="12">
        <v>22.79</v>
      </c>
      <c r="C105" s="12">
        <f t="shared" si="1"/>
        <v>1.9</v>
      </c>
      <c r="D105" s="8">
        <v>0.42822366952896118</v>
      </c>
      <c r="E105" s="5">
        <f>MATCH(D105,'Route Data'!$C$7:$C$8,1)</f>
        <v>2</v>
      </c>
      <c r="F105" s="5">
        <f>INDEX('Route Data'!$D$7:$D$8,E105)</f>
        <v>1</v>
      </c>
      <c r="G105" s="5" t="str">
        <f>INDEX('Route Data'!$A$7:$A$8,E105)</f>
        <v>u18</v>
      </c>
      <c r="H105" s="5">
        <f>EnergyCoeff(INDEX('Route Data'!$K$7:$K$8,E105),INDEX('Route Data'!$L$7:$L$8,E105)*2*PI()/60,INDEX('Route Data'!$F$7:$F$8,E105))</f>
        <v>0.19430699130049439</v>
      </c>
      <c r="I105" s="5">
        <f>DischargeCoeff(INDEX('Route Data'!$I$7:$I$8,E105), INDEX('Route Data'!$L$7:$L$8,E105)*2*PI()/60, INDEX('Route Data'!$F$7:$F$8,E105))</f>
        <v>0.15939200179827354</v>
      </c>
      <c r="J105" s="8">
        <f>FlowAngleRel(INDEX('Route Data'!$J$7:$J$8,E105)*INDEX('Route Data'!$I$7:$I$8,E105), INDEX('Route Data'!$L$7:$L$8,E105)*2*PI()/60, INDEX('Route Data'!$F$7:$F$8,E105),INDEX('Route Data'!$O$7:$O$8,E105), INDEX('Route Data'!$P$7:$P$8,E105),INDEX('Route Data'!$M$7:$M$8,E105))</f>
        <v>1.130811765868994</v>
      </c>
      <c r="K105" s="8">
        <f>FlowAngleAbsT(INDEX('Route Data'!$K$7:$K$8,E105), INDEX('Route Data'!$I$7:$I$8,E105), INDEX('Route Data'!$I$7:$I$8,E105)*INDEX('Route Data'!$J$7:$J$8,E105), INDEX('Route Data'!$L$7:$L$8,E105)*2*PI()/60, INDEX('Route Data'!$F$7:$F$8,E105),INDEX('Route Data'!$O$7:$O$8,E105), INDEX('Route Data'!$P$7:$P$8,E105), INDEX('Route Data'!$H$7:$H$8,E105), INDEX('Route Data'!$Q$7:$Q$8,E105), INDEX('Route Data'!$M$7:$M$8,E105))</f>
        <v>0.51617226640175828</v>
      </c>
      <c r="L105" s="5">
        <f>INDEX('Route Data'!$N$7:$N$8,E105)</f>
        <v>0.4</v>
      </c>
      <c r="M105" s="8">
        <v>4.038769006729126E-2</v>
      </c>
      <c r="N105" s="8">
        <f>ProbStrikeFrancis(K105, I105, L105, INDEX('Route Data'!$G$7:$G$8,E105),C105, INDEX('Route Data'!$F$7:$F$8,E105), INDEX('Route Data'!$O$7:$O$8,E105), INDEX('Route Data'!$H$7:$H$18,E105))</f>
        <v>1</v>
      </c>
      <c r="O105" s="5" t="str">
        <f>IF(F105&gt;=1,IF(M105&lt;=N105,"STRIKE","pass"),IF(M105&lt;=INDEX('Route Data'!$R$7:$R$8,E105),"NO PASS","pass"))</f>
        <v>STRIKE</v>
      </c>
      <c r="P105" s="5">
        <f>IF(F105&gt;=1,IF(M105&lt;=N105,1,0),IF(M105&lt;=INDEX('Route Data'!$R$7:$R$8,E105),-1,0))</f>
        <v>1</v>
      </c>
    </row>
    <row r="106" spans="1:16">
      <c r="A106" s="5">
        <v>96</v>
      </c>
      <c r="B106" s="12">
        <v>18.690000000000001</v>
      </c>
      <c r="C106" s="12">
        <f t="shared" si="1"/>
        <v>1.56</v>
      </c>
      <c r="D106" s="8">
        <v>0.70334720611572266</v>
      </c>
      <c r="E106" s="5">
        <f>MATCH(D106,'Route Data'!$C$7:$C$8,1)</f>
        <v>2</v>
      </c>
      <c r="F106" s="5">
        <f>INDEX('Route Data'!$D$7:$D$8,E106)</f>
        <v>1</v>
      </c>
      <c r="G106" s="5" t="str">
        <f>INDEX('Route Data'!$A$7:$A$8,E106)</f>
        <v>u18</v>
      </c>
      <c r="H106" s="5">
        <f>EnergyCoeff(INDEX('Route Data'!$K$7:$K$8,E106),INDEX('Route Data'!$L$7:$L$8,E106)*2*PI()/60,INDEX('Route Data'!$F$7:$F$8,E106))</f>
        <v>0.19430699130049439</v>
      </c>
      <c r="I106" s="5">
        <f>DischargeCoeff(INDEX('Route Data'!$I$7:$I$8,E106), INDEX('Route Data'!$L$7:$L$8,E106)*2*PI()/60, INDEX('Route Data'!$F$7:$F$8,E106))</f>
        <v>0.15939200179827354</v>
      </c>
      <c r="J106" s="8">
        <f>FlowAngleRel(INDEX('Route Data'!$J$7:$J$8,E106)*INDEX('Route Data'!$I$7:$I$8,E106), INDEX('Route Data'!$L$7:$L$8,E106)*2*PI()/60, INDEX('Route Data'!$F$7:$F$8,E106),INDEX('Route Data'!$O$7:$O$8,E106), INDEX('Route Data'!$P$7:$P$8,E106),INDEX('Route Data'!$M$7:$M$8,E106))</f>
        <v>1.130811765868994</v>
      </c>
      <c r="K106" s="8">
        <f>FlowAngleAbsT(INDEX('Route Data'!$K$7:$K$8,E106), INDEX('Route Data'!$I$7:$I$8,E106), INDEX('Route Data'!$I$7:$I$8,E106)*INDEX('Route Data'!$J$7:$J$8,E106), INDEX('Route Data'!$L$7:$L$8,E106)*2*PI()/60, INDEX('Route Data'!$F$7:$F$8,E106),INDEX('Route Data'!$O$7:$O$8,E106), INDEX('Route Data'!$P$7:$P$8,E106), INDEX('Route Data'!$H$7:$H$8,E106), INDEX('Route Data'!$Q$7:$Q$8,E106), INDEX('Route Data'!$M$7:$M$8,E106))</f>
        <v>0.51617226640175828</v>
      </c>
      <c r="L106" s="5">
        <f>INDEX('Route Data'!$N$7:$N$8,E106)</f>
        <v>0.4</v>
      </c>
      <c r="M106" s="8">
        <v>0.55568265914916992</v>
      </c>
      <c r="N106" s="8">
        <f>ProbStrikeFrancis(K106, I106, L106, INDEX('Route Data'!$G$7:$G$8,E106),C106, INDEX('Route Data'!$F$7:$F$8,E106), INDEX('Route Data'!$O$7:$O$8,E106), INDEX('Route Data'!$H$7:$H$18,E106))</f>
        <v>1</v>
      </c>
      <c r="O106" s="5" t="str">
        <f>IF(F106&gt;=1,IF(M106&lt;=N106,"STRIKE","pass"),IF(M106&lt;=INDEX('Route Data'!$R$7:$R$8,E106),"NO PASS","pass"))</f>
        <v>STRIKE</v>
      </c>
      <c r="P106" s="5">
        <f>IF(F106&gt;=1,IF(M106&lt;=N106,1,0),IF(M106&lt;=INDEX('Route Data'!$R$7:$R$8,E106),-1,0))</f>
        <v>1</v>
      </c>
    </row>
    <row r="107" spans="1:16">
      <c r="A107" s="5">
        <v>97</v>
      </c>
      <c r="B107" s="12">
        <v>21.75</v>
      </c>
      <c r="C107" s="12">
        <f t="shared" si="1"/>
        <v>1.81</v>
      </c>
      <c r="D107" s="8">
        <v>0.34681814908981323</v>
      </c>
      <c r="E107" s="5">
        <f>MATCH(D107,'Route Data'!$C$7:$C$8,1)</f>
        <v>2</v>
      </c>
      <c r="F107" s="5">
        <f>INDEX('Route Data'!$D$7:$D$8,E107)</f>
        <v>1</v>
      </c>
      <c r="G107" s="5" t="str">
        <f>INDEX('Route Data'!$A$7:$A$8,E107)</f>
        <v>u18</v>
      </c>
      <c r="H107" s="5">
        <f>EnergyCoeff(INDEX('Route Data'!$K$7:$K$8,E107),INDEX('Route Data'!$L$7:$L$8,E107)*2*PI()/60,INDEX('Route Data'!$F$7:$F$8,E107))</f>
        <v>0.19430699130049439</v>
      </c>
      <c r="I107" s="5">
        <f>DischargeCoeff(INDEX('Route Data'!$I$7:$I$8,E107), INDEX('Route Data'!$L$7:$L$8,E107)*2*PI()/60, INDEX('Route Data'!$F$7:$F$8,E107))</f>
        <v>0.15939200179827354</v>
      </c>
      <c r="J107" s="8">
        <f>FlowAngleRel(INDEX('Route Data'!$J$7:$J$8,E107)*INDEX('Route Data'!$I$7:$I$8,E107), INDEX('Route Data'!$L$7:$L$8,E107)*2*PI()/60, INDEX('Route Data'!$F$7:$F$8,E107),INDEX('Route Data'!$O$7:$O$8,E107), INDEX('Route Data'!$P$7:$P$8,E107),INDEX('Route Data'!$M$7:$M$8,E107))</f>
        <v>1.130811765868994</v>
      </c>
      <c r="K107" s="8">
        <f>FlowAngleAbsT(INDEX('Route Data'!$K$7:$K$8,E107), INDEX('Route Data'!$I$7:$I$8,E107), INDEX('Route Data'!$I$7:$I$8,E107)*INDEX('Route Data'!$J$7:$J$8,E107), INDEX('Route Data'!$L$7:$L$8,E107)*2*PI()/60, INDEX('Route Data'!$F$7:$F$8,E107),INDEX('Route Data'!$O$7:$O$8,E107), INDEX('Route Data'!$P$7:$P$8,E107), INDEX('Route Data'!$H$7:$H$8,E107), INDEX('Route Data'!$Q$7:$Q$8,E107), INDEX('Route Data'!$M$7:$M$8,E107))</f>
        <v>0.51617226640175828</v>
      </c>
      <c r="L107" s="5">
        <f>INDEX('Route Data'!$N$7:$N$8,E107)</f>
        <v>0.4</v>
      </c>
      <c r="M107" s="8">
        <v>0.27537697553634644</v>
      </c>
      <c r="N107" s="8">
        <f>ProbStrikeFrancis(K107, I107, L107, INDEX('Route Data'!$G$7:$G$8,E107),C107, INDEX('Route Data'!$F$7:$F$8,E107), INDEX('Route Data'!$O$7:$O$8,E107), INDEX('Route Data'!$H$7:$H$18,E107))</f>
        <v>1</v>
      </c>
      <c r="O107" s="5" t="str">
        <f>IF(F107&gt;=1,IF(M107&lt;=N107,"STRIKE","pass"),IF(M107&lt;=INDEX('Route Data'!$R$7:$R$8,E107),"NO PASS","pass"))</f>
        <v>STRIKE</v>
      </c>
      <c r="P107" s="5">
        <f>IF(F107&gt;=1,IF(M107&lt;=N107,1,0),IF(M107&lt;=INDEX('Route Data'!$R$7:$R$8,E107),-1,0))</f>
        <v>1</v>
      </c>
    </row>
    <row r="108" spans="1:16">
      <c r="A108" s="5">
        <v>98</v>
      </c>
      <c r="B108" s="12">
        <v>24.77</v>
      </c>
      <c r="C108" s="12">
        <f t="shared" si="1"/>
        <v>2.06</v>
      </c>
      <c r="D108" s="8">
        <v>0.681984543800354</v>
      </c>
      <c r="E108" s="5">
        <f>MATCH(D108,'Route Data'!$C$7:$C$8,1)</f>
        <v>2</v>
      </c>
      <c r="F108" s="5">
        <f>INDEX('Route Data'!$D$7:$D$8,E108)</f>
        <v>1</v>
      </c>
      <c r="G108" s="5" t="str">
        <f>INDEX('Route Data'!$A$7:$A$8,E108)</f>
        <v>u18</v>
      </c>
      <c r="H108" s="5">
        <f>EnergyCoeff(INDEX('Route Data'!$K$7:$K$8,E108),INDEX('Route Data'!$L$7:$L$8,E108)*2*PI()/60,INDEX('Route Data'!$F$7:$F$8,E108))</f>
        <v>0.19430699130049439</v>
      </c>
      <c r="I108" s="5">
        <f>DischargeCoeff(INDEX('Route Data'!$I$7:$I$8,E108), INDEX('Route Data'!$L$7:$L$8,E108)*2*PI()/60, INDEX('Route Data'!$F$7:$F$8,E108))</f>
        <v>0.15939200179827354</v>
      </c>
      <c r="J108" s="8">
        <f>FlowAngleRel(INDEX('Route Data'!$J$7:$J$8,E108)*INDEX('Route Data'!$I$7:$I$8,E108), INDEX('Route Data'!$L$7:$L$8,E108)*2*PI()/60, INDEX('Route Data'!$F$7:$F$8,E108),INDEX('Route Data'!$O$7:$O$8,E108), INDEX('Route Data'!$P$7:$P$8,E108),INDEX('Route Data'!$M$7:$M$8,E108))</f>
        <v>1.130811765868994</v>
      </c>
      <c r="K108" s="8">
        <f>FlowAngleAbsT(INDEX('Route Data'!$K$7:$K$8,E108), INDEX('Route Data'!$I$7:$I$8,E108), INDEX('Route Data'!$I$7:$I$8,E108)*INDEX('Route Data'!$J$7:$J$8,E108), INDEX('Route Data'!$L$7:$L$8,E108)*2*PI()/60, INDEX('Route Data'!$F$7:$F$8,E108),INDEX('Route Data'!$O$7:$O$8,E108), INDEX('Route Data'!$P$7:$P$8,E108), INDEX('Route Data'!$H$7:$H$8,E108), INDEX('Route Data'!$Q$7:$Q$8,E108), INDEX('Route Data'!$M$7:$M$8,E108))</f>
        <v>0.51617226640175828</v>
      </c>
      <c r="L108" s="5">
        <f>INDEX('Route Data'!$N$7:$N$8,E108)</f>
        <v>0.4</v>
      </c>
      <c r="M108" s="8">
        <v>0.58513557910919189</v>
      </c>
      <c r="N108" s="8">
        <f>ProbStrikeFrancis(K108, I108, L108, INDEX('Route Data'!$G$7:$G$8,E108),C108, INDEX('Route Data'!$F$7:$F$8,E108), INDEX('Route Data'!$O$7:$O$8,E108), INDEX('Route Data'!$H$7:$H$18,E108))</f>
        <v>1</v>
      </c>
      <c r="O108" s="5" t="str">
        <f>IF(F108&gt;=1,IF(M108&lt;=N108,"STRIKE","pass"),IF(M108&lt;=INDEX('Route Data'!$R$7:$R$8,E108),"NO PASS","pass"))</f>
        <v>STRIKE</v>
      </c>
      <c r="P108" s="5">
        <f>IF(F108&gt;=1,IF(M108&lt;=N108,1,0),IF(M108&lt;=INDEX('Route Data'!$R$7:$R$8,E108),-1,0))</f>
        <v>1</v>
      </c>
    </row>
    <row r="109" spans="1:16">
      <c r="A109" s="5">
        <v>99</v>
      </c>
      <c r="B109" s="12">
        <v>19.38</v>
      </c>
      <c r="C109" s="12">
        <f t="shared" si="1"/>
        <v>1.62</v>
      </c>
      <c r="D109" s="8">
        <v>0.41090613603591919</v>
      </c>
      <c r="E109" s="5">
        <f>MATCH(D109,'Route Data'!$C$7:$C$8,1)</f>
        <v>2</v>
      </c>
      <c r="F109" s="5">
        <f>INDEX('Route Data'!$D$7:$D$8,E109)</f>
        <v>1</v>
      </c>
      <c r="G109" s="5" t="str">
        <f>INDEX('Route Data'!$A$7:$A$8,E109)</f>
        <v>u18</v>
      </c>
      <c r="H109" s="5">
        <f>EnergyCoeff(INDEX('Route Data'!$K$7:$K$8,E109),INDEX('Route Data'!$L$7:$L$8,E109)*2*PI()/60,INDEX('Route Data'!$F$7:$F$8,E109))</f>
        <v>0.19430699130049439</v>
      </c>
      <c r="I109" s="5">
        <f>DischargeCoeff(INDEX('Route Data'!$I$7:$I$8,E109), INDEX('Route Data'!$L$7:$L$8,E109)*2*PI()/60, INDEX('Route Data'!$F$7:$F$8,E109))</f>
        <v>0.15939200179827354</v>
      </c>
      <c r="J109" s="8">
        <f>FlowAngleRel(INDEX('Route Data'!$J$7:$J$8,E109)*INDEX('Route Data'!$I$7:$I$8,E109), INDEX('Route Data'!$L$7:$L$8,E109)*2*PI()/60, INDEX('Route Data'!$F$7:$F$8,E109),INDEX('Route Data'!$O$7:$O$8,E109), INDEX('Route Data'!$P$7:$P$8,E109),INDEX('Route Data'!$M$7:$M$8,E109))</f>
        <v>1.130811765868994</v>
      </c>
      <c r="K109" s="8">
        <f>FlowAngleAbsT(INDEX('Route Data'!$K$7:$K$8,E109), INDEX('Route Data'!$I$7:$I$8,E109), INDEX('Route Data'!$I$7:$I$8,E109)*INDEX('Route Data'!$J$7:$J$8,E109), INDEX('Route Data'!$L$7:$L$8,E109)*2*PI()/60, INDEX('Route Data'!$F$7:$F$8,E109),INDEX('Route Data'!$O$7:$O$8,E109), INDEX('Route Data'!$P$7:$P$8,E109), INDEX('Route Data'!$H$7:$H$8,E109), INDEX('Route Data'!$Q$7:$Q$8,E109), INDEX('Route Data'!$M$7:$M$8,E109))</f>
        <v>0.51617226640175828</v>
      </c>
      <c r="L109" s="5">
        <f>INDEX('Route Data'!$N$7:$N$8,E109)</f>
        <v>0.4</v>
      </c>
      <c r="M109" s="8">
        <v>0.65585976839065552</v>
      </c>
      <c r="N109" s="8">
        <f>ProbStrikeFrancis(K109, I109, L109, INDEX('Route Data'!$G$7:$G$8,E109),C109, INDEX('Route Data'!$F$7:$F$8,E109), INDEX('Route Data'!$O$7:$O$8,E109), INDEX('Route Data'!$H$7:$H$18,E109))</f>
        <v>1</v>
      </c>
      <c r="O109" s="5" t="str">
        <f>IF(F109&gt;=1,IF(M109&lt;=N109,"STRIKE","pass"),IF(M109&lt;=INDEX('Route Data'!$R$7:$R$8,E109),"NO PASS","pass"))</f>
        <v>STRIKE</v>
      </c>
      <c r="P109" s="5">
        <f>IF(F109&gt;=1,IF(M109&lt;=N109,1,0),IF(M109&lt;=INDEX('Route Data'!$R$7:$R$8,E109),-1,0))</f>
        <v>1</v>
      </c>
    </row>
    <row r="110" spans="1:16">
      <c r="A110" s="5">
        <v>100</v>
      </c>
      <c r="B110" s="12">
        <v>22.67</v>
      </c>
      <c r="C110" s="12">
        <f t="shared" si="1"/>
        <v>1.89</v>
      </c>
      <c r="D110" s="8">
        <v>0.48972058296203613</v>
      </c>
      <c r="E110" s="5">
        <f>MATCH(D110,'Route Data'!$C$7:$C$8,1)</f>
        <v>2</v>
      </c>
      <c r="F110" s="5">
        <f>INDEX('Route Data'!$D$7:$D$8,E110)</f>
        <v>1</v>
      </c>
      <c r="G110" s="5" t="str">
        <f>INDEX('Route Data'!$A$7:$A$8,E110)</f>
        <v>u18</v>
      </c>
      <c r="H110" s="5">
        <f>EnergyCoeff(INDEX('Route Data'!$K$7:$K$8,E110),INDEX('Route Data'!$L$7:$L$8,E110)*2*PI()/60,INDEX('Route Data'!$F$7:$F$8,E110))</f>
        <v>0.19430699130049439</v>
      </c>
      <c r="I110" s="5">
        <f>DischargeCoeff(INDEX('Route Data'!$I$7:$I$8,E110), INDEX('Route Data'!$L$7:$L$8,E110)*2*PI()/60, INDEX('Route Data'!$F$7:$F$8,E110))</f>
        <v>0.15939200179827354</v>
      </c>
      <c r="J110" s="8">
        <f>FlowAngleRel(INDEX('Route Data'!$J$7:$J$8,E110)*INDEX('Route Data'!$I$7:$I$8,E110), INDEX('Route Data'!$L$7:$L$8,E110)*2*PI()/60, INDEX('Route Data'!$F$7:$F$8,E110),INDEX('Route Data'!$O$7:$O$8,E110), INDEX('Route Data'!$P$7:$P$8,E110),INDEX('Route Data'!$M$7:$M$8,E110))</f>
        <v>1.130811765868994</v>
      </c>
      <c r="K110" s="8">
        <f>FlowAngleAbsT(INDEX('Route Data'!$K$7:$K$8,E110), INDEX('Route Data'!$I$7:$I$8,E110), INDEX('Route Data'!$I$7:$I$8,E110)*INDEX('Route Data'!$J$7:$J$8,E110), INDEX('Route Data'!$L$7:$L$8,E110)*2*PI()/60, INDEX('Route Data'!$F$7:$F$8,E110),INDEX('Route Data'!$O$7:$O$8,E110), INDEX('Route Data'!$P$7:$P$8,E110), INDEX('Route Data'!$H$7:$H$8,E110), INDEX('Route Data'!$Q$7:$Q$8,E110), INDEX('Route Data'!$M$7:$M$8,E110))</f>
        <v>0.51617226640175828</v>
      </c>
      <c r="L110" s="5">
        <f>INDEX('Route Data'!$N$7:$N$8,E110)</f>
        <v>0.4</v>
      </c>
      <c r="M110" s="8">
        <v>0.70926642417907715</v>
      </c>
      <c r="N110" s="8">
        <f>ProbStrikeFrancis(K110, I110, L110, INDEX('Route Data'!$G$7:$G$8,E110),C110, INDEX('Route Data'!$F$7:$F$8,E110), INDEX('Route Data'!$O$7:$O$8,E110), INDEX('Route Data'!$H$7:$H$18,E110))</f>
        <v>1</v>
      </c>
      <c r="O110" s="5" t="str">
        <f>IF(F110&gt;=1,IF(M110&lt;=N110,"STRIKE","pass"),IF(M110&lt;=INDEX('Route Data'!$R$7:$R$8,E110),"NO PASS","pass"))</f>
        <v>STRIKE</v>
      </c>
      <c r="P110" s="5">
        <f>IF(F110&gt;=1,IF(M110&lt;=N110,1,0),IF(M110&lt;=INDEX('Route Data'!$R$7:$R$8,E110),-1,0))</f>
        <v>1</v>
      </c>
    </row>
    <row r="111" spans="1:16">
      <c r="A111" s="5">
        <v>101</v>
      </c>
      <c r="B111" s="12">
        <v>21.82</v>
      </c>
      <c r="C111" s="12">
        <f t="shared" si="1"/>
        <v>1.82</v>
      </c>
      <c r="D111" s="8">
        <v>0.9876980185508728</v>
      </c>
      <c r="E111" s="5">
        <f>MATCH(D111,'Route Data'!$C$7:$C$8,1)</f>
        <v>2</v>
      </c>
      <c r="F111" s="5">
        <f>INDEX('Route Data'!$D$7:$D$8,E111)</f>
        <v>1</v>
      </c>
      <c r="G111" s="5" t="str">
        <f>INDEX('Route Data'!$A$7:$A$8,E111)</f>
        <v>u18</v>
      </c>
      <c r="H111" s="5">
        <f>EnergyCoeff(INDEX('Route Data'!$K$7:$K$8,E111),INDEX('Route Data'!$L$7:$L$8,E111)*2*PI()/60,INDEX('Route Data'!$F$7:$F$8,E111))</f>
        <v>0.19430699130049439</v>
      </c>
      <c r="I111" s="5">
        <f>DischargeCoeff(INDEX('Route Data'!$I$7:$I$8,E111), INDEX('Route Data'!$L$7:$L$8,E111)*2*PI()/60, INDEX('Route Data'!$F$7:$F$8,E111))</f>
        <v>0.15939200179827354</v>
      </c>
      <c r="J111" s="8">
        <f>FlowAngleRel(INDEX('Route Data'!$J$7:$J$8,E111)*INDEX('Route Data'!$I$7:$I$8,E111), INDEX('Route Data'!$L$7:$L$8,E111)*2*PI()/60, INDEX('Route Data'!$F$7:$F$8,E111),INDEX('Route Data'!$O$7:$O$8,E111), INDEX('Route Data'!$P$7:$P$8,E111),INDEX('Route Data'!$M$7:$M$8,E111))</f>
        <v>1.130811765868994</v>
      </c>
      <c r="K111" s="8">
        <f>FlowAngleAbsT(INDEX('Route Data'!$K$7:$K$8,E111), INDEX('Route Data'!$I$7:$I$8,E111), INDEX('Route Data'!$I$7:$I$8,E111)*INDEX('Route Data'!$J$7:$J$8,E111), INDEX('Route Data'!$L$7:$L$8,E111)*2*PI()/60, INDEX('Route Data'!$F$7:$F$8,E111),INDEX('Route Data'!$O$7:$O$8,E111), INDEX('Route Data'!$P$7:$P$8,E111), INDEX('Route Data'!$H$7:$H$8,E111), INDEX('Route Data'!$Q$7:$Q$8,E111), INDEX('Route Data'!$M$7:$M$8,E111))</f>
        <v>0.51617226640175828</v>
      </c>
      <c r="L111" s="5">
        <f>INDEX('Route Data'!$N$7:$N$8,E111)</f>
        <v>0.4</v>
      </c>
      <c r="M111" s="8">
        <v>0.54904645681381226</v>
      </c>
      <c r="N111" s="8">
        <f>ProbStrikeFrancis(K111, I111, L111, INDEX('Route Data'!$G$7:$G$8,E111),C111, INDEX('Route Data'!$F$7:$F$8,E111), INDEX('Route Data'!$O$7:$O$8,E111), INDEX('Route Data'!$H$7:$H$18,E111))</f>
        <v>1</v>
      </c>
      <c r="O111" s="5" t="str">
        <f>IF(F111&gt;=1,IF(M111&lt;=N111,"STRIKE","pass"),IF(M111&lt;=INDEX('Route Data'!$R$7:$R$8,E111),"NO PASS","pass"))</f>
        <v>STRIKE</v>
      </c>
      <c r="P111" s="5">
        <f>IF(F111&gt;=1,IF(M111&lt;=N111,1,0),IF(M111&lt;=INDEX('Route Data'!$R$7:$R$8,E111),-1,0))</f>
        <v>1</v>
      </c>
    </row>
    <row r="112" spans="1:16">
      <c r="A112" s="5">
        <v>102</v>
      </c>
      <c r="B112" s="12">
        <v>20.03</v>
      </c>
      <c r="C112" s="12">
        <f t="shared" si="1"/>
        <v>1.67</v>
      </c>
      <c r="D112" s="8">
        <v>0.75934493541717529</v>
      </c>
      <c r="E112" s="5">
        <f>MATCH(D112,'Route Data'!$C$7:$C$8,1)</f>
        <v>2</v>
      </c>
      <c r="F112" s="5">
        <f>INDEX('Route Data'!$D$7:$D$8,E112)</f>
        <v>1</v>
      </c>
      <c r="G112" s="5" t="str">
        <f>INDEX('Route Data'!$A$7:$A$8,E112)</f>
        <v>u18</v>
      </c>
      <c r="H112" s="5">
        <f>EnergyCoeff(INDEX('Route Data'!$K$7:$K$8,E112),INDEX('Route Data'!$L$7:$L$8,E112)*2*PI()/60,INDEX('Route Data'!$F$7:$F$8,E112))</f>
        <v>0.19430699130049439</v>
      </c>
      <c r="I112" s="5">
        <f>DischargeCoeff(INDEX('Route Data'!$I$7:$I$8,E112), INDEX('Route Data'!$L$7:$L$8,E112)*2*PI()/60, INDEX('Route Data'!$F$7:$F$8,E112))</f>
        <v>0.15939200179827354</v>
      </c>
      <c r="J112" s="8">
        <f>FlowAngleRel(INDEX('Route Data'!$J$7:$J$8,E112)*INDEX('Route Data'!$I$7:$I$8,E112), INDEX('Route Data'!$L$7:$L$8,E112)*2*PI()/60, INDEX('Route Data'!$F$7:$F$8,E112),INDEX('Route Data'!$O$7:$O$8,E112), INDEX('Route Data'!$P$7:$P$8,E112),INDEX('Route Data'!$M$7:$M$8,E112))</f>
        <v>1.130811765868994</v>
      </c>
      <c r="K112" s="8">
        <f>FlowAngleAbsT(INDEX('Route Data'!$K$7:$K$8,E112), INDEX('Route Data'!$I$7:$I$8,E112), INDEX('Route Data'!$I$7:$I$8,E112)*INDEX('Route Data'!$J$7:$J$8,E112), INDEX('Route Data'!$L$7:$L$8,E112)*2*PI()/60, INDEX('Route Data'!$F$7:$F$8,E112),INDEX('Route Data'!$O$7:$O$8,E112), INDEX('Route Data'!$P$7:$P$8,E112), INDEX('Route Data'!$H$7:$H$8,E112), INDEX('Route Data'!$Q$7:$Q$8,E112), INDEX('Route Data'!$M$7:$M$8,E112))</f>
        <v>0.51617226640175828</v>
      </c>
      <c r="L112" s="5">
        <f>INDEX('Route Data'!$N$7:$N$8,E112)</f>
        <v>0.4</v>
      </c>
      <c r="M112" s="8">
        <v>2.9706358909606934E-2</v>
      </c>
      <c r="N112" s="8">
        <f>ProbStrikeFrancis(K112, I112, L112, INDEX('Route Data'!$G$7:$G$8,E112),C112, INDEX('Route Data'!$F$7:$F$8,E112), INDEX('Route Data'!$O$7:$O$8,E112), INDEX('Route Data'!$H$7:$H$18,E112))</f>
        <v>1</v>
      </c>
      <c r="O112" s="5" t="str">
        <f>IF(F112&gt;=1,IF(M112&lt;=N112,"STRIKE","pass"),IF(M112&lt;=INDEX('Route Data'!$R$7:$R$8,E112),"NO PASS","pass"))</f>
        <v>STRIKE</v>
      </c>
      <c r="P112" s="5">
        <f>IF(F112&gt;=1,IF(M112&lt;=N112,1,0),IF(M112&lt;=INDEX('Route Data'!$R$7:$R$8,E112),-1,0))</f>
        <v>1</v>
      </c>
    </row>
    <row r="113" spans="1:16">
      <c r="A113" s="5">
        <v>103</v>
      </c>
      <c r="B113" s="12">
        <v>25.37</v>
      </c>
      <c r="C113" s="12">
        <f t="shared" si="1"/>
        <v>2.11</v>
      </c>
      <c r="D113" s="8">
        <v>0.70998340845108032</v>
      </c>
      <c r="E113" s="5">
        <f>MATCH(D113,'Route Data'!$C$7:$C$8,1)</f>
        <v>2</v>
      </c>
      <c r="F113" s="5">
        <f>INDEX('Route Data'!$D$7:$D$8,E113)</f>
        <v>1</v>
      </c>
      <c r="G113" s="5" t="str">
        <f>INDEX('Route Data'!$A$7:$A$8,E113)</f>
        <v>u18</v>
      </c>
      <c r="H113" s="5">
        <f>EnergyCoeff(INDEX('Route Data'!$K$7:$K$8,E113),INDEX('Route Data'!$L$7:$L$8,E113)*2*PI()/60,INDEX('Route Data'!$F$7:$F$8,E113))</f>
        <v>0.19430699130049439</v>
      </c>
      <c r="I113" s="5">
        <f>DischargeCoeff(INDEX('Route Data'!$I$7:$I$8,E113), INDEX('Route Data'!$L$7:$L$8,E113)*2*PI()/60, INDEX('Route Data'!$F$7:$F$8,E113))</f>
        <v>0.15939200179827354</v>
      </c>
      <c r="J113" s="8">
        <f>FlowAngleRel(INDEX('Route Data'!$J$7:$J$8,E113)*INDEX('Route Data'!$I$7:$I$8,E113), INDEX('Route Data'!$L$7:$L$8,E113)*2*PI()/60, INDEX('Route Data'!$F$7:$F$8,E113),INDEX('Route Data'!$O$7:$O$8,E113), INDEX('Route Data'!$P$7:$P$8,E113),INDEX('Route Data'!$M$7:$M$8,E113))</f>
        <v>1.130811765868994</v>
      </c>
      <c r="K113" s="8">
        <f>FlowAngleAbsT(INDEX('Route Data'!$K$7:$K$8,E113), INDEX('Route Data'!$I$7:$I$8,E113), INDEX('Route Data'!$I$7:$I$8,E113)*INDEX('Route Data'!$J$7:$J$8,E113), INDEX('Route Data'!$L$7:$L$8,E113)*2*PI()/60, INDEX('Route Data'!$F$7:$F$8,E113),INDEX('Route Data'!$O$7:$O$8,E113), INDEX('Route Data'!$P$7:$P$8,E113), INDEX('Route Data'!$H$7:$H$8,E113), INDEX('Route Data'!$Q$7:$Q$8,E113), INDEX('Route Data'!$M$7:$M$8,E113))</f>
        <v>0.51617226640175828</v>
      </c>
      <c r="L113" s="5">
        <f>INDEX('Route Data'!$N$7:$N$8,E113)</f>
        <v>0.4</v>
      </c>
      <c r="M113" s="8">
        <v>0.5877266526222229</v>
      </c>
      <c r="N113" s="8">
        <f>ProbStrikeFrancis(K113, I113, L113, INDEX('Route Data'!$G$7:$G$8,E113),C113, INDEX('Route Data'!$F$7:$F$8,E113), INDEX('Route Data'!$O$7:$O$8,E113), INDEX('Route Data'!$H$7:$H$18,E113))</f>
        <v>1</v>
      </c>
      <c r="O113" s="5" t="str">
        <f>IF(F113&gt;=1,IF(M113&lt;=N113,"STRIKE","pass"),IF(M113&lt;=INDEX('Route Data'!$R$7:$R$8,E113),"NO PASS","pass"))</f>
        <v>STRIKE</v>
      </c>
      <c r="P113" s="5">
        <f>IF(F113&gt;=1,IF(M113&lt;=N113,1,0),IF(M113&lt;=INDEX('Route Data'!$R$7:$R$8,E113),-1,0))</f>
        <v>1</v>
      </c>
    </row>
    <row r="114" spans="1:16">
      <c r="A114" s="5">
        <v>104</v>
      </c>
      <c r="B114" s="12">
        <v>14.37</v>
      </c>
      <c r="C114" s="12">
        <f t="shared" si="1"/>
        <v>1.2</v>
      </c>
      <c r="D114" s="8">
        <v>0.59248876571655273</v>
      </c>
      <c r="E114" s="5">
        <f>MATCH(D114,'Route Data'!$C$7:$C$8,1)</f>
        <v>2</v>
      </c>
      <c r="F114" s="5">
        <f>INDEX('Route Data'!$D$7:$D$8,E114)</f>
        <v>1</v>
      </c>
      <c r="G114" s="5" t="str">
        <f>INDEX('Route Data'!$A$7:$A$8,E114)</f>
        <v>u18</v>
      </c>
      <c r="H114" s="5">
        <f>EnergyCoeff(INDEX('Route Data'!$K$7:$K$8,E114),INDEX('Route Data'!$L$7:$L$8,E114)*2*PI()/60,INDEX('Route Data'!$F$7:$F$8,E114))</f>
        <v>0.19430699130049439</v>
      </c>
      <c r="I114" s="5">
        <f>DischargeCoeff(INDEX('Route Data'!$I$7:$I$8,E114), INDEX('Route Data'!$L$7:$L$8,E114)*2*PI()/60, INDEX('Route Data'!$F$7:$F$8,E114))</f>
        <v>0.15939200179827354</v>
      </c>
      <c r="J114" s="8">
        <f>FlowAngleRel(INDEX('Route Data'!$J$7:$J$8,E114)*INDEX('Route Data'!$I$7:$I$8,E114), INDEX('Route Data'!$L$7:$L$8,E114)*2*PI()/60, INDEX('Route Data'!$F$7:$F$8,E114),INDEX('Route Data'!$O$7:$O$8,E114), INDEX('Route Data'!$P$7:$P$8,E114),INDEX('Route Data'!$M$7:$M$8,E114))</f>
        <v>1.130811765868994</v>
      </c>
      <c r="K114" s="8">
        <f>FlowAngleAbsT(INDEX('Route Data'!$K$7:$K$8,E114), INDEX('Route Data'!$I$7:$I$8,E114), INDEX('Route Data'!$I$7:$I$8,E114)*INDEX('Route Data'!$J$7:$J$8,E114), INDEX('Route Data'!$L$7:$L$8,E114)*2*PI()/60, INDEX('Route Data'!$F$7:$F$8,E114),INDEX('Route Data'!$O$7:$O$8,E114), INDEX('Route Data'!$P$7:$P$8,E114), INDEX('Route Data'!$H$7:$H$8,E114), INDEX('Route Data'!$Q$7:$Q$8,E114), INDEX('Route Data'!$M$7:$M$8,E114))</f>
        <v>0.51617226640175828</v>
      </c>
      <c r="L114" s="5">
        <f>INDEX('Route Data'!$N$7:$N$8,E114)</f>
        <v>0.4</v>
      </c>
      <c r="M114" s="8">
        <v>0.1792449951171875</v>
      </c>
      <c r="N114" s="8">
        <f>ProbStrikeFrancis(K114, I114, L114, INDEX('Route Data'!$G$7:$G$8,E114),C114, INDEX('Route Data'!$F$7:$F$8,E114), INDEX('Route Data'!$O$7:$O$8,E114), INDEX('Route Data'!$H$7:$H$18,E114))</f>
        <v>0.97988406983078491</v>
      </c>
      <c r="O114" s="5" t="str">
        <f>IF(F114&gt;=1,IF(M114&lt;=N114,"STRIKE","pass"),IF(M114&lt;=INDEX('Route Data'!$R$7:$R$8,E114),"NO PASS","pass"))</f>
        <v>STRIKE</v>
      </c>
      <c r="P114" s="5">
        <f>IF(F114&gt;=1,IF(M114&lt;=N114,1,0),IF(M114&lt;=INDEX('Route Data'!$R$7:$R$8,E114),-1,0))</f>
        <v>1</v>
      </c>
    </row>
    <row r="115" spans="1:16">
      <c r="A115" s="5">
        <v>105</v>
      </c>
      <c r="B115" s="12">
        <v>15.71</v>
      </c>
      <c r="C115" s="12">
        <f t="shared" si="1"/>
        <v>1.31</v>
      </c>
      <c r="D115" s="8">
        <v>0.9449726939201355</v>
      </c>
      <c r="E115" s="5">
        <f>MATCH(D115,'Route Data'!$C$7:$C$8,1)</f>
        <v>2</v>
      </c>
      <c r="F115" s="5">
        <f>INDEX('Route Data'!$D$7:$D$8,E115)</f>
        <v>1</v>
      </c>
      <c r="G115" s="5" t="str">
        <f>INDEX('Route Data'!$A$7:$A$8,E115)</f>
        <v>u18</v>
      </c>
      <c r="H115" s="5">
        <f>EnergyCoeff(INDEX('Route Data'!$K$7:$K$8,E115),INDEX('Route Data'!$L$7:$L$8,E115)*2*PI()/60,INDEX('Route Data'!$F$7:$F$8,E115))</f>
        <v>0.19430699130049439</v>
      </c>
      <c r="I115" s="5">
        <f>DischargeCoeff(INDEX('Route Data'!$I$7:$I$8,E115), INDEX('Route Data'!$L$7:$L$8,E115)*2*PI()/60, INDEX('Route Data'!$F$7:$F$8,E115))</f>
        <v>0.15939200179827354</v>
      </c>
      <c r="J115" s="8">
        <f>FlowAngleRel(INDEX('Route Data'!$J$7:$J$8,E115)*INDEX('Route Data'!$I$7:$I$8,E115), INDEX('Route Data'!$L$7:$L$8,E115)*2*PI()/60, INDEX('Route Data'!$F$7:$F$8,E115),INDEX('Route Data'!$O$7:$O$8,E115), INDEX('Route Data'!$P$7:$P$8,E115),INDEX('Route Data'!$M$7:$M$8,E115))</f>
        <v>1.130811765868994</v>
      </c>
      <c r="K115" s="8">
        <f>FlowAngleAbsT(INDEX('Route Data'!$K$7:$K$8,E115), INDEX('Route Data'!$I$7:$I$8,E115), INDEX('Route Data'!$I$7:$I$8,E115)*INDEX('Route Data'!$J$7:$J$8,E115), INDEX('Route Data'!$L$7:$L$8,E115)*2*PI()/60, INDEX('Route Data'!$F$7:$F$8,E115),INDEX('Route Data'!$O$7:$O$8,E115), INDEX('Route Data'!$P$7:$P$8,E115), INDEX('Route Data'!$H$7:$H$8,E115), INDEX('Route Data'!$Q$7:$Q$8,E115), INDEX('Route Data'!$M$7:$M$8,E115))</f>
        <v>0.51617226640175828</v>
      </c>
      <c r="L115" s="5">
        <f>INDEX('Route Data'!$N$7:$N$8,E115)</f>
        <v>0.4</v>
      </c>
      <c r="M115" s="8">
        <v>0.8735315203666687</v>
      </c>
      <c r="N115" s="8">
        <f>ProbStrikeFrancis(K115, I115, L115, INDEX('Route Data'!$G$7:$G$8,E115),C115, INDEX('Route Data'!$F$7:$F$8,E115), INDEX('Route Data'!$O$7:$O$8,E115), INDEX('Route Data'!$H$7:$H$18,E115))</f>
        <v>1</v>
      </c>
      <c r="O115" s="5" t="str">
        <f>IF(F115&gt;=1,IF(M115&lt;=N115,"STRIKE","pass"),IF(M115&lt;=INDEX('Route Data'!$R$7:$R$8,E115),"NO PASS","pass"))</f>
        <v>STRIKE</v>
      </c>
      <c r="P115" s="5">
        <f>IF(F115&gt;=1,IF(M115&lt;=N115,1,0),IF(M115&lt;=INDEX('Route Data'!$R$7:$R$8,E115),-1,0))</f>
        <v>1</v>
      </c>
    </row>
    <row r="116" spans="1:16">
      <c r="A116" s="5">
        <v>106</v>
      </c>
      <c r="B116" s="12">
        <v>29</v>
      </c>
      <c r="C116" s="12">
        <f t="shared" si="1"/>
        <v>2.42</v>
      </c>
      <c r="D116" s="8">
        <v>0.88752090930938721</v>
      </c>
      <c r="E116" s="5">
        <f>MATCH(D116,'Route Data'!$C$7:$C$8,1)</f>
        <v>2</v>
      </c>
      <c r="F116" s="5">
        <f>INDEX('Route Data'!$D$7:$D$8,E116)</f>
        <v>1</v>
      </c>
      <c r="G116" s="5" t="str">
        <f>INDEX('Route Data'!$A$7:$A$8,E116)</f>
        <v>u18</v>
      </c>
      <c r="H116" s="5">
        <f>EnergyCoeff(INDEX('Route Data'!$K$7:$K$8,E116),INDEX('Route Data'!$L$7:$L$8,E116)*2*PI()/60,INDEX('Route Data'!$F$7:$F$8,E116))</f>
        <v>0.19430699130049439</v>
      </c>
      <c r="I116" s="5">
        <f>DischargeCoeff(INDEX('Route Data'!$I$7:$I$8,E116), INDEX('Route Data'!$L$7:$L$8,E116)*2*PI()/60, INDEX('Route Data'!$F$7:$F$8,E116))</f>
        <v>0.15939200179827354</v>
      </c>
      <c r="J116" s="8">
        <f>FlowAngleRel(INDEX('Route Data'!$J$7:$J$8,E116)*INDEX('Route Data'!$I$7:$I$8,E116), INDEX('Route Data'!$L$7:$L$8,E116)*2*PI()/60, INDEX('Route Data'!$F$7:$F$8,E116),INDEX('Route Data'!$O$7:$O$8,E116), INDEX('Route Data'!$P$7:$P$8,E116),INDEX('Route Data'!$M$7:$M$8,E116))</f>
        <v>1.130811765868994</v>
      </c>
      <c r="K116" s="8">
        <f>FlowAngleAbsT(INDEX('Route Data'!$K$7:$K$8,E116), INDEX('Route Data'!$I$7:$I$8,E116), INDEX('Route Data'!$I$7:$I$8,E116)*INDEX('Route Data'!$J$7:$J$8,E116), INDEX('Route Data'!$L$7:$L$8,E116)*2*PI()/60, INDEX('Route Data'!$F$7:$F$8,E116),INDEX('Route Data'!$O$7:$O$8,E116), INDEX('Route Data'!$P$7:$P$8,E116), INDEX('Route Data'!$H$7:$H$8,E116), INDEX('Route Data'!$Q$7:$Q$8,E116), INDEX('Route Data'!$M$7:$M$8,E116))</f>
        <v>0.51617226640175828</v>
      </c>
      <c r="L116" s="5">
        <f>INDEX('Route Data'!$N$7:$N$8,E116)</f>
        <v>0.4</v>
      </c>
      <c r="M116" s="8">
        <v>0.7906719446182251</v>
      </c>
      <c r="N116" s="8">
        <f>ProbStrikeFrancis(K116, I116, L116, INDEX('Route Data'!$G$7:$G$8,E116),C116, INDEX('Route Data'!$F$7:$F$8,E116), INDEX('Route Data'!$O$7:$O$8,E116), INDEX('Route Data'!$H$7:$H$18,E116))</f>
        <v>1</v>
      </c>
      <c r="O116" s="5" t="str">
        <f>IF(F116&gt;=1,IF(M116&lt;=N116,"STRIKE","pass"),IF(M116&lt;=INDEX('Route Data'!$R$7:$R$8,E116),"NO PASS","pass"))</f>
        <v>STRIKE</v>
      </c>
      <c r="P116" s="5">
        <f>IF(F116&gt;=1,IF(M116&lt;=N116,1,0),IF(M116&lt;=INDEX('Route Data'!$R$7:$R$8,E116),-1,0))</f>
        <v>1</v>
      </c>
    </row>
    <row r="117" spans="1:16">
      <c r="A117" s="5">
        <v>107</v>
      </c>
      <c r="B117" s="12">
        <v>18.03</v>
      </c>
      <c r="C117" s="12">
        <f t="shared" si="1"/>
        <v>1.5</v>
      </c>
      <c r="D117" s="8">
        <v>0.32545548677444458</v>
      </c>
      <c r="E117" s="5">
        <f>MATCH(D117,'Route Data'!$C$7:$C$8,1)</f>
        <v>2</v>
      </c>
      <c r="F117" s="5">
        <f>INDEX('Route Data'!$D$7:$D$8,E117)</f>
        <v>1</v>
      </c>
      <c r="G117" s="5" t="str">
        <f>INDEX('Route Data'!$A$7:$A$8,E117)</f>
        <v>u18</v>
      </c>
      <c r="H117" s="5">
        <f>EnergyCoeff(INDEX('Route Data'!$K$7:$K$8,E117),INDEX('Route Data'!$L$7:$L$8,E117)*2*PI()/60,INDEX('Route Data'!$F$7:$F$8,E117))</f>
        <v>0.19430699130049439</v>
      </c>
      <c r="I117" s="5">
        <f>DischargeCoeff(INDEX('Route Data'!$I$7:$I$8,E117), INDEX('Route Data'!$L$7:$L$8,E117)*2*PI()/60, INDEX('Route Data'!$F$7:$F$8,E117))</f>
        <v>0.15939200179827354</v>
      </c>
      <c r="J117" s="8">
        <f>FlowAngleRel(INDEX('Route Data'!$J$7:$J$8,E117)*INDEX('Route Data'!$I$7:$I$8,E117), INDEX('Route Data'!$L$7:$L$8,E117)*2*PI()/60, INDEX('Route Data'!$F$7:$F$8,E117),INDEX('Route Data'!$O$7:$O$8,E117), INDEX('Route Data'!$P$7:$P$8,E117),INDEX('Route Data'!$M$7:$M$8,E117))</f>
        <v>1.130811765868994</v>
      </c>
      <c r="K117" s="8">
        <f>FlowAngleAbsT(INDEX('Route Data'!$K$7:$K$8,E117), INDEX('Route Data'!$I$7:$I$8,E117), INDEX('Route Data'!$I$7:$I$8,E117)*INDEX('Route Data'!$J$7:$J$8,E117), INDEX('Route Data'!$L$7:$L$8,E117)*2*PI()/60, INDEX('Route Data'!$F$7:$F$8,E117),INDEX('Route Data'!$O$7:$O$8,E117), INDEX('Route Data'!$P$7:$P$8,E117), INDEX('Route Data'!$H$7:$H$8,E117), INDEX('Route Data'!$Q$7:$Q$8,E117), INDEX('Route Data'!$M$7:$M$8,E117))</f>
        <v>0.51617226640175828</v>
      </c>
      <c r="L117" s="5">
        <f>INDEX('Route Data'!$N$7:$N$8,E117)</f>
        <v>0.4</v>
      </c>
      <c r="M117" s="8">
        <v>0.57040911912918091</v>
      </c>
      <c r="N117" s="8">
        <f>ProbStrikeFrancis(K117, I117, L117, INDEX('Route Data'!$G$7:$G$8,E117),C117, INDEX('Route Data'!$F$7:$F$8,E117), INDEX('Route Data'!$O$7:$O$8,E117), INDEX('Route Data'!$H$7:$H$18,E117))</f>
        <v>1</v>
      </c>
      <c r="O117" s="5" t="str">
        <f>IF(F117&gt;=1,IF(M117&lt;=N117,"STRIKE","pass"),IF(M117&lt;=INDEX('Route Data'!$R$7:$R$8,E117),"NO PASS","pass"))</f>
        <v>STRIKE</v>
      </c>
      <c r="P117" s="5">
        <f>IF(F117&gt;=1,IF(M117&lt;=N117,1,0),IF(M117&lt;=INDEX('Route Data'!$R$7:$R$8,E117),-1,0))</f>
        <v>1</v>
      </c>
    </row>
    <row r="118" spans="1:16">
      <c r="A118" s="5">
        <v>108</v>
      </c>
      <c r="B118" s="12">
        <v>24.91</v>
      </c>
      <c r="C118" s="12">
        <f t="shared" si="1"/>
        <v>2.08</v>
      </c>
      <c r="D118" s="8">
        <v>0.74607253074645996</v>
      </c>
      <c r="E118" s="5">
        <f>MATCH(D118,'Route Data'!$C$7:$C$8,1)</f>
        <v>2</v>
      </c>
      <c r="F118" s="5">
        <f>INDEX('Route Data'!$D$7:$D$8,E118)</f>
        <v>1</v>
      </c>
      <c r="G118" s="5" t="str">
        <f>INDEX('Route Data'!$A$7:$A$8,E118)</f>
        <v>u18</v>
      </c>
      <c r="H118" s="5">
        <f>EnergyCoeff(INDEX('Route Data'!$K$7:$K$8,E118),INDEX('Route Data'!$L$7:$L$8,E118)*2*PI()/60,INDEX('Route Data'!$F$7:$F$8,E118))</f>
        <v>0.19430699130049439</v>
      </c>
      <c r="I118" s="5">
        <f>DischargeCoeff(INDEX('Route Data'!$I$7:$I$8,E118), INDEX('Route Data'!$L$7:$L$8,E118)*2*PI()/60, INDEX('Route Data'!$F$7:$F$8,E118))</f>
        <v>0.15939200179827354</v>
      </c>
      <c r="J118" s="8">
        <f>FlowAngleRel(INDEX('Route Data'!$J$7:$J$8,E118)*INDEX('Route Data'!$I$7:$I$8,E118), INDEX('Route Data'!$L$7:$L$8,E118)*2*PI()/60, INDEX('Route Data'!$F$7:$F$8,E118),INDEX('Route Data'!$O$7:$O$8,E118), INDEX('Route Data'!$P$7:$P$8,E118),INDEX('Route Data'!$M$7:$M$8,E118))</f>
        <v>1.130811765868994</v>
      </c>
      <c r="K118" s="8">
        <f>FlowAngleAbsT(INDEX('Route Data'!$K$7:$K$8,E118), INDEX('Route Data'!$I$7:$I$8,E118), INDEX('Route Data'!$I$7:$I$8,E118)*INDEX('Route Data'!$J$7:$J$8,E118), INDEX('Route Data'!$L$7:$L$8,E118)*2*PI()/60, INDEX('Route Data'!$F$7:$F$8,E118),INDEX('Route Data'!$O$7:$O$8,E118), INDEX('Route Data'!$P$7:$P$8,E118), INDEX('Route Data'!$H$7:$H$8,E118), INDEX('Route Data'!$Q$7:$Q$8,E118), INDEX('Route Data'!$M$7:$M$8,E118))</f>
        <v>0.51617226640175828</v>
      </c>
      <c r="L118" s="5">
        <f>INDEX('Route Data'!$N$7:$N$8,E118)</f>
        <v>0.4</v>
      </c>
      <c r="M118" s="8">
        <v>0.96561837196350098</v>
      </c>
      <c r="N118" s="8">
        <f>ProbStrikeFrancis(K118, I118, L118, INDEX('Route Data'!$G$7:$G$8,E118),C118, INDEX('Route Data'!$F$7:$F$8,E118), INDEX('Route Data'!$O$7:$O$8,E118), INDEX('Route Data'!$H$7:$H$18,E118))</f>
        <v>1</v>
      </c>
      <c r="O118" s="5" t="str">
        <f>IF(F118&gt;=1,IF(M118&lt;=N118,"STRIKE","pass"),IF(M118&lt;=INDEX('Route Data'!$R$7:$R$8,E118),"NO PASS","pass"))</f>
        <v>STRIKE</v>
      </c>
      <c r="P118" s="5">
        <f>IF(F118&gt;=1,IF(M118&lt;=N118,1,0),IF(M118&lt;=INDEX('Route Data'!$R$7:$R$8,E118),-1,0))</f>
        <v>1</v>
      </c>
    </row>
    <row r="119" spans="1:16">
      <c r="A119" s="5">
        <v>109</v>
      </c>
      <c r="B119" s="12">
        <v>23.65</v>
      </c>
      <c r="C119" s="12">
        <f t="shared" si="1"/>
        <v>1.97</v>
      </c>
      <c r="D119" s="8">
        <v>0.21864217519760132</v>
      </c>
      <c r="E119" s="5">
        <f>MATCH(D119,'Route Data'!$C$7:$C$8,1)</f>
        <v>2</v>
      </c>
      <c r="F119" s="5">
        <f>INDEX('Route Data'!$D$7:$D$8,E119)</f>
        <v>1</v>
      </c>
      <c r="G119" s="5" t="str">
        <f>INDEX('Route Data'!$A$7:$A$8,E119)</f>
        <v>u18</v>
      </c>
      <c r="H119" s="5">
        <f>EnergyCoeff(INDEX('Route Data'!$K$7:$K$8,E119),INDEX('Route Data'!$L$7:$L$8,E119)*2*PI()/60,INDEX('Route Data'!$F$7:$F$8,E119))</f>
        <v>0.19430699130049439</v>
      </c>
      <c r="I119" s="5">
        <f>DischargeCoeff(INDEX('Route Data'!$I$7:$I$8,E119), INDEX('Route Data'!$L$7:$L$8,E119)*2*PI()/60, INDEX('Route Data'!$F$7:$F$8,E119))</f>
        <v>0.15939200179827354</v>
      </c>
      <c r="J119" s="8">
        <f>FlowAngleRel(INDEX('Route Data'!$J$7:$J$8,E119)*INDEX('Route Data'!$I$7:$I$8,E119), INDEX('Route Data'!$L$7:$L$8,E119)*2*PI()/60, INDEX('Route Data'!$F$7:$F$8,E119),INDEX('Route Data'!$O$7:$O$8,E119), INDEX('Route Data'!$P$7:$P$8,E119),INDEX('Route Data'!$M$7:$M$8,E119))</f>
        <v>1.130811765868994</v>
      </c>
      <c r="K119" s="8">
        <f>FlowAngleAbsT(INDEX('Route Data'!$K$7:$K$8,E119), INDEX('Route Data'!$I$7:$I$8,E119), INDEX('Route Data'!$I$7:$I$8,E119)*INDEX('Route Data'!$J$7:$J$8,E119), INDEX('Route Data'!$L$7:$L$8,E119)*2*PI()/60, INDEX('Route Data'!$F$7:$F$8,E119),INDEX('Route Data'!$O$7:$O$8,E119), INDEX('Route Data'!$P$7:$P$8,E119), INDEX('Route Data'!$H$7:$H$8,E119), INDEX('Route Data'!$Q$7:$Q$8,E119), INDEX('Route Data'!$M$7:$M$8,E119))</f>
        <v>0.51617226640175828</v>
      </c>
      <c r="L119" s="5">
        <f>INDEX('Route Data'!$N$7:$N$8,E119)</f>
        <v>0.4</v>
      </c>
      <c r="M119" s="8">
        <v>0.77999061346054077</v>
      </c>
      <c r="N119" s="8">
        <f>ProbStrikeFrancis(K119, I119, L119, INDEX('Route Data'!$G$7:$G$8,E119),C119, INDEX('Route Data'!$F$7:$F$8,E119), INDEX('Route Data'!$O$7:$O$8,E119), INDEX('Route Data'!$H$7:$H$18,E119))</f>
        <v>1</v>
      </c>
      <c r="O119" s="5" t="str">
        <f>IF(F119&gt;=1,IF(M119&lt;=N119,"STRIKE","pass"),IF(M119&lt;=INDEX('Route Data'!$R$7:$R$8,E119),"NO PASS","pass"))</f>
        <v>STRIKE</v>
      </c>
      <c r="P119" s="5">
        <f>IF(F119&gt;=1,IF(M119&lt;=N119,1,0),IF(M119&lt;=INDEX('Route Data'!$R$7:$R$8,E119),-1,0))</f>
        <v>1</v>
      </c>
    </row>
    <row r="120" spans="1:16">
      <c r="A120" s="5">
        <v>110</v>
      </c>
      <c r="B120" s="12">
        <v>24.96</v>
      </c>
      <c r="C120" s="12">
        <f t="shared" si="1"/>
        <v>2.08</v>
      </c>
      <c r="D120" s="8">
        <v>0.33209168910980225</v>
      </c>
      <c r="E120" s="5">
        <f>MATCH(D120,'Route Data'!$C$7:$C$8,1)</f>
        <v>2</v>
      </c>
      <c r="F120" s="5">
        <f>INDEX('Route Data'!$D$7:$D$8,E120)</f>
        <v>1</v>
      </c>
      <c r="G120" s="5" t="str">
        <f>INDEX('Route Data'!$A$7:$A$8,E120)</f>
        <v>u18</v>
      </c>
      <c r="H120" s="5">
        <f>EnergyCoeff(INDEX('Route Data'!$K$7:$K$8,E120),INDEX('Route Data'!$L$7:$L$8,E120)*2*PI()/60,INDEX('Route Data'!$F$7:$F$8,E120))</f>
        <v>0.19430699130049439</v>
      </c>
      <c r="I120" s="5">
        <f>DischargeCoeff(INDEX('Route Data'!$I$7:$I$8,E120), INDEX('Route Data'!$L$7:$L$8,E120)*2*PI()/60, INDEX('Route Data'!$F$7:$F$8,E120))</f>
        <v>0.15939200179827354</v>
      </c>
      <c r="J120" s="8">
        <f>FlowAngleRel(INDEX('Route Data'!$J$7:$J$8,E120)*INDEX('Route Data'!$I$7:$I$8,E120), INDEX('Route Data'!$L$7:$L$8,E120)*2*PI()/60, INDEX('Route Data'!$F$7:$F$8,E120),INDEX('Route Data'!$O$7:$O$8,E120), INDEX('Route Data'!$P$7:$P$8,E120),INDEX('Route Data'!$M$7:$M$8,E120))</f>
        <v>1.130811765868994</v>
      </c>
      <c r="K120" s="8">
        <f>FlowAngleAbsT(INDEX('Route Data'!$K$7:$K$8,E120), INDEX('Route Data'!$I$7:$I$8,E120), INDEX('Route Data'!$I$7:$I$8,E120)*INDEX('Route Data'!$J$7:$J$8,E120), INDEX('Route Data'!$L$7:$L$8,E120)*2*PI()/60, INDEX('Route Data'!$F$7:$F$8,E120),INDEX('Route Data'!$O$7:$O$8,E120), INDEX('Route Data'!$P$7:$P$8,E120), INDEX('Route Data'!$H$7:$H$8,E120), INDEX('Route Data'!$Q$7:$Q$8,E120), INDEX('Route Data'!$M$7:$M$8,E120))</f>
        <v>0.51617226640175828</v>
      </c>
      <c r="L120" s="5">
        <f>INDEX('Route Data'!$N$7:$N$8,E120)</f>
        <v>0.4</v>
      </c>
      <c r="M120" s="8">
        <v>0.60245311260223389</v>
      </c>
      <c r="N120" s="8">
        <f>ProbStrikeFrancis(K120, I120, L120, INDEX('Route Data'!$G$7:$G$8,E120),C120, INDEX('Route Data'!$F$7:$F$8,E120), INDEX('Route Data'!$O$7:$O$8,E120), INDEX('Route Data'!$H$7:$H$18,E120))</f>
        <v>1</v>
      </c>
      <c r="O120" s="5" t="str">
        <f>IF(F120&gt;=1,IF(M120&lt;=N120,"STRIKE","pass"),IF(M120&lt;=INDEX('Route Data'!$R$7:$R$8,E120),"NO PASS","pass"))</f>
        <v>STRIKE</v>
      </c>
      <c r="P120" s="5">
        <f>IF(F120&gt;=1,IF(M120&lt;=N120,1,0),IF(M120&lt;=INDEX('Route Data'!$R$7:$R$8,E120),-1,0))</f>
        <v>1</v>
      </c>
    </row>
    <row r="121" spans="1:16">
      <c r="A121" s="5">
        <v>111</v>
      </c>
      <c r="B121" s="12">
        <v>21.44</v>
      </c>
      <c r="C121" s="12">
        <f t="shared" si="1"/>
        <v>1.79</v>
      </c>
      <c r="D121" s="8">
        <v>0.25732237100601196</v>
      </c>
      <c r="E121" s="5">
        <f>MATCH(D121,'Route Data'!$C$7:$C$8,1)</f>
        <v>2</v>
      </c>
      <c r="F121" s="5">
        <f>INDEX('Route Data'!$D$7:$D$8,E121)</f>
        <v>1</v>
      </c>
      <c r="G121" s="5" t="str">
        <f>INDEX('Route Data'!$A$7:$A$8,E121)</f>
        <v>u18</v>
      </c>
      <c r="H121" s="5">
        <f>EnergyCoeff(INDEX('Route Data'!$K$7:$K$8,E121),INDEX('Route Data'!$L$7:$L$8,E121)*2*PI()/60,INDEX('Route Data'!$F$7:$F$8,E121))</f>
        <v>0.19430699130049439</v>
      </c>
      <c r="I121" s="5">
        <f>DischargeCoeff(INDEX('Route Data'!$I$7:$I$8,E121), INDEX('Route Data'!$L$7:$L$8,E121)*2*PI()/60, INDEX('Route Data'!$F$7:$F$8,E121))</f>
        <v>0.15939200179827354</v>
      </c>
      <c r="J121" s="8">
        <f>FlowAngleRel(INDEX('Route Data'!$J$7:$J$8,E121)*INDEX('Route Data'!$I$7:$I$8,E121), INDEX('Route Data'!$L$7:$L$8,E121)*2*PI()/60, INDEX('Route Data'!$F$7:$F$8,E121),INDEX('Route Data'!$O$7:$O$8,E121), INDEX('Route Data'!$P$7:$P$8,E121),INDEX('Route Data'!$M$7:$M$8,E121))</f>
        <v>1.130811765868994</v>
      </c>
      <c r="K121" s="8">
        <f>FlowAngleAbsT(INDEX('Route Data'!$K$7:$K$8,E121), INDEX('Route Data'!$I$7:$I$8,E121), INDEX('Route Data'!$I$7:$I$8,E121)*INDEX('Route Data'!$J$7:$J$8,E121), INDEX('Route Data'!$L$7:$L$8,E121)*2*PI()/60, INDEX('Route Data'!$F$7:$F$8,E121),INDEX('Route Data'!$O$7:$O$8,E121), INDEX('Route Data'!$P$7:$P$8,E121), INDEX('Route Data'!$H$7:$H$8,E121), INDEX('Route Data'!$Q$7:$Q$8,E121), INDEX('Route Data'!$M$7:$M$8,E121))</f>
        <v>0.51617226640175828</v>
      </c>
      <c r="L121" s="5">
        <f>INDEX('Route Data'!$N$7:$N$8,E121)</f>
        <v>0.4</v>
      </c>
      <c r="M121" s="8">
        <v>0.86948639154434204</v>
      </c>
      <c r="N121" s="8">
        <f>ProbStrikeFrancis(K121, I121, L121, INDEX('Route Data'!$G$7:$G$8,E121),C121, INDEX('Route Data'!$F$7:$F$8,E121), INDEX('Route Data'!$O$7:$O$8,E121), INDEX('Route Data'!$H$7:$H$18,E121))</f>
        <v>1</v>
      </c>
      <c r="O121" s="5" t="str">
        <f>IF(F121&gt;=1,IF(M121&lt;=N121,"STRIKE","pass"),IF(M121&lt;=INDEX('Route Data'!$R$7:$R$8,E121),"NO PASS","pass"))</f>
        <v>STRIKE</v>
      </c>
      <c r="P121" s="5">
        <f>IF(F121&gt;=1,IF(M121&lt;=N121,1,0),IF(M121&lt;=INDEX('Route Data'!$R$7:$R$8,E121),-1,0))</f>
        <v>1</v>
      </c>
    </row>
    <row r="122" spans="1:16">
      <c r="A122" s="5">
        <v>112</v>
      </c>
      <c r="B122" s="12">
        <v>23.42</v>
      </c>
      <c r="C122" s="12">
        <f t="shared" si="1"/>
        <v>1.95</v>
      </c>
      <c r="D122" s="8">
        <v>0.48163032531738281</v>
      </c>
      <c r="E122" s="5">
        <f>MATCH(D122,'Route Data'!$C$7:$C$8,1)</f>
        <v>2</v>
      </c>
      <c r="F122" s="5">
        <f>INDEX('Route Data'!$D$7:$D$8,E122)</f>
        <v>1</v>
      </c>
      <c r="G122" s="5" t="str">
        <f>INDEX('Route Data'!$A$7:$A$8,E122)</f>
        <v>u18</v>
      </c>
      <c r="H122" s="5">
        <f>EnergyCoeff(INDEX('Route Data'!$K$7:$K$8,E122),INDEX('Route Data'!$L$7:$L$8,E122)*2*PI()/60,INDEX('Route Data'!$F$7:$F$8,E122))</f>
        <v>0.19430699130049439</v>
      </c>
      <c r="I122" s="5">
        <f>DischargeCoeff(INDEX('Route Data'!$I$7:$I$8,E122), INDEX('Route Data'!$L$7:$L$8,E122)*2*PI()/60, INDEX('Route Data'!$F$7:$F$8,E122))</f>
        <v>0.15939200179827354</v>
      </c>
      <c r="J122" s="8">
        <f>FlowAngleRel(INDEX('Route Data'!$J$7:$J$8,E122)*INDEX('Route Data'!$I$7:$I$8,E122), INDEX('Route Data'!$L$7:$L$8,E122)*2*PI()/60, INDEX('Route Data'!$F$7:$F$8,E122),INDEX('Route Data'!$O$7:$O$8,E122), INDEX('Route Data'!$P$7:$P$8,E122),INDEX('Route Data'!$M$7:$M$8,E122))</f>
        <v>1.130811765868994</v>
      </c>
      <c r="K122" s="8">
        <f>FlowAngleAbsT(INDEX('Route Data'!$K$7:$K$8,E122), INDEX('Route Data'!$I$7:$I$8,E122), INDEX('Route Data'!$I$7:$I$8,E122)*INDEX('Route Data'!$J$7:$J$8,E122), INDEX('Route Data'!$L$7:$L$8,E122)*2*PI()/60, INDEX('Route Data'!$F$7:$F$8,E122),INDEX('Route Data'!$O$7:$O$8,E122), INDEX('Route Data'!$P$7:$P$8,E122), INDEX('Route Data'!$H$7:$H$8,E122), INDEX('Route Data'!$Q$7:$Q$8,E122), INDEX('Route Data'!$M$7:$M$8,E122))</f>
        <v>0.51617226640175828</v>
      </c>
      <c r="L122" s="5">
        <f>INDEX('Route Data'!$N$7:$N$8,E122)</f>
        <v>0.4</v>
      </c>
      <c r="M122" s="8">
        <v>6.8386554718017578E-2</v>
      </c>
      <c r="N122" s="8">
        <f>ProbStrikeFrancis(K122, I122, L122, INDEX('Route Data'!$G$7:$G$8,E122),C122, INDEX('Route Data'!$F$7:$F$8,E122), INDEX('Route Data'!$O$7:$O$8,E122), INDEX('Route Data'!$H$7:$H$18,E122))</f>
        <v>1</v>
      </c>
      <c r="O122" s="5" t="str">
        <f>IF(F122&gt;=1,IF(M122&lt;=N122,"STRIKE","pass"),IF(M122&lt;=INDEX('Route Data'!$R$7:$R$8,E122),"NO PASS","pass"))</f>
        <v>STRIKE</v>
      </c>
      <c r="P122" s="5">
        <f>IF(F122&gt;=1,IF(M122&lt;=N122,1,0),IF(M122&lt;=INDEX('Route Data'!$R$7:$R$8,E122),-1,0))</f>
        <v>1</v>
      </c>
    </row>
    <row r="123" spans="1:16">
      <c r="A123" s="5">
        <v>113</v>
      </c>
      <c r="B123" s="12">
        <v>23.3</v>
      </c>
      <c r="C123" s="12">
        <f t="shared" si="1"/>
        <v>1.94</v>
      </c>
      <c r="D123" s="8">
        <v>0.54312723875045776</v>
      </c>
      <c r="E123" s="5">
        <f>MATCH(D123,'Route Data'!$C$7:$C$8,1)</f>
        <v>2</v>
      </c>
      <c r="F123" s="5">
        <f>INDEX('Route Data'!$D$7:$D$8,E123)</f>
        <v>1</v>
      </c>
      <c r="G123" s="5" t="str">
        <f>INDEX('Route Data'!$A$7:$A$8,E123)</f>
        <v>u18</v>
      </c>
      <c r="H123" s="5">
        <f>EnergyCoeff(INDEX('Route Data'!$K$7:$K$8,E123),INDEX('Route Data'!$L$7:$L$8,E123)*2*PI()/60,INDEX('Route Data'!$F$7:$F$8,E123))</f>
        <v>0.19430699130049439</v>
      </c>
      <c r="I123" s="5">
        <f>DischargeCoeff(INDEX('Route Data'!$I$7:$I$8,E123), INDEX('Route Data'!$L$7:$L$8,E123)*2*PI()/60, INDEX('Route Data'!$F$7:$F$8,E123))</f>
        <v>0.15939200179827354</v>
      </c>
      <c r="J123" s="8">
        <f>FlowAngleRel(INDEX('Route Data'!$J$7:$J$8,E123)*INDEX('Route Data'!$I$7:$I$8,E123), INDEX('Route Data'!$L$7:$L$8,E123)*2*PI()/60, INDEX('Route Data'!$F$7:$F$8,E123),INDEX('Route Data'!$O$7:$O$8,E123), INDEX('Route Data'!$P$7:$P$8,E123),INDEX('Route Data'!$M$7:$M$8,E123))</f>
        <v>1.130811765868994</v>
      </c>
      <c r="K123" s="8">
        <f>FlowAngleAbsT(INDEX('Route Data'!$K$7:$K$8,E123), INDEX('Route Data'!$I$7:$I$8,E123), INDEX('Route Data'!$I$7:$I$8,E123)*INDEX('Route Data'!$J$7:$J$8,E123), INDEX('Route Data'!$L$7:$L$8,E123)*2*PI()/60, INDEX('Route Data'!$F$7:$F$8,E123),INDEX('Route Data'!$O$7:$O$8,E123), INDEX('Route Data'!$P$7:$P$8,E123), INDEX('Route Data'!$H$7:$H$8,E123), INDEX('Route Data'!$Q$7:$Q$8,E123), INDEX('Route Data'!$M$7:$M$8,E123))</f>
        <v>0.51617226640175828</v>
      </c>
      <c r="L123" s="5">
        <f>INDEX('Route Data'!$N$7:$N$8,E123)</f>
        <v>0.4</v>
      </c>
      <c r="M123" s="8">
        <v>0.73726528882980347</v>
      </c>
      <c r="N123" s="8">
        <f>ProbStrikeFrancis(K123, I123, L123, INDEX('Route Data'!$G$7:$G$8,E123),C123, INDEX('Route Data'!$F$7:$F$8,E123), INDEX('Route Data'!$O$7:$O$8,E123), INDEX('Route Data'!$H$7:$H$18,E123))</f>
        <v>1</v>
      </c>
      <c r="O123" s="5" t="str">
        <f>IF(F123&gt;=1,IF(M123&lt;=N123,"STRIKE","pass"),IF(M123&lt;=INDEX('Route Data'!$R$7:$R$8,E123),"NO PASS","pass"))</f>
        <v>STRIKE</v>
      </c>
      <c r="P123" s="5">
        <f>IF(F123&gt;=1,IF(M123&lt;=N123,1,0),IF(M123&lt;=INDEX('Route Data'!$R$7:$R$8,E123),-1,0))</f>
        <v>1</v>
      </c>
    </row>
    <row r="124" spans="1:16">
      <c r="A124" s="5">
        <v>114</v>
      </c>
      <c r="B124" s="12">
        <v>26.83</v>
      </c>
      <c r="C124" s="12">
        <f t="shared" si="1"/>
        <v>2.2400000000000002</v>
      </c>
      <c r="D124" s="8">
        <v>0.82747805118560791</v>
      </c>
      <c r="E124" s="5">
        <f>MATCH(D124,'Route Data'!$C$7:$C$8,1)</f>
        <v>2</v>
      </c>
      <c r="F124" s="5">
        <f>INDEX('Route Data'!$D$7:$D$8,E124)</f>
        <v>1</v>
      </c>
      <c r="G124" s="5" t="str">
        <f>INDEX('Route Data'!$A$7:$A$8,E124)</f>
        <v>u18</v>
      </c>
      <c r="H124" s="5">
        <f>EnergyCoeff(INDEX('Route Data'!$K$7:$K$8,E124),INDEX('Route Data'!$L$7:$L$8,E124)*2*PI()/60,INDEX('Route Data'!$F$7:$F$8,E124))</f>
        <v>0.19430699130049439</v>
      </c>
      <c r="I124" s="5">
        <f>DischargeCoeff(INDEX('Route Data'!$I$7:$I$8,E124), INDEX('Route Data'!$L$7:$L$8,E124)*2*PI()/60, INDEX('Route Data'!$F$7:$F$8,E124))</f>
        <v>0.15939200179827354</v>
      </c>
      <c r="J124" s="8">
        <f>FlowAngleRel(INDEX('Route Data'!$J$7:$J$8,E124)*INDEX('Route Data'!$I$7:$I$8,E124), INDEX('Route Data'!$L$7:$L$8,E124)*2*PI()/60, INDEX('Route Data'!$F$7:$F$8,E124),INDEX('Route Data'!$O$7:$O$8,E124), INDEX('Route Data'!$P$7:$P$8,E124),INDEX('Route Data'!$M$7:$M$8,E124))</f>
        <v>1.130811765868994</v>
      </c>
      <c r="K124" s="8">
        <f>FlowAngleAbsT(INDEX('Route Data'!$K$7:$K$8,E124), INDEX('Route Data'!$I$7:$I$8,E124), INDEX('Route Data'!$I$7:$I$8,E124)*INDEX('Route Data'!$J$7:$J$8,E124), INDEX('Route Data'!$L$7:$L$8,E124)*2*PI()/60, INDEX('Route Data'!$F$7:$F$8,E124),INDEX('Route Data'!$O$7:$O$8,E124), INDEX('Route Data'!$P$7:$P$8,E124), INDEX('Route Data'!$H$7:$H$8,E124), INDEX('Route Data'!$Q$7:$Q$8,E124), INDEX('Route Data'!$M$7:$M$8,E124))</f>
        <v>0.51617226640175828</v>
      </c>
      <c r="L124" s="5">
        <f>INDEX('Route Data'!$N$7:$N$8,E124)</f>
        <v>0.4</v>
      </c>
      <c r="M124" s="8">
        <v>0.7306290864944458</v>
      </c>
      <c r="N124" s="8">
        <f>ProbStrikeFrancis(K124, I124, L124, INDEX('Route Data'!$G$7:$G$8,E124),C124, INDEX('Route Data'!$F$7:$F$8,E124), INDEX('Route Data'!$O$7:$O$8,E124), INDEX('Route Data'!$H$7:$H$18,E124))</f>
        <v>1</v>
      </c>
      <c r="O124" s="5" t="str">
        <f>IF(F124&gt;=1,IF(M124&lt;=N124,"STRIKE","pass"),IF(M124&lt;=INDEX('Route Data'!$R$7:$R$8,E124),"NO PASS","pass"))</f>
        <v>STRIKE</v>
      </c>
      <c r="P124" s="5">
        <f>IF(F124&gt;=1,IF(M124&lt;=N124,1,0),IF(M124&lt;=INDEX('Route Data'!$R$7:$R$8,E124),-1,0))</f>
        <v>1</v>
      </c>
    </row>
    <row r="125" spans="1:16">
      <c r="A125" s="5">
        <v>115</v>
      </c>
      <c r="B125" s="12">
        <v>30.21</v>
      </c>
      <c r="C125" s="12">
        <f t="shared" si="1"/>
        <v>2.52</v>
      </c>
      <c r="D125" s="8">
        <v>0.24000483751296997</v>
      </c>
      <c r="E125" s="5">
        <f>MATCH(D125,'Route Data'!$C$7:$C$8,1)</f>
        <v>2</v>
      </c>
      <c r="F125" s="5">
        <f>INDEX('Route Data'!$D$7:$D$8,E125)</f>
        <v>1</v>
      </c>
      <c r="G125" s="5" t="str">
        <f>INDEX('Route Data'!$A$7:$A$8,E125)</f>
        <v>u18</v>
      </c>
      <c r="H125" s="5">
        <f>EnergyCoeff(INDEX('Route Data'!$K$7:$K$8,E125),INDEX('Route Data'!$L$7:$L$8,E125)*2*PI()/60,INDEX('Route Data'!$F$7:$F$8,E125))</f>
        <v>0.19430699130049439</v>
      </c>
      <c r="I125" s="5">
        <f>DischargeCoeff(INDEX('Route Data'!$I$7:$I$8,E125), INDEX('Route Data'!$L$7:$L$8,E125)*2*PI()/60, INDEX('Route Data'!$F$7:$F$8,E125))</f>
        <v>0.15939200179827354</v>
      </c>
      <c r="J125" s="8">
        <f>FlowAngleRel(INDEX('Route Data'!$J$7:$J$8,E125)*INDEX('Route Data'!$I$7:$I$8,E125), INDEX('Route Data'!$L$7:$L$8,E125)*2*PI()/60, INDEX('Route Data'!$F$7:$F$8,E125),INDEX('Route Data'!$O$7:$O$8,E125), INDEX('Route Data'!$P$7:$P$8,E125),INDEX('Route Data'!$M$7:$M$8,E125))</f>
        <v>1.130811765868994</v>
      </c>
      <c r="K125" s="8">
        <f>FlowAngleAbsT(INDEX('Route Data'!$K$7:$K$8,E125), INDEX('Route Data'!$I$7:$I$8,E125), INDEX('Route Data'!$I$7:$I$8,E125)*INDEX('Route Data'!$J$7:$J$8,E125), INDEX('Route Data'!$L$7:$L$8,E125)*2*PI()/60, INDEX('Route Data'!$F$7:$F$8,E125),INDEX('Route Data'!$O$7:$O$8,E125), INDEX('Route Data'!$P$7:$P$8,E125), INDEX('Route Data'!$H$7:$H$8,E125), INDEX('Route Data'!$Q$7:$Q$8,E125), INDEX('Route Data'!$M$7:$M$8,E125))</f>
        <v>0.51617226640175828</v>
      </c>
      <c r="L125" s="5">
        <f>INDEX('Route Data'!$N$7:$N$8,E125)</f>
        <v>0.4</v>
      </c>
      <c r="M125" s="8">
        <v>0.4849584698677063</v>
      </c>
      <c r="N125" s="8">
        <f>ProbStrikeFrancis(K125, I125, L125, INDEX('Route Data'!$G$7:$G$8,E125),C125, INDEX('Route Data'!$F$7:$F$8,E125), INDEX('Route Data'!$O$7:$O$8,E125), INDEX('Route Data'!$H$7:$H$18,E125))</f>
        <v>1</v>
      </c>
      <c r="O125" s="5" t="str">
        <f>IF(F125&gt;=1,IF(M125&lt;=N125,"STRIKE","pass"),IF(M125&lt;=INDEX('Route Data'!$R$7:$R$8,E125),"NO PASS","pass"))</f>
        <v>STRIKE</v>
      </c>
      <c r="P125" s="5">
        <f>IF(F125&gt;=1,IF(M125&lt;=N125,1,0),IF(M125&lt;=INDEX('Route Data'!$R$7:$R$8,E125),-1,0))</f>
        <v>1</v>
      </c>
    </row>
    <row r="126" spans="1:16">
      <c r="A126" s="5">
        <v>116</v>
      </c>
      <c r="B126" s="12">
        <v>17.22</v>
      </c>
      <c r="C126" s="12">
        <f t="shared" si="1"/>
        <v>1.44</v>
      </c>
      <c r="D126" s="8">
        <v>0.26800370216369629</v>
      </c>
      <c r="E126" s="5">
        <f>MATCH(D126,'Route Data'!$C$7:$C$8,1)</f>
        <v>2</v>
      </c>
      <c r="F126" s="5">
        <f>INDEX('Route Data'!$D$7:$D$8,E126)</f>
        <v>1</v>
      </c>
      <c r="G126" s="5" t="str">
        <f>INDEX('Route Data'!$A$7:$A$8,E126)</f>
        <v>u18</v>
      </c>
      <c r="H126" s="5">
        <f>EnergyCoeff(INDEX('Route Data'!$K$7:$K$8,E126),INDEX('Route Data'!$L$7:$L$8,E126)*2*PI()/60,INDEX('Route Data'!$F$7:$F$8,E126))</f>
        <v>0.19430699130049439</v>
      </c>
      <c r="I126" s="5">
        <f>DischargeCoeff(INDEX('Route Data'!$I$7:$I$8,E126), INDEX('Route Data'!$L$7:$L$8,E126)*2*PI()/60, INDEX('Route Data'!$F$7:$F$8,E126))</f>
        <v>0.15939200179827354</v>
      </c>
      <c r="J126" s="8">
        <f>FlowAngleRel(INDEX('Route Data'!$J$7:$J$8,E126)*INDEX('Route Data'!$I$7:$I$8,E126), INDEX('Route Data'!$L$7:$L$8,E126)*2*PI()/60, INDEX('Route Data'!$F$7:$F$8,E126),INDEX('Route Data'!$O$7:$O$8,E126), INDEX('Route Data'!$P$7:$P$8,E126),INDEX('Route Data'!$M$7:$M$8,E126))</f>
        <v>1.130811765868994</v>
      </c>
      <c r="K126" s="8">
        <f>FlowAngleAbsT(INDEX('Route Data'!$K$7:$K$8,E126), INDEX('Route Data'!$I$7:$I$8,E126), INDEX('Route Data'!$I$7:$I$8,E126)*INDEX('Route Data'!$J$7:$J$8,E126), INDEX('Route Data'!$L$7:$L$8,E126)*2*PI()/60, INDEX('Route Data'!$F$7:$F$8,E126),INDEX('Route Data'!$O$7:$O$8,E126), INDEX('Route Data'!$P$7:$P$8,E126), INDEX('Route Data'!$H$7:$H$8,E126), INDEX('Route Data'!$Q$7:$Q$8,E126), INDEX('Route Data'!$M$7:$M$8,E126))</f>
        <v>0.51617226640175828</v>
      </c>
      <c r="L126" s="5">
        <f>INDEX('Route Data'!$N$7:$N$8,E126)</f>
        <v>0.4</v>
      </c>
      <c r="M126" s="8">
        <v>0.2219703197479248</v>
      </c>
      <c r="N126" s="8">
        <f>ProbStrikeFrancis(K126, I126, L126, INDEX('Route Data'!$G$7:$G$8,E126),C126, INDEX('Route Data'!$F$7:$F$8,E126), INDEX('Route Data'!$O$7:$O$8,E126), INDEX('Route Data'!$H$7:$H$18,E126))</f>
        <v>1</v>
      </c>
      <c r="O126" s="5" t="str">
        <f>IF(F126&gt;=1,IF(M126&lt;=N126,"STRIKE","pass"),IF(M126&lt;=INDEX('Route Data'!$R$7:$R$8,E126),"NO PASS","pass"))</f>
        <v>STRIKE</v>
      </c>
      <c r="P126" s="5">
        <f>IF(F126&gt;=1,IF(M126&lt;=N126,1,0),IF(M126&lt;=INDEX('Route Data'!$R$7:$R$8,E126),-1,0))</f>
        <v>1</v>
      </c>
    </row>
    <row r="127" spans="1:16">
      <c r="A127" s="5">
        <v>117</v>
      </c>
      <c r="B127" s="12">
        <v>26.16</v>
      </c>
      <c r="C127" s="12">
        <f t="shared" si="1"/>
        <v>2.1800000000000002</v>
      </c>
      <c r="D127" s="8">
        <v>0.44958633184432983</v>
      </c>
      <c r="E127" s="5">
        <f>MATCH(D127,'Route Data'!$C$7:$C$8,1)</f>
        <v>2</v>
      </c>
      <c r="F127" s="5">
        <f>INDEX('Route Data'!$D$7:$D$8,E127)</f>
        <v>1</v>
      </c>
      <c r="G127" s="5" t="str">
        <f>INDEX('Route Data'!$A$7:$A$8,E127)</f>
        <v>u18</v>
      </c>
      <c r="H127" s="5">
        <f>EnergyCoeff(INDEX('Route Data'!$K$7:$K$8,E127),INDEX('Route Data'!$L$7:$L$8,E127)*2*PI()/60,INDEX('Route Data'!$F$7:$F$8,E127))</f>
        <v>0.19430699130049439</v>
      </c>
      <c r="I127" s="5">
        <f>DischargeCoeff(INDEX('Route Data'!$I$7:$I$8,E127), INDEX('Route Data'!$L$7:$L$8,E127)*2*PI()/60, INDEX('Route Data'!$F$7:$F$8,E127))</f>
        <v>0.15939200179827354</v>
      </c>
      <c r="J127" s="8">
        <f>FlowAngleRel(INDEX('Route Data'!$J$7:$J$8,E127)*INDEX('Route Data'!$I$7:$I$8,E127), INDEX('Route Data'!$L$7:$L$8,E127)*2*PI()/60, INDEX('Route Data'!$F$7:$F$8,E127),INDEX('Route Data'!$O$7:$O$8,E127), INDEX('Route Data'!$P$7:$P$8,E127),INDEX('Route Data'!$M$7:$M$8,E127))</f>
        <v>1.130811765868994</v>
      </c>
      <c r="K127" s="8">
        <f>FlowAngleAbsT(INDEX('Route Data'!$K$7:$K$8,E127), INDEX('Route Data'!$I$7:$I$8,E127), INDEX('Route Data'!$I$7:$I$8,E127)*INDEX('Route Data'!$J$7:$J$8,E127), INDEX('Route Data'!$L$7:$L$8,E127)*2*PI()/60, INDEX('Route Data'!$F$7:$F$8,E127),INDEX('Route Data'!$O$7:$O$8,E127), INDEX('Route Data'!$P$7:$P$8,E127), INDEX('Route Data'!$H$7:$H$8,E127), INDEX('Route Data'!$Q$7:$Q$8,E127), INDEX('Route Data'!$M$7:$M$8,E127))</f>
        <v>0.51617226640175828</v>
      </c>
      <c r="L127" s="5">
        <f>INDEX('Route Data'!$N$7:$N$8,E127)</f>
        <v>0.4</v>
      </c>
      <c r="M127" s="8">
        <v>0.74535554647445679</v>
      </c>
      <c r="N127" s="8">
        <f>ProbStrikeFrancis(K127, I127, L127, INDEX('Route Data'!$G$7:$G$8,E127),C127, INDEX('Route Data'!$F$7:$F$8,E127), INDEX('Route Data'!$O$7:$O$8,E127), INDEX('Route Data'!$H$7:$H$18,E127))</f>
        <v>1</v>
      </c>
      <c r="O127" s="5" t="str">
        <f>IF(F127&gt;=1,IF(M127&lt;=N127,"STRIKE","pass"),IF(M127&lt;=INDEX('Route Data'!$R$7:$R$8,E127),"NO PASS","pass"))</f>
        <v>STRIKE</v>
      </c>
      <c r="P127" s="5">
        <f>IF(F127&gt;=1,IF(M127&lt;=N127,1,0),IF(M127&lt;=INDEX('Route Data'!$R$7:$R$8,E127),-1,0))</f>
        <v>1</v>
      </c>
    </row>
    <row r="128" spans="1:16">
      <c r="A128" s="5">
        <v>118</v>
      </c>
      <c r="B128" s="12">
        <v>21.35</v>
      </c>
      <c r="C128" s="12">
        <f t="shared" si="1"/>
        <v>1.78</v>
      </c>
      <c r="D128" s="8">
        <v>0.6392592191696167</v>
      </c>
      <c r="E128" s="5">
        <f>MATCH(D128,'Route Data'!$C$7:$C$8,1)</f>
        <v>2</v>
      </c>
      <c r="F128" s="5">
        <f>INDEX('Route Data'!$D$7:$D$8,E128)</f>
        <v>1</v>
      </c>
      <c r="G128" s="5" t="str">
        <f>INDEX('Route Data'!$A$7:$A$8,E128)</f>
        <v>u18</v>
      </c>
      <c r="H128" s="5">
        <f>EnergyCoeff(INDEX('Route Data'!$K$7:$K$8,E128),INDEX('Route Data'!$L$7:$L$8,E128)*2*PI()/60,INDEX('Route Data'!$F$7:$F$8,E128))</f>
        <v>0.19430699130049439</v>
      </c>
      <c r="I128" s="5">
        <f>DischargeCoeff(INDEX('Route Data'!$I$7:$I$8,E128), INDEX('Route Data'!$L$7:$L$8,E128)*2*PI()/60, INDEX('Route Data'!$F$7:$F$8,E128))</f>
        <v>0.15939200179827354</v>
      </c>
      <c r="J128" s="8">
        <f>FlowAngleRel(INDEX('Route Data'!$J$7:$J$8,E128)*INDEX('Route Data'!$I$7:$I$8,E128), INDEX('Route Data'!$L$7:$L$8,E128)*2*PI()/60, INDEX('Route Data'!$F$7:$F$8,E128),INDEX('Route Data'!$O$7:$O$8,E128), INDEX('Route Data'!$P$7:$P$8,E128),INDEX('Route Data'!$M$7:$M$8,E128))</f>
        <v>1.130811765868994</v>
      </c>
      <c r="K128" s="8">
        <f>FlowAngleAbsT(INDEX('Route Data'!$K$7:$K$8,E128), INDEX('Route Data'!$I$7:$I$8,E128), INDEX('Route Data'!$I$7:$I$8,E128)*INDEX('Route Data'!$J$7:$J$8,E128), INDEX('Route Data'!$L$7:$L$8,E128)*2*PI()/60, INDEX('Route Data'!$F$7:$F$8,E128),INDEX('Route Data'!$O$7:$O$8,E128), INDEX('Route Data'!$P$7:$P$8,E128), INDEX('Route Data'!$H$7:$H$8,E128), INDEX('Route Data'!$Q$7:$Q$8,E128), INDEX('Route Data'!$M$7:$M$8,E128))</f>
        <v>0.51617226640175828</v>
      </c>
      <c r="L128" s="5">
        <f>INDEX('Route Data'!$N$7:$N$8,E128)</f>
        <v>0.4</v>
      </c>
      <c r="M128" s="8">
        <v>0.70635831356048584</v>
      </c>
      <c r="N128" s="8">
        <f>ProbStrikeFrancis(K128, I128, L128, INDEX('Route Data'!$G$7:$G$8,E128),C128, INDEX('Route Data'!$F$7:$F$8,E128), INDEX('Route Data'!$O$7:$O$8,E128), INDEX('Route Data'!$H$7:$H$18,E128))</f>
        <v>1</v>
      </c>
      <c r="O128" s="5" t="str">
        <f>IF(F128&gt;=1,IF(M128&lt;=N128,"STRIKE","pass"),IF(M128&lt;=INDEX('Route Data'!$R$7:$R$8,E128),"NO PASS","pass"))</f>
        <v>STRIKE</v>
      </c>
      <c r="P128" s="5">
        <f>IF(F128&gt;=1,IF(M128&lt;=N128,1,0),IF(M128&lt;=INDEX('Route Data'!$R$7:$R$8,E128),-1,0))</f>
        <v>1</v>
      </c>
    </row>
    <row r="129" spans="1:16">
      <c r="A129" s="5">
        <v>119</v>
      </c>
      <c r="B129" s="12">
        <v>23.68</v>
      </c>
      <c r="C129" s="12">
        <f t="shared" si="1"/>
        <v>1.97</v>
      </c>
      <c r="D129" s="8">
        <v>0.5390821099281311</v>
      </c>
      <c r="E129" s="5">
        <f>MATCH(D129,'Route Data'!$C$7:$C$8,1)</f>
        <v>2</v>
      </c>
      <c r="F129" s="5">
        <f>INDEX('Route Data'!$D$7:$D$8,E129)</f>
        <v>1</v>
      </c>
      <c r="G129" s="5" t="str">
        <f>INDEX('Route Data'!$A$7:$A$8,E129)</f>
        <v>u18</v>
      </c>
      <c r="H129" s="5">
        <f>EnergyCoeff(INDEX('Route Data'!$K$7:$K$8,E129),INDEX('Route Data'!$L$7:$L$8,E129)*2*PI()/60,INDEX('Route Data'!$F$7:$F$8,E129))</f>
        <v>0.19430699130049439</v>
      </c>
      <c r="I129" s="5">
        <f>DischargeCoeff(INDEX('Route Data'!$I$7:$I$8,E129), INDEX('Route Data'!$L$7:$L$8,E129)*2*PI()/60, INDEX('Route Data'!$F$7:$F$8,E129))</f>
        <v>0.15939200179827354</v>
      </c>
      <c r="J129" s="8">
        <f>FlowAngleRel(INDEX('Route Data'!$J$7:$J$8,E129)*INDEX('Route Data'!$I$7:$I$8,E129), INDEX('Route Data'!$L$7:$L$8,E129)*2*PI()/60, INDEX('Route Data'!$F$7:$F$8,E129),INDEX('Route Data'!$O$7:$O$8,E129), INDEX('Route Data'!$P$7:$P$8,E129),INDEX('Route Data'!$M$7:$M$8,E129))</f>
        <v>1.130811765868994</v>
      </c>
      <c r="K129" s="8">
        <f>FlowAngleAbsT(INDEX('Route Data'!$K$7:$K$8,E129), INDEX('Route Data'!$I$7:$I$8,E129), INDEX('Route Data'!$I$7:$I$8,E129)*INDEX('Route Data'!$J$7:$J$8,E129), INDEX('Route Data'!$L$7:$L$8,E129)*2*PI()/60, INDEX('Route Data'!$F$7:$F$8,E129),INDEX('Route Data'!$O$7:$O$8,E129), INDEX('Route Data'!$P$7:$P$8,E129), INDEX('Route Data'!$H$7:$H$8,E129), INDEX('Route Data'!$Q$7:$Q$8,E129), INDEX('Route Data'!$M$7:$M$8,E129))</f>
        <v>0.51617226640175828</v>
      </c>
      <c r="L129" s="5">
        <f>INDEX('Route Data'!$N$7:$N$8,E129)</f>
        <v>0.4</v>
      </c>
      <c r="M129" s="8">
        <v>0.94798380136489868</v>
      </c>
      <c r="N129" s="8">
        <f>ProbStrikeFrancis(K129, I129, L129, INDEX('Route Data'!$G$7:$G$8,E129),C129, INDEX('Route Data'!$F$7:$F$8,E129), INDEX('Route Data'!$O$7:$O$8,E129), INDEX('Route Data'!$H$7:$H$18,E129))</f>
        <v>1</v>
      </c>
      <c r="O129" s="5" t="str">
        <f>IF(F129&gt;=1,IF(M129&lt;=N129,"STRIKE","pass"),IF(M129&lt;=INDEX('Route Data'!$R$7:$R$8,E129),"NO PASS","pass"))</f>
        <v>STRIKE</v>
      </c>
      <c r="P129" s="5">
        <f>IF(F129&gt;=1,IF(M129&lt;=N129,1,0),IF(M129&lt;=INDEX('Route Data'!$R$7:$R$8,E129),-1,0))</f>
        <v>1</v>
      </c>
    </row>
    <row r="130" spans="1:16">
      <c r="A130" s="5">
        <v>120</v>
      </c>
      <c r="B130" s="12">
        <v>22.54</v>
      </c>
      <c r="C130" s="12">
        <f t="shared" si="1"/>
        <v>1.88</v>
      </c>
      <c r="D130" s="8">
        <v>0.10519266128540039</v>
      </c>
      <c r="E130" s="5">
        <f>MATCH(D130,'Route Data'!$C$7:$C$8,1)</f>
        <v>2</v>
      </c>
      <c r="F130" s="5">
        <f>INDEX('Route Data'!$D$7:$D$8,E130)</f>
        <v>1</v>
      </c>
      <c r="G130" s="5" t="str">
        <f>INDEX('Route Data'!$A$7:$A$8,E130)</f>
        <v>u18</v>
      </c>
      <c r="H130" s="5">
        <f>EnergyCoeff(INDEX('Route Data'!$K$7:$K$8,E130),INDEX('Route Data'!$L$7:$L$8,E130)*2*PI()/60,INDEX('Route Data'!$F$7:$F$8,E130))</f>
        <v>0.19430699130049439</v>
      </c>
      <c r="I130" s="5">
        <f>DischargeCoeff(INDEX('Route Data'!$I$7:$I$8,E130), INDEX('Route Data'!$L$7:$L$8,E130)*2*PI()/60, INDEX('Route Data'!$F$7:$F$8,E130))</f>
        <v>0.15939200179827354</v>
      </c>
      <c r="J130" s="8">
        <f>FlowAngleRel(INDEX('Route Data'!$J$7:$J$8,E130)*INDEX('Route Data'!$I$7:$I$8,E130), INDEX('Route Data'!$L$7:$L$8,E130)*2*PI()/60, INDEX('Route Data'!$F$7:$F$8,E130),INDEX('Route Data'!$O$7:$O$8,E130), INDEX('Route Data'!$P$7:$P$8,E130),INDEX('Route Data'!$M$7:$M$8,E130))</f>
        <v>1.130811765868994</v>
      </c>
      <c r="K130" s="8">
        <f>FlowAngleAbsT(INDEX('Route Data'!$K$7:$K$8,E130), INDEX('Route Data'!$I$7:$I$8,E130), INDEX('Route Data'!$I$7:$I$8,E130)*INDEX('Route Data'!$J$7:$J$8,E130), INDEX('Route Data'!$L$7:$L$8,E130)*2*PI()/60, INDEX('Route Data'!$F$7:$F$8,E130),INDEX('Route Data'!$O$7:$O$8,E130), INDEX('Route Data'!$P$7:$P$8,E130), INDEX('Route Data'!$H$7:$H$8,E130), INDEX('Route Data'!$Q$7:$Q$8,E130), INDEX('Route Data'!$M$7:$M$8,E130))</f>
        <v>0.51617226640175828</v>
      </c>
      <c r="L130" s="5">
        <f>INDEX('Route Data'!$N$7:$N$8,E130)</f>
        <v>0.4</v>
      </c>
      <c r="M130" s="8">
        <v>0.22310733795166016</v>
      </c>
      <c r="N130" s="8">
        <f>ProbStrikeFrancis(K130, I130, L130, INDEX('Route Data'!$G$7:$G$8,E130),C130, INDEX('Route Data'!$F$7:$F$8,E130), INDEX('Route Data'!$O$7:$O$8,E130), INDEX('Route Data'!$H$7:$H$18,E130))</f>
        <v>1</v>
      </c>
      <c r="O130" s="5" t="str">
        <f>IF(F130&gt;=1,IF(M130&lt;=N130,"STRIKE","pass"),IF(M130&lt;=INDEX('Route Data'!$R$7:$R$8,E130),"NO PASS","pass"))</f>
        <v>STRIKE</v>
      </c>
      <c r="P130" s="5">
        <f>IF(F130&gt;=1,IF(M130&lt;=N130,1,0),IF(M130&lt;=INDEX('Route Data'!$R$7:$R$8,E130),-1,0))</f>
        <v>1</v>
      </c>
    </row>
    <row r="131" spans="1:16">
      <c r="A131" s="5">
        <v>121</v>
      </c>
      <c r="B131" s="12">
        <v>19.920000000000002</v>
      </c>
      <c r="C131" s="12">
        <f t="shared" si="1"/>
        <v>1.66</v>
      </c>
      <c r="D131" s="8">
        <v>0.40686100721359253</v>
      </c>
      <c r="E131" s="5">
        <f>MATCH(D131,'Route Data'!$C$7:$C$8,1)</f>
        <v>2</v>
      </c>
      <c r="F131" s="5">
        <f>INDEX('Route Data'!$D$7:$D$8,E131)</f>
        <v>1</v>
      </c>
      <c r="G131" s="5" t="str">
        <f>INDEX('Route Data'!$A$7:$A$8,E131)</f>
        <v>u18</v>
      </c>
      <c r="H131" s="5">
        <f>EnergyCoeff(INDEX('Route Data'!$K$7:$K$8,E131),INDEX('Route Data'!$L$7:$L$8,E131)*2*PI()/60,INDEX('Route Data'!$F$7:$F$8,E131))</f>
        <v>0.19430699130049439</v>
      </c>
      <c r="I131" s="5">
        <f>DischargeCoeff(INDEX('Route Data'!$I$7:$I$8,E131), INDEX('Route Data'!$L$7:$L$8,E131)*2*PI()/60, INDEX('Route Data'!$F$7:$F$8,E131))</f>
        <v>0.15939200179827354</v>
      </c>
      <c r="J131" s="8">
        <f>FlowAngleRel(INDEX('Route Data'!$J$7:$J$8,E131)*INDEX('Route Data'!$I$7:$I$8,E131), INDEX('Route Data'!$L$7:$L$8,E131)*2*PI()/60, INDEX('Route Data'!$F$7:$F$8,E131),INDEX('Route Data'!$O$7:$O$8,E131), INDEX('Route Data'!$P$7:$P$8,E131),INDEX('Route Data'!$M$7:$M$8,E131))</f>
        <v>1.130811765868994</v>
      </c>
      <c r="K131" s="8">
        <f>FlowAngleAbsT(INDEX('Route Data'!$K$7:$K$8,E131), INDEX('Route Data'!$I$7:$I$8,E131), INDEX('Route Data'!$I$7:$I$8,E131)*INDEX('Route Data'!$J$7:$J$8,E131), INDEX('Route Data'!$L$7:$L$8,E131)*2*PI()/60, INDEX('Route Data'!$F$7:$F$8,E131),INDEX('Route Data'!$O$7:$O$8,E131), INDEX('Route Data'!$P$7:$P$8,E131), INDEX('Route Data'!$H$7:$H$8,E131), INDEX('Route Data'!$Q$7:$Q$8,E131), INDEX('Route Data'!$M$7:$M$8,E131))</f>
        <v>0.51617226640175828</v>
      </c>
      <c r="L131" s="5">
        <f>INDEX('Route Data'!$N$7:$N$8,E131)</f>
        <v>0.4</v>
      </c>
      <c r="M131" s="8">
        <v>0.86657828092575073</v>
      </c>
      <c r="N131" s="8">
        <f>ProbStrikeFrancis(K131, I131, L131, INDEX('Route Data'!$G$7:$G$8,E131),C131, INDEX('Route Data'!$F$7:$F$8,E131), INDEX('Route Data'!$O$7:$O$8,E131), INDEX('Route Data'!$H$7:$H$18,E131))</f>
        <v>1</v>
      </c>
      <c r="O131" s="5" t="str">
        <f>IF(F131&gt;=1,IF(M131&lt;=N131,"STRIKE","pass"),IF(M131&lt;=INDEX('Route Data'!$R$7:$R$8,E131),"NO PASS","pass"))</f>
        <v>STRIKE</v>
      </c>
      <c r="P131" s="5">
        <f>IF(F131&gt;=1,IF(M131&lt;=N131,1,0),IF(M131&lt;=INDEX('Route Data'!$R$7:$R$8,E131),-1,0))</f>
        <v>1</v>
      </c>
    </row>
    <row r="132" spans="1:16">
      <c r="A132" s="5">
        <v>122</v>
      </c>
      <c r="B132" s="12">
        <v>25.8</v>
      </c>
      <c r="C132" s="12">
        <f t="shared" si="1"/>
        <v>2.15</v>
      </c>
      <c r="D132" s="8">
        <v>0.76743519306182861</v>
      </c>
      <c r="E132" s="5">
        <f>MATCH(D132,'Route Data'!$C$7:$C$8,1)</f>
        <v>2</v>
      </c>
      <c r="F132" s="5">
        <f>INDEX('Route Data'!$D$7:$D$8,E132)</f>
        <v>1</v>
      </c>
      <c r="G132" s="5" t="str">
        <f>INDEX('Route Data'!$A$7:$A$8,E132)</f>
        <v>u18</v>
      </c>
      <c r="H132" s="5">
        <f>EnergyCoeff(INDEX('Route Data'!$K$7:$K$8,E132),INDEX('Route Data'!$L$7:$L$8,E132)*2*PI()/60,INDEX('Route Data'!$F$7:$F$8,E132))</f>
        <v>0.19430699130049439</v>
      </c>
      <c r="I132" s="5">
        <f>DischargeCoeff(INDEX('Route Data'!$I$7:$I$8,E132), INDEX('Route Data'!$L$7:$L$8,E132)*2*PI()/60, INDEX('Route Data'!$F$7:$F$8,E132))</f>
        <v>0.15939200179827354</v>
      </c>
      <c r="J132" s="8">
        <f>FlowAngleRel(INDEX('Route Data'!$J$7:$J$8,E132)*INDEX('Route Data'!$I$7:$I$8,E132), INDEX('Route Data'!$L$7:$L$8,E132)*2*PI()/60, INDEX('Route Data'!$F$7:$F$8,E132),INDEX('Route Data'!$O$7:$O$8,E132), INDEX('Route Data'!$P$7:$P$8,E132),INDEX('Route Data'!$M$7:$M$8,E132))</f>
        <v>1.130811765868994</v>
      </c>
      <c r="K132" s="8">
        <f>FlowAngleAbsT(INDEX('Route Data'!$K$7:$K$8,E132), INDEX('Route Data'!$I$7:$I$8,E132), INDEX('Route Data'!$I$7:$I$8,E132)*INDEX('Route Data'!$J$7:$J$8,E132), INDEX('Route Data'!$L$7:$L$8,E132)*2*PI()/60, INDEX('Route Data'!$F$7:$F$8,E132),INDEX('Route Data'!$O$7:$O$8,E132), INDEX('Route Data'!$P$7:$P$8,E132), INDEX('Route Data'!$H$7:$H$8,E132), INDEX('Route Data'!$Q$7:$Q$8,E132), INDEX('Route Data'!$M$7:$M$8,E132))</f>
        <v>0.51617226640175828</v>
      </c>
      <c r="L132" s="5">
        <f>INDEX('Route Data'!$N$7:$N$8,E132)</f>
        <v>0.4</v>
      </c>
      <c r="M132" s="8">
        <v>0.2017446756362915</v>
      </c>
      <c r="N132" s="8">
        <f>ProbStrikeFrancis(K132, I132, L132, INDEX('Route Data'!$G$7:$G$8,E132),C132, INDEX('Route Data'!$F$7:$F$8,E132), INDEX('Route Data'!$O$7:$O$8,E132), INDEX('Route Data'!$H$7:$H$18,E132))</f>
        <v>1</v>
      </c>
      <c r="O132" s="5" t="str">
        <f>IF(F132&gt;=1,IF(M132&lt;=N132,"STRIKE","pass"),IF(M132&lt;=INDEX('Route Data'!$R$7:$R$8,E132),"NO PASS","pass"))</f>
        <v>STRIKE</v>
      </c>
      <c r="P132" s="5">
        <f>IF(F132&gt;=1,IF(M132&lt;=N132,1,0),IF(M132&lt;=INDEX('Route Data'!$R$7:$R$8,E132),-1,0))</f>
        <v>1</v>
      </c>
    </row>
    <row r="133" spans="1:16">
      <c r="A133" s="5">
        <v>123</v>
      </c>
      <c r="B133" s="12">
        <v>26.53</v>
      </c>
      <c r="C133" s="12">
        <f t="shared" si="1"/>
        <v>2.21</v>
      </c>
      <c r="D133" s="8">
        <v>0.15455418825149536</v>
      </c>
      <c r="E133" s="5">
        <f>MATCH(D133,'Route Data'!$C$7:$C$8,1)</f>
        <v>2</v>
      </c>
      <c r="F133" s="5">
        <f>INDEX('Route Data'!$D$7:$D$8,E133)</f>
        <v>1</v>
      </c>
      <c r="G133" s="5" t="str">
        <f>INDEX('Route Data'!$A$7:$A$8,E133)</f>
        <v>u18</v>
      </c>
      <c r="H133" s="5">
        <f>EnergyCoeff(INDEX('Route Data'!$K$7:$K$8,E133),INDEX('Route Data'!$L$7:$L$8,E133)*2*PI()/60,INDEX('Route Data'!$F$7:$F$8,E133))</f>
        <v>0.19430699130049439</v>
      </c>
      <c r="I133" s="5">
        <f>DischargeCoeff(INDEX('Route Data'!$I$7:$I$8,E133), INDEX('Route Data'!$L$7:$L$8,E133)*2*PI()/60, INDEX('Route Data'!$F$7:$F$8,E133))</f>
        <v>0.15939200179827354</v>
      </c>
      <c r="J133" s="8">
        <f>FlowAngleRel(INDEX('Route Data'!$J$7:$J$8,E133)*INDEX('Route Data'!$I$7:$I$8,E133), INDEX('Route Data'!$L$7:$L$8,E133)*2*PI()/60, INDEX('Route Data'!$F$7:$F$8,E133),INDEX('Route Data'!$O$7:$O$8,E133), INDEX('Route Data'!$P$7:$P$8,E133),INDEX('Route Data'!$M$7:$M$8,E133))</f>
        <v>1.130811765868994</v>
      </c>
      <c r="K133" s="8">
        <f>FlowAngleAbsT(INDEX('Route Data'!$K$7:$K$8,E133), INDEX('Route Data'!$I$7:$I$8,E133), INDEX('Route Data'!$I$7:$I$8,E133)*INDEX('Route Data'!$J$7:$J$8,E133), INDEX('Route Data'!$L$7:$L$8,E133)*2*PI()/60, INDEX('Route Data'!$F$7:$F$8,E133),INDEX('Route Data'!$O$7:$O$8,E133), INDEX('Route Data'!$P$7:$P$8,E133), INDEX('Route Data'!$H$7:$H$8,E133), INDEX('Route Data'!$Q$7:$Q$8,E133), INDEX('Route Data'!$M$7:$M$8,E133))</f>
        <v>0.51617226640175828</v>
      </c>
      <c r="L133" s="5">
        <f>INDEX('Route Data'!$N$7:$N$8,E133)</f>
        <v>0.4</v>
      </c>
      <c r="M133" s="8">
        <v>0.93066626787185669</v>
      </c>
      <c r="N133" s="8">
        <f>ProbStrikeFrancis(K133, I133, L133, INDEX('Route Data'!$G$7:$G$8,E133),C133, INDEX('Route Data'!$F$7:$F$8,E133), INDEX('Route Data'!$O$7:$O$8,E133), INDEX('Route Data'!$H$7:$H$18,E133))</f>
        <v>1</v>
      </c>
      <c r="O133" s="5" t="str">
        <f>IF(F133&gt;=1,IF(M133&lt;=N133,"STRIKE","pass"),IF(M133&lt;=INDEX('Route Data'!$R$7:$R$8,E133),"NO PASS","pass"))</f>
        <v>STRIKE</v>
      </c>
      <c r="P133" s="5">
        <f>IF(F133&gt;=1,IF(M133&lt;=N133,1,0),IF(M133&lt;=INDEX('Route Data'!$R$7:$R$8,E133),-1,0))</f>
        <v>1</v>
      </c>
    </row>
    <row r="134" spans="1:16">
      <c r="A134" s="5">
        <v>124</v>
      </c>
      <c r="B134" s="12">
        <v>20.81</v>
      </c>
      <c r="C134" s="12">
        <f t="shared" si="1"/>
        <v>1.73</v>
      </c>
      <c r="D134" s="8">
        <v>0.52435564994812012</v>
      </c>
      <c r="E134" s="5">
        <f>MATCH(D134,'Route Data'!$C$7:$C$8,1)</f>
        <v>2</v>
      </c>
      <c r="F134" s="5">
        <f>INDEX('Route Data'!$D$7:$D$8,E134)</f>
        <v>1</v>
      </c>
      <c r="G134" s="5" t="str">
        <f>INDEX('Route Data'!$A$7:$A$8,E134)</f>
        <v>u18</v>
      </c>
      <c r="H134" s="5">
        <f>EnergyCoeff(INDEX('Route Data'!$K$7:$K$8,E134),INDEX('Route Data'!$L$7:$L$8,E134)*2*PI()/60,INDEX('Route Data'!$F$7:$F$8,E134))</f>
        <v>0.19430699130049439</v>
      </c>
      <c r="I134" s="5">
        <f>DischargeCoeff(INDEX('Route Data'!$I$7:$I$8,E134), INDEX('Route Data'!$L$7:$L$8,E134)*2*PI()/60, INDEX('Route Data'!$F$7:$F$8,E134))</f>
        <v>0.15939200179827354</v>
      </c>
      <c r="J134" s="8">
        <f>FlowAngleRel(INDEX('Route Data'!$J$7:$J$8,E134)*INDEX('Route Data'!$I$7:$I$8,E134), INDEX('Route Data'!$L$7:$L$8,E134)*2*PI()/60, INDEX('Route Data'!$F$7:$F$8,E134),INDEX('Route Data'!$O$7:$O$8,E134), INDEX('Route Data'!$P$7:$P$8,E134),INDEX('Route Data'!$M$7:$M$8,E134))</f>
        <v>1.130811765868994</v>
      </c>
      <c r="K134" s="8">
        <f>FlowAngleAbsT(INDEX('Route Data'!$K$7:$K$8,E134), INDEX('Route Data'!$I$7:$I$8,E134), INDEX('Route Data'!$I$7:$I$8,E134)*INDEX('Route Data'!$J$7:$J$8,E134), INDEX('Route Data'!$L$7:$L$8,E134)*2*PI()/60, INDEX('Route Data'!$F$7:$F$8,E134),INDEX('Route Data'!$O$7:$O$8,E134), INDEX('Route Data'!$P$7:$P$8,E134), INDEX('Route Data'!$H$7:$H$8,E134), INDEX('Route Data'!$Q$7:$Q$8,E134), INDEX('Route Data'!$M$7:$M$8,E134))</f>
        <v>0.51617226640175828</v>
      </c>
      <c r="L134" s="5">
        <f>INDEX('Route Data'!$N$7:$N$8,E134)</f>
        <v>0.4</v>
      </c>
      <c r="M134" s="8">
        <v>9.4807147979736328E-3</v>
      </c>
      <c r="N134" s="8">
        <f>ProbStrikeFrancis(K134, I134, L134, INDEX('Route Data'!$G$7:$G$8,E134),C134, INDEX('Route Data'!$F$7:$F$8,E134), INDEX('Route Data'!$O$7:$O$8,E134), INDEX('Route Data'!$H$7:$H$18,E134))</f>
        <v>1</v>
      </c>
      <c r="O134" s="5" t="str">
        <f>IF(F134&gt;=1,IF(M134&lt;=N134,"STRIKE","pass"),IF(M134&lt;=INDEX('Route Data'!$R$7:$R$8,E134),"NO PASS","pass"))</f>
        <v>STRIKE</v>
      </c>
      <c r="P134" s="5">
        <f>IF(F134&gt;=1,IF(M134&lt;=N134,1,0),IF(M134&lt;=INDEX('Route Data'!$R$7:$R$8,E134),-1,0))</f>
        <v>1</v>
      </c>
    </row>
    <row r="135" spans="1:16">
      <c r="A135" s="5">
        <v>125</v>
      </c>
      <c r="B135" s="12">
        <v>25.65</v>
      </c>
      <c r="C135" s="12">
        <f t="shared" si="1"/>
        <v>2.14</v>
      </c>
      <c r="D135" s="8">
        <v>0.41495126485824585</v>
      </c>
      <c r="E135" s="5">
        <f>MATCH(D135,'Route Data'!$C$7:$C$8,1)</f>
        <v>2</v>
      </c>
      <c r="F135" s="5">
        <f>INDEX('Route Data'!$D$7:$D$8,E135)</f>
        <v>1</v>
      </c>
      <c r="G135" s="5" t="str">
        <f>INDEX('Route Data'!$A$7:$A$8,E135)</f>
        <v>u18</v>
      </c>
      <c r="H135" s="5">
        <f>EnergyCoeff(INDEX('Route Data'!$K$7:$K$8,E135),INDEX('Route Data'!$L$7:$L$8,E135)*2*PI()/60,INDEX('Route Data'!$F$7:$F$8,E135))</f>
        <v>0.19430699130049439</v>
      </c>
      <c r="I135" s="5">
        <f>DischargeCoeff(INDEX('Route Data'!$I$7:$I$8,E135), INDEX('Route Data'!$L$7:$L$8,E135)*2*PI()/60, INDEX('Route Data'!$F$7:$F$8,E135))</f>
        <v>0.15939200179827354</v>
      </c>
      <c r="J135" s="8">
        <f>FlowAngleRel(INDEX('Route Data'!$J$7:$J$8,E135)*INDEX('Route Data'!$I$7:$I$8,E135), INDEX('Route Data'!$L$7:$L$8,E135)*2*PI()/60, INDEX('Route Data'!$F$7:$F$8,E135),INDEX('Route Data'!$O$7:$O$8,E135), INDEX('Route Data'!$P$7:$P$8,E135),INDEX('Route Data'!$M$7:$M$8,E135))</f>
        <v>1.130811765868994</v>
      </c>
      <c r="K135" s="8">
        <f>FlowAngleAbsT(INDEX('Route Data'!$K$7:$K$8,E135), INDEX('Route Data'!$I$7:$I$8,E135), INDEX('Route Data'!$I$7:$I$8,E135)*INDEX('Route Data'!$J$7:$J$8,E135), INDEX('Route Data'!$L$7:$L$8,E135)*2*PI()/60, INDEX('Route Data'!$F$7:$F$8,E135),INDEX('Route Data'!$O$7:$O$8,E135), INDEX('Route Data'!$P$7:$P$8,E135), INDEX('Route Data'!$H$7:$H$8,E135), INDEX('Route Data'!$Q$7:$Q$8,E135), INDEX('Route Data'!$M$7:$M$8,E135))</f>
        <v>0.51617226640175828</v>
      </c>
      <c r="L135" s="5">
        <f>INDEX('Route Data'!$N$7:$N$8,E135)</f>
        <v>0.4</v>
      </c>
      <c r="M135" s="8">
        <v>0.5074581503868103</v>
      </c>
      <c r="N135" s="8">
        <f>ProbStrikeFrancis(K135, I135, L135, INDEX('Route Data'!$G$7:$G$8,E135),C135, INDEX('Route Data'!$F$7:$F$8,E135), INDEX('Route Data'!$O$7:$O$8,E135), INDEX('Route Data'!$H$7:$H$18,E135))</f>
        <v>1</v>
      </c>
      <c r="O135" s="5" t="str">
        <f>IF(F135&gt;=1,IF(M135&lt;=N135,"STRIKE","pass"),IF(M135&lt;=INDEX('Route Data'!$R$7:$R$8,E135),"NO PASS","pass"))</f>
        <v>STRIKE</v>
      </c>
      <c r="P135" s="5">
        <f>IF(F135&gt;=1,IF(M135&lt;=N135,1,0),IF(M135&lt;=INDEX('Route Data'!$R$7:$R$8,E135),-1,0))</f>
        <v>1</v>
      </c>
    </row>
    <row r="136" spans="1:16">
      <c r="A136" s="5">
        <v>126</v>
      </c>
      <c r="B136" s="12">
        <v>27.24</v>
      </c>
      <c r="C136" s="12">
        <f t="shared" si="1"/>
        <v>2.27</v>
      </c>
      <c r="D136" s="8">
        <v>0.21200597286224365</v>
      </c>
      <c r="E136" s="5">
        <f>MATCH(D136,'Route Data'!$C$7:$C$8,1)</f>
        <v>2</v>
      </c>
      <c r="F136" s="5">
        <f>INDEX('Route Data'!$D$7:$D$8,E136)</f>
        <v>1</v>
      </c>
      <c r="G136" s="5" t="str">
        <f>INDEX('Route Data'!$A$7:$A$8,E136)</f>
        <v>u18</v>
      </c>
      <c r="H136" s="5">
        <f>EnergyCoeff(INDEX('Route Data'!$K$7:$K$8,E136),INDEX('Route Data'!$L$7:$L$8,E136)*2*PI()/60,INDEX('Route Data'!$F$7:$F$8,E136))</f>
        <v>0.19430699130049439</v>
      </c>
      <c r="I136" s="5">
        <f>DischargeCoeff(INDEX('Route Data'!$I$7:$I$8,E136), INDEX('Route Data'!$L$7:$L$8,E136)*2*PI()/60, INDEX('Route Data'!$F$7:$F$8,E136))</f>
        <v>0.15939200179827354</v>
      </c>
      <c r="J136" s="8">
        <f>FlowAngleRel(INDEX('Route Data'!$J$7:$J$8,E136)*INDEX('Route Data'!$I$7:$I$8,E136), INDEX('Route Data'!$L$7:$L$8,E136)*2*PI()/60, INDEX('Route Data'!$F$7:$F$8,E136),INDEX('Route Data'!$O$7:$O$8,E136), INDEX('Route Data'!$P$7:$P$8,E136),INDEX('Route Data'!$M$7:$M$8,E136))</f>
        <v>1.130811765868994</v>
      </c>
      <c r="K136" s="8">
        <f>FlowAngleAbsT(INDEX('Route Data'!$K$7:$K$8,E136), INDEX('Route Data'!$I$7:$I$8,E136), INDEX('Route Data'!$I$7:$I$8,E136)*INDEX('Route Data'!$J$7:$J$8,E136), INDEX('Route Data'!$L$7:$L$8,E136)*2*PI()/60, INDEX('Route Data'!$F$7:$F$8,E136),INDEX('Route Data'!$O$7:$O$8,E136), INDEX('Route Data'!$P$7:$P$8,E136), INDEX('Route Data'!$H$7:$H$8,E136), INDEX('Route Data'!$Q$7:$Q$8,E136), INDEX('Route Data'!$M$7:$M$8,E136))</f>
        <v>0.51617226640175828</v>
      </c>
      <c r="L136" s="5">
        <f>INDEX('Route Data'!$N$7:$N$8,E136)</f>
        <v>0.4</v>
      </c>
      <c r="M136" s="8">
        <v>0.27910506725311279</v>
      </c>
      <c r="N136" s="8">
        <f>ProbStrikeFrancis(K136, I136, L136, INDEX('Route Data'!$G$7:$G$8,E136),C136, INDEX('Route Data'!$F$7:$F$8,E136), INDEX('Route Data'!$O$7:$O$8,E136), INDEX('Route Data'!$H$7:$H$18,E136))</f>
        <v>1</v>
      </c>
      <c r="O136" s="5" t="str">
        <f>IF(F136&gt;=1,IF(M136&lt;=N136,"STRIKE","pass"),IF(M136&lt;=INDEX('Route Data'!$R$7:$R$8,E136),"NO PASS","pass"))</f>
        <v>STRIKE</v>
      </c>
      <c r="P136" s="5">
        <f>IF(F136&gt;=1,IF(M136&lt;=N136,1,0),IF(M136&lt;=INDEX('Route Data'!$R$7:$R$8,E136),-1,0))</f>
        <v>1</v>
      </c>
    </row>
    <row r="137" spans="1:16">
      <c r="A137" s="5">
        <v>127</v>
      </c>
      <c r="B137" s="12">
        <v>19.88</v>
      </c>
      <c r="C137" s="12">
        <f t="shared" si="1"/>
        <v>1.66</v>
      </c>
      <c r="D137" s="8">
        <v>0.82084184885025024</v>
      </c>
      <c r="E137" s="5">
        <f>MATCH(D137,'Route Data'!$C$7:$C$8,1)</f>
        <v>2</v>
      </c>
      <c r="F137" s="5">
        <f>INDEX('Route Data'!$D$7:$D$8,E137)</f>
        <v>1</v>
      </c>
      <c r="G137" s="5" t="str">
        <f>INDEX('Route Data'!$A$7:$A$8,E137)</f>
        <v>u18</v>
      </c>
      <c r="H137" s="5">
        <f>EnergyCoeff(INDEX('Route Data'!$K$7:$K$8,E137),INDEX('Route Data'!$L$7:$L$8,E137)*2*PI()/60,INDEX('Route Data'!$F$7:$F$8,E137))</f>
        <v>0.19430699130049439</v>
      </c>
      <c r="I137" s="5">
        <f>DischargeCoeff(INDEX('Route Data'!$I$7:$I$8,E137), INDEX('Route Data'!$L$7:$L$8,E137)*2*PI()/60, INDEX('Route Data'!$F$7:$F$8,E137))</f>
        <v>0.15939200179827354</v>
      </c>
      <c r="J137" s="8">
        <f>FlowAngleRel(INDEX('Route Data'!$J$7:$J$8,E137)*INDEX('Route Data'!$I$7:$I$8,E137), INDEX('Route Data'!$L$7:$L$8,E137)*2*PI()/60, INDEX('Route Data'!$F$7:$F$8,E137),INDEX('Route Data'!$O$7:$O$8,E137), INDEX('Route Data'!$P$7:$P$8,E137),INDEX('Route Data'!$M$7:$M$8,E137))</f>
        <v>1.130811765868994</v>
      </c>
      <c r="K137" s="8">
        <f>FlowAngleAbsT(INDEX('Route Data'!$K$7:$K$8,E137), INDEX('Route Data'!$I$7:$I$8,E137), INDEX('Route Data'!$I$7:$I$8,E137)*INDEX('Route Data'!$J$7:$J$8,E137), INDEX('Route Data'!$L$7:$L$8,E137)*2*PI()/60, INDEX('Route Data'!$F$7:$F$8,E137),INDEX('Route Data'!$O$7:$O$8,E137), INDEX('Route Data'!$P$7:$P$8,E137), INDEX('Route Data'!$H$7:$H$8,E137), INDEX('Route Data'!$Q$7:$Q$8,E137), INDEX('Route Data'!$M$7:$M$8,E137))</f>
        <v>0.51617226640175828</v>
      </c>
      <c r="L137" s="5">
        <f>INDEX('Route Data'!$N$7:$N$8,E137)</f>
        <v>0.4</v>
      </c>
      <c r="M137" s="8">
        <v>0.22974354028701782</v>
      </c>
      <c r="N137" s="8">
        <f>ProbStrikeFrancis(K137, I137, L137, INDEX('Route Data'!$G$7:$G$8,E137),C137, INDEX('Route Data'!$F$7:$F$8,E137), INDEX('Route Data'!$O$7:$O$8,E137), INDEX('Route Data'!$H$7:$H$18,E137))</f>
        <v>1</v>
      </c>
      <c r="O137" s="5" t="str">
        <f>IF(F137&gt;=1,IF(M137&lt;=N137,"STRIKE","pass"),IF(M137&lt;=INDEX('Route Data'!$R$7:$R$8,E137),"NO PASS","pass"))</f>
        <v>STRIKE</v>
      </c>
      <c r="P137" s="5">
        <f>IF(F137&gt;=1,IF(M137&lt;=N137,1,0),IF(M137&lt;=INDEX('Route Data'!$R$7:$R$8,E137),-1,0))</f>
        <v>1</v>
      </c>
    </row>
    <row r="138" spans="1:16">
      <c r="A138" s="5">
        <v>128</v>
      </c>
      <c r="B138" s="12">
        <v>21.67</v>
      </c>
      <c r="C138" s="12">
        <f t="shared" si="1"/>
        <v>1.81</v>
      </c>
      <c r="D138" s="8">
        <v>0.99433422088623047</v>
      </c>
      <c r="E138" s="5">
        <f>MATCH(D138,'Route Data'!$C$7:$C$8,1)</f>
        <v>2</v>
      </c>
      <c r="F138" s="5">
        <f>INDEX('Route Data'!$D$7:$D$8,E138)</f>
        <v>1</v>
      </c>
      <c r="G138" s="5" t="str">
        <f>INDEX('Route Data'!$A$7:$A$8,E138)</f>
        <v>u18</v>
      </c>
      <c r="H138" s="5">
        <f>EnergyCoeff(INDEX('Route Data'!$K$7:$K$8,E138),INDEX('Route Data'!$L$7:$L$8,E138)*2*PI()/60,INDEX('Route Data'!$F$7:$F$8,E138))</f>
        <v>0.19430699130049439</v>
      </c>
      <c r="I138" s="5">
        <f>DischargeCoeff(INDEX('Route Data'!$I$7:$I$8,E138), INDEX('Route Data'!$L$7:$L$8,E138)*2*PI()/60, INDEX('Route Data'!$F$7:$F$8,E138))</f>
        <v>0.15939200179827354</v>
      </c>
      <c r="J138" s="8">
        <f>FlowAngleRel(INDEX('Route Data'!$J$7:$J$8,E138)*INDEX('Route Data'!$I$7:$I$8,E138), INDEX('Route Data'!$L$7:$L$8,E138)*2*PI()/60, INDEX('Route Data'!$F$7:$F$8,E138),INDEX('Route Data'!$O$7:$O$8,E138), INDEX('Route Data'!$P$7:$P$8,E138),INDEX('Route Data'!$M$7:$M$8,E138))</f>
        <v>1.130811765868994</v>
      </c>
      <c r="K138" s="8">
        <f>FlowAngleAbsT(INDEX('Route Data'!$K$7:$K$8,E138), INDEX('Route Data'!$I$7:$I$8,E138), INDEX('Route Data'!$I$7:$I$8,E138)*INDEX('Route Data'!$J$7:$J$8,E138), INDEX('Route Data'!$L$7:$L$8,E138)*2*PI()/60, INDEX('Route Data'!$F$7:$F$8,E138),INDEX('Route Data'!$O$7:$O$8,E138), INDEX('Route Data'!$P$7:$P$8,E138), INDEX('Route Data'!$H$7:$H$8,E138), INDEX('Route Data'!$Q$7:$Q$8,E138), INDEX('Route Data'!$M$7:$M$8,E138))</f>
        <v>0.51617226640175828</v>
      </c>
      <c r="L138" s="5">
        <f>INDEX('Route Data'!$N$7:$N$8,E138)</f>
        <v>0.4</v>
      </c>
      <c r="M138" s="8">
        <v>0.11224889755249023</v>
      </c>
      <c r="N138" s="8">
        <f>ProbStrikeFrancis(K138, I138, L138, INDEX('Route Data'!$G$7:$G$8,E138),C138, INDEX('Route Data'!$F$7:$F$8,E138), INDEX('Route Data'!$O$7:$O$8,E138), INDEX('Route Data'!$H$7:$H$18,E138))</f>
        <v>1</v>
      </c>
      <c r="O138" s="5" t="str">
        <f>IF(F138&gt;=1,IF(M138&lt;=N138,"STRIKE","pass"),IF(M138&lt;=INDEX('Route Data'!$R$7:$R$8,E138),"NO PASS","pass"))</f>
        <v>STRIKE</v>
      </c>
      <c r="P138" s="5">
        <f>IF(F138&gt;=1,IF(M138&lt;=N138,1,0),IF(M138&lt;=INDEX('Route Data'!$R$7:$R$8,E138),-1,0))</f>
        <v>1</v>
      </c>
    </row>
    <row r="139" spans="1:16">
      <c r="A139" s="5">
        <v>129</v>
      </c>
      <c r="B139" s="12">
        <v>25.12</v>
      </c>
      <c r="C139" s="12">
        <f t="shared" ref="C139:C202" si="2">ROUND(B139/12,2)</f>
        <v>2.09</v>
      </c>
      <c r="D139" s="8">
        <v>5.0155520439147949E-3</v>
      </c>
      <c r="E139" s="5">
        <f>MATCH(D139,'Route Data'!$C$7:$C$8,1)</f>
        <v>2</v>
      </c>
      <c r="F139" s="5">
        <f>INDEX('Route Data'!$D$7:$D$8,E139)</f>
        <v>1</v>
      </c>
      <c r="G139" s="5" t="str">
        <f>INDEX('Route Data'!$A$7:$A$8,E139)</f>
        <v>u18</v>
      </c>
      <c r="H139" s="5">
        <f>EnergyCoeff(INDEX('Route Data'!$K$7:$K$8,E139),INDEX('Route Data'!$L$7:$L$8,E139)*2*PI()/60,INDEX('Route Data'!$F$7:$F$8,E139))</f>
        <v>0.19430699130049439</v>
      </c>
      <c r="I139" s="5">
        <f>DischargeCoeff(INDEX('Route Data'!$I$7:$I$8,E139), INDEX('Route Data'!$L$7:$L$8,E139)*2*PI()/60, INDEX('Route Data'!$F$7:$F$8,E139))</f>
        <v>0.15939200179827354</v>
      </c>
      <c r="J139" s="8">
        <f>FlowAngleRel(INDEX('Route Data'!$J$7:$J$8,E139)*INDEX('Route Data'!$I$7:$I$8,E139), INDEX('Route Data'!$L$7:$L$8,E139)*2*PI()/60, INDEX('Route Data'!$F$7:$F$8,E139),INDEX('Route Data'!$O$7:$O$8,E139), INDEX('Route Data'!$P$7:$P$8,E139),INDEX('Route Data'!$M$7:$M$8,E139))</f>
        <v>1.130811765868994</v>
      </c>
      <c r="K139" s="8">
        <f>FlowAngleAbsT(INDEX('Route Data'!$K$7:$K$8,E139), INDEX('Route Data'!$I$7:$I$8,E139), INDEX('Route Data'!$I$7:$I$8,E139)*INDEX('Route Data'!$J$7:$J$8,E139), INDEX('Route Data'!$L$7:$L$8,E139)*2*PI()/60, INDEX('Route Data'!$F$7:$F$8,E139),INDEX('Route Data'!$O$7:$O$8,E139), INDEX('Route Data'!$P$7:$P$8,E139), INDEX('Route Data'!$H$7:$H$8,E139), INDEX('Route Data'!$Q$7:$Q$8,E139), INDEX('Route Data'!$M$7:$M$8,E139))</f>
        <v>0.51617226640175828</v>
      </c>
      <c r="L139" s="5">
        <f>INDEX('Route Data'!$N$7:$N$8,E139)</f>
        <v>0.4</v>
      </c>
      <c r="M139" s="8">
        <v>0.464732825756073</v>
      </c>
      <c r="N139" s="8">
        <f>ProbStrikeFrancis(K139, I139, L139, INDEX('Route Data'!$G$7:$G$8,E139),C139, INDEX('Route Data'!$F$7:$F$8,E139), INDEX('Route Data'!$O$7:$O$8,E139), INDEX('Route Data'!$H$7:$H$18,E139))</f>
        <v>1</v>
      </c>
      <c r="O139" s="5" t="str">
        <f>IF(F139&gt;=1,IF(M139&lt;=N139,"STRIKE","pass"),IF(M139&lt;=INDEX('Route Data'!$R$7:$R$8,E139),"NO PASS","pass"))</f>
        <v>STRIKE</v>
      </c>
      <c r="P139" s="5">
        <f>IF(F139&gt;=1,IF(M139&lt;=N139,1,0),IF(M139&lt;=INDEX('Route Data'!$R$7:$R$8,E139),-1,0))</f>
        <v>1</v>
      </c>
    </row>
    <row r="140" spans="1:16">
      <c r="A140" s="5">
        <v>130</v>
      </c>
      <c r="B140" s="12">
        <v>17.8</v>
      </c>
      <c r="C140" s="12">
        <f t="shared" si="2"/>
        <v>1.48</v>
      </c>
      <c r="D140" s="8">
        <v>0.97297155857086182</v>
      </c>
      <c r="E140" s="5">
        <f>MATCH(D140,'Route Data'!$C$7:$C$8,1)</f>
        <v>2</v>
      </c>
      <c r="F140" s="5">
        <f>INDEX('Route Data'!$D$7:$D$8,E140)</f>
        <v>1</v>
      </c>
      <c r="G140" s="5" t="str">
        <f>INDEX('Route Data'!$A$7:$A$8,E140)</f>
        <v>u18</v>
      </c>
      <c r="H140" s="5">
        <f>EnergyCoeff(INDEX('Route Data'!$K$7:$K$8,E140),INDEX('Route Data'!$L$7:$L$8,E140)*2*PI()/60,INDEX('Route Data'!$F$7:$F$8,E140))</f>
        <v>0.19430699130049439</v>
      </c>
      <c r="I140" s="5">
        <f>DischargeCoeff(INDEX('Route Data'!$I$7:$I$8,E140), INDEX('Route Data'!$L$7:$L$8,E140)*2*PI()/60, INDEX('Route Data'!$F$7:$F$8,E140))</f>
        <v>0.15939200179827354</v>
      </c>
      <c r="J140" s="8">
        <f>FlowAngleRel(INDEX('Route Data'!$J$7:$J$8,E140)*INDEX('Route Data'!$I$7:$I$8,E140), INDEX('Route Data'!$L$7:$L$8,E140)*2*PI()/60, INDEX('Route Data'!$F$7:$F$8,E140),INDEX('Route Data'!$O$7:$O$8,E140), INDEX('Route Data'!$P$7:$P$8,E140),INDEX('Route Data'!$M$7:$M$8,E140))</f>
        <v>1.130811765868994</v>
      </c>
      <c r="K140" s="8">
        <f>FlowAngleAbsT(INDEX('Route Data'!$K$7:$K$8,E140), INDEX('Route Data'!$I$7:$I$8,E140), INDEX('Route Data'!$I$7:$I$8,E140)*INDEX('Route Data'!$J$7:$J$8,E140), INDEX('Route Data'!$L$7:$L$8,E140)*2*PI()/60, INDEX('Route Data'!$F$7:$F$8,E140),INDEX('Route Data'!$O$7:$O$8,E140), INDEX('Route Data'!$P$7:$P$8,E140), INDEX('Route Data'!$H$7:$H$8,E140), INDEX('Route Data'!$Q$7:$Q$8,E140), INDEX('Route Data'!$M$7:$M$8,E140))</f>
        <v>0.51617226640175828</v>
      </c>
      <c r="L140" s="5">
        <f>INDEX('Route Data'!$N$7:$N$8,E140)</f>
        <v>0.4</v>
      </c>
      <c r="M140" s="8">
        <v>0.40728104114532471</v>
      </c>
      <c r="N140" s="8">
        <f>ProbStrikeFrancis(K140, I140, L140, INDEX('Route Data'!$G$7:$G$8,E140),C140, INDEX('Route Data'!$F$7:$F$8,E140), INDEX('Route Data'!$O$7:$O$8,E140), INDEX('Route Data'!$H$7:$H$18,E140))</f>
        <v>1</v>
      </c>
      <c r="O140" s="5" t="str">
        <f>IF(F140&gt;=1,IF(M140&lt;=N140,"STRIKE","pass"),IF(M140&lt;=INDEX('Route Data'!$R$7:$R$8,E140),"NO PASS","pass"))</f>
        <v>STRIKE</v>
      </c>
      <c r="P140" s="5">
        <f>IF(F140&gt;=1,IF(M140&lt;=N140,1,0),IF(M140&lt;=INDEX('Route Data'!$R$7:$R$8,E140),-1,0))</f>
        <v>1</v>
      </c>
    </row>
    <row r="141" spans="1:16">
      <c r="A141" s="5">
        <v>131</v>
      </c>
      <c r="B141" s="12">
        <v>25.28</v>
      </c>
      <c r="C141" s="12">
        <f t="shared" si="2"/>
        <v>2.11</v>
      </c>
      <c r="D141" s="8">
        <v>6.9103538990020752E-2</v>
      </c>
      <c r="E141" s="5">
        <f>MATCH(D141,'Route Data'!$C$7:$C$8,1)</f>
        <v>2</v>
      </c>
      <c r="F141" s="5">
        <f>INDEX('Route Data'!$D$7:$D$8,E141)</f>
        <v>1</v>
      </c>
      <c r="G141" s="5" t="str">
        <f>INDEX('Route Data'!$A$7:$A$8,E141)</f>
        <v>u18</v>
      </c>
      <c r="H141" s="5">
        <f>EnergyCoeff(INDEX('Route Data'!$K$7:$K$8,E141),INDEX('Route Data'!$L$7:$L$8,E141)*2*PI()/60,INDEX('Route Data'!$F$7:$F$8,E141))</f>
        <v>0.19430699130049439</v>
      </c>
      <c r="I141" s="5">
        <f>DischargeCoeff(INDEX('Route Data'!$I$7:$I$8,E141), INDEX('Route Data'!$L$7:$L$8,E141)*2*PI()/60, INDEX('Route Data'!$F$7:$F$8,E141))</f>
        <v>0.15939200179827354</v>
      </c>
      <c r="J141" s="8">
        <f>FlowAngleRel(INDEX('Route Data'!$J$7:$J$8,E141)*INDEX('Route Data'!$I$7:$I$8,E141), INDEX('Route Data'!$L$7:$L$8,E141)*2*PI()/60, INDEX('Route Data'!$F$7:$F$8,E141),INDEX('Route Data'!$O$7:$O$8,E141), INDEX('Route Data'!$P$7:$P$8,E141),INDEX('Route Data'!$M$7:$M$8,E141))</f>
        <v>1.130811765868994</v>
      </c>
      <c r="K141" s="8">
        <f>FlowAngleAbsT(INDEX('Route Data'!$K$7:$K$8,E141), INDEX('Route Data'!$I$7:$I$8,E141), INDEX('Route Data'!$I$7:$I$8,E141)*INDEX('Route Data'!$J$7:$J$8,E141), INDEX('Route Data'!$L$7:$L$8,E141)*2*PI()/60, INDEX('Route Data'!$F$7:$F$8,E141),INDEX('Route Data'!$O$7:$O$8,E141), INDEX('Route Data'!$P$7:$P$8,E141), INDEX('Route Data'!$H$7:$H$8,E141), INDEX('Route Data'!$Q$7:$Q$8,E141), INDEX('Route Data'!$M$7:$M$8,E141))</f>
        <v>0.51617226640175828</v>
      </c>
      <c r="L141" s="5">
        <f>INDEX('Route Data'!$N$7:$N$8,E141)</f>
        <v>0.4</v>
      </c>
      <c r="M141" s="8">
        <v>0.84521561861038208</v>
      </c>
      <c r="N141" s="8">
        <f>ProbStrikeFrancis(K141, I141, L141, INDEX('Route Data'!$G$7:$G$8,E141),C141, INDEX('Route Data'!$F$7:$F$8,E141), INDEX('Route Data'!$O$7:$O$8,E141), INDEX('Route Data'!$H$7:$H$18,E141))</f>
        <v>1</v>
      </c>
      <c r="O141" s="5" t="str">
        <f>IF(F141&gt;=1,IF(M141&lt;=N141,"STRIKE","pass"),IF(M141&lt;=INDEX('Route Data'!$R$7:$R$8,E141),"NO PASS","pass"))</f>
        <v>STRIKE</v>
      </c>
      <c r="P141" s="5">
        <f>IF(F141&gt;=1,IF(M141&lt;=N141,1,0),IF(M141&lt;=INDEX('Route Data'!$R$7:$R$8,E141),-1,0))</f>
        <v>1</v>
      </c>
    </row>
    <row r="142" spans="1:16">
      <c r="A142" s="5">
        <v>132</v>
      </c>
      <c r="B142" s="12">
        <v>22.87</v>
      </c>
      <c r="C142" s="12">
        <f t="shared" si="2"/>
        <v>1.91</v>
      </c>
      <c r="D142" s="8">
        <v>0.78070759773254395</v>
      </c>
      <c r="E142" s="5">
        <f>MATCH(D142,'Route Data'!$C$7:$C$8,1)</f>
        <v>2</v>
      </c>
      <c r="F142" s="5">
        <f>INDEX('Route Data'!$D$7:$D$8,E142)</f>
        <v>1</v>
      </c>
      <c r="G142" s="5" t="str">
        <f>INDEX('Route Data'!$A$7:$A$8,E142)</f>
        <v>u18</v>
      </c>
      <c r="H142" s="5">
        <f>EnergyCoeff(INDEX('Route Data'!$K$7:$K$8,E142),INDEX('Route Data'!$L$7:$L$8,E142)*2*PI()/60,INDEX('Route Data'!$F$7:$F$8,E142))</f>
        <v>0.19430699130049439</v>
      </c>
      <c r="I142" s="5">
        <f>DischargeCoeff(INDEX('Route Data'!$I$7:$I$8,E142), INDEX('Route Data'!$L$7:$L$8,E142)*2*PI()/60, INDEX('Route Data'!$F$7:$F$8,E142))</f>
        <v>0.15939200179827354</v>
      </c>
      <c r="J142" s="8">
        <f>FlowAngleRel(INDEX('Route Data'!$J$7:$J$8,E142)*INDEX('Route Data'!$I$7:$I$8,E142), INDEX('Route Data'!$L$7:$L$8,E142)*2*PI()/60, INDEX('Route Data'!$F$7:$F$8,E142),INDEX('Route Data'!$O$7:$O$8,E142), INDEX('Route Data'!$P$7:$P$8,E142),INDEX('Route Data'!$M$7:$M$8,E142))</f>
        <v>1.130811765868994</v>
      </c>
      <c r="K142" s="8">
        <f>FlowAngleAbsT(INDEX('Route Data'!$K$7:$K$8,E142), INDEX('Route Data'!$I$7:$I$8,E142), INDEX('Route Data'!$I$7:$I$8,E142)*INDEX('Route Data'!$J$7:$J$8,E142), INDEX('Route Data'!$L$7:$L$8,E142)*2*PI()/60, INDEX('Route Data'!$F$7:$F$8,E142),INDEX('Route Data'!$O$7:$O$8,E142), INDEX('Route Data'!$P$7:$P$8,E142), INDEX('Route Data'!$H$7:$H$8,E142), INDEX('Route Data'!$Q$7:$Q$8,E142), INDEX('Route Data'!$M$7:$M$8,E142))</f>
        <v>0.51617226640175828</v>
      </c>
      <c r="L142" s="5">
        <f>INDEX('Route Data'!$N$7:$N$8,E142)</f>
        <v>0.4</v>
      </c>
      <c r="M142" s="8">
        <v>0.26583266258239746</v>
      </c>
      <c r="N142" s="8">
        <f>ProbStrikeFrancis(K142, I142, L142, INDEX('Route Data'!$G$7:$G$8,E142),C142, INDEX('Route Data'!$F$7:$F$8,E142), INDEX('Route Data'!$O$7:$O$8,E142), INDEX('Route Data'!$H$7:$H$18,E142))</f>
        <v>1</v>
      </c>
      <c r="O142" s="5" t="str">
        <f>IF(F142&gt;=1,IF(M142&lt;=N142,"STRIKE","pass"),IF(M142&lt;=INDEX('Route Data'!$R$7:$R$8,E142),"NO PASS","pass"))</f>
        <v>STRIKE</v>
      </c>
      <c r="P142" s="5">
        <f>IF(F142&gt;=1,IF(M142&lt;=N142,1,0),IF(M142&lt;=INDEX('Route Data'!$R$7:$R$8,E142),-1,0))</f>
        <v>1</v>
      </c>
    </row>
    <row r="143" spans="1:16">
      <c r="A143" s="5">
        <v>133</v>
      </c>
      <c r="B143" s="12">
        <v>18.12</v>
      </c>
      <c r="C143" s="12">
        <f t="shared" si="2"/>
        <v>1.51</v>
      </c>
      <c r="D143" s="8">
        <v>0.64589542150497437</v>
      </c>
      <c r="E143" s="5">
        <f>MATCH(D143,'Route Data'!$C$7:$C$8,1)</f>
        <v>2</v>
      </c>
      <c r="F143" s="5">
        <f>INDEX('Route Data'!$D$7:$D$8,E143)</f>
        <v>1</v>
      </c>
      <c r="G143" s="5" t="str">
        <f>INDEX('Route Data'!$A$7:$A$8,E143)</f>
        <v>u18</v>
      </c>
      <c r="H143" s="5">
        <f>EnergyCoeff(INDEX('Route Data'!$K$7:$K$8,E143),INDEX('Route Data'!$L$7:$L$8,E143)*2*PI()/60,INDEX('Route Data'!$F$7:$F$8,E143))</f>
        <v>0.19430699130049439</v>
      </c>
      <c r="I143" s="5">
        <f>DischargeCoeff(INDEX('Route Data'!$I$7:$I$8,E143), INDEX('Route Data'!$L$7:$L$8,E143)*2*PI()/60, INDEX('Route Data'!$F$7:$F$8,E143))</f>
        <v>0.15939200179827354</v>
      </c>
      <c r="J143" s="8">
        <f>FlowAngleRel(INDEX('Route Data'!$J$7:$J$8,E143)*INDEX('Route Data'!$I$7:$I$8,E143), INDEX('Route Data'!$L$7:$L$8,E143)*2*PI()/60, INDEX('Route Data'!$F$7:$F$8,E143),INDEX('Route Data'!$O$7:$O$8,E143), INDEX('Route Data'!$P$7:$P$8,E143),INDEX('Route Data'!$M$7:$M$8,E143))</f>
        <v>1.130811765868994</v>
      </c>
      <c r="K143" s="8">
        <f>FlowAngleAbsT(INDEX('Route Data'!$K$7:$K$8,E143), INDEX('Route Data'!$I$7:$I$8,E143), INDEX('Route Data'!$I$7:$I$8,E143)*INDEX('Route Data'!$J$7:$J$8,E143), INDEX('Route Data'!$L$7:$L$8,E143)*2*PI()/60, INDEX('Route Data'!$F$7:$F$8,E143),INDEX('Route Data'!$O$7:$O$8,E143), INDEX('Route Data'!$P$7:$P$8,E143), INDEX('Route Data'!$H$7:$H$8,E143), INDEX('Route Data'!$Q$7:$Q$8,E143), INDEX('Route Data'!$M$7:$M$8,E143))</f>
        <v>0.51617226640175828</v>
      </c>
      <c r="L143" s="5">
        <f>INDEX('Route Data'!$N$7:$N$8,E143)</f>
        <v>0.4</v>
      </c>
      <c r="M143" s="8">
        <v>0.73840230703353882</v>
      </c>
      <c r="N143" s="8">
        <f>ProbStrikeFrancis(K143, I143, L143, INDEX('Route Data'!$G$7:$G$8,E143),C143, INDEX('Route Data'!$F$7:$F$8,E143), INDEX('Route Data'!$O$7:$O$8,E143), INDEX('Route Data'!$H$7:$H$18,E143))</f>
        <v>1</v>
      </c>
      <c r="O143" s="5" t="str">
        <f>IF(F143&gt;=1,IF(M143&lt;=N143,"STRIKE","pass"),IF(M143&lt;=INDEX('Route Data'!$R$7:$R$8,E143),"NO PASS","pass"))</f>
        <v>STRIKE</v>
      </c>
      <c r="P143" s="5">
        <f>IF(F143&gt;=1,IF(M143&lt;=N143,1,0),IF(M143&lt;=INDEX('Route Data'!$R$7:$R$8,E143),-1,0))</f>
        <v>1</v>
      </c>
    </row>
    <row r="144" spans="1:16">
      <c r="A144" s="5">
        <v>134</v>
      </c>
      <c r="B144" s="12">
        <v>22.5</v>
      </c>
      <c r="C144" s="12">
        <f t="shared" si="2"/>
        <v>1.88</v>
      </c>
      <c r="D144" s="8">
        <v>0.78475272655487061</v>
      </c>
      <c r="E144" s="5">
        <f>MATCH(D144,'Route Data'!$C$7:$C$8,1)</f>
        <v>2</v>
      </c>
      <c r="F144" s="5">
        <f>INDEX('Route Data'!$D$7:$D$8,E144)</f>
        <v>1</v>
      </c>
      <c r="G144" s="5" t="str">
        <f>INDEX('Route Data'!$A$7:$A$8,E144)</f>
        <v>u18</v>
      </c>
      <c r="H144" s="5">
        <f>EnergyCoeff(INDEX('Route Data'!$K$7:$K$8,E144),INDEX('Route Data'!$L$7:$L$8,E144)*2*PI()/60,INDEX('Route Data'!$F$7:$F$8,E144))</f>
        <v>0.19430699130049439</v>
      </c>
      <c r="I144" s="5">
        <f>DischargeCoeff(INDEX('Route Data'!$I$7:$I$8,E144), INDEX('Route Data'!$L$7:$L$8,E144)*2*PI()/60, INDEX('Route Data'!$F$7:$F$8,E144))</f>
        <v>0.15939200179827354</v>
      </c>
      <c r="J144" s="8">
        <f>FlowAngleRel(INDEX('Route Data'!$J$7:$J$8,E144)*INDEX('Route Data'!$I$7:$I$8,E144), INDEX('Route Data'!$L$7:$L$8,E144)*2*PI()/60, INDEX('Route Data'!$F$7:$F$8,E144),INDEX('Route Data'!$O$7:$O$8,E144), INDEX('Route Data'!$P$7:$P$8,E144),INDEX('Route Data'!$M$7:$M$8,E144))</f>
        <v>1.130811765868994</v>
      </c>
      <c r="K144" s="8">
        <f>FlowAngleAbsT(INDEX('Route Data'!$K$7:$K$8,E144), INDEX('Route Data'!$I$7:$I$8,E144), INDEX('Route Data'!$I$7:$I$8,E144)*INDEX('Route Data'!$J$7:$J$8,E144), INDEX('Route Data'!$L$7:$L$8,E144)*2*PI()/60, INDEX('Route Data'!$F$7:$F$8,E144),INDEX('Route Data'!$O$7:$O$8,E144), INDEX('Route Data'!$P$7:$P$8,E144), INDEX('Route Data'!$H$7:$H$8,E144), INDEX('Route Data'!$Q$7:$Q$8,E144), INDEX('Route Data'!$M$7:$M$8,E144))</f>
        <v>0.51617226640175828</v>
      </c>
      <c r="L144" s="5">
        <f>INDEX('Route Data'!$N$7:$N$8,E144)</f>
        <v>0.4</v>
      </c>
      <c r="M144" s="8">
        <v>0.85185182094573975</v>
      </c>
      <c r="N144" s="8">
        <f>ProbStrikeFrancis(K144, I144, L144, INDEX('Route Data'!$G$7:$G$8,E144),C144, INDEX('Route Data'!$F$7:$F$8,E144), INDEX('Route Data'!$O$7:$O$8,E144), INDEX('Route Data'!$H$7:$H$18,E144))</f>
        <v>1</v>
      </c>
      <c r="O144" s="5" t="str">
        <f>IF(F144&gt;=1,IF(M144&lt;=N144,"STRIKE","pass"),IF(M144&lt;=INDEX('Route Data'!$R$7:$R$8,E144),"NO PASS","pass"))</f>
        <v>STRIKE</v>
      </c>
      <c r="P144" s="5">
        <f>IF(F144&gt;=1,IF(M144&lt;=N144,1,0),IF(M144&lt;=INDEX('Route Data'!$R$7:$R$8,E144),-1,0))</f>
        <v>1</v>
      </c>
    </row>
    <row r="145" spans="1:16">
      <c r="A145" s="5">
        <v>135</v>
      </c>
      <c r="B145" s="12">
        <v>22.32</v>
      </c>
      <c r="C145" s="12">
        <f t="shared" si="2"/>
        <v>1.86</v>
      </c>
      <c r="D145" s="8">
        <v>0.36818081140518188</v>
      </c>
      <c r="E145" s="5">
        <f>MATCH(D145,'Route Data'!$C$7:$C$8,1)</f>
        <v>2</v>
      </c>
      <c r="F145" s="5">
        <f>INDEX('Route Data'!$D$7:$D$8,E145)</f>
        <v>1</v>
      </c>
      <c r="G145" s="5" t="str">
        <f>INDEX('Route Data'!$A$7:$A$8,E145)</f>
        <v>u18</v>
      </c>
      <c r="H145" s="5">
        <f>EnergyCoeff(INDEX('Route Data'!$K$7:$K$8,E145),INDEX('Route Data'!$L$7:$L$8,E145)*2*PI()/60,INDEX('Route Data'!$F$7:$F$8,E145))</f>
        <v>0.19430699130049439</v>
      </c>
      <c r="I145" s="5">
        <f>DischargeCoeff(INDEX('Route Data'!$I$7:$I$8,E145), INDEX('Route Data'!$L$7:$L$8,E145)*2*PI()/60, INDEX('Route Data'!$F$7:$F$8,E145))</f>
        <v>0.15939200179827354</v>
      </c>
      <c r="J145" s="8">
        <f>FlowAngleRel(INDEX('Route Data'!$J$7:$J$8,E145)*INDEX('Route Data'!$I$7:$I$8,E145), INDEX('Route Data'!$L$7:$L$8,E145)*2*PI()/60, INDEX('Route Data'!$F$7:$F$8,E145),INDEX('Route Data'!$O$7:$O$8,E145), INDEX('Route Data'!$P$7:$P$8,E145),INDEX('Route Data'!$M$7:$M$8,E145))</f>
        <v>1.130811765868994</v>
      </c>
      <c r="K145" s="8">
        <f>FlowAngleAbsT(INDEX('Route Data'!$K$7:$K$8,E145), INDEX('Route Data'!$I$7:$I$8,E145), INDEX('Route Data'!$I$7:$I$8,E145)*INDEX('Route Data'!$J$7:$J$8,E145), INDEX('Route Data'!$L$7:$L$8,E145)*2*PI()/60, INDEX('Route Data'!$F$7:$F$8,E145),INDEX('Route Data'!$O$7:$O$8,E145), INDEX('Route Data'!$P$7:$P$8,E145), INDEX('Route Data'!$H$7:$H$8,E145), INDEX('Route Data'!$Q$7:$Q$8,E145), INDEX('Route Data'!$M$7:$M$8,E145))</f>
        <v>0.51617226640175828</v>
      </c>
      <c r="L145" s="5">
        <f>INDEX('Route Data'!$N$7:$N$8,E145)</f>
        <v>0.4</v>
      </c>
      <c r="M145" s="8">
        <v>0.77708250284194946</v>
      </c>
      <c r="N145" s="8">
        <f>ProbStrikeFrancis(K145, I145, L145, INDEX('Route Data'!$G$7:$G$8,E145),C145, INDEX('Route Data'!$F$7:$F$8,E145), INDEX('Route Data'!$O$7:$O$8,E145), INDEX('Route Data'!$H$7:$H$18,E145))</f>
        <v>1</v>
      </c>
      <c r="O145" s="5" t="str">
        <f>IF(F145&gt;=1,IF(M145&lt;=N145,"STRIKE","pass"),IF(M145&lt;=INDEX('Route Data'!$R$7:$R$8,E145),"NO PASS","pass"))</f>
        <v>STRIKE</v>
      </c>
      <c r="P145" s="5">
        <f>IF(F145&gt;=1,IF(M145&lt;=N145,1,0),IF(M145&lt;=INDEX('Route Data'!$R$7:$R$8,E145),-1,0))</f>
        <v>1</v>
      </c>
    </row>
    <row r="146" spans="1:16">
      <c r="A146" s="5">
        <v>136</v>
      </c>
      <c r="B146" s="12">
        <v>16.579999999999998</v>
      </c>
      <c r="C146" s="12">
        <f t="shared" si="2"/>
        <v>1.38</v>
      </c>
      <c r="D146" s="8">
        <v>0.61789655685424805</v>
      </c>
      <c r="E146" s="5">
        <f>MATCH(D146,'Route Data'!$C$7:$C$8,1)</f>
        <v>2</v>
      </c>
      <c r="F146" s="5">
        <f>INDEX('Route Data'!$D$7:$D$8,E146)</f>
        <v>1</v>
      </c>
      <c r="G146" s="5" t="str">
        <f>INDEX('Route Data'!$A$7:$A$8,E146)</f>
        <v>u18</v>
      </c>
      <c r="H146" s="5">
        <f>EnergyCoeff(INDEX('Route Data'!$K$7:$K$8,E146),INDEX('Route Data'!$L$7:$L$8,E146)*2*PI()/60,INDEX('Route Data'!$F$7:$F$8,E146))</f>
        <v>0.19430699130049439</v>
      </c>
      <c r="I146" s="5">
        <f>DischargeCoeff(INDEX('Route Data'!$I$7:$I$8,E146), INDEX('Route Data'!$L$7:$L$8,E146)*2*PI()/60, INDEX('Route Data'!$F$7:$F$8,E146))</f>
        <v>0.15939200179827354</v>
      </c>
      <c r="J146" s="8">
        <f>FlowAngleRel(INDEX('Route Data'!$J$7:$J$8,E146)*INDEX('Route Data'!$I$7:$I$8,E146), INDEX('Route Data'!$L$7:$L$8,E146)*2*PI()/60, INDEX('Route Data'!$F$7:$F$8,E146),INDEX('Route Data'!$O$7:$O$8,E146), INDEX('Route Data'!$P$7:$P$8,E146),INDEX('Route Data'!$M$7:$M$8,E146))</f>
        <v>1.130811765868994</v>
      </c>
      <c r="K146" s="8">
        <f>FlowAngleAbsT(INDEX('Route Data'!$K$7:$K$8,E146), INDEX('Route Data'!$I$7:$I$8,E146), INDEX('Route Data'!$I$7:$I$8,E146)*INDEX('Route Data'!$J$7:$J$8,E146), INDEX('Route Data'!$L$7:$L$8,E146)*2*PI()/60, INDEX('Route Data'!$F$7:$F$8,E146),INDEX('Route Data'!$O$7:$O$8,E146), INDEX('Route Data'!$P$7:$P$8,E146), INDEX('Route Data'!$H$7:$H$8,E146), INDEX('Route Data'!$Q$7:$Q$8,E146), INDEX('Route Data'!$M$7:$M$8,E146))</f>
        <v>0.51617226640175828</v>
      </c>
      <c r="L146" s="5">
        <f>INDEX('Route Data'!$N$7:$N$8,E146)</f>
        <v>0.4</v>
      </c>
      <c r="M146" s="8">
        <v>1.3904571533203125E-3</v>
      </c>
      <c r="N146" s="8">
        <f>ProbStrikeFrancis(K146, I146, L146, INDEX('Route Data'!$G$7:$G$8,E146),C146, INDEX('Route Data'!$F$7:$F$8,E146), INDEX('Route Data'!$O$7:$O$8,E146), INDEX('Route Data'!$H$7:$H$18,E146))</f>
        <v>1</v>
      </c>
      <c r="O146" s="5" t="str">
        <f>IF(F146&gt;=1,IF(M146&lt;=N146,"STRIKE","pass"),IF(M146&lt;=INDEX('Route Data'!$R$7:$R$8,E146),"NO PASS","pass"))</f>
        <v>STRIKE</v>
      </c>
      <c r="P146" s="5">
        <f>IF(F146&gt;=1,IF(M146&lt;=N146,1,0),IF(M146&lt;=INDEX('Route Data'!$R$7:$R$8,E146),-1,0))</f>
        <v>1</v>
      </c>
    </row>
    <row r="147" spans="1:16">
      <c r="A147" s="5">
        <v>137</v>
      </c>
      <c r="B147" s="12">
        <v>23.8</v>
      </c>
      <c r="C147" s="12">
        <f t="shared" si="2"/>
        <v>1.98</v>
      </c>
      <c r="D147" s="8">
        <v>0.60317009687423706</v>
      </c>
      <c r="E147" s="5">
        <f>MATCH(D147,'Route Data'!$C$7:$C$8,1)</f>
        <v>2</v>
      </c>
      <c r="F147" s="5">
        <f>INDEX('Route Data'!$D$7:$D$8,E147)</f>
        <v>1</v>
      </c>
      <c r="G147" s="5" t="str">
        <f>INDEX('Route Data'!$A$7:$A$8,E147)</f>
        <v>u18</v>
      </c>
      <c r="H147" s="5">
        <f>EnergyCoeff(INDEX('Route Data'!$K$7:$K$8,E147),INDEX('Route Data'!$L$7:$L$8,E147)*2*PI()/60,INDEX('Route Data'!$F$7:$F$8,E147))</f>
        <v>0.19430699130049439</v>
      </c>
      <c r="I147" s="5">
        <f>DischargeCoeff(INDEX('Route Data'!$I$7:$I$8,E147), INDEX('Route Data'!$L$7:$L$8,E147)*2*PI()/60, INDEX('Route Data'!$F$7:$F$8,E147))</f>
        <v>0.15939200179827354</v>
      </c>
      <c r="J147" s="8">
        <f>FlowAngleRel(INDEX('Route Data'!$J$7:$J$8,E147)*INDEX('Route Data'!$I$7:$I$8,E147), INDEX('Route Data'!$L$7:$L$8,E147)*2*PI()/60, INDEX('Route Data'!$F$7:$F$8,E147),INDEX('Route Data'!$O$7:$O$8,E147), INDEX('Route Data'!$P$7:$P$8,E147),INDEX('Route Data'!$M$7:$M$8,E147))</f>
        <v>1.130811765868994</v>
      </c>
      <c r="K147" s="8">
        <f>FlowAngleAbsT(INDEX('Route Data'!$K$7:$K$8,E147), INDEX('Route Data'!$I$7:$I$8,E147), INDEX('Route Data'!$I$7:$I$8,E147)*INDEX('Route Data'!$J$7:$J$8,E147), INDEX('Route Data'!$L$7:$L$8,E147)*2*PI()/60, INDEX('Route Data'!$F$7:$F$8,E147),INDEX('Route Data'!$O$7:$O$8,E147), INDEX('Route Data'!$P$7:$P$8,E147), INDEX('Route Data'!$H$7:$H$8,E147), INDEX('Route Data'!$Q$7:$Q$8,E147), INDEX('Route Data'!$M$7:$M$8,E147))</f>
        <v>0.51617226640175828</v>
      </c>
      <c r="L147" s="5">
        <f>INDEX('Route Data'!$N$7:$N$8,E147)</f>
        <v>0.4</v>
      </c>
      <c r="M147" s="8">
        <v>6.2887370586395264E-2</v>
      </c>
      <c r="N147" s="8">
        <f>ProbStrikeFrancis(K147, I147, L147, INDEX('Route Data'!$G$7:$G$8,E147),C147, INDEX('Route Data'!$F$7:$F$8,E147), INDEX('Route Data'!$O$7:$O$8,E147), INDEX('Route Data'!$H$7:$H$18,E147))</f>
        <v>1</v>
      </c>
      <c r="O147" s="5" t="str">
        <f>IF(F147&gt;=1,IF(M147&lt;=N147,"STRIKE","pass"),IF(M147&lt;=INDEX('Route Data'!$R$7:$R$8,E147),"NO PASS","pass"))</f>
        <v>STRIKE</v>
      </c>
      <c r="P147" s="5">
        <f>IF(F147&gt;=1,IF(M147&lt;=N147,1,0),IF(M147&lt;=INDEX('Route Data'!$R$7:$R$8,E147),-1,0))</f>
        <v>1</v>
      </c>
    </row>
    <row r="148" spans="1:16">
      <c r="A148" s="5">
        <v>138</v>
      </c>
      <c r="B148" s="12">
        <v>15.04</v>
      </c>
      <c r="C148" s="12">
        <f t="shared" si="2"/>
        <v>1.25</v>
      </c>
      <c r="D148" s="8">
        <v>0.91292870044708252</v>
      </c>
      <c r="E148" s="5">
        <f>MATCH(D148,'Route Data'!$C$7:$C$8,1)</f>
        <v>2</v>
      </c>
      <c r="F148" s="5">
        <f>INDEX('Route Data'!$D$7:$D$8,E148)</f>
        <v>1</v>
      </c>
      <c r="G148" s="5" t="str">
        <f>INDEX('Route Data'!$A$7:$A$8,E148)</f>
        <v>u18</v>
      </c>
      <c r="H148" s="5">
        <f>EnergyCoeff(INDEX('Route Data'!$K$7:$K$8,E148),INDEX('Route Data'!$L$7:$L$8,E148)*2*PI()/60,INDEX('Route Data'!$F$7:$F$8,E148))</f>
        <v>0.19430699130049439</v>
      </c>
      <c r="I148" s="5">
        <f>DischargeCoeff(INDEX('Route Data'!$I$7:$I$8,E148), INDEX('Route Data'!$L$7:$L$8,E148)*2*PI()/60, INDEX('Route Data'!$F$7:$F$8,E148))</f>
        <v>0.15939200179827354</v>
      </c>
      <c r="J148" s="8">
        <f>FlowAngleRel(INDEX('Route Data'!$J$7:$J$8,E148)*INDEX('Route Data'!$I$7:$I$8,E148), INDEX('Route Data'!$L$7:$L$8,E148)*2*PI()/60, INDEX('Route Data'!$F$7:$F$8,E148),INDEX('Route Data'!$O$7:$O$8,E148), INDEX('Route Data'!$P$7:$P$8,E148),INDEX('Route Data'!$M$7:$M$8,E148))</f>
        <v>1.130811765868994</v>
      </c>
      <c r="K148" s="8">
        <f>FlowAngleAbsT(INDEX('Route Data'!$K$7:$K$8,E148), INDEX('Route Data'!$I$7:$I$8,E148), INDEX('Route Data'!$I$7:$I$8,E148)*INDEX('Route Data'!$J$7:$J$8,E148), INDEX('Route Data'!$L$7:$L$8,E148)*2*PI()/60, INDEX('Route Data'!$F$7:$F$8,E148),INDEX('Route Data'!$O$7:$O$8,E148), INDEX('Route Data'!$P$7:$P$8,E148), INDEX('Route Data'!$H$7:$H$8,E148), INDEX('Route Data'!$Q$7:$Q$8,E148), INDEX('Route Data'!$M$7:$M$8,E148))</f>
        <v>0.51617226640175828</v>
      </c>
      <c r="L148" s="5">
        <f>INDEX('Route Data'!$N$7:$N$8,E148)</f>
        <v>0.4</v>
      </c>
      <c r="M148" s="8">
        <v>0.34723818302154541</v>
      </c>
      <c r="N148" s="8">
        <f>ProbStrikeFrancis(K148, I148, L148, INDEX('Route Data'!$G$7:$G$8,E148),C148, INDEX('Route Data'!$F$7:$F$8,E148), INDEX('Route Data'!$O$7:$O$8,E148), INDEX('Route Data'!$H$7:$H$18,E148))</f>
        <v>1</v>
      </c>
      <c r="O148" s="5" t="str">
        <f>IF(F148&gt;=1,IF(M148&lt;=N148,"STRIKE","pass"),IF(M148&lt;=INDEX('Route Data'!$R$7:$R$8,E148),"NO PASS","pass"))</f>
        <v>STRIKE</v>
      </c>
      <c r="P148" s="5">
        <f>IF(F148&gt;=1,IF(M148&lt;=N148,1,0),IF(M148&lt;=INDEX('Route Data'!$R$7:$R$8,E148),-1,0))</f>
        <v>1</v>
      </c>
    </row>
    <row r="149" spans="1:16">
      <c r="A149" s="5">
        <v>139</v>
      </c>
      <c r="B149" s="12">
        <v>24.37</v>
      </c>
      <c r="C149" s="12">
        <f t="shared" si="2"/>
        <v>2.0299999999999998</v>
      </c>
      <c r="D149" s="8">
        <v>0.98365288972854614</v>
      </c>
      <c r="E149" s="5">
        <f>MATCH(D149,'Route Data'!$C$7:$C$8,1)</f>
        <v>2</v>
      </c>
      <c r="F149" s="5">
        <f>INDEX('Route Data'!$D$7:$D$8,E149)</f>
        <v>1</v>
      </c>
      <c r="G149" s="5" t="str">
        <f>INDEX('Route Data'!$A$7:$A$8,E149)</f>
        <v>u18</v>
      </c>
      <c r="H149" s="5">
        <f>EnergyCoeff(INDEX('Route Data'!$K$7:$K$8,E149),INDEX('Route Data'!$L$7:$L$8,E149)*2*PI()/60,INDEX('Route Data'!$F$7:$F$8,E149))</f>
        <v>0.19430699130049439</v>
      </c>
      <c r="I149" s="5">
        <f>DischargeCoeff(INDEX('Route Data'!$I$7:$I$8,E149), INDEX('Route Data'!$L$7:$L$8,E149)*2*PI()/60, INDEX('Route Data'!$F$7:$F$8,E149))</f>
        <v>0.15939200179827354</v>
      </c>
      <c r="J149" s="8">
        <f>FlowAngleRel(INDEX('Route Data'!$J$7:$J$8,E149)*INDEX('Route Data'!$I$7:$I$8,E149), INDEX('Route Data'!$L$7:$L$8,E149)*2*PI()/60, INDEX('Route Data'!$F$7:$F$8,E149),INDEX('Route Data'!$O$7:$O$8,E149), INDEX('Route Data'!$P$7:$P$8,E149),INDEX('Route Data'!$M$7:$M$8,E149))</f>
        <v>1.130811765868994</v>
      </c>
      <c r="K149" s="8">
        <f>FlowAngleAbsT(INDEX('Route Data'!$K$7:$K$8,E149), INDEX('Route Data'!$I$7:$I$8,E149), INDEX('Route Data'!$I$7:$I$8,E149)*INDEX('Route Data'!$J$7:$J$8,E149), INDEX('Route Data'!$L$7:$L$8,E149)*2*PI()/60, INDEX('Route Data'!$F$7:$F$8,E149),INDEX('Route Data'!$O$7:$O$8,E149), INDEX('Route Data'!$P$7:$P$8,E149), INDEX('Route Data'!$H$7:$H$8,E149), INDEX('Route Data'!$Q$7:$Q$8,E149), INDEX('Route Data'!$M$7:$M$8,E149))</f>
        <v>0.51617226640175828</v>
      </c>
      <c r="L149" s="5">
        <f>INDEX('Route Data'!$N$7:$N$8,E149)</f>
        <v>0.4</v>
      </c>
      <c r="M149" s="8">
        <v>0.75976496934890747</v>
      </c>
      <c r="N149" s="8">
        <f>ProbStrikeFrancis(K149, I149, L149, INDEX('Route Data'!$G$7:$G$8,E149),C149, INDEX('Route Data'!$F$7:$F$8,E149), INDEX('Route Data'!$O$7:$O$8,E149), INDEX('Route Data'!$H$7:$H$18,E149))</f>
        <v>1</v>
      </c>
      <c r="O149" s="5" t="str">
        <f>IF(F149&gt;=1,IF(M149&lt;=N149,"STRIKE","pass"),IF(M149&lt;=INDEX('Route Data'!$R$7:$R$8,E149),"NO PASS","pass"))</f>
        <v>STRIKE</v>
      </c>
      <c r="P149" s="5">
        <f>IF(F149&gt;=1,IF(M149&lt;=N149,1,0),IF(M149&lt;=INDEX('Route Data'!$R$7:$R$8,E149),-1,0))</f>
        <v>1</v>
      </c>
    </row>
    <row r="150" spans="1:16">
      <c r="A150" s="5">
        <v>140</v>
      </c>
      <c r="B150" s="12">
        <v>25.2</v>
      </c>
      <c r="C150" s="12">
        <f t="shared" si="2"/>
        <v>2.1</v>
      </c>
      <c r="D150" s="8">
        <v>3.7059545516967773E-2</v>
      </c>
      <c r="E150" s="5">
        <f>MATCH(D150,'Route Data'!$C$7:$C$8,1)</f>
        <v>2</v>
      </c>
      <c r="F150" s="5">
        <f>INDEX('Route Data'!$D$7:$D$8,E150)</f>
        <v>1</v>
      </c>
      <c r="G150" s="5" t="str">
        <f>INDEX('Route Data'!$A$7:$A$8,E150)</f>
        <v>u18</v>
      </c>
      <c r="H150" s="5">
        <f>EnergyCoeff(INDEX('Route Data'!$K$7:$K$8,E150),INDEX('Route Data'!$L$7:$L$8,E150)*2*PI()/60,INDEX('Route Data'!$F$7:$F$8,E150))</f>
        <v>0.19430699130049439</v>
      </c>
      <c r="I150" s="5">
        <f>DischargeCoeff(INDEX('Route Data'!$I$7:$I$8,E150), INDEX('Route Data'!$L$7:$L$8,E150)*2*PI()/60, INDEX('Route Data'!$F$7:$F$8,E150))</f>
        <v>0.15939200179827354</v>
      </c>
      <c r="J150" s="8">
        <f>FlowAngleRel(INDEX('Route Data'!$J$7:$J$8,E150)*INDEX('Route Data'!$I$7:$I$8,E150), INDEX('Route Data'!$L$7:$L$8,E150)*2*PI()/60, INDEX('Route Data'!$F$7:$F$8,E150),INDEX('Route Data'!$O$7:$O$8,E150), INDEX('Route Data'!$P$7:$P$8,E150),INDEX('Route Data'!$M$7:$M$8,E150))</f>
        <v>1.130811765868994</v>
      </c>
      <c r="K150" s="8">
        <f>FlowAngleAbsT(INDEX('Route Data'!$K$7:$K$8,E150), INDEX('Route Data'!$I$7:$I$8,E150), INDEX('Route Data'!$I$7:$I$8,E150)*INDEX('Route Data'!$J$7:$J$8,E150), INDEX('Route Data'!$L$7:$L$8,E150)*2*PI()/60, INDEX('Route Data'!$F$7:$F$8,E150),INDEX('Route Data'!$O$7:$O$8,E150), INDEX('Route Data'!$P$7:$P$8,E150), INDEX('Route Data'!$H$7:$H$8,E150), INDEX('Route Data'!$Q$7:$Q$8,E150), INDEX('Route Data'!$M$7:$M$8,E150))</f>
        <v>0.51617226640175828</v>
      </c>
      <c r="L150" s="5">
        <f>INDEX('Route Data'!$N$7:$N$8,E150)</f>
        <v>0.4</v>
      </c>
      <c r="M150" s="8">
        <v>0.78776383399963379</v>
      </c>
      <c r="N150" s="8">
        <f>ProbStrikeFrancis(K150, I150, L150, INDEX('Route Data'!$G$7:$G$8,E150),C150, INDEX('Route Data'!$F$7:$F$8,E150), INDEX('Route Data'!$O$7:$O$8,E150), INDEX('Route Data'!$H$7:$H$18,E150))</f>
        <v>1</v>
      </c>
      <c r="O150" s="5" t="str">
        <f>IF(F150&gt;=1,IF(M150&lt;=N150,"STRIKE","pass"),IF(M150&lt;=INDEX('Route Data'!$R$7:$R$8,E150),"NO PASS","pass"))</f>
        <v>STRIKE</v>
      </c>
      <c r="P150" s="5">
        <f>IF(F150&gt;=1,IF(M150&lt;=N150,1,0),IF(M150&lt;=INDEX('Route Data'!$R$7:$R$8,E150),-1,0))</f>
        <v>1</v>
      </c>
    </row>
    <row r="151" spans="1:16">
      <c r="A151" s="5">
        <v>141</v>
      </c>
      <c r="B151" s="12">
        <v>20.9</v>
      </c>
      <c r="C151" s="12">
        <f t="shared" si="2"/>
        <v>1.74</v>
      </c>
      <c r="D151" s="8">
        <v>0.87683957815170288</v>
      </c>
      <c r="E151" s="5">
        <f>MATCH(D151,'Route Data'!$C$7:$C$8,1)</f>
        <v>2</v>
      </c>
      <c r="F151" s="5">
        <f>INDEX('Route Data'!$D$7:$D$8,E151)</f>
        <v>1</v>
      </c>
      <c r="G151" s="5" t="str">
        <f>INDEX('Route Data'!$A$7:$A$8,E151)</f>
        <v>u18</v>
      </c>
      <c r="H151" s="5">
        <f>EnergyCoeff(INDEX('Route Data'!$K$7:$K$8,E151),INDEX('Route Data'!$L$7:$L$8,E151)*2*PI()/60,INDEX('Route Data'!$F$7:$F$8,E151))</f>
        <v>0.19430699130049439</v>
      </c>
      <c r="I151" s="5">
        <f>DischargeCoeff(INDEX('Route Data'!$I$7:$I$8,E151), INDEX('Route Data'!$L$7:$L$8,E151)*2*PI()/60, INDEX('Route Data'!$F$7:$F$8,E151))</f>
        <v>0.15939200179827354</v>
      </c>
      <c r="J151" s="8">
        <f>FlowAngleRel(INDEX('Route Data'!$J$7:$J$8,E151)*INDEX('Route Data'!$I$7:$I$8,E151), INDEX('Route Data'!$L$7:$L$8,E151)*2*PI()/60, INDEX('Route Data'!$F$7:$F$8,E151),INDEX('Route Data'!$O$7:$O$8,E151), INDEX('Route Data'!$P$7:$P$8,E151),INDEX('Route Data'!$M$7:$M$8,E151))</f>
        <v>1.130811765868994</v>
      </c>
      <c r="K151" s="8">
        <f>FlowAngleAbsT(INDEX('Route Data'!$K$7:$K$8,E151), INDEX('Route Data'!$I$7:$I$8,E151), INDEX('Route Data'!$I$7:$I$8,E151)*INDEX('Route Data'!$J$7:$J$8,E151), INDEX('Route Data'!$L$7:$L$8,E151)*2*PI()/60, INDEX('Route Data'!$F$7:$F$8,E151),INDEX('Route Data'!$O$7:$O$8,E151), INDEX('Route Data'!$P$7:$P$8,E151), INDEX('Route Data'!$H$7:$H$8,E151), INDEX('Route Data'!$Q$7:$Q$8,E151), INDEX('Route Data'!$M$7:$M$8,E151))</f>
        <v>0.51617226640175828</v>
      </c>
      <c r="L151" s="5">
        <f>INDEX('Route Data'!$N$7:$N$8,E151)</f>
        <v>0.4</v>
      </c>
      <c r="M151" s="8">
        <v>0.96934646368026733</v>
      </c>
      <c r="N151" s="8">
        <f>ProbStrikeFrancis(K151, I151, L151, INDEX('Route Data'!$G$7:$G$8,E151),C151, INDEX('Route Data'!$F$7:$F$8,E151), INDEX('Route Data'!$O$7:$O$8,E151), INDEX('Route Data'!$H$7:$H$18,E151))</f>
        <v>1</v>
      </c>
      <c r="O151" s="5" t="str">
        <f>IF(F151&gt;=1,IF(M151&lt;=N151,"STRIKE","pass"),IF(M151&lt;=INDEX('Route Data'!$R$7:$R$8,E151),"NO PASS","pass"))</f>
        <v>STRIKE</v>
      </c>
      <c r="P151" s="5">
        <f>IF(F151&gt;=1,IF(M151&lt;=N151,1,0),IF(M151&lt;=INDEX('Route Data'!$R$7:$R$8,E151),-1,0))</f>
        <v>1</v>
      </c>
    </row>
    <row r="152" spans="1:16">
      <c r="A152" s="5">
        <v>142</v>
      </c>
      <c r="B152" s="12">
        <v>25.24</v>
      </c>
      <c r="C152" s="12">
        <f t="shared" si="2"/>
        <v>2.1</v>
      </c>
      <c r="D152" s="8">
        <v>0.35749948024749756</v>
      </c>
      <c r="E152" s="5">
        <f>MATCH(D152,'Route Data'!$C$7:$C$8,1)</f>
        <v>2</v>
      </c>
      <c r="F152" s="5">
        <f>INDEX('Route Data'!$D$7:$D$8,E152)</f>
        <v>1</v>
      </c>
      <c r="G152" s="5" t="str">
        <f>INDEX('Route Data'!$A$7:$A$8,E152)</f>
        <v>u18</v>
      </c>
      <c r="H152" s="5">
        <f>EnergyCoeff(INDEX('Route Data'!$K$7:$K$8,E152),INDEX('Route Data'!$L$7:$L$8,E152)*2*PI()/60,INDEX('Route Data'!$F$7:$F$8,E152))</f>
        <v>0.19430699130049439</v>
      </c>
      <c r="I152" s="5">
        <f>DischargeCoeff(INDEX('Route Data'!$I$7:$I$8,E152), INDEX('Route Data'!$L$7:$L$8,E152)*2*PI()/60, INDEX('Route Data'!$F$7:$F$8,E152))</f>
        <v>0.15939200179827354</v>
      </c>
      <c r="J152" s="8">
        <f>FlowAngleRel(INDEX('Route Data'!$J$7:$J$8,E152)*INDEX('Route Data'!$I$7:$I$8,E152), INDEX('Route Data'!$L$7:$L$8,E152)*2*PI()/60, INDEX('Route Data'!$F$7:$F$8,E152),INDEX('Route Data'!$O$7:$O$8,E152), INDEX('Route Data'!$P$7:$P$8,E152),INDEX('Route Data'!$M$7:$M$8,E152))</f>
        <v>1.130811765868994</v>
      </c>
      <c r="K152" s="8">
        <f>FlowAngleAbsT(INDEX('Route Data'!$K$7:$K$8,E152), INDEX('Route Data'!$I$7:$I$8,E152), INDEX('Route Data'!$I$7:$I$8,E152)*INDEX('Route Data'!$J$7:$J$8,E152), INDEX('Route Data'!$L$7:$L$8,E152)*2*PI()/60, INDEX('Route Data'!$F$7:$F$8,E152),INDEX('Route Data'!$O$7:$O$8,E152), INDEX('Route Data'!$P$7:$P$8,E152), INDEX('Route Data'!$H$7:$H$8,E152), INDEX('Route Data'!$Q$7:$Q$8,E152), INDEX('Route Data'!$M$7:$M$8,E152))</f>
        <v>0.51617226640175828</v>
      </c>
      <c r="L152" s="5">
        <f>INDEX('Route Data'!$N$7:$N$8,E152)</f>
        <v>0.4</v>
      </c>
      <c r="M152" s="8">
        <v>0.1590193510055542</v>
      </c>
      <c r="N152" s="8">
        <f>ProbStrikeFrancis(K152, I152, L152, INDEX('Route Data'!$G$7:$G$8,E152),C152, INDEX('Route Data'!$F$7:$F$8,E152), INDEX('Route Data'!$O$7:$O$8,E152), INDEX('Route Data'!$H$7:$H$18,E152))</f>
        <v>1</v>
      </c>
      <c r="O152" s="5" t="str">
        <f>IF(F152&gt;=1,IF(M152&lt;=N152,"STRIKE","pass"),IF(M152&lt;=INDEX('Route Data'!$R$7:$R$8,E152),"NO PASS","pass"))</f>
        <v>STRIKE</v>
      </c>
      <c r="P152" s="5">
        <f>IF(F152&gt;=1,IF(M152&lt;=N152,1,0),IF(M152&lt;=INDEX('Route Data'!$R$7:$R$8,E152),-1,0))</f>
        <v>1</v>
      </c>
    </row>
    <row r="153" spans="1:16">
      <c r="A153" s="5">
        <v>143</v>
      </c>
      <c r="B153" s="12">
        <v>16.850000000000001</v>
      </c>
      <c r="C153" s="12">
        <f t="shared" si="2"/>
        <v>1.4</v>
      </c>
      <c r="D153" s="8">
        <v>0.64994055032730103</v>
      </c>
      <c r="E153" s="5">
        <f>MATCH(D153,'Route Data'!$C$7:$C$8,1)</f>
        <v>2</v>
      </c>
      <c r="F153" s="5">
        <f>INDEX('Route Data'!$D$7:$D$8,E153)</f>
        <v>1</v>
      </c>
      <c r="G153" s="5" t="str">
        <f>INDEX('Route Data'!$A$7:$A$8,E153)</f>
        <v>u18</v>
      </c>
      <c r="H153" s="5">
        <f>EnergyCoeff(INDEX('Route Data'!$K$7:$K$8,E153),INDEX('Route Data'!$L$7:$L$8,E153)*2*PI()/60,INDEX('Route Data'!$F$7:$F$8,E153))</f>
        <v>0.19430699130049439</v>
      </c>
      <c r="I153" s="5">
        <f>DischargeCoeff(INDEX('Route Data'!$I$7:$I$8,E153), INDEX('Route Data'!$L$7:$L$8,E153)*2*PI()/60, INDEX('Route Data'!$F$7:$F$8,E153))</f>
        <v>0.15939200179827354</v>
      </c>
      <c r="J153" s="8">
        <f>FlowAngleRel(INDEX('Route Data'!$J$7:$J$8,E153)*INDEX('Route Data'!$I$7:$I$8,E153), INDEX('Route Data'!$L$7:$L$8,E153)*2*PI()/60, INDEX('Route Data'!$F$7:$F$8,E153),INDEX('Route Data'!$O$7:$O$8,E153), INDEX('Route Data'!$P$7:$P$8,E153),INDEX('Route Data'!$M$7:$M$8,E153))</f>
        <v>1.130811765868994</v>
      </c>
      <c r="K153" s="8">
        <f>FlowAngleAbsT(INDEX('Route Data'!$K$7:$K$8,E153), INDEX('Route Data'!$I$7:$I$8,E153), INDEX('Route Data'!$I$7:$I$8,E153)*INDEX('Route Data'!$J$7:$J$8,E153), INDEX('Route Data'!$L$7:$L$8,E153)*2*PI()/60, INDEX('Route Data'!$F$7:$F$8,E153),INDEX('Route Data'!$O$7:$O$8,E153), INDEX('Route Data'!$P$7:$P$8,E153), INDEX('Route Data'!$H$7:$H$8,E153), INDEX('Route Data'!$Q$7:$Q$8,E153), INDEX('Route Data'!$M$7:$M$8,E153))</f>
        <v>0.51617226640175828</v>
      </c>
      <c r="L153" s="5">
        <f>INDEX('Route Data'!$N$7:$N$8,E153)</f>
        <v>0.4</v>
      </c>
      <c r="M153" s="8">
        <v>5.8842241764068604E-2</v>
      </c>
      <c r="N153" s="8">
        <f>ProbStrikeFrancis(K153, I153, L153, INDEX('Route Data'!$G$7:$G$8,E153),C153, INDEX('Route Data'!$F$7:$F$8,E153), INDEX('Route Data'!$O$7:$O$8,E153), INDEX('Route Data'!$H$7:$H$18,E153))</f>
        <v>1</v>
      </c>
      <c r="O153" s="5" t="str">
        <f>IF(F153&gt;=1,IF(M153&lt;=N153,"STRIKE","pass"),IF(M153&lt;=INDEX('Route Data'!$R$7:$R$8,E153),"NO PASS","pass"))</f>
        <v>STRIKE</v>
      </c>
      <c r="P153" s="5">
        <f>IF(F153&gt;=1,IF(M153&lt;=N153,1,0),IF(M153&lt;=INDEX('Route Data'!$R$7:$R$8,E153),-1,0))</f>
        <v>1</v>
      </c>
    </row>
    <row r="154" spans="1:16">
      <c r="A154" s="5">
        <v>144</v>
      </c>
      <c r="B154" s="12">
        <v>26.74</v>
      </c>
      <c r="C154" s="12">
        <f t="shared" si="2"/>
        <v>2.23</v>
      </c>
      <c r="D154" s="8">
        <v>0.50703811645507813</v>
      </c>
      <c r="E154" s="5">
        <f>MATCH(D154,'Route Data'!$C$7:$C$8,1)</f>
        <v>2</v>
      </c>
      <c r="F154" s="5">
        <f>INDEX('Route Data'!$D$7:$D$8,E154)</f>
        <v>1</v>
      </c>
      <c r="G154" s="5" t="str">
        <f>INDEX('Route Data'!$A$7:$A$8,E154)</f>
        <v>u18</v>
      </c>
      <c r="H154" s="5">
        <f>EnergyCoeff(INDEX('Route Data'!$K$7:$K$8,E154),INDEX('Route Data'!$L$7:$L$8,E154)*2*PI()/60,INDEX('Route Data'!$F$7:$F$8,E154))</f>
        <v>0.19430699130049439</v>
      </c>
      <c r="I154" s="5">
        <f>DischargeCoeff(INDEX('Route Data'!$I$7:$I$8,E154), INDEX('Route Data'!$L$7:$L$8,E154)*2*PI()/60, INDEX('Route Data'!$F$7:$F$8,E154))</f>
        <v>0.15939200179827354</v>
      </c>
      <c r="J154" s="8">
        <f>FlowAngleRel(INDEX('Route Data'!$J$7:$J$8,E154)*INDEX('Route Data'!$I$7:$I$8,E154), INDEX('Route Data'!$L$7:$L$8,E154)*2*PI()/60, INDEX('Route Data'!$F$7:$F$8,E154),INDEX('Route Data'!$O$7:$O$8,E154), INDEX('Route Data'!$P$7:$P$8,E154),INDEX('Route Data'!$M$7:$M$8,E154))</f>
        <v>1.130811765868994</v>
      </c>
      <c r="K154" s="8">
        <f>FlowAngleAbsT(INDEX('Route Data'!$K$7:$K$8,E154), INDEX('Route Data'!$I$7:$I$8,E154), INDEX('Route Data'!$I$7:$I$8,E154)*INDEX('Route Data'!$J$7:$J$8,E154), INDEX('Route Data'!$L$7:$L$8,E154)*2*PI()/60, INDEX('Route Data'!$F$7:$F$8,E154),INDEX('Route Data'!$O$7:$O$8,E154), INDEX('Route Data'!$P$7:$P$8,E154), INDEX('Route Data'!$H$7:$H$8,E154), INDEX('Route Data'!$Q$7:$Q$8,E154), INDEX('Route Data'!$M$7:$M$8,E154))</f>
        <v>0.51617226640175828</v>
      </c>
      <c r="L154" s="5">
        <f>INDEX('Route Data'!$N$7:$N$8,E154)</f>
        <v>0.4</v>
      </c>
      <c r="M154" s="8">
        <v>0.62495279312133789</v>
      </c>
      <c r="N154" s="8">
        <f>ProbStrikeFrancis(K154, I154, L154, INDEX('Route Data'!$G$7:$G$8,E154),C154, INDEX('Route Data'!$F$7:$F$8,E154), INDEX('Route Data'!$O$7:$O$8,E154), INDEX('Route Data'!$H$7:$H$18,E154))</f>
        <v>1</v>
      </c>
      <c r="O154" s="5" t="str">
        <f>IF(F154&gt;=1,IF(M154&lt;=N154,"STRIKE","pass"),IF(M154&lt;=INDEX('Route Data'!$R$7:$R$8,E154),"NO PASS","pass"))</f>
        <v>STRIKE</v>
      </c>
      <c r="P154" s="5">
        <f>IF(F154&gt;=1,IF(M154&lt;=N154,1,0),IF(M154&lt;=INDEX('Route Data'!$R$7:$R$8,E154),-1,0))</f>
        <v>1</v>
      </c>
    </row>
    <row r="155" spans="1:16">
      <c r="A155" s="5">
        <v>145</v>
      </c>
      <c r="B155" s="12">
        <v>20.52</v>
      </c>
      <c r="C155" s="12">
        <f t="shared" si="2"/>
        <v>1.71</v>
      </c>
      <c r="D155" s="8">
        <v>0.20132464170455933</v>
      </c>
      <c r="E155" s="5">
        <f>MATCH(D155,'Route Data'!$C$7:$C$8,1)</f>
        <v>2</v>
      </c>
      <c r="F155" s="5">
        <f>INDEX('Route Data'!$D$7:$D$8,E155)</f>
        <v>1</v>
      </c>
      <c r="G155" s="5" t="str">
        <f>INDEX('Route Data'!$A$7:$A$8,E155)</f>
        <v>u18</v>
      </c>
      <c r="H155" s="5">
        <f>EnergyCoeff(INDEX('Route Data'!$K$7:$K$8,E155),INDEX('Route Data'!$L$7:$L$8,E155)*2*PI()/60,INDEX('Route Data'!$F$7:$F$8,E155))</f>
        <v>0.19430699130049439</v>
      </c>
      <c r="I155" s="5">
        <f>DischargeCoeff(INDEX('Route Data'!$I$7:$I$8,E155), INDEX('Route Data'!$L$7:$L$8,E155)*2*PI()/60, INDEX('Route Data'!$F$7:$F$8,E155))</f>
        <v>0.15939200179827354</v>
      </c>
      <c r="J155" s="8">
        <f>FlowAngleRel(INDEX('Route Data'!$J$7:$J$8,E155)*INDEX('Route Data'!$I$7:$I$8,E155), INDEX('Route Data'!$L$7:$L$8,E155)*2*PI()/60, INDEX('Route Data'!$F$7:$F$8,E155),INDEX('Route Data'!$O$7:$O$8,E155), INDEX('Route Data'!$P$7:$P$8,E155),INDEX('Route Data'!$M$7:$M$8,E155))</f>
        <v>1.130811765868994</v>
      </c>
      <c r="K155" s="8">
        <f>FlowAngleAbsT(INDEX('Route Data'!$K$7:$K$8,E155), INDEX('Route Data'!$I$7:$I$8,E155), INDEX('Route Data'!$I$7:$I$8,E155)*INDEX('Route Data'!$J$7:$J$8,E155), INDEX('Route Data'!$L$7:$L$8,E155)*2*PI()/60, INDEX('Route Data'!$F$7:$F$8,E155),INDEX('Route Data'!$O$7:$O$8,E155), INDEX('Route Data'!$P$7:$P$8,E155), INDEX('Route Data'!$H$7:$H$8,E155), INDEX('Route Data'!$Q$7:$Q$8,E155), INDEX('Route Data'!$M$7:$M$8,E155))</f>
        <v>0.51617226640175828</v>
      </c>
      <c r="L155" s="5">
        <f>INDEX('Route Data'!$N$7:$N$8,E155)</f>
        <v>0.4</v>
      </c>
      <c r="M155" s="8">
        <v>0.92662113904953003</v>
      </c>
      <c r="N155" s="8">
        <f>ProbStrikeFrancis(K155, I155, L155, INDEX('Route Data'!$G$7:$G$8,E155),C155, INDEX('Route Data'!$F$7:$F$8,E155), INDEX('Route Data'!$O$7:$O$8,E155), INDEX('Route Data'!$H$7:$H$18,E155))</f>
        <v>1</v>
      </c>
      <c r="O155" s="5" t="str">
        <f>IF(F155&gt;=1,IF(M155&lt;=N155,"STRIKE","pass"),IF(M155&lt;=INDEX('Route Data'!$R$7:$R$8,E155),"NO PASS","pass"))</f>
        <v>STRIKE</v>
      </c>
      <c r="P155" s="5">
        <f>IF(F155&gt;=1,IF(M155&lt;=N155,1,0),IF(M155&lt;=INDEX('Route Data'!$R$7:$R$8,E155),-1,0))</f>
        <v>1</v>
      </c>
    </row>
    <row r="156" spans="1:16">
      <c r="A156" s="5">
        <v>146</v>
      </c>
      <c r="B156" s="12">
        <v>19.95</v>
      </c>
      <c r="C156" s="12">
        <f t="shared" si="2"/>
        <v>1.66</v>
      </c>
      <c r="D156" s="8">
        <v>0.85288584232330322</v>
      </c>
      <c r="E156" s="5">
        <f>MATCH(D156,'Route Data'!$C$7:$C$8,1)</f>
        <v>2</v>
      </c>
      <c r="F156" s="5">
        <f>INDEX('Route Data'!$D$7:$D$8,E156)</f>
        <v>1</v>
      </c>
      <c r="G156" s="5" t="str">
        <f>INDEX('Route Data'!$A$7:$A$8,E156)</f>
        <v>u18</v>
      </c>
      <c r="H156" s="5">
        <f>EnergyCoeff(INDEX('Route Data'!$K$7:$K$8,E156),INDEX('Route Data'!$L$7:$L$8,E156)*2*PI()/60,INDEX('Route Data'!$F$7:$F$8,E156))</f>
        <v>0.19430699130049439</v>
      </c>
      <c r="I156" s="5">
        <f>DischargeCoeff(INDEX('Route Data'!$I$7:$I$8,E156), INDEX('Route Data'!$L$7:$L$8,E156)*2*PI()/60, INDEX('Route Data'!$F$7:$F$8,E156))</f>
        <v>0.15939200179827354</v>
      </c>
      <c r="J156" s="8">
        <f>FlowAngleRel(INDEX('Route Data'!$J$7:$J$8,E156)*INDEX('Route Data'!$I$7:$I$8,E156), INDEX('Route Data'!$L$7:$L$8,E156)*2*PI()/60, INDEX('Route Data'!$F$7:$F$8,E156),INDEX('Route Data'!$O$7:$O$8,E156), INDEX('Route Data'!$P$7:$P$8,E156),INDEX('Route Data'!$M$7:$M$8,E156))</f>
        <v>1.130811765868994</v>
      </c>
      <c r="K156" s="8">
        <f>FlowAngleAbsT(INDEX('Route Data'!$K$7:$K$8,E156), INDEX('Route Data'!$I$7:$I$8,E156), INDEX('Route Data'!$I$7:$I$8,E156)*INDEX('Route Data'!$J$7:$J$8,E156), INDEX('Route Data'!$L$7:$L$8,E156)*2*PI()/60, INDEX('Route Data'!$F$7:$F$8,E156),INDEX('Route Data'!$O$7:$O$8,E156), INDEX('Route Data'!$P$7:$P$8,E156), INDEX('Route Data'!$H$7:$H$8,E156), INDEX('Route Data'!$Q$7:$Q$8,E156), INDEX('Route Data'!$M$7:$M$8,E156))</f>
        <v>0.51617226640175828</v>
      </c>
      <c r="L156" s="5">
        <f>INDEX('Route Data'!$N$7:$N$8,E156)</f>
        <v>0.4</v>
      </c>
      <c r="M156" s="8">
        <v>0.28719532489776611</v>
      </c>
      <c r="N156" s="8">
        <f>ProbStrikeFrancis(K156, I156, L156, INDEX('Route Data'!$G$7:$G$8,E156),C156, INDEX('Route Data'!$F$7:$F$8,E156), INDEX('Route Data'!$O$7:$O$8,E156), INDEX('Route Data'!$H$7:$H$18,E156))</f>
        <v>1</v>
      </c>
      <c r="O156" s="5" t="str">
        <f>IF(F156&gt;=1,IF(M156&lt;=N156,"STRIKE","pass"),IF(M156&lt;=INDEX('Route Data'!$R$7:$R$8,E156),"NO PASS","pass"))</f>
        <v>STRIKE</v>
      </c>
      <c r="P156" s="5">
        <f>IF(F156&gt;=1,IF(M156&lt;=N156,1,0),IF(M156&lt;=INDEX('Route Data'!$R$7:$R$8,E156),-1,0))</f>
        <v>1</v>
      </c>
    </row>
    <row r="157" spans="1:16">
      <c r="A157" s="5">
        <v>147</v>
      </c>
      <c r="B157" s="12">
        <v>23.61</v>
      </c>
      <c r="C157" s="12">
        <f t="shared" si="2"/>
        <v>1.97</v>
      </c>
      <c r="D157" s="8">
        <v>0.89820224046707153</v>
      </c>
      <c r="E157" s="5">
        <f>MATCH(D157,'Route Data'!$C$7:$C$8,1)</f>
        <v>2</v>
      </c>
      <c r="F157" s="5">
        <f>INDEX('Route Data'!$D$7:$D$8,E157)</f>
        <v>1</v>
      </c>
      <c r="G157" s="5" t="str">
        <f>INDEX('Route Data'!$A$7:$A$8,E157)</f>
        <v>u18</v>
      </c>
      <c r="H157" s="5">
        <f>EnergyCoeff(INDEX('Route Data'!$K$7:$K$8,E157),INDEX('Route Data'!$L$7:$L$8,E157)*2*PI()/60,INDEX('Route Data'!$F$7:$F$8,E157))</f>
        <v>0.19430699130049439</v>
      </c>
      <c r="I157" s="5">
        <f>DischargeCoeff(INDEX('Route Data'!$I$7:$I$8,E157), INDEX('Route Data'!$L$7:$L$8,E157)*2*PI()/60, INDEX('Route Data'!$F$7:$F$8,E157))</f>
        <v>0.15939200179827354</v>
      </c>
      <c r="J157" s="8">
        <f>FlowAngleRel(INDEX('Route Data'!$J$7:$J$8,E157)*INDEX('Route Data'!$I$7:$I$8,E157), INDEX('Route Data'!$L$7:$L$8,E157)*2*PI()/60, INDEX('Route Data'!$F$7:$F$8,E157),INDEX('Route Data'!$O$7:$O$8,E157), INDEX('Route Data'!$P$7:$P$8,E157),INDEX('Route Data'!$M$7:$M$8,E157))</f>
        <v>1.130811765868994</v>
      </c>
      <c r="K157" s="8">
        <f>FlowAngleAbsT(INDEX('Route Data'!$K$7:$K$8,E157), INDEX('Route Data'!$I$7:$I$8,E157), INDEX('Route Data'!$I$7:$I$8,E157)*INDEX('Route Data'!$J$7:$J$8,E157), INDEX('Route Data'!$L$7:$L$8,E157)*2*PI()/60, INDEX('Route Data'!$F$7:$F$8,E157),INDEX('Route Data'!$O$7:$O$8,E157), INDEX('Route Data'!$P$7:$P$8,E157), INDEX('Route Data'!$H$7:$H$8,E157), INDEX('Route Data'!$Q$7:$Q$8,E157), INDEX('Route Data'!$M$7:$M$8,E157))</f>
        <v>0.51617226640175828</v>
      </c>
      <c r="L157" s="5">
        <f>INDEX('Route Data'!$N$7:$N$8,E157)</f>
        <v>0.4</v>
      </c>
      <c r="M157" s="8">
        <v>0.67431432008743286</v>
      </c>
      <c r="N157" s="8">
        <f>ProbStrikeFrancis(K157, I157, L157, INDEX('Route Data'!$G$7:$G$8,E157),C157, INDEX('Route Data'!$F$7:$F$8,E157), INDEX('Route Data'!$O$7:$O$8,E157), INDEX('Route Data'!$H$7:$H$18,E157))</f>
        <v>1</v>
      </c>
      <c r="O157" s="5" t="str">
        <f>IF(F157&gt;=1,IF(M157&lt;=N157,"STRIKE","pass"),IF(M157&lt;=INDEX('Route Data'!$R$7:$R$8,E157),"NO PASS","pass"))</f>
        <v>STRIKE</v>
      </c>
      <c r="P157" s="5">
        <f>IF(F157&gt;=1,IF(M157&lt;=N157,1,0),IF(M157&lt;=INDEX('Route Data'!$R$7:$R$8,E157),-1,0))</f>
        <v>1</v>
      </c>
    </row>
    <row r="158" spans="1:16">
      <c r="A158" s="5">
        <v>148</v>
      </c>
      <c r="B158" s="12">
        <v>17.89</v>
      </c>
      <c r="C158" s="12">
        <f t="shared" si="2"/>
        <v>1.49</v>
      </c>
      <c r="D158" s="8">
        <v>0.2934114933013916</v>
      </c>
      <c r="E158" s="5">
        <f>MATCH(D158,'Route Data'!$C$7:$C$8,1)</f>
        <v>2</v>
      </c>
      <c r="F158" s="5">
        <f>INDEX('Route Data'!$D$7:$D$8,E158)</f>
        <v>1</v>
      </c>
      <c r="G158" s="5" t="str">
        <f>INDEX('Route Data'!$A$7:$A$8,E158)</f>
        <v>u18</v>
      </c>
      <c r="H158" s="5">
        <f>EnergyCoeff(INDEX('Route Data'!$K$7:$K$8,E158),INDEX('Route Data'!$L$7:$L$8,E158)*2*PI()/60,INDEX('Route Data'!$F$7:$F$8,E158))</f>
        <v>0.19430699130049439</v>
      </c>
      <c r="I158" s="5">
        <f>DischargeCoeff(INDEX('Route Data'!$I$7:$I$8,E158), INDEX('Route Data'!$L$7:$L$8,E158)*2*PI()/60, INDEX('Route Data'!$F$7:$F$8,E158))</f>
        <v>0.15939200179827354</v>
      </c>
      <c r="J158" s="8">
        <f>FlowAngleRel(INDEX('Route Data'!$J$7:$J$8,E158)*INDEX('Route Data'!$I$7:$I$8,E158), INDEX('Route Data'!$L$7:$L$8,E158)*2*PI()/60, INDEX('Route Data'!$F$7:$F$8,E158),INDEX('Route Data'!$O$7:$O$8,E158), INDEX('Route Data'!$P$7:$P$8,E158),INDEX('Route Data'!$M$7:$M$8,E158))</f>
        <v>1.130811765868994</v>
      </c>
      <c r="K158" s="8">
        <f>FlowAngleAbsT(INDEX('Route Data'!$K$7:$K$8,E158), INDEX('Route Data'!$I$7:$I$8,E158), INDEX('Route Data'!$I$7:$I$8,E158)*INDEX('Route Data'!$J$7:$J$8,E158), INDEX('Route Data'!$L$7:$L$8,E158)*2*PI()/60, INDEX('Route Data'!$F$7:$F$8,E158),INDEX('Route Data'!$O$7:$O$8,E158), INDEX('Route Data'!$P$7:$P$8,E158), INDEX('Route Data'!$H$7:$H$8,E158), INDEX('Route Data'!$Q$7:$Q$8,E158), INDEX('Route Data'!$M$7:$M$8,E158))</f>
        <v>0.51617226640175828</v>
      </c>
      <c r="L158" s="5">
        <f>INDEX('Route Data'!$N$7:$N$8,E158)</f>
        <v>0.4</v>
      </c>
      <c r="M158" s="8">
        <v>4.4115781784057617E-2</v>
      </c>
      <c r="N158" s="8">
        <f>ProbStrikeFrancis(K158, I158, L158, INDEX('Route Data'!$G$7:$G$8,E158),C158, INDEX('Route Data'!$F$7:$F$8,E158), INDEX('Route Data'!$O$7:$O$8,E158), INDEX('Route Data'!$H$7:$H$18,E158))</f>
        <v>1</v>
      </c>
      <c r="O158" s="5" t="str">
        <f>IF(F158&gt;=1,IF(M158&lt;=N158,"STRIKE","pass"),IF(M158&lt;=INDEX('Route Data'!$R$7:$R$8,E158),"NO PASS","pass"))</f>
        <v>STRIKE</v>
      </c>
      <c r="P158" s="5">
        <f>IF(F158&gt;=1,IF(M158&lt;=N158,1,0),IF(M158&lt;=INDEX('Route Data'!$R$7:$R$8,E158),-1,0))</f>
        <v>1</v>
      </c>
    </row>
    <row r="159" spans="1:16">
      <c r="A159" s="5">
        <v>149</v>
      </c>
      <c r="B159" s="12">
        <v>22.75</v>
      </c>
      <c r="C159" s="12">
        <f t="shared" si="2"/>
        <v>1.9</v>
      </c>
      <c r="D159" s="8">
        <v>0.8422045111656189</v>
      </c>
      <c r="E159" s="5">
        <f>MATCH(D159,'Route Data'!$C$7:$C$8,1)</f>
        <v>2</v>
      </c>
      <c r="F159" s="5">
        <f>INDEX('Route Data'!$D$7:$D$8,E159)</f>
        <v>1</v>
      </c>
      <c r="G159" s="5" t="str">
        <f>INDEX('Route Data'!$A$7:$A$8,E159)</f>
        <v>u18</v>
      </c>
      <c r="H159" s="5">
        <f>EnergyCoeff(INDEX('Route Data'!$K$7:$K$8,E159),INDEX('Route Data'!$L$7:$L$8,E159)*2*PI()/60,INDEX('Route Data'!$F$7:$F$8,E159))</f>
        <v>0.19430699130049439</v>
      </c>
      <c r="I159" s="5">
        <f>DischargeCoeff(INDEX('Route Data'!$I$7:$I$8,E159), INDEX('Route Data'!$L$7:$L$8,E159)*2*PI()/60, INDEX('Route Data'!$F$7:$F$8,E159))</f>
        <v>0.15939200179827354</v>
      </c>
      <c r="J159" s="8">
        <f>FlowAngleRel(INDEX('Route Data'!$J$7:$J$8,E159)*INDEX('Route Data'!$I$7:$I$8,E159), INDEX('Route Data'!$L$7:$L$8,E159)*2*PI()/60, INDEX('Route Data'!$F$7:$F$8,E159),INDEX('Route Data'!$O$7:$O$8,E159), INDEX('Route Data'!$P$7:$P$8,E159),INDEX('Route Data'!$M$7:$M$8,E159))</f>
        <v>1.130811765868994</v>
      </c>
      <c r="K159" s="8">
        <f>FlowAngleAbsT(INDEX('Route Data'!$K$7:$K$8,E159), INDEX('Route Data'!$I$7:$I$8,E159), INDEX('Route Data'!$I$7:$I$8,E159)*INDEX('Route Data'!$J$7:$J$8,E159), INDEX('Route Data'!$L$7:$L$8,E159)*2*PI()/60, INDEX('Route Data'!$F$7:$F$8,E159),INDEX('Route Data'!$O$7:$O$8,E159), INDEX('Route Data'!$P$7:$P$8,E159), INDEX('Route Data'!$H$7:$H$8,E159), INDEX('Route Data'!$Q$7:$Q$8,E159), INDEX('Route Data'!$M$7:$M$8,E159))</f>
        <v>0.51617226640175828</v>
      </c>
      <c r="L159" s="5">
        <f>INDEX('Route Data'!$N$7:$N$8,E159)</f>
        <v>0.4</v>
      </c>
      <c r="M159" s="8">
        <v>0.93471139669418335</v>
      </c>
      <c r="N159" s="8">
        <f>ProbStrikeFrancis(K159, I159, L159, INDEX('Route Data'!$G$7:$G$8,E159),C159, INDEX('Route Data'!$F$7:$F$8,E159), INDEX('Route Data'!$O$7:$O$8,E159), INDEX('Route Data'!$H$7:$H$18,E159))</f>
        <v>1</v>
      </c>
      <c r="O159" s="5" t="str">
        <f>IF(F159&gt;=1,IF(M159&lt;=N159,"STRIKE","pass"),IF(M159&lt;=INDEX('Route Data'!$R$7:$R$8,E159),"NO PASS","pass"))</f>
        <v>STRIKE</v>
      </c>
      <c r="P159" s="5">
        <f>IF(F159&gt;=1,IF(M159&lt;=N159,1,0),IF(M159&lt;=INDEX('Route Data'!$R$7:$R$8,E159),-1,0))</f>
        <v>1</v>
      </c>
    </row>
    <row r="160" spans="1:16">
      <c r="A160" s="5">
        <v>150</v>
      </c>
      <c r="B160" s="12">
        <v>21.56</v>
      </c>
      <c r="C160" s="12">
        <f t="shared" si="2"/>
        <v>1.8</v>
      </c>
      <c r="D160" s="8">
        <v>0.93024623394012451</v>
      </c>
      <c r="E160" s="5">
        <f>MATCH(D160,'Route Data'!$C$7:$C$8,1)</f>
        <v>2</v>
      </c>
      <c r="F160" s="5">
        <f>INDEX('Route Data'!$D$7:$D$8,E160)</f>
        <v>1</v>
      </c>
      <c r="G160" s="5" t="str">
        <f>INDEX('Route Data'!$A$7:$A$8,E160)</f>
        <v>u18</v>
      </c>
      <c r="H160" s="5">
        <f>EnergyCoeff(INDEX('Route Data'!$K$7:$K$8,E160),INDEX('Route Data'!$L$7:$L$8,E160)*2*PI()/60,INDEX('Route Data'!$F$7:$F$8,E160))</f>
        <v>0.19430699130049439</v>
      </c>
      <c r="I160" s="5">
        <f>DischargeCoeff(INDEX('Route Data'!$I$7:$I$8,E160), INDEX('Route Data'!$L$7:$L$8,E160)*2*PI()/60, INDEX('Route Data'!$F$7:$F$8,E160))</f>
        <v>0.15939200179827354</v>
      </c>
      <c r="J160" s="8">
        <f>FlowAngleRel(INDEX('Route Data'!$J$7:$J$8,E160)*INDEX('Route Data'!$I$7:$I$8,E160), INDEX('Route Data'!$L$7:$L$8,E160)*2*PI()/60, INDEX('Route Data'!$F$7:$F$8,E160),INDEX('Route Data'!$O$7:$O$8,E160), INDEX('Route Data'!$P$7:$P$8,E160),INDEX('Route Data'!$M$7:$M$8,E160))</f>
        <v>1.130811765868994</v>
      </c>
      <c r="K160" s="8">
        <f>FlowAngleAbsT(INDEX('Route Data'!$K$7:$K$8,E160), INDEX('Route Data'!$I$7:$I$8,E160), INDEX('Route Data'!$I$7:$I$8,E160)*INDEX('Route Data'!$J$7:$J$8,E160), INDEX('Route Data'!$L$7:$L$8,E160)*2*PI()/60, INDEX('Route Data'!$F$7:$F$8,E160),INDEX('Route Data'!$O$7:$O$8,E160), INDEX('Route Data'!$P$7:$P$8,E160), INDEX('Route Data'!$H$7:$H$8,E160), INDEX('Route Data'!$Q$7:$Q$8,E160), INDEX('Route Data'!$M$7:$M$8,E160))</f>
        <v>0.51617226640175828</v>
      </c>
      <c r="L160" s="5">
        <f>INDEX('Route Data'!$N$7:$N$8,E160)</f>
        <v>0.4</v>
      </c>
      <c r="M160" s="8">
        <v>0.73176610469818115</v>
      </c>
      <c r="N160" s="8">
        <f>ProbStrikeFrancis(K160, I160, L160, INDEX('Route Data'!$G$7:$G$8,E160),C160, INDEX('Route Data'!$F$7:$F$8,E160), INDEX('Route Data'!$O$7:$O$8,E160), INDEX('Route Data'!$H$7:$H$18,E160))</f>
        <v>1</v>
      </c>
      <c r="O160" s="5" t="str">
        <f>IF(F160&gt;=1,IF(M160&lt;=N160,"STRIKE","pass"),IF(M160&lt;=INDEX('Route Data'!$R$7:$R$8,E160),"NO PASS","pass"))</f>
        <v>STRIKE</v>
      </c>
      <c r="P160" s="5">
        <f>IF(F160&gt;=1,IF(M160&lt;=N160,1,0),IF(M160&lt;=INDEX('Route Data'!$R$7:$R$8,E160),-1,0))</f>
        <v>1</v>
      </c>
    </row>
    <row r="161" spans="1:16">
      <c r="A161" s="5">
        <v>151</v>
      </c>
      <c r="B161" s="12">
        <v>20.94</v>
      </c>
      <c r="C161" s="12">
        <f t="shared" si="2"/>
        <v>1.75</v>
      </c>
      <c r="D161" s="8">
        <v>0.19727951288223267</v>
      </c>
      <c r="E161" s="5">
        <f>MATCH(D161,'Route Data'!$C$7:$C$8,1)</f>
        <v>2</v>
      </c>
      <c r="F161" s="5">
        <f>INDEX('Route Data'!$D$7:$D$8,E161)</f>
        <v>1</v>
      </c>
      <c r="G161" s="5" t="str">
        <f>INDEX('Route Data'!$A$7:$A$8,E161)</f>
        <v>u18</v>
      </c>
      <c r="H161" s="5">
        <f>EnergyCoeff(INDEX('Route Data'!$K$7:$K$8,E161),INDEX('Route Data'!$L$7:$L$8,E161)*2*PI()/60,INDEX('Route Data'!$F$7:$F$8,E161))</f>
        <v>0.19430699130049439</v>
      </c>
      <c r="I161" s="5">
        <f>DischargeCoeff(INDEX('Route Data'!$I$7:$I$8,E161), INDEX('Route Data'!$L$7:$L$8,E161)*2*PI()/60, INDEX('Route Data'!$F$7:$F$8,E161))</f>
        <v>0.15939200179827354</v>
      </c>
      <c r="J161" s="8">
        <f>FlowAngleRel(INDEX('Route Data'!$J$7:$J$8,E161)*INDEX('Route Data'!$I$7:$I$8,E161), INDEX('Route Data'!$L$7:$L$8,E161)*2*PI()/60, INDEX('Route Data'!$F$7:$F$8,E161),INDEX('Route Data'!$O$7:$O$8,E161), INDEX('Route Data'!$P$7:$P$8,E161),INDEX('Route Data'!$M$7:$M$8,E161))</f>
        <v>1.130811765868994</v>
      </c>
      <c r="K161" s="8">
        <f>FlowAngleAbsT(INDEX('Route Data'!$K$7:$K$8,E161), INDEX('Route Data'!$I$7:$I$8,E161), INDEX('Route Data'!$I$7:$I$8,E161)*INDEX('Route Data'!$J$7:$J$8,E161), INDEX('Route Data'!$L$7:$L$8,E161)*2*PI()/60, INDEX('Route Data'!$F$7:$F$8,E161),INDEX('Route Data'!$O$7:$O$8,E161), INDEX('Route Data'!$P$7:$P$8,E161), INDEX('Route Data'!$H$7:$H$8,E161), INDEX('Route Data'!$Q$7:$Q$8,E161), INDEX('Route Data'!$M$7:$M$8,E161))</f>
        <v>0.51617226640175828</v>
      </c>
      <c r="L161" s="5">
        <f>INDEX('Route Data'!$N$7:$N$8,E161)</f>
        <v>0.4</v>
      </c>
      <c r="M161" s="8">
        <v>0.34060198068618774</v>
      </c>
      <c r="N161" s="8">
        <f>ProbStrikeFrancis(K161, I161, L161, INDEX('Route Data'!$G$7:$G$8,E161),C161, INDEX('Route Data'!$F$7:$F$8,E161), INDEX('Route Data'!$O$7:$O$8,E161), INDEX('Route Data'!$H$7:$H$18,E161))</f>
        <v>1</v>
      </c>
      <c r="O161" s="5" t="str">
        <f>IF(F161&gt;=1,IF(M161&lt;=N161,"STRIKE","pass"),IF(M161&lt;=INDEX('Route Data'!$R$7:$R$8,E161),"NO PASS","pass"))</f>
        <v>STRIKE</v>
      </c>
      <c r="P161" s="5">
        <f>IF(F161&gt;=1,IF(M161&lt;=N161,1,0),IF(M161&lt;=INDEX('Route Data'!$R$7:$R$8,E161),-1,0))</f>
        <v>1</v>
      </c>
    </row>
    <row r="162" spans="1:16">
      <c r="A162" s="5">
        <v>152</v>
      </c>
      <c r="B162" s="12">
        <v>22.73</v>
      </c>
      <c r="C162" s="12">
        <f t="shared" si="2"/>
        <v>1.89</v>
      </c>
      <c r="D162" s="8">
        <v>0.3961796760559082</v>
      </c>
      <c r="E162" s="5">
        <f>MATCH(D162,'Route Data'!$C$7:$C$8,1)</f>
        <v>2</v>
      </c>
      <c r="F162" s="5">
        <f>INDEX('Route Data'!$D$7:$D$8,E162)</f>
        <v>1</v>
      </c>
      <c r="G162" s="5" t="str">
        <f>INDEX('Route Data'!$A$7:$A$8,E162)</f>
        <v>u18</v>
      </c>
      <c r="H162" s="5">
        <f>EnergyCoeff(INDEX('Route Data'!$K$7:$K$8,E162),INDEX('Route Data'!$L$7:$L$8,E162)*2*PI()/60,INDEX('Route Data'!$F$7:$F$8,E162))</f>
        <v>0.19430699130049439</v>
      </c>
      <c r="I162" s="5">
        <f>DischargeCoeff(INDEX('Route Data'!$I$7:$I$8,E162), INDEX('Route Data'!$L$7:$L$8,E162)*2*PI()/60, INDEX('Route Data'!$F$7:$F$8,E162))</f>
        <v>0.15939200179827354</v>
      </c>
      <c r="J162" s="8">
        <f>FlowAngleRel(INDEX('Route Data'!$J$7:$J$8,E162)*INDEX('Route Data'!$I$7:$I$8,E162), INDEX('Route Data'!$L$7:$L$8,E162)*2*PI()/60, INDEX('Route Data'!$F$7:$F$8,E162),INDEX('Route Data'!$O$7:$O$8,E162), INDEX('Route Data'!$P$7:$P$8,E162),INDEX('Route Data'!$M$7:$M$8,E162))</f>
        <v>1.130811765868994</v>
      </c>
      <c r="K162" s="8">
        <f>FlowAngleAbsT(INDEX('Route Data'!$K$7:$K$8,E162), INDEX('Route Data'!$I$7:$I$8,E162), INDEX('Route Data'!$I$7:$I$8,E162)*INDEX('Route Data'!$J$7:$J$8,E162), INDEX('Route Data'!$L$7:$L$8,E162)*2*PI()/60, INDEX('Route Data'!$F$7:$F$8,E162),INDEX('Route Data'!$O$7:$O$8,E162), INDEX('Route Data'!$P$7:$P$8,E162), INDEX('Route Data'!$H$7:$H$8,E162), INDEX('Route Data'!$Q$7:$Q$8,E162), INDEX('Route Data'!$M$7:$M$8,E162))</f>
        <v>0.51617226640175828</v>
      </c>
      <c r="L162" s="5">
        <f>INDEX('Route Data'!$N$7:$N$8,E162)</f>
        <v>0.4</v>
      </c>
      <c r="M162" s="8">
        <v>0.51409435272216797</v>
      </c>
      <c r="N162" s="8">
        <f>ProbStrikeFrancis(K162, I162, L162, INDEX('Route Data'!$G$7:$G$8,E162),C162, INDEX('Route Data'!$F$7:$F$8,E162), INDEX('Route Data'!$O$7:$O$8,E162), INDEX('Route Data'!$H$7:$H$18,E162))</f>
        <v>1</v>
      </c>
      <c r="O162" s="5" t="str">
        <f>IF(F162&gt;=1,IF(M162&lt;=N162,"STRIKE","pass"),IF(M162&lt;=INDEX('Route Data'!$R$7:$R$8,E162),"NO PASS","pass"))</f>
        <v>STRIKE</v>
      </c>
      <c r="P162" s="5">
        <f>IF(F162&gt;=1,IF(M162&lt;=N162,1,0),IF(M162&lt;=INDEX('Route Data'!$R$7:$R$8,E162),-1,0))</f>
        <v>1</v>
      </c>
    </row>
    <row r="163" spans="1:16">
      <c r="A163" s="5">
        <v>153</v>
      </c>
      <c r="B163" s="12">
        <v>25.89</v>
      </c>
      <c r="C163" s="12">
        <f t="shared" si="2"/>
        <v>2.16</v>
      </c>
      <c r="D163" s="8">
        <v>0.79947918653488159</v>
      </c>
      <c r="E163" s="5">
        <f>MATCH(D163,'Route Data'!$C$7:$C$8,1)</f>
        <v>2</v>
      </c>
      <c r="F163" s="5">
        <f>INDEX('Route Data'!$D$7:$D$8,E163)</f>
        <v>1</v>
      </c>
      <c r="G163" s="5" t="str">
        <f>INDEX('Route Data'!$A$7:$A$8,E163)</f>
        <v>u18</v>
      </c>
      <c r="H163" s="5">
        <f>EnergyCoeff(INDEX('Route Data'!$K$7:$K$8,E163),INDEX('Route Data'!$L$7:$L$8,E163)*2*PI()/60,INDEX('Route Data'!$F$7:$F$8,E163))</f>
        <v>0.19430699130049439</v>
      </c>
      <c r="I163" s="5">
        <f>DischargeCoeff(INDEX('Route Data'!$I$7:$I$8,E163), INDEX('Route Data'!$L$7:$L$8,E163)*2*PI()/60, INDEX('Route Data'!$F$7:$F$8,E163))</f>
        <v>0.15939200179827354</v>
      </c>
      <c r="J163" s="8">
        <f>FlowAngleRel(INDEX('Route Data'!$J$7:$J$8,E163)*INDEX('Route Data'!$I$7:$I$8,E163), INDEX('Route Data'!$L$7:$L$8,E163)*2*PI()/60, INDEX('Route Data'!$F$7:$F$8,E163),INDEX('Route Data'!$O$7:$O$8,E163), INDEX('Route Data'!$P$7:$P$8,E163),INDEX('Route Data'!$M$7:$M$8,E163))</f>
        <v>1.130811765868994</v>
      </c>
      <c r="K163" s="8">
        <f>FlowAngleAbsT(INDEX('Route Data'!$K$7:$K$8,E163), INDEX('Route Data'!$I$7:$I$8,E163), INDEX('Route Data'!$I$7:$I$8,E163)*INDEX('Route Data'!$J$7:$J$8,E163), INDEX('Route Data'!$L$7:$L$8,E163)*2*PI()/60, INDEX('Route Data'!$F$7:$F$8,E163),INDEX('Route Data'!$O$7:$O$8,E163), INDEX('Route Data'!$P$7:$P$8,E163), INDEX('Route Data'!$H$7:$H$8,E163), INDEX('Route Data'!$Q$7:$Q$8,E163), INDEX('Route Data'!$M$7:$M$8,E163))</f>
        <v>0.51617226640175828</v>
      </c>
      <c r="L163" s="5">
        <f>INDEX('Route Data'!$N$7:$N$8,E163)</f>
        <v>0.4</v>
      </c>
      <c r="M163" s="8">
        <v>0.52477568387985229</v>
      </c>
      <c r="N163" s="8">
        <f>ProbStrikeFrancis(K163, I163, L163, INDEX('Route Data'!$G$7:$G$8,E163),C163, INDEX('Route Data'!$F$7:$F$8,E163), INDEX('Route Data'!$O$7:$O$8,E163), INDEX('Route Data'!$H$7:$H$18,E163))</f>
        <v>1</v>
      </c>
      <c r="O163" s="5" t="str">
        <f>IF(F163&gt;=1,IF(M163&lt;=N163,"STRIKE","pass"),IF(M163&lt;=INDEX('Route Data'!$R$7:$R$8,E163),"NO PASS","pass"))</f>
        <v>STRIKE</v>
      </c>
      <c r="P163" s="5">
        <f>IF(F163&gt;=1,IF(M163&lt;=N163,1,0),IF(M163&lt;=INDEX('Route Data'!$R$7:$R$8,E163),-1,0))</f>
        <v>1</v>
      </c>
    </row>
    <row r="164" spans="1:16">
      <c r="A164" s="5">
        <v>154</v>
      </c>
      <c r="B164" s="12">
        <v>19.239999999999998</v>
      </c>
      <c r="C164" s="12">
        <f t="shared" si="2"/>
        <v>1.6</v>
      </c>
      <c r="D164" s="8">
        <v>5.8422207832336426E-2</v>
      </c>
      <c r="E164" s="5">
        <f>MATCH(D164,'Route Data'!$C$7:$C$8,1)</f>
        <v>2</v>
      </c>
      <c r="F164" s="5">
        <f>INDEX('Route Data'!$D$7:$D$8,E164)</f>
        <v>1</v>
      </c>
      <c r="G164" s="5" t="str">
        <f>INDEX('Route Data'!$A$7:$A$8,E164)</f>
        <v>u18</v>
      </c>
      <c r="H164" s="5">
        <f>EnergyCoeff(INDEX('Route Data'!$K$7:$K$8,E164),INDEX('Route Data'!$L$7:$L$8,E164)*2*PI()/60,INDEX('Route Data'!$F$7:$F$8,E164))</f>
        <v>0.19430699130049439</v>
      </c>
      <c r="I164" s="5">
        <f>DischargeCoeff(INDEX('Route Data'!$I$7:$I$8,E164), INDEX('Route Data'!$L$7:$L$8,E164)*2*PI()/60, INDEX('Route Data'!$F$7:$F$8,E164))</f>
        <v>0.15939200179827354</v>
      </c>
      <c r="J164" s="8">
        <f>FlowAngleRel(INDEX('Route Data'!$J$7:$J$8,E164)*INDEX('Route Data'!$I$7:$I$8,E164), INDEX('Route Data'!$L$7:$L$8,E164)*2*PI()/60, INDEX('Route Data'!$F$7:$F$8,E164),INDEX('Route Data'!$O$7:$O$8,E164), INDEX('Route Data'!$P$7:$P$8,E164),INDEX('Route Data'!$M$7:$M$8,E164))</f>
        <v>1.130811765868994</v>
      </c>
      <c r="K164" s="8">
        <f>FlowAngleAbsT(INDEX('Route Data'!$K$7:$K$8,E164), INDEX('Route Data'!$I$7:$I$8,E164), INDEX('Route Data'!$I$7:$I$8,E164)*INDEX('Route Data'!$J$7:$J$8,E164), INDEX('Route Data'!$L$7:$L$8,E164)*2*PI()/60, INDEX('Route Data'!$F$7:$F$8,E164),INDEX('Route Data'!$O$7:$O$8,E164), INDEX('Route Data'!$P$7:$P$8,E164), INDEX('Route Data'!$H$7:$H$8,E164), INDEX('Route Data'!$Q$7:$Q$8,E164), INDEX('Route Data'!$M$7:$M$8,E164))</f>
        <v>0.51617226640175828</v>
      </c>
      <c r="L164" s="5">
        <f>INDEX('Route Data'!$N$7:$N$8,E164)</f>
        <v>0.4</v>
      </c>
      <c r="M164" s="8">
        <v>0.49273169040679932</v>
      </c>
      <c r="N164" s="8">
        <f>ProbStrikeFrancis(K164, I164, L164, INDEX('Route Data'!$G$7:$G$8,E164),C164, INDEX('Route Data'!$F$7:$F$8,E164), INDEX('Route Data'!$O$7:$O$8,E164), INDEX('Route Data'!$H$7:$H$18,E164))</f>
        <v>1</v>
      </c>
      <c r="O164" s="5" t="str">
        <f>IF(F164&gt;=1,IF(M164&lt;=N164,"STRIKE","pass"),IF(M164&lt;=INDEX('Route Data'!$R$7:$R$8,E164),"NO PASS","pass"))</f>
        <v>STRIKE</v>
      </c>
      <c r="P164" s="5">
        <f>IF(F164&gt;=1,IF(M164&lt;=N164,1,0),IF(M164&lt;=INDEX('Route Data'!$R$7:$R$8,E164),-1,0))</f>
        <v>1</v>
      </c>
    </row>
    <row r="165" spans="1:16">
      <c r="A165" s="5">
        <v>155</v>
      </c>
      <c r="B165" s="12">
        <v>22.92</v>
      </c>
      <c r="C165" s="12">
        <f t="shared" si="2"/>
        <v>1.91</v>
      </c>
      <c r="D165" s="8">
        <v>0.81275159120559692</v>
      </c>
      <c r="E165" s="5">
        <f>MATCH(D165,'Route Data'!$C$7:$C$8,1)</f>
        <v>2</v>
      </c>
      <c r="F165" s="5">
        <f>INDEX('Route Data'!$D$7:$D$8,E165)</f>
        <v>1</v>
      </c>
      <c r="G165" s="5" t="str">
        <f>INDEX('Route Data'!$A$7:$A$8,E165)</f>
        <v>u18</v>
      </c>
      <c r="H165" s="5">
        <f>EnergyCoeff(INDEX('Route Data'!$K$7:$K$8,E165),INDEX('Route Data'!$L$7:$L$8,E165)*2*PI()/60,INDEX('Route Data'!$F$7:$F$8,E165))</f>
        <v>0.19430699130049439</v>
      </c>
      <c r="I165" s="5">
        <f>DischargeCoeff(INDEX('Route Data'!$I$7:$I$8,E165), INDEX('Route Data'!$L$7:$L$8,E165)*2*PI()/60, INDEX('Route Data'!$F$7:$F$8,E165))</f>
        <v>0.15939200179827354</v>
      </c>
      <c r="J165" s="8">
        <f>FlowAngleRel(INDEX('Route Data'!$J$7:$J$8,E165)*INDEX('Route Data'!$I$7:$I$8,E165), INDEX('Route Data'!$L$7:$L$8,E165)*2*PI()/60, INDEX('Route Data'!$F$7:$F$8,E165),INDEX('Route Data'!$O$7:$O$8,E165), INDEX('Route Data'!$P$7:$P$8,E165),INDEX('Route Data'!$M$7:$M$8,E165))</f>
        <v>1.130811765868994</v>
      </c>
      <c r="K165" s="8">
        <f>FlowAngleAbsT(INDEX('Route Data'!$K$7:$K$8,E165), INDEX('Route Data'!$I$7:$I$8,E165), INDEX('Route Data'!$I$7:$I$8,E165)*INDEX('Route Data'!$J$7:$J$8,E165), INDEX('Route Data'!$L$7:$L$8,E165)*2*PI()/60, INDEX('Route Data'!$F$7:$F$8,E165),INDEX('Route Data'!$O$7:$O$8,E165), INDEX('Route Data'!$P$7:$P$8,E165), INDEX('Route Data'!$H$7:$H$8,E165), INDEX('Route Data'!$Q$7:$Q$8,E165), INDEX('Route Data'!$M$7:$M$8,E165))</f>
        <v>0.51617226640175828</v>
      </c>
      <c r="L165" s="5">
        <f>INDEX('Route Data'!$N$7:$N$8,E165)</f>
        <v>0.4</v>
      </c>
      <c r="M165" s="8">
        <v>0.58886367082595825</v>
      </c>
      <c r="N165" s="8">
        <f>ProbStrikeFrancis(K165, I165, L165, INDEX('Route Data'!$G$7:$G$8,E165),C165, INDEX('Route Data'!$F$7:$F$8,E165), INDEX('Route Data'!$O$7:$O$8,E165), INDEX('Route Data'!$H$7:$H$18,E165))</f>
        <v>1</v>
      </c>
      <c r="O165" s="5" t="str">
        <f>IF(F165&gt;=1,IF(M165&lt;=N165,"STRIKE","pass"),IF(M165&lt;=INDEX('Route Data'!$R$7:$R$8,E165),"NO PASS","pass"))</f>
        <v>STRIKE</v>
      </c>
      <c r="P165" s="5">
        <f>IF(F165&gt;=1,IF(M165&lt;=N165,1,0),IF(M165&lt;=INDEX('Route Data'!$R$7:$R$8,E165),-1,0))</f>
        <v>1</v>
      </c>
    </row>
    <row r="166" spans="1:16">
      <c r="A166" s="5">
        <v>156</v>
      </c>
      <c r="B166" s="12">
        <v>21.03</v>
      </c>
      <c r="C166" s="12">
        <f t="shared" si="2"/>
        <v>1.75</v>
      </c>
      <c r="D166" s="8">
        <v>0.54976344108581543</v>
      </c>
      <c r="E166" s="5">
        <f>MATCH(D166,'Route Data'!$C$7:$C$8,1)</f>
        <v>2</v>
      </c>
      <c r="F166" s="5">
        <f>INDEX('Route Data'!$D$7:$D$8,E166)</f>
        <v>1</v>
      </c>
      <c r="G166" s="5" t="str">
        <f>INDEX('Route Data'!$A$7:$A$8,E166)</f>
        <v>u18</v>
      </c>
      <c r="H166" s="5">
        <f>EnergyCoeff(INDEX('Route Data'!$K$7:$K$8,E166),INDEX('Route Data'!$L$7:$L$8,E166)*2*PI()/60,INDEX('Route Data'!$F$7:$F$8,E166))</f>
        <v>0.19430699130049439</v>
      </c>
      <c r="I166" s="5">
        <f>DischargeCoeff(INDEX('Route Data'!$I$7:$I$8,E166), INDEX('Route Data'!$L$7:$L$8,E166)*2*PI()/60, INDEX('Route Data'!$F$7:$F$8,E166))</f>
        <v>0.15939200179827354</v>
      </c>
      <c r="J166" s="8">
        <f>FlowAngleRel(INDEX('Route Data'!$J$7:$J$8,E166)*INDEX('Route Data'!$I$7:$I$8,E166), INDEX('Route Data'!$L$7:$L$8,E166)*2*PI()/60, INDEX('Route Data'!$F$7:$F$8,E166),INDEX('Route Data'!$O$7:$O$8,E166), INDEX('Route Data'!$P$7:$P$8,E166),INDEX('Route Data'!$M$7:$M$8,E166))</f>
        <v>1.130811765868994</v>
      </c>
      <c r="K166" s="8">
        <f>FlowAngleAbsT(INDEX('Route Data'!$K$7:$K$8,E166), INDEX('Route Data'!$I$7:$I$8,E166), INDEX('Route Data'!$I$7:$I$8,E166)*INDEX('Route Data'!$J$7:$J$8,E166), INDEX('Route Data'!$L$7:$L$8,E166)*2*PI()/60, INDEX('Route Data'!$F$7:$F$8,E166),INDEX('Route Data'!$O$7:$O$8,E166), INDEX('Route Data'!$P$7:$P$8,E166), INDEX('Route Data'!$H$7:$H$8,E166), INDEX('Route Data'!$Q$7:$Q$8,E166), INDEX('Route Data'!$M$7:$M$8,E166))</f>
        <v>0.51617226640175828</v>
      </c>
      <c r="L166" s="5">
        <f>INDEX('Route Data'!$N$7:$N$8,E166)</f>
        <v>0.4</v>
      </c>
      <c r="M166" s="8">
        <v>0.30046772956848145</v>
      </c>
      <c r="N166" s="8">
        <f>ProbStrikeFrancis(K166, I166, L166, INDEX('Route Data'!$G$7:$G$8,E166),C166, INDEX('Route Data'!$F$7:$F$8,E166), INDEX('Route Data'!$O$7:$O$8,E166), INDEX('Route Data'!$H$7:$H$18,E166))</f>
        <v>1</v>
      </c>
      <c r="O166" s="5" t="str">
        <f>IF(F166&gt;=1,IF(M166&lt;=N166,"STRIKE","pass"),IF(M166&lt;=INDEX('Route Data'!$R$7:$R$8,E166),"NO PASS","pass"))</f>
        <v>STRIKE</v>
      </c>
      <c r="P166" s="5">
        <f>IF(F166&gt;=1,IF(M166&lt;=N166,1,0),IF(M166&lt;=INDEX('Route Data'!$R$7:$R$8,E166),-1,0))</f>
        <v>1</v>
      </c>
    </row>
    <row r="167" spans="1:16">
      <c r="A167" s="5">
        <v>157</v>
      </c>
      <c r="B167" s="12">
        <v>22.48</v>
      </c>
      <c r="C167" s="12">
        <f t="shared" si="2"/>
        <v>1.87</v>
      </c>
      <c r="D167" s="8">
        <v>7.3148667812347412E-2</v>
      </c>
      <c r="E167" s="5">
        <f>MATCH(D167,'Route Data'!$C$7:$C$8,1)</f>
        <v>2</v>
      </c>
      <c r="F167" s="5">
        <f>INDEX('Route Data'!$D$7:$D$8,E167)</f>
        <v>1</v>
      </c>
      <c r="G167" s="5" t="str">
        <f>INDEX('Route Data'!$A$7:$A$8,E167)</f>
        <v>u18</v>
      </c>
      <c r="H167" s="5">
        <f>EnergyCoeff(INDEX('Route Data'!$K$7:$K$8,E167),INDEX('Route Data'!$L$7:$L$8,E167)*2*PI()/60,INDEX('Route Data'!$F$7:$F$8,E167))</f>
        <v>0.19430699130049439</v>
      </c>
      <c r="I167" s="5">
        <f>DischargeCoeff(INDEX('Route Data'!$I$7:$I$8,E167), INDEX('Route Data'!$L$7:$L$8,E167)*2*PI()/60, INDEX('Route Data'!$F$7:$F$8,E167))</f>
        <v>0.15939200179827354</v>
      </c>
      <c r="J167" s="8">
        <f>FlowAngleRel(INDEX('Route Data'!$J$7:$J$8,E167)*INDEX('Route Data'!$I$7:$I$8,E167), INDEX('Route Data'!$L$7:$L$8,E167)*2*PI()/60, INDEX('Route Data'!$F$7:$F$8,E167),INDEX('Route Data'!$O$7:$O$8,E167), INDEX('Route Data'!$P$7:$P$8,E167),INDEX('Route Data'!$M$7:$M$8,E167))</f>
        <v>1.130811765868994</v>
      </c>
      <c r="K167" s="8">
        <f>FlowAngleAbsT(INDEX('Route Data'!$K$7:$K$8,E167), INDEX('Route Data'!$I$7:$I$8,E167), INDEX('Route Data'!$I$7:$I$8,E167)*INDEX('Route Data'!$J$7:$J$8,E167), INDEX('Route Data'!$L$7:$L$8,E167)*2*PI()/60, INDEX('Route Data'!$F$7:$F$8,E167),INDEX('Route Data'!$O$7:$O$8,E167), INDEX('Route Data'!$P$7:$P$8,E167), INDEX('Route Data'!$H$7:$H$8,E167), INDEX('Route Data'!$Q$7:$Q$8,E167), INDEX('Route Data'!$M$7:$M$8,E167))</f>
        <v>0.51617226640175828</v>
      </c>
      <c r="L167" s="5">
        <f>INDEX('Route Data'!$N$7:$N$8,E167)</f>
        <v>0.4</v>
      </c>
      <c r="M167" s="8">
        <v>0.16565555334091187</v>
      </c>
      <c r="N167" s="8">
        <f>ProbStrikeFrancis(K167, I167, L167, INDEX('Route Data'!$G$7:$G$8,E167),C167, INDEX('Route Data'!$F$7:$F$8,E167), INDEX('Route Data'!$O$7:$O$8,E167), INDEX('Route Data'!$H$7:$H$18,E167))</f>
        <v>1</v>
      </c>
      <c r="O167" s="5" t="str">
        <f>IF(F167&gt;=1,IF(M167&lt;=N167,"STRIKE","pass"),IF(M167&lt;=INDEX('Route Data'!$R$7:$R$8,E167),"NO PASS","pass"))</f>
        <v>STRIKE</v>
      </c>
      <c r="P167" s="5">
        <f>IF(F167&gt;=1,IF(M167&lt;=N167,1,0),IF(M167&lt;=INDEX('Route Data'!$R$7:$R$8,E167),-1,0))</f>
        <v>1</v>
      </c>
    </row>
    <row r="168" spans="1:16">
      <c r="A168" s="5">
        <v>158</v>
      </c>
      <c r="B168" s="12">
        <v>28.06</v>
      </c>
      <c r="C168" s="12">
        <f t="shared" si="2"/>
        <v>2.34</v>
      </c>
      <c r="D168" s="8">
        <v>0.50299298763275146</v>
      </c>
      <c r="E168" s="5">
        <f>MATCH(D168,'Route Data'!$C$7:$C$8,1)</f>
        <v>2</v>
      </c>
      <c r="F168" s="5">
        <f>INDEX('Route Data'!$D$7:$D$8,E168)</f>
        <v>1</v>
      </c>
      <c r="G168" s="5" t="str">
        <f>INDEX('Route Data'!$A$7:$A$8,E168)</f>
        <v>u18</v>
      </c>
      <c r="H168" s="5">
        <f>EnergyCoeff(INDEX('Route Data'!$K$7:$K$8,E168),INDEX('Route Data'!$L$7:$L$8,E168)*2*PI()/60,INDEX('Route Data'!$F$7:$F$8,E168))</f>
        <v>0.19430699130049439</v>
      </c>
      <c r="I168" s="5">
        <f>DischargeCoeff(INDEX('Route Data'!$I$7:$I$8,E168), INDEX('Route Data'!$L$7:$L$8,E168)*2*PI()/60, INDEX('Route Data'!$F$7:$F$8,E168))</f>
        <v>0.15939200179827354</v>
      </c>
      <c r="J168" s="8">
        <f>FlowAngleRel(INDEX('Route Data'!$J$7:$J$8,E168)*INDEX('Route Data'!$I$7:$I$8,E168), INDEX('Route Data'!$L$7:$L$8,E168)*2*PI()/60, INDEX('Route Data'!$F$7:$F$8,E168),INDEX('Route Data'!$O$7:$O$8,E168), INDEX('Route Data'!$P$7:$P$8,E168),INDEX('Route Data'!$M$7:$M$8,E168))</f>
        <v>1.130811765868994</v>
      </c>
      <c r="K168" s="8">
        <f>FlowAngleAbsT(INDEX('Route Data'!$K$7:$K$8,E168), INDEX('Route Data'!$I$7:$I$8,E168), INDEX('Route Data'!$I$7:$I$8,E168)*INDEX('Route Data'!$J$7:$J$8,E168), INDEX('Route Data'!$L$7:$L$8,E168)*2*PI()/60, INDEX('Route Data'!$F$7:$F$8,E168),INDEX('Route Data'!$O$7:$O$8,E168), INDEX('Route Data'!$P$7:$P$8,E168), INDEX('Route Data'!$H$7:$H$8,E168), INDEX('Route Data'!$Q$7:$Q$8,E168), INDEX('Route Data'!$M$7:$M$8,E168))</f>
        <v>0.51617226640175828</v>
      </c>
      <c r="L168" s="5">
        <f>INDEX('Route Data'!$N$7:$N$8,E168)</f>
        <v>0.4</v>
      </c>
      <c r="M168" s="8">
        <v>0.30451285839080811</v>
      </c>
      <c r="N168" s="8">
        <f>ProbStrikeFrancis(K168, I168, L168, INDEX('Route Data'!$G$7:$G$8,E168),C168, INDEX('Route Data'!$F$7:$F$8,E168), INDEX('Route Data'!$O$7:$O$8,E168), INDEX('Route Data'!$H$7:$H$18,E168))</f>
        <v>1</v>
      </c>
      <c r="O168" s="5" t="str">
        <f>IF(F168&gt;=1,IF(M168&lt;=N168,"STRIKE","pass"),IF(M168&lt;=INDEX('Route Data'!$R$7:$R$8,E168),"NO PASS","pass"))</f>
        <v>STRIKE</v>
      </c>
      <c r="P168" s="5">
        <f>IF(F168&gt;=1,IF(M168&lt;=N168,1,0),IF(M168&lt;=INDEX('Route Data'!$R$7:$R$8,E168),-1,0))</f>
        <v>1</v>
      </c>
    </row>
    <row r="169" spans="1:16">
      <c r="A169" s="5">
        <v>159</v>
      </c>
      <c r="B169" s="12">
        <v>25.83</v>
      </c>
      <c r="C169" s="12">
        <f t="shared" si="2"/>
        <v>2.15</v>
      </c>
      <c r="D169" s="8">
        <v>0.47903925180435181</v>
      </c>
      <c r="E169" s="5">
        <f>MATCH(D169,'Route Data'!$C$7:$C$8,1)</f>
        <v>2</v>
      </c>
      <c r="F169" s="5">
        <f>INDEX('Route Data'!$D$7:$D$8,E169)</f>
        <v>1</v>
      </c>
      <c r="G169" s="5" t="str">
        <f>INDEX('Route Data'!$A$7:$A$8,E169)</f>
        <v>u18</v>
      </c>
      <c r="H169" s="5">
        <f>EnergyCoeff(INDEX('Route Data'!$K$7:$K$8,E169),INDEX('Route Data'!$L$7:$L$8,E169)*2*PI()/60,INDEX('Route Data'!$F$7:$F$8,E169))</f>
        <v>0.19430699130049439</v>
      </c>
      <c r="I169" s="5">
        <f>DischargeCoeff(INDEX('Route Data'!$I$7:$I$8,E169), INDEX('Route Data'!$L$7:$L$8,E169)*2*PI()/60, INDEX('Route Data'!$F$7:$F$8,E169))</f>
        <v>0.15939200179827354</v>
      </c>
      <c r="J169" s="8">
        <f>FlowAngleRel(INDEX('Route Data'!$J$7:$J$8,E169)*INDEX('Route Data'!$I$7:$I$8,E169), INDEX('Route Data'!$L$7:$L$8,E169)*2*PI()/60, INDEX('Route Data'!$F$7:$F$8,E169),INDEX('Route Data'!$O$7:$O$8,E169), INDEX('Route Data'!$P$7:$P$8,E169),INDEX('Route Data'!$M$7:$M$8,E169))</f>
        <v>1.130811765868994</v>
      </c>
      <c r="K169" s="8">
        <f>FlowAngleAbsT(INDEX('Route Data'!$K$7:$K$8,E169), INDEX('Route Data'!$I$7:$I$8,E169), INDEX('Route Data'!$I$7:$I$8,E169)*INDEX('Route Data'!$J$7:$J$8,E169), INDEX('Route Data'!$L$7:$L$8,E169)*2*PI()/60, INDEX('Route Data'!$F$7:$F$8,E169),INDEX('Route Data'!$O$7:$O$8,E169), INDEX('Route Data'!$P$7:$P$8,E169), INDEX('Route Data'!$H$7:$H$8,E169), INDEX('Route Data'!$Q$7:$Q$8,E169), INDEX('Route Data'!$M$7:$M$8,E169))</f>
        <v>0.51617226640175828</v>
      </c>
      <c r="L169" s="5">
        <f>INDEX('Route Data'!$N$7:$N$8,E169)</f>
        <v>0.4</v>
      </c>
      <c r="M169" s="8">
        <v>0.88794094324111938</v>
      </c>
      <c r="N169" s="8">
        <f>ProbStrikeFrancis(K169, I169, L169, INDEX('Route Data'!$G$7:$G$8,E169),C169, INDEX('Route Data'!$F$7:$F$8,E169), INDEX('Route Data'!$O$7:$O$8,E169), INDEX('Route Data'!$H$7:$H$18,E169))</f>
        <v>1</v>
      </c>
      <c r="O169" s="5" t="str">
        <f>IF(F169&gt;=1,IF(M169&lt;=N169,"STRIKE","pass"),IF(M169&lt;=INDEX('Route Data'!$R$7:$R$8,E169),"NO PASS","pass"))</f>
        <v>STRIKE</v>
      </c>
      <c r="P169" s="5">
        <f>IF(F169&gt;=1,IF(M169&lt;=N169,1,0),IF(M169&lt;=INDEX('Route Data'!$R$7:$R$8,E169),-1,0))</f>
        <v>1</v>
      </c>
    </row>
    <row r="170" spans="1:16">
      <c r="A170" s="5">
        <v>160</v>
      </c>
      <c r="B170" s="12">
        <v>21.87</v>
      </c>
      <c r="C170" s="12">
        <f t="shared" si="2"/>
        <v>1.82</v>
      </c>
      <c r="D170" s="8">
        <v>1.9742012023925781E-2</v>
      </c>
      <c r="E170" s="5">
        <f>MATCH(D170,'Route Data'!$C$7:$C$8,1)</f>
        <v>2</v>
      </c>
      <c r="F170" s="5">
        <f>INDEX('Route Data'!$D$7:$D$8,E170)</f>
        <v>1</v>
      </c>
      <c r="G170" s="5" t="str">
        <f>INDEX('Route Data'!$A$7:$A$8,E170)</f>
        <v>u18</v>
      </c>
      <c r="H170" s="5">
        <f>EnergyCoeff(INDEX('Route Data'!$K$7:$K$8,E170),INDEX('Route Data'!$L$7:$L$8,E170)*2*PI()/60,INDEX('Route Data'!$F$7:$F$8,E170))</f>
        <v>0.19430699130049439</v>
      </c>
      <c r="I170" s="5">
        <f>DischargeCoeff(INDEX('Route Data'!$I$7:$I$8,E170), INDEX('Route Data'!$L$7:$L$8,E170)*2*PI()/60, INDEX('Route Data'!$F$7:$F$8,E170))</f>
        <v>0.15939200179827354</v>
      </c>
      <c r="J170" s="8">
        <f>FlowAngleRel(INDEX('Route Data'!$J$7:$J$8,E170)*INDEX('Route Data'!$I$7:$I$8,E170), INDEX('Route Data'!$L$7:$L$8,E170)*2*PI()/60, INDEX('Route Data'!$F$7:$F$8,E170),INDEX('Route Data'!$O$7:$O$8,E170), INDEX('Route Data'!$P$7:$P$8,E170),INDEX('Route Data'!$M$7:$M$8,E170))</f>
        <v>1.130811765868994</v>
      </c>
      <c r="K170" s="8">
        <f>FlowAngleAbsT(INDEX('Route Data'!$K$7:$K$8,E170), INDEX('Route Data'!$I$7:$I$8,E170), INDEX('Route Data'!$I$7:$I$8,E170)*INDEX('Route Data'!$J$7:$J$8,E170), INDEX('Route Data'!$L$7:$L$8,E170)*2*PI()/60, INDEX('Route Data'!$F$7:$F$8,E170),INDEX('Route Data'!$O$7:$O$8,E170), INDEX('Route Data'!$P$7:$P$8,E170), INDEX('Route Data'!$H$7:$H$8,E170), INDEX('Route Data'!$Q$7:$Q$8,E170), INDEX('Route Data'!$M$7:$M$8,E170))</f>
        <v>0.51617226640175828</v>
      </c>
      <c r="L170" s="5">
        <f>INDEX('Route Data'!$N$7:$N$8,E170)</f>
        <v>0.4</v>
      </c>
      <c r="M170" s="8">
        <v>0.13765668869018555</v>
      </c>
      <c r="N170" s="8">
        <f>ProbStrikeFrancis(K170, I170, L170, INDEX('Route Data'!$G$7:$G$8,E170),C170, INDEX('Route Data'!$F$7:$F$8,E170), INDEX('Route Data'!$O$7:$O$8,E170), INDEX('Route Data'!$H$7:$H$18,E170))</f>
        <v>1</v>
      </c>
      <c r="O170" s="5" t="str">
        <f>IF(F170&gt;=1,IF(M170&lt;=N170,"STRIKE","pass"),IF(M170&lt;=INDEX('Route Data'!$R$7:$R$8,E170),"NO PASS","pass"))</f>
        <v>STRIKE</v>
      </c>
      <c r="P170" s="5">
        <f>IF(F170&gt;=1,IF(M170&lt;=N170,1,0),IF(M170&lt;=INDEX('Route Data'!$R$7:$R$8,E170),-1,0))</f>
        <v>1</v>
      </c>
    </row>
    <row r="171" spans="1:16">
      <c r="A171" s="5">
        <v>161</v>
      </c>
      <c r="B171" s="12">
        <v>22.15</v>
      </c>
      <c r="C171" s="12">
        <f t="shared" si="2"/>
        <v>1.85</v>
      </c>
      <c r="D171" s="8">
        <v>0.66321295499801636</v>
      </c>
      <c r="E171" s="5">
        <f>MATCH(D171,'Route Data'!$C$7:$C$8,1)</f>
        <v>2</v>
      </c>
      <c r="F171" s="5">
        <f>INDEX('Route Data'!$D$7:$D$8,E171)</f>
        <v>1</v>
      </c>
      <c r="G171" s="5" t="str">
        <f>INDEX('Route Data'!$A$7:$A$8,E171)</f>
        <v>u18</v>
      </c>
      <c r="H171" s="5">
        <f>EnergyCoeff(INDEX('Route Data'!$K$7:$K$8,E171),INDEX('Route Data'!$L$7:$L$8,E171)*2*PI()/60,INDEX('Route Data'!$F$7:$F$8,E171))</f>
        <v>0.19430699130049439</v>
      </c>
      <c r="I171" s="5">
        <f>DischargeCoeff(INDEX('Route Data'!$I$7:$I$8,E171), INDEX('Route Data'!$L$7:$L$8,E171)*2*PI()/60, INDEX('Route Data'!$F$7:$F$8,E171))</f>
        <v>0.15939200179827354</v>
      </c>
      <c r="J171" s="8">
        <f>FlowAngleRel(INDEX('Route Data'!$J$7:$J$8,E171)*INDEX('Route Data'!$I$7:$I$8,E171), INDEX('Route Data'!$L$7:$L$8,E171)*2*PI()/60, INDEX('Route Data'!$F$7:$F$8,E171),INDEX('Route Data'!$O$7:$O$8,E171), INDEX('Route Data'!$P$7:$P$8,E171),INDEX('Route Data'!$M$7:$M$8,E171))</f>
        <v>1.130811765868994</v>
      </c>
      <c r="K171" s="8">
        <f>FlowAngleAbsT(INDEX('Route Data'!$K$7:$K$8,E171), INDEX('Route Data'!$I$7:$I$8,E171), INDEX('Route Data'!$I$7:$I$8,E171)*INDEX('Route Data'!$J$7:$J$8,E171), INDEX('Route Data'!$L$7:$L$8,E171)*2*PI()/60, INDEX('Route Data'!$F$7:$F$8,E171),INDEX('Route Data'!$O$7:$O$8,E171), INDEX('Route Data'!$P$7:$P$8,E171), INDEX('Route Data'!$H$7:$H$8,E171), INDEX('Route Data'!$Q$7:$Q$8,E171), INDEX('Route Data'!$M$7:$M$8,E171))</f>
        <v>0.51617226640175828</v>
      </c>
      <c r="L171" s="5">
        <f>INDEX('Route Data'!$N$7:$N$8,E171)</f>
        <v>0.4</v>
      </c>
      <c r="M171" s="8">
        <v>0.12293022871017456</v>
      </c>
      <c r="N171" s="8">
        <f>ProbStrikeFrancis(K171, I171, L171, INDEX('Route Data'!$G$7:$G$8,E171),C171, INDEX('Route Data'!$F$7:$F$8,E171), INDEX('Route Data'!$O$7:$O$8,E171), INDEX('Route Data'!$H$7:$H$18,E171))</f>
        <v>1</v>
      </c>
      <c r="O171" s="5" t="str">
        <f>IF(F171&gt;=1,IF(M171&lt;=N171,"STRIKE","pass"),IF(M171&lt;=INDEX('Route Data'!$R$7:$R$8,E171),"NO PASS","pass"))</f>
        <v>STRIKE</v>
      </c>
      <c r="P171" s="5">
        <f>IF(F171&gt;=1,IF(M171&lt;=N171,1,0),IF(M171&lt;=INDEX('Route Data'!$R$7:$R$8,E171),-1,0))</f>
        <v>1</v>
      </c>
    </row>
    <row r="172" spans="1:16">
      <c r="A172" s="5">
        <v>162</v>
      </c>
      <c r="B172" s="12">
        <v>18.32</v>
      </c>
      <c r="C172" s="12">
        <f t="shared" si="2"/>
        <v>1.53</v>
      </c>
      <c r="D172" s="8">
        <v>0.99837934970855713</v>
      </c>
      <c r="E172" s="5">
        <f>MATCH(D172,'Route Data'!$C$7:$C$8,1)</f>
        <v>2</v>
      </c>
      <c r="F172" s="5">
        <f>INDEX('Route Data'!$D$7:$D$8,E172)</f>
        <v>1</v>
      </c>
      <c r="G172" s="5" t="str">
        <f>INDEX('Route Data'!$A$7:$A$8,E172)</f>
        <v>u18</v>
      </c>
      <c r="H172" s="5">
        <f>EnergyCoeff(INDEX('Route Data'!$K$7:$K$8,E172),INDEX('Route Data'!$L$7:$L$8,E172)*2*PI()/60,INDEX('Route Data'!$F$7:$F$8,E172))</f>
        <v>0.19430699130049439</v>
      </c>
      <c r="I172" s="5">
        <f>DischargeCoeff(INDEX('Route Data'!$I$7:$I$8,E172), INDEX('Route Data'!$L$7:$L$8,E172)*2*PI()/60, INDEX('Route Data'!$F$7:$F$8,E172))</f>
        <v>0.15939200179827354</v>
      </c>
      <c r="J172" s="8">
        <f>FlowAngleRel(INDEX('Route Data'!$J$7:$J$8,E172)*INDEX('Route Data'!$I$7:$I$8,E172), INDEX('Route Data'!$L$7:$L$8,E172)*2*PI()/60, INDEX('Route Data'!$F$7:$F$8,E172),INDEX('Route Data'!$O$7:$O$8,E172), INDEX('Route Data'!$P$7:$P$8,E172),INDEX('Route Data'!$M$7:$M$8,E172))</f>
        <v>1.130811765868994</v>
      </c>
      <c r="K172" s="8">
        <f>FlowAngleAbsT(INDEX('Route Data'!$K$7:$K$8,E172), INDEX('Route Data'!$I$7:$I$8,E172), INDEX('Route Data'!$I$7:$I$8,E172)*INDEX('Route Data'!$J$7:$J$8,E172), INDEX('Route Data'!$L$7:$L$8,E172)*2*PI()/60, INDEX('Route Data'!$F$7:$F$8,E172),INDEX('Route Data'!$O$7:$O$8,E172), INDEX('Route Data'!$P$7:$P$8,E172), INDEX('Route Data'!$H$7:$H$8,E172), INDEX('Route Data'!$Q$7:$Q$8,E172), INDEX('Route Data'!$M$7:$M$8,E172))</f>
        <v>0.51617226640175828</v>
      </c>
      <c r="L172" s="5">
        <f>INDEX('Route Data'!$N$7:$N$8,E172)</f>
        <v>0.4</v>
      </c>
      <c r="M172" s="8">
        <v>0.43268883228302002</v>
      </c>
      <c r="N172" s="8">
        <f>ProbStrikeFrancis(K172, I172, L172, INDEX('Route Data'!$G$7:$G$8,E172),C172, INDEX('Route Data'!$F$7:$F$8,E172), INDEX('Route Data'!$O$7:$O$8,E172), INDEX('Route Data'!$H$7:$H$18,E172))</f>
        <v>1</v>
      </c>
      <c r="O172" s="5" t="str">
        <f>IF(F172&gt;=1,IF(M172&lt;=N172,"STRIKE","pass"),IF(M172&lt;=INDEX('Route Data'!$R$7:$R$8,E172),"NO PASS","pass"))</f>
        <v>STRIKE</v>
      </c>
      <c r="P172" s="5">
        <f>IF(F172&gt;=1,IF(M172&lt;=N172,1,0),IF(M172&lt;=INDEX('Route Data'!$R$7:$R$8,E172),-1,0))</f>
        <v>1</v>
      </c>
    </row>
    <row r="173" spans="1:16">
      <c r="A173" s="5">
        <v>163</v>
      </c>
      <c r="B173" s="12">
        <v>22.26</v>
      </c>
      <c r="C173" s="12">
        <f t="shared" si="2"/>
        <v>1.86</v>
      </c>
      <c r="D173" s="8">
        <v>0.72730094194412231</v>
      </c>
      <c r="E173" s="5">
        <f>MATCH(D173,'Route Data'!$C$7:$C$8,1)</f>
        <v>2</v>
      </c>
      <c r="F173" s="5">
        <f>INDEX('Route Data'!$D$7:$D$8,E173)</f>
        <v>1</v>
      </c>
      <c r="G173" s="5" t="str">
        <f>INDEX('Route Data'!$A$7:$A$8,E173)</f>
        <v>u18</v>
      </c>
      <c r="H173" s="5">
        <f>EnergyCoeff(INDEX('Route Data'!$K$7:$K$8,E173),INDEX('Route Data'!$L$7:$L$8,E173)*2*PI()/60,INDEX('Route Data'!$F$7:$F$8,E173))</f>
        <v>0.19430699130049439</v>
      </c>
      <c r="I173" s="5">
        <f>DischargeCoeff(INDEX('Route Data'!$I$7:$I$8,E173), INDEX('Route Data'!$L$7:$L$8,E173)*2*PI()/60, INDEX('Route Data'!$F$7:$F$8,E173))</f>
        <v>0.15939200179827354</v>
      </c>
      <c r="J173" s="8">
        <f>FlowAngleRel(INDEX('Route Data'!$J$7:$J$8,E173)*INDEX('Route Data'!$I$7:$I$8,E173), INDEX('Route Data'!$L$7:$L$8,E173)*2*PI()/60, INDEX('Route Data'!$F$7:$F$8,E173),INDEX('Route Data'!$O$7:$O$8,E173), INDEX('Route Data'!$P$7:$P$8,E173),INDEX('Route Data'!$M$7:$M$8,E173))</f>
        <v>1.130811765868994</v>
      </c>
      <c r="K173" s="8">
        <f>FlowAngleAbsT(INDEX('Route Data'!$K$7:$K$8,E173), INDEX('Route Data'!$I$7:$I$8,E173), INDEX('Route Data'!$I$7:$I$8,E173)*INDEX('Route Data'!$J$7:$J$8,E173), INDEX('Route Data'!$L$7:$L$8,E173)*2*PI()/60, INDEX('Route Data'!$F$7:$F$8,E173),INDEX('Route Data'!$O$7:$O$8,E173), INDEX('Route Data'!$P$7:$P$8,E173), INDEX('Route Data'!$H$7:$H$8,E173), INDEX('Route Data'!$Q$7:$Q$8,E173), INDEX('Route Data'!$M$7:$M$8,E173))</f>
        <v>0.51617226640175828</v>
      </c>
      <c r="L173" s="5">
        <f>INDEX('Route Data'!$N$7:$N$8,E173)</f>
        <v>0.4</v>
      </c>
      <c r="M173" s="8">
        <v>0.50341302156448364</v>
      </c>
      <c r="N173" s="8">
        <f>ProbStrikeFrancis(K173, I173, L173, INDEX('Route Data'!$G$7:$G$8,E173),C173, INDEX('Route Data'!$F$7:$F$8,E173), INDEX('Route Data'!$O$7:$O$8,E173), INDEX('Route Data'!$H$7:$H$18,E173))</f>
        <v>1</v>
      </c>
      <c r="O173" s="5" t="str">
        <f>IF(F173&gt;=1,IF(M173&lt;=N173,"STRIKE","pass"),IF(M173&lt;=INDEX('Route Data'!$R$7:$R$8,E173),"NO PASS","pass"))</f>
        <v>STRIKE</v>
      </c>
      <c r="P173" s="5">
        <f>IF(F173&gt;=1,IF(M173&lt;=N173,1,0),IF(M173&lt;=INDEX('Route Data'!$R$7:$R$8,E173),-1,0))</f>
        <v>1</v>
      </c>
    </row>
    <row r="174" spans="1:16">
      <c r="A174" s="5">
        <v>164</v>
      </c>
      <c r="B174" s="12">
        <v>23.07</v>
      </c>
      <c r="C174" s="12">
        <f t="shared" si="2"/>
        <v>1.92</v>
      </c>
      <c r="D174" s="8">
        <v>0.80611538887023926</v>
      </c>
      <c r="E174" s="5">
        <f>MATCH(D174,'Route Data'!$C$7:$C$8,1)</f>
        <v>2</v>
      </c>
      <c r="F174" s="5">
        <f>INDEX('Route Data'!$D$7:$D$8,E174)</f>
        <v>1</v>
      </c>
      <c r="G174" s="5" t="str">
        <f>INDEX('Route Data'!$A$7:$A$8,E174)</f>
        <v>u18</v>
      </c>
      <c r="H174" s="5">
        <f>EnergyCoeff(INDEX('Route Data'!$K$7:$K$8,E174),INDEX('Route Data'!$L$7:$L$8,E174)*2*PI()/60,INDEX('Route Data'!$F$7:$F$8,E174))</f>
        <v>0.19430699130049439</v>
      </c>
      <c r="I174" s="5">
        <f>DischargeCoeff(INDEX('Route Data'!$I$7:$I$8,E174), INDEX('Route Data'!$L$7:$L$8,E174)*2*PI()/60, INDEX('Route Data'!$F$7:$F$8,E174))</f>
        <v>0.15939200179827354</v>
      </c>
      <c r="J174" s="8">
        <f>FlowAngleRel(INDEX('Route Data'!$J$7:$J$8,E174)*INDEX('Route Data'!$I$7:$I$8,E174), INDEX('Route Data'!$L$7:$L$8,E174)*2*PI()/60, INDEX('Route Data'!$F$7:$F$8,E174),INDEX('Route Data'!$O$7:$O$8,E174), INDEX('Route Data'!$P$7:$P$8,E174),INDEX('Route Data'!$M$7:$M$8,E174))</f>
        <v>1.130811765868994</v>
      </c>
      <c r="K174" s="8">
        <f>FlowAngleAbsT(INDEX('Route Data'!$K$7:$K$8,E174), INDEX('Route Data'!$I$7:$I$8,E174), INDEX('Route Data'!$I$7:$I$8,E174)*INDEX('Route Data'!$J$7:$J$8,E174), INDEX('Route Data'!$L$7:$L$8,E174)*2*PI()/60, INDEX('Route Data'!$F$7:$F$8,E174),INDEX('Route Data'!$O$7:$O$8,E174), INDEX('Route Data'!$P$7:$P$8,E174), INDEX('Route Data'!$H$7:$H$8,E174), INDEX('Route Data'!$Q$7:$Q$8,E174), INDEX('Route Data'!$M$7:$M$8,E174))</f>
        <v>0.51617226640175828</v>
      </c>
      <c r="L174" s="5">
        <f>INDEX('Route Data'!$N$7:$N$8,E174)</f>
        <v>0.4</v>
      </c>
      <c r="M174" s="8">
        <v>0.55681967735290527</v>
      </c>
      <c r="N174" s="8">
        <f>ProbStrikeFrancis(K174, I174, L174, INDEX('Route Data'!$G$7:$G$8,E174),C174, INDEX('Route Data'!$F$7:$F$8,E174), INDEX('Route Data'!$O$7:$O$8,E174), INDEX('Route Data'!$H$7:$H$18,E174))</f>
        <v>1</v>
      </c>
      <c r="O174" s="5" t="str">
        <f>IF(F174&gt;=1,IF(M174&lt;=N174,"STRIKE","pass"),IF(M174&lt;=INDEX('Route Data'!$R$7:$R$8,E174),"NO PASS","pass"))</f>
        <v>STRIKE</v>
      </c>
      <c r="P174" s="5">
        <f>IF(F174&gt;=1,IF(M174&lt;=N174,1,0),IF(M174&lt;=INDEX('Route Data'!$R$7:$R$8,E174),-1,0))</f>
        <v>1</v>
      </c>
    </row>
    <row r="175" spans="1:16">
      <c r="A175" s="5">
        <v>165</v>
      </c>
      <c r="B175" s="12">
        <v>24.41</v>
      </c>
      <c r="C175" s="12">
        <f t="shared" si="2"/>
        <v>2.0299999999999998</v>
      </c>
      <c r="D175" s="8">
        <v>0.30409282445907593</v>
      </c>
      <c r="E175" s="5">
        <f>MATCH(D175,'Route Data'!$C$7:$C$8,1)</f>
        <v>2</v>
      </c>
      <c r="F175" s="5">
        <f>INDEX('Route Data'!$D$7:$D$8,E175)</f>
        <v>1</v>
      </c>
      <c r="G175" s="5" t="str">
        <f>INDEX('Route Data'!$A$7:$A$8,E175)</f>
        <v>u18</v>
      </c>
      <c r="H175" s="5">
        <f>EnergyCoeff(INDEX('Route Data'!$K$7:$K$8,E175),INDEX('Route Data'!$L$7:$L$8,E175)*2*PI()/60,INDEX('Route Data'!$F$7:$F$8,E175))</f>
        <v>0.19430699130049439</v>
      </c>
      <c r="I175" s="5">
        <f>DischargeCoeff(INDEX('Route Data'!$I$7:$I$8,E175), INDEX('Route Data'!$L$7:$L$8,E175)*2*PI()/60, INDEX('Route Data'!$F$7:$F$8,E175))</f>
        <v>0.15939200179827354</v>
      </c>
      <c r="J175" s="8">
        <f>FlowAngleRel(INDEX('Route Data'!$J$7:$J$8,E175)*INDEX('Route Data'!$I$7:$I$8,E175), INDEX('Route Data'!$L$7:$L$8,E175)*2*PI()/60, INDEX('Route Data'!$F$7:$F$8,E175),INDEX('Route Data'!$O$7:$O$8,E175), INDEX('Route Data'!$P$7:$P$8,E175),INDEX('Route Data'!$M$7:$M$8,E175))</f>
        <v>1.130811765868994</v>
      </c>
      <c r="K175" s="8">
        <f>FlowAngleAbsT(INDEX('Route Data'!$K$7:$K$8,E175), INDEX('Route Data'!$I$7:$I$8,E175), INDEX('Route Data'!$I$7:$I$8,E175)*INDEX('Route Data'!$J$7:$J$8,E175), INDEX('Route Data'!$L$7:$L$8,E175)*2*PI()/60, INDEX('Route Data'!$F$7:$F$8,E175),INDEX('Route Data'!$O$7:$O$8,E175), INDEX('Route Data'!$P$7:$P$8,E175), INDEX('Route Data'!$H$7:$H$8,E175), INDEX('Route Data'!$Q$7:$Q$8,E175), INDEX('Route Data'!$M$7:$M$8,E175))</f>
        <v>0.51617226640175828</v>
      </c>
      <c r="L175" s="5">
        <f>INDEX('Route Data'!$N$7:$N$8,E175)</f>
        <v>0.4</v>
      </c>
      <c r="M175" s="8">
        <v>0.39659970998764038</v>
      </c>
      <c r="N175" s="8">
        <f>ProbStrikeFrancis(K175, I175, L175, INDEX('Route Data'!$G$7:$G$8,E175),C175, INDEX('Route Data'!$F$7:$F$8,E175), INDEX('Route Data'!$O$7:$O$8,E175), INDEX('Route Data'!$H$7:$H$18,E175))</f>
        <v>1</v>
      </c>
      <c r="O175" s="5" t="str">
        <f>IF(F175&gt;=1,IF(M175&lt;=N175,"STRIKE","pass"),IF(M175&lt;=INDEX('Route Data'!$R$7:$R$8,E175),"NO PASS","pass"))</f>
        <v>STRIKE</v>
      </c>
      <c r="P175" s="5">
        <f>IF(F175&gt;=1,IF(M175&lt;=N175,1,0),IF(M175&lt;=INDEX('Route Data'!$R$7:$R$8,E175),-1,0))</f>
        <v>1</v>
      </c>
    </row>
    <row r="176" spans="1:16">
      <c r="A176" s="5">
        <v>166</v>
      </c>
      <c r="B176" s="12">
        <v>22.7</v>
      </c>
      <c r="C176" s="12">
        <f t="shared" si="2"/>
        <v>1.89</v>
      </c>
      <c r="D176" s="8">
        <v>0.81016051769256592</v>
      </c>
      <c r="E176" s="5">
        <f>MATCH(D176,'Route Data'!$C$7:$C$8,1)</f>
        <v>2</v>
      </c>
      <c r="F176" s="5">
        <f>INDEX('Route Data'!$D$7:$D$8,E176)</f>
        <v>1</v>
      </c>
      <c r="G176" s="5" t="str">
        <f>INDEX('Route Data'!$A$7:$A$8,E176)</f>
        <v>u18</v>
      </c>
      <c r="H176" s="5">
        <f>EnergyCoeff(INDEX('Route Data'!$K$7:$K$8,E176),INDEX('Route Data'!$L$7:$L$8,E176)*2*PI()/60,INDEX('Route Data'!$F$7:$F$8,E176))</f>
        <v>0.19430699130049439</v>
      </c>
      <c r="I176" s="5">
        <f>DischargeCoeff(INDEX('Route Data'!$I$7:$I$8,E176), INDEX('Route Data'!$L$7:$L$8,E176)*2*PI()/60, INDEX('Route Data'!$F$7:$F$8,E176))</f>
        <v>0.15939200179827354</v>
      </c>
      <c r="J176" s="8">
        <f>FlowAngleRel(INDEX('Route Data'!$J$7:$J$8,E176)*INDEX('Route Data'!$I$7:$I$8,E176), INDEX('Route Data'!$L$7:$L$8,E176)*2*PI()/60, INDEX('Route Data'!$F$7:$F$8,E176),INDEX('Route Data'!$O$7:$O$8,E176), INDEX('Route Data'!$P$7:$P$8,E176),INDEX('Route Data'!$M$7:$M$8,E176))</f>
        <v>1.130811765868994</v>
      </c>
      <c r="K176" s="8">
        <f>FlowAngleAbsT(INDEX('Route Data'!$K$7:$K$8,E176), INDEX('Route Data'!$I$7:$I$8,E176), INDEX('Route Data'!$I$7:$I$8,E176)*INDEX('Route Data'!$J$7:$J$8,E176), INDEX('Route Data'!$L$7:$L$8,E176)*2*PI()/60, INDEX('Route Data'!$F$7:$F$8,E176),INDEX('Route Data'!$O$7:$O$8,E176), INDEX('Route Data'!$P$7:$P$8,E176), INDEX('Route Data'!$H$7:$H$8,E176), INDEX('Route Data'!$Q$7:$Q$8,E176), INDEX('Route Data'!$M$7:$M$8,E176))</f>
        <v>0.51617226640175828</v>
      </c>
      <c r="L176" s="5">
        <f>INDEX('Route Data'!$N$7:$N$8,E176)</f>
        <v>0.4</v>
      </c>
      <c r="M176" s="8">
        <v>0.87725961208343506</v>
      </c>
      <c r="N176" s="8">
        <f>ProbStrikeFrancis(K176, I176, L176, INDEX('Route Data'!$G$7:$G$8,E176),C176, INDEX('Route Data'!$F$7:$F$8,E176), INDEX('Route Data'!$O$7:$O$8,E176), INDEX('Route Data'!$H$7:$H$18,E176))</f>
        <v>1</v>
      </c>
      <c r="O176" s="5" t="str">
        <f>IF(F176&gt;=1,IF(M176&lt;=N176,"STRIKE","pass"),IF(M176&lt;=INDEX('Route Data'!$R$7:$R$8,E176),"NO PASS","pass"))</f>
        <v>STRIKE</v>
      </c>
      <c r="P176" s="5">
        <f>IF(F176&gt;=1,IF(M176&lt;=N176,1,0),IF(M176&lt;=INDEX('Route Data'!$R$7:$R$8,E176),-1,0))</f>
        <v>1</v>
      </c>
    </row>
    <row r="177" spans="1:16">
      <c r="A177" s="5">
        <v>167</v>
      </c>
      <c r="B177" s="12">
        <v>19.16</v>
      </c>
      <c r="C177" s="12">
        <f t="shared" si="2"/>
        <v>1.6</v>
      </c>
      <c r="D177" s="8">
        <v>0.90174442529678345</v>
      </c>
      <c r="E177" s="5">
        <f>MATCH(D177,'Route Data'!$C$7:$C$8,1)</f>
        <v>2</v>
      </c>
      <c r="F177" s="5">
        <f>INDEX('Route Data'!$D$7:$D$8,E177)</f>
        <v>1</v>
      </c>
      <c r="G177" s="5" t="str">
        <f>INDEX('Route Data'!$A$7:$A$8,E177)</f>
        <v>u18</v>
      </c>
      <c r="H177" s="5">
        <f>EnergyCoeff(INDEX('Route Data'!$K$7:$K$8,E177),INDEX('Route Data'!$L$7:$L$8,E177)*2*PI()/60,INDEX('Route Data'!$F$7:$F$8,E177))</f>
        <v>0.19430699130049439</v>
      </c>
      <c r="I177" s="5">
        <f>DischargeCoeff(INDEX('Route Data'!$I$7:$I$8,E177), INDEX('Route Data'!$L$7:$L$8,E177)*2*PI()/60, INDEX('Route Data'!$F$7:$F$8,E177))</f>
        <v>0.15939200179827354</v>
      </c>
      <c r="J177" s="8">
        <f>FlowAngleRel(INDEX('Route Data'!$J$7:$J$8,E177)*INDEX('Route Data'!$I$7:$I$8,E177), INDEX('Route Data'!$L$7:$L$8,E177)*2*PI()/60, INDEX('Route Data'!$F$7:$F$8,E177),INDEX('Route Data'!$O$7:$O$8,E177), INDEX('Route Data'!$P$7:$P$8,E177),INDEX('Route Data'!$M$7:$M$8,E177))</f>
        <v>1.130811765868994</v>
      </c>
      <c r="K177" s="8">
        <f>FlowAngleAbsT(INDEX('Route Data'!$K$7:$K$8,E177), INDEX('Route Data'!$I$7:$I$8,E177), INDEX('Route Data'!$I$7:$I$8,E177)*INDEX('Route Data'!$J$7:$J$8,E177), INDEX('Route Data'!$L$7:$L$8,E177)*2*PI()/60, INDEX('Route Data'!$F$7:$F$8,E177),INDEX('Route Data'!$O$7:$O$8,E177), INDEX('Route Data'!$P$7:$P$8,E177), INDEX('Route Data'!$H$7:$H$8,E177), INDEX('Route Data'!$Q$7:$Q$8,E177), INDEX('Route Data'!$M$7:$M$8,E177))</f>
        <v>0.51617226640175828</v>
      </c>
      <c r="L177" s="5">
        <f>INDEX('Route Data'!$N$7:$N$8,E177)</f>
        <v>0.4</v>
      </c>
      <c r="M177" s="8">
        <v>0.16970068216323853</v>
      </c>
      <c r="N177" s="8">
        <f>ProbStrikeFrancis(K177, I177, L177, INDEX('Route Data'!$G$7:$G$8,E177),C177, INDEX('Route Data'!$F$7:$F$8,E177), INDEX('Route Data'!$O$7:$O$8,E177), INDEX('Route Data'!$H$7:$H$18,E177))</f>
        <v>1</v>
      </c>
      <c r="O177" s="5" t="str">
        <f>IF(F177&gt;=1,IF(M177&lt;=N177,"STRIKE","pass"),IF(M177&lt;=INDEX('Route Data'!$R$7:$R$8,E177),"NO PASS","pass"))</f>
        <v>STRIKE</v>
      </c>
      <c r="P177" s="5">
        <f>IF(F177&gt;=1,IF(M177&lt;=N177,1,0),IF(M177&lt;=INDEX('Route Data'!$R$7:$R$8,E177),-1,0))</f>
        <v>1</v>
      </c>
    </row>
    <row r="178" spans="1:16">
      <c r="A178" s="5">
        <v>168</v>
      </c>
      <c r="B178" s="12">
        <v>20.96</v>
      </c>
      <c r="C178" s="12">
        <f t="shared" si="2"/>
        <v>1.75</v>
      </c>
      <c r="D178" s="8">
        <v>0.78424978256225586</v>
      </c>
      <c r="E178" s="5">
        <f>MATCH(D178,'Route Data'!$C$7:$C$8,1)</f>
        <v>2</v>
      </c>
      <c r="F178" s="5">
        <f>INDEX('Route Data'!$D$7:$D$8,E178)</f>
        <v>1</v>
      </c>
      <c r="G178" s="5" t="str">
        <f>INDEX('Route Data'!$A$7:$A$8,E178)</f>
        <v>u18</v>
      </c>
      <c r="H178" s="5">
        <f>EnergyCoeff(INDEX('Route Data'!$K$7:$K$8,E178),INDEX('Route Data'!$L$7:$L$8,E178)*2*PI()/60,INDEX('Route Data'!$F$7:$F$8,E178))</f>
        <v>0.19430699130049439</v>
      </c>
      <c r="I178" s="5">
        <f>DischargeCoeff(INDEX('Route Data'!$I$7:$I$8,E178), INDEX('Route Data'!$L$7:$L$8,E178)*2*PI()/60, INDEX('Route Data'!$F$7:$F$8,E178))</f>
        <v>0.15939200179827354</v>
      </c>
      <c r="J178" s="8">
        <f>FlowAngleRel(INDEX('Route Data'!$J$7:$J$8,E178)*INDEX('Route Data'!$I$7:$I$8,E178), INDEX('Route Data'!$L$7:$L$8,E178)*2*PI()/60, INDEX('Route Data'!$F$7:$F$8,E178),INDEX('Route Data'!$O$7:$O$8,E178), INDEX('Route Data'!$P$7:$P$8,E178),INDEX('Route Data'!$M$7:$M$8,E178))</f>
        <v>1.130811765868994</v>
      </c>
      <c r="K178" s="8">
        <f>FlowAngleAbsT(INDEX('Route Data'!$K$7:$K$8,E178), INDEX('Route Data'!$I$7:$I$8,E178), INDEX('Route Data'!$I$7:$I$8,E178)*INDEX('Route Data'!$J$7:$J$8,E178), INDEX('Route Data'!$L$7:$L$8,E178)*2*PI()/60, INDEX('Route Data'!$F$7:$F$8,E178),INDEX('Route Data'!$O$7:$O$8,E178), INDEX('Route Data'!$P$7:$P$8,E178), INDEX('Route Data'!$H$7:$H$8,E178), INDEX('Route Data'!$Q$7:$Q$8,E178), INDEX('Route Data'!$M$7:$M$8,E178))</f>
        <v>0.51617226640175828</v>
      </c>
      <c r="L178" s="5">
        <f>INDEX('Route Data'!$N$7:$N$8,E178)</f>
        <v>0.4</v>
      </c>
      <c r="M178" s="8">
        <v>2.6798248291015625E-2</v>
      </c>
      <c r="N178" s="8">
        <f>ProbStrikeFrancis(K178, I178, L178, INDEX('Route Data'!$G$7:$G$8,E178),C178, INDEX('Route Data'!$F$7:$F$8,E178), INDEX('Route Data'!$O$7:$O$8,E178), INDEX('Route Data'!$H$7:$H$18,E178))</f>
        <v>1</v>
      </c>
      <c r="O178" s="5" t="str">
        <f>IF(F178&gt;=1,IF(M178&lt;=N178,"STRIKE","pass"),IF(M178&lt;=INDEX('Route Data'!$R$7:$R$8,E178),"NO PASS","pass"))</f>
        <v>STRIKE</v>
      </c>
      <c r="P178" s="5">
        <f>IF(F178&gt;=1,IF(M178&lt;=N178,1,0),IF(M178&lt;=INDEX('Route Data'!$R$7:$R$8,E178),-1,0))</f>
        <v>1</v>
      </c>
    </row>
    <row r="179" spans="1:16">
      <c r="A179" s="5">
        <v>169</v>
      </c>
      <c r="B179" s="12">
        <v>21.05</v>
      </c>
      <c r="C179" s="12">
        <f t="shared" si="2"/>
        <v>1.75</v>
      </c>
      <c r="D179" s="8">
        <v>0.13673371076583862</v>
      </c>
      <c r="E179" s="5">
        <f>MATCH(D179,'Route Data'!$C$7:$C$8,1)</f>
        <v>2</v>
      </c>
      <c r="F179" s="5">
        <f>INDEX('Route Data'!$D$7:$D$8,E179)</f>
        <v>1</v>
      </c>
      <c r="G179" s="5" t="str">
        <f>INDEX('Route Data'!$A$7:$A$8,E179)</f>
        <v>u18</v>
      </c>
      <c r="H179" s="5">
        <f>EnergyCoeff(INDEX('Route Data'!$K$7:$K$8,E179),INDEX('Route Data'!$L$7:$L$8,E179)*2*PI()/60,INDEX('Route Data'!$F$7:$F$8,E179))</f>
        <v>0.19430699130049439</v>
      </c>
      <c r="I179" s="5">
        <f>DischargeCoeff(INDEX('Route Data'!$I$7:$I$8,E179), INDEX('Route Data'!$L$7:$L$8,E179)*2*PI()/60, INDEX('Route Data'!$F$7:$F$8,E179))</f>
        <v>0.15939200179827354</v>
      </c>
      <c r="J179" s="8">
        <f>FlowAngleRel(INDEX('Route Data'!$J$7:$J$8,E179)*INDEX('Route Data'!$I$7:$I$8,E179), INDEX('Route Data'!$L$7:$L$8,E179)*2*PI()/60, INDEX('Route Data'!$F$7:$F$8,E179),INDEX('Route Data'!$O$7:$O$8,E179), INDEX('Route Data'!$P$7:$P$8,E179),INDEX('Route Data'!$M$7:$M$8,E179))</f>
        <v>1.130811765868994</v>
      </c>
      <c r="K179" s="8">
        <f>FlowAngleAbsT(INDEX('Route Data'!$K$7:$K$8,E179), INDEX('Route Data'!$I$7:$I$8,E179), INDEX('Route Data'!$I$7:$I$8,E179)*INDEX('Route Data'!$J$7:$J$8,E179), INDEX('Route Data'!$L$7:$L$8,E179)*2*PI()/60, INDEX('Route Data'!$F$7:$F$8,E179),INDEX('Route Data'!$O$7:$O$8,E179), INDEX('Route Data'!$P$7:$P$8,E179), INDEX('Route Data'!$H$7:$H$8,E179), INDEX('Route Data'!$Q$7:$Q$8,E179), INDEX('Route Data'!$M$7:$M$8,E179))</f>
        <v>0.51617226640175828</v>
      </c>
      <c r="L179" s="5">
        <f>INDEX('Route Data'!$N$7:$N$8,E179)</f>
        <v>0.4</v>
      </c>
      <c r="M179" s="8">
        <v>0.72108477354049683</v>
      </c>
      <c r="N179" s="8">
        <f>ProbStrikeFrancis(K179, I179, L179, INDEX('Route Data'!$G$7:$G$8,E179),C179, INDEX('Route Data'!$F$7:$F$8,E179), INDEX('Route Data'!$O$7:$O$8,E179), INDEX('Route Data'!$H$7:$H$18,E179))</f>
        <v>1</v>
      </c>
      <c r="O179" s="5" t="str">
        <f>IF(F179&gt;=1,IF(M179&lt;=N179,"STRIKE","pass"),IF(M179&lt;=INDEX('Route Data'!$R$7:$R$8,E179),"NO PASS","pass"))</f>
        <v>STRIKE</v>
      </c>
      <c r="P179" s="5">
        <f>IF(F179&gt;=1,IF(M179&lt;=N179,1,0),IF(M179&lt;=INDEX('Route Data'!$R$7:$R$8,E179),-1,0))</f>
        <v>1</v>
      </c>
    </row>
    <row r="180" spans="1:16">
      <c r="A180" s="5">
        <v>170</v>
      </c>
      <c r="B180" s="12">
        <v>20.77</v>
      </c>
      <c r="C180" s="12">
        <f t="shared" si="2"/>
        <v>1.73</v>
      </c>
      <c r="D180" s="8">
        <v>7.9281926155090332E-2</v>
      </c>
      <c r="E180" s="5">
        <f>MATCH(D180,'Route Data'!$C$7:$C$8,1)</f>
        <v>2</v>
      </c>
      <c r="F180" s="5">
        <f>INDEX('Route Data'!$D$7:$D$8,E180)</f>
        <v>1</v>
      </c>
      <c r="G180" s="5" t="str">
        <f>INDEX('Route Data'!$A$7:$A$8,E180)</f>
        <v>u18</v>
      </c>
      <c r="H180" s="5">
        <f>EnergyCoeff(INDEX('Route Data'!$K$7:$K$8,E180),INDEX('Route Data'!$L$7:$L$8,E180)*2*PI()/60,INDEX('Route Data'!$F$7:$F$8,E180))</f>
        <v>0.19430699130049439</v>
      </c>
      <c r="I180" s="5">
        <f>DischargeCoeff(INDEX('Route Data'!$I$7:$I$8,E180), INDEX('Route Data'!$L$7:$L$8,E180)*2*PI()/60, INDEX('Route Data'!$F$7:$F$8,E180))</f>
        <v>0.15939200179827354</v>
      </c>
      <c r="J180" s="8">
        <f>FlowAngleRel(INDEX('Route Data'!$J$7:$J$8,E180)*INDEX('Route Data'!$I$7:$I$8,E180), INDEX('Route Data'!$L$7:$L$8,E180)*2*PI()/60, INDEX('Route Data'!$F$7:$F$8,E180),INDEX('Route Data'!$O$7:$O$8,E180), INDEX('Route Data'!$P$7:$P$8,E180),INDEX('Route Data'!$M$7:$M$8,E180))</f>
        <v>1.130811765868994</v>
      </c>
      <c r="K180" s="8">
        <f>FlowAngleAbsT(INDEX('Route Data'!$K$7:$K$8,E180), INDEX('Route Data'!$I$7:$I$8,E180), INDEX('Route Data'!$I$7:$I$8,E180)*INDEX('Route Data'!$J$7:$J$8,E180), INDEX('Route Data'!$L$7:$L$8,E180)*2*PI()/60, INDEX('Route Data'!$F$7:$F$8,E180),INDEX('Route Data'!$O$7:$O$8,E180), INDEX('Route Data'!$P$7:$P$8,E180), INDEX('Route Data'!$H$7:$H$8,E180), INDEX('Route Data'!$Q$7:$Q$8,E180), INDEX('Route Data'!$M$7:$M$8,E180))</f>
        <v>0.51617226640175828</v>
      </c>
      <c r="L180" s="5">
        <f>INDEX('Route Data'!$N$7:$N$8,E180)</f>
        <v>0.4</v>
      </c>
      <c r="M180" s="8">
        <v>0.37264597415924072</v>
      </c>
      <c r="N180" s="8">
        <f>ProbStrikeFrancis(K180, I180, L180, INDEX('Route Data'!$G$7:$G$8,E180),C180, INDEX('Route Data'!$F$7:$F$8,E180), INDEX('Route Data'!$O$7:$O$8,E180), INDEX('Route Data'!$H$7:$H$18,E180))</f>
        <v>1</v>
      </c>
      <c r="O180" s="5" t="str">
        <f>IF(F180&gt;=1,IF(M180&lt;=N180,"STRIKE","pass"),IF(M180&lt;=INDEX('Route Data'!$R$7:$R$8,E180),"NO PASS","pass"))</f>
        <v>STRIKE</v>
      </c>
      <c r="P180" s="5">
        <f>IF(F180&gt;=1,IF(M180&lt;=N180,1,0),IF(M180&lt;=INDEX('Route Data'!$R$7:$R$8,E180),-1,0))</f>
        <v>1</v>
      </c>
    </row>
    <row r="181" spans="1:16">
      <c r="A181" s="5">
        <v>171</v>
      </c>
      <c r="B181" s="12">
        <v>21.58</v>
      </c>
      <c r="C181" s="12">
        <f t="shared" si="2"/>
        <v>1.8</v>
      </c>
      <c r="D181" s="8">
        <v>0.51721650362014771</v>
      </c>
      <c r="E181" s="5">
        <f>MATCH(D181,'Route Data'!$C$7:$C$8,1)</f>
        <v>2</v>
      </c>
      <c r="F181" s="5">
        <f>INDEX('Route Data'!$D$7:$D$8,E181)</f>
        <v>1</v>
      </c>
      <c r="G181" s="5" t="str">
        <f>INDEX('Route Data'!$A$7:$A$8,E181)</f>
        <v>u18</v>
      </c>
      <c r="H181" s="5">
        <f>EnergyCoeff(INDEX('Route Data'!$K$7:$K$8,E181),INDEX('Route Data'!$L$7:$L$8,E181)*2*PI()/60,INDEX('Route Data'!$F$7:$F$8,E181))</f>
        <v>0.19430699130049439</v>
      </c>
      <c r="I181" s="5">
        <f>DischargeCoeff(INDEX('Route Data'!$I$7:$I$8,E181), INDEX('Route Data'!$L$7:$L$8,E181)*2*PI()/60, INDEX('Route Data'!$F$7:$F$8,E181))</f>
        <v>0.15939200179827354</v>
      </c>
      <c r="J181" s="8">
        <f>FlowAngleRel(INDEX('Route Data'!$J$7:$J$8,E181)*INDEX('Route Data'!$I$7:$I$8,E181), INDEX('Route Data'!$L$7:$L$8,E181)*2*PI()/60, INDEX('Route Data'!$F$7:$F$8,E181),INDEX('Route Data'!$O$7:$O$8,E181), INDEX('Route Data'!$P$7:$P$8,E181),INDEX('Route Data'!$M$7:$M$8,E181))</f>
        <v>1.130811765868994</v>
      </c>
      <c r="K181" s="8">
        <f>FlowAngleAbsT(INDEX('Route Data'!$K$7:$K$8,E181), INDEX('Route Data'!$I$7:$I$8,E181), INDEX('Route Data'!$I$7:$I$8,E181)*INDEX('Route Data'!$J$7:$J$8,E181), INDEX('Route Data'!$L$7:$L$8,E181)*2*PI()/60, INDEX('Route Data'!$F$7:$F$8,E181),INDEX('Route Data'!$O$7:$O$8,E181), INDEX('Route Data'!$P$7:$P$8,E181), INDEX('Route Data'!$H$7:$H$8,E181), INDEX('Route Data'!$Q$7:$Q$8,E181), INDEX('Route Data'!$M$7:$M$8,E181))</f>
        <v>0.51617226640175828</v>
      </c>
      <c r="L181" s="5">
        <f>INDEX('Route Data'!$N$7:$N$8,E181)</f>
        <v>0.4</v>
      </c>
      <c r="M181" s="8">
        <v>0.41796237230300903</v>
      </c>
      <c r="N181" s="8">
        <f>ProbStrikeFrancis(K181, I181, L181, INDEX('Route Data'!$G$7:$G$8,E181),C181, INDEX('Route Data'!$F$7:$F$8,E181), INDEX('Route Data'!$O$7:$O$8,E181), INDEX('Route Data'!$H$7:$H$18,E181))</f>
        <v>1</v>
      </c>
      <c r="O181" s="5" t="str">
        <f>IF(F181&gt;=1,IF(M181&lt;=N181,"STRIKE","pass"),IF(M181&lt;=INDEX('Route Data'!$R$7:$R$8,E181),"NO PASS","pass"))</f>
        <v>STRIKE</v>
      </c>
      <c r="P181" s="5">
        <f>IF(F181&gt;=1,IF(M181&lt;=N181,1,0),IF(M181&lt;=INDEX('Route Data'!$R$7:$R$8,E181),-1,0))</f>
        <v>1</v>
      </c>
    </row>
    <row r="182" spans="1:16">
      <c r="A182" s="5">
        <v>172</v>
      </c>
      <c r="B182" s="12">
        <v>25.51</v>
      </c>
      <c r="C182" s="12">
        <f t="shared" si="2"/>
        <v>2.13</v>
      </c>
      <c r="D182" s="8">
        <v>0.20341277122497559</v>
      </c>
      <c r="E182" s="5">
        <f>MATCH(D182,'Route Data'!$C$7:$C$8,1)</f>
        <v>2</v>
      </c>
      <c r="F182" s="5">
        <f>INDEX('Route Data'!$D$7:$D$8,E182)</f>
        <v>1</v>
      </c>
      <c r="G182" s="5" t="str">
        <f>INDEX('Route Data'!$A$7:$A$8,E182)</f>
        <v>u18</v>
      </c>
      <c r="H182" s="5">
        <f>EnergyCoeff(INDEX('Route Data'!$K$7:$K$8,E182),INDEX('Route Data'!$L$7:$L$8,E182)*2*PI()/60,INDEX('Route Data'!$F$7:$F$8,E182))</f>
        <v>0.19430699130049439</v>
      </c>
      <c r="I182" s="5">
        <f>DischargeCoeff(INDEX('Route Data'!$I$7:$I$8,E182), INDEX('Route Data'!$L$7:$L$8,E182)*2*PI()/60, INDEX('Route Data'!$F$7:$F$8,E182))</f>
        <v>0.15939200179827354</v>
      </c>
      <c r="J182" s="8">
        <f>FlowAngleRel(INDEX('Route Data'!$J$7:$J$8,E182)*INDEX('Route Data'!$I$7:$I$8,E182), INDEX('Route Data'!$L$7:$L$8,E182)*2*PI()/60, INDEX('Route Data'!$F$7:$F$8,E182),INDEX('Route Data'!$O$7:$O$8,E182), INDEX('Route Data'!$P$7:$P$8,E182),INDEX('Route Data'!$M$7:$M$8,E182))</f>
        <v>1.130811765868994</v>
      </c>
      <c r="K182" s="8">
        <f>FlowAngleAbsT(INDEX('Route Data'!$K$7:$K$8,E182), INDEX('Route Data'!$I$7:$I$8,E182), INDEX('Route Data'!$I$7:$I$8,E182)*INDEX('Route Data'!$J$7:$J$8,E182), INDEX('Route Data'!$L$7:$L$8,E182)*2*PI()/60, INDEX('Route Data'!$F$7:$F$8,E182),INDEX('Route Data'!$O$7:$O$8,E182), INDEX('Route Data'!$P$7:$P$8,E182), INDEX('Route Data'!$H$7:$H$8,E182), INDEX('Route Data'!$Q$7:$Q$8,E182), INDEX('Route Data'!$M$7:$M$8,E182))</f>
        <v>0.51617226640175828</v>
      </c>
      <c r="L182" s="5">
        <f>INDEX('Route Data'!$N$7:$N$8,E182)</f>
        <v>0.4</v>
      </c>
      <c r="M182" s="8">
        <v>0.8131716251373291</v>
      </c>
      <c r="N182" s="8">
        <f>ProbStrikeFrancis(K182, I182, L182, INDEX('Route Data'!$G$7:$G$8,E182),C182, INDEX('Route Data'!$F$7:$F$8,E182), INDEX('Route Data'!$O$7:$O$8,E182), INDEX('Route Data'!$H$7:$H$18,E182))</f>
        <v>1</v>
      </c>
      <c r="O182" s="5" t="str">
        <f>IF(F182&gt;=1,IF(M182&lt;=N182,"STRIKE","pass"),IF(M182&lt;=INDEX('Route Data'!$R$7:$R$8,E182),"NO PASS","pass"))</f>
        <v>STRIKE</v>
      </c>
      <c r="P182" s="5">
        <f>IF(F182&gt;=1,IF(M182&lt;=N182,1,0),IF(M182&lt;=INDEX('Route Data'!$R$7:$R$8,E182),-1,0))</f>
        <v>1</v>
      </c>
    </row>
    <row r="183" spans="1:16">
      <c r="A183" s="5">
        <v>173</v>
      </c>
      <c r="B183" s="12">
        <v>28.36</v>
      </c>
      <c r="C183" s="12">
        <f t="shared" si="2"/>
        <v>2.36</v>
      </c>
      <c r="D183" s="8">
        <v>0.67598241567611694</v>
      </c>
      <c r="E183" s="5">
        <f>MATCH(D183,'Route Data'!$C$7:$C$8,1)</f>
        <v>2</v>
      </c>
      <c r="F183" s="5">
        <f>INDEX('Route Data'!$D$7:$D$8,E183)</f>
        <v>1</v>
      </c>
      <c r="G183" s="5" t="str">
        <f>INDEX('Route Data'!$A$7:$A$8,E183)</f>
        <v>u18</v>
      </c>
      <c r="H183" s="5">
        <f>EnergyCoeff(INDEX('Route Data'!$K$7:$K$8,E183),INDEX('Route Data'!$L$7:$L$8,E183)*2*PI()/60,INDEX('Route Data'!$F$7:$F$8,E183))</f>
        <v>0.19430699130049439</v>
      </c>
      <c r="I183" s="5">
        <f>DischargeCoeff(INDEX('Route Data'!$I$7:$I$8,E183), INDEX('Route Data'!$L$7:$L$8,E183)*2*PI()/60, INDEX('Route Data'!$F$7:$F$8,E183))</f>
        <v>0.15939200179827354</v>
      </c>
      <c r="J183" s="8">
        <f>FlowAngleRel(INDEX('Route Data'!$J$7:$J$8,E183)*INDEX('Route Data'!$I$7:$I$8,E183), INDEX('Route Data'!$L$7:$L$8,E183)*2*PI()/60, INDEX('Route Data'!$F$7:$F$8,E183),INDEX('Route Data'!$O$7:$O$8,E183), INDEX('Route Data'!$P$7:$P$8,E183),INDEX('Route Data'!$M$7:$M$8,E183))</f>
        <v>1.130811765868994</v>
      </c>
      <c r="K183" s="8">
        <f>FlowAngleAbsT(INDEX('Route Data'!$K$7:$K$8,E183), INDEX('Route Data'!$I$7:$I$8,E183), INDEX('Route Data'!$I$7:$I$8,E183)*INDEX('Route Data'!$J$7:$J$8,E183), INDEX('Route Data'!$L$7:$L$8,E183)*2*PI()/60, INDEX('Route Data'!$F$7:$F$8,E183),INDEX('Route Data'!$O$7:$O$8,E183), INDEX('Route Data'!$P$7:$P$8,E183), INDEX('Route Data'!$H$7:$H$8,E183), INDEX('Route Data'!$Q$7:$Q$8,E183), INDEX('Route Data'!$M$7:$M$8,E183))</f>
        <v>0.51617226640175828</v>
      </c>
      <c r="L183" s="5">
        <f>INDEX('Route Data'!$N$7:$N$8,E183)</f>
        <v>0.4</v>
      </c>
      <c r="M183" s="8">
        <v>0.7061724066734314</v>
      </c>
      <c r="N183" s="8">
        <f>ProbStrikeFrancis(K183, I183, L183, INDEX('Route Data'!$G$7:$G$8,E183),C183, INDEX('Route Data'!$F$7:$F$8,E183), INDEX('Route Data'!$O$7:$O$8,E183), INDEX('Route Data'!$H$7:$H$18,E183))</f>
        <v>1</v>
      </c>
      <c r="O183" s="5" t="str">
        <f>IF(F183&gt;=1,IF(M183&lt;=N183,"STRIKE","pass"),IF(M183&lt;=INDEX('Route Data'!$R$7:$R$8,E183),"NO PASS","pass"))</f>
        <v>STRIKE</v>
      </c>
      <c r="P183" s="5">
        <f>IF(F183&gt;=1,IF(M183&lt;=N183,1,0),IF(M183&lt;=INDEX('Route Data'!$R$7:$R$8,E183),-1,0))</f>
        <v>1</v>
      </c>
    </row>
    <row r="184" spans="1:16">
      <c r="A184" s="5">
        <v>174</v>
      </c>
      <c r="B184" s="12">
        <v>18.62</v>
      </c>
      <c r="C184" s="12">
        <f t="shared" si="2"/>
        <v>1.55</v>
      </c>
      <c r="D184" s="8">
        <v>0.52385270595550537</v>
      </c>
      <c r="E184" s="5">
        <f>MATCH(D184,'Route Data'!$C$7:$C$8,1)</f>
        <v>2</v>
      </c>
      <c r="F184" s="5">
        <f>INDEX('Route Data'!$D$7:$D$8,E184)</f>
        <v>1</v>
      </c>
      <c r="G184" s="5" t="str">
        <f>INDEX('Route Data'!$A$7:$A$8,E184)</f>
        <v>u18</v>
      </c>
      <c r="H184" s="5">
        <f>EnergyCoeff(INDEX('Route Data'!$K$7:$K$8,E184),INDEX('Route Data'!$L$7:$L$8,E184)*2*PI()/60,INDEX('Route Data'!$F$7:$F$8,E184))</f>
        <v>0.19430699130049439</v>
      </c>
      <c r="I184" s="5">
        <f>DischargeCoeff(INDEX('Route Data'!$I$7:$I$8,E184), INDEX('Route Data'!$L$7:$L$8,E184)*2*PI()/60, INDEX('Route Data'!$F$7:$F$8,E184))</f>
        <v>0.15939200179827354</v>
      </c>
      <c r="J184" s="8">
        <f>FlowAngleRel(INDEX('Route Data'!$J$7:$J$8,E184)*INDEX('Route Data'!$I$7:$I$8,E184), INDEX('Route Data'!$L$7:$L$8,E184)*2*PI()/60, INDEX('Route Data'!$F$7:$F$8,E184),INDEX('Route Data'!$O$7:$O$8,E184), INDEX('Route Data'!$P$7:$P$8,E184),INDEX('Route Data'!$M$7:$M$8,E184))</f>
        <v>1.130811765868994</v>
      </c>
      <c r="K184" s="8">
        <f>FlowAngleAbsT(INDEX('Route Data'!$K$7:$K$8,E184), INDEX('Route Data'!$I$7:$I$8,E184), INDEX('Route Data'!$I$7:$I$8,E184)*INDEX('Route Data'!$J$7:$J$8,E184), INDEX('Route Data'!$L$7:$L$8,E184)*2*PI()/60, INDEX('Route Data'!$F$7:$F$8,E184),INDEX('Route Data'!$O$7:$O$8,E184), INDEX('Route Data'!$P$7:$P$8,E184), INDEX('Route Data'!$H$7:$H$8,E184), INDEX('Route Data'!$Q$7:$Q$8,E184), INDEX('Route Data'!$M$7:$M$8,E184))</f>
        <v>0.51617226640175828</v>
      </c>
      <c r="L184" s="5">
        <f>INDEX('Route Data'!$N$7:$N$8,E184)</f>
        <v>0.4</v>
      </c>
      <c r="M184" s="8">
        <v>0.79421412944793701</v>
      </c>
      <c r="N184" s="8">
        <f>ProbStrikeFrancis(K184, I184, L184, INDEX('Route Data'!$G$7:$G$8,E184),C184, INDEX('Route Data'!$F$7:$F$8,E184), INDEX('Route Data'!$O$7:$O$8,E184), INDEX('Route Data'!$H$7:$H$18,E184))</f>
        <v>1</v>
      </c>
      <c r="O184" s="5" t="str">
        <f>IF(F184&gt;=1,IF(M184&lt;=N184,"STRIKE","pass"),IF(M184&lt;=INDEX('Route Data'!$R$7:$R$8,E184),"NO PASS","pass"))</f>
        <v>STRIKE</v>
      </c>
      <c r="P184" s="5">
        <f>IF(F184&gt;=1,IF(M184&lt;=N184,1,0),IF(M184&lt;=INDEX('Route Data'!$R$7:$R$8,E184),-1,0))</f>
        <v>1</v>
      </c>
    </row>
    <row r="185" spans="1:16">
      <c r="A185" s="5">
        <v>175</v>
      </c>
      <c r="B185" s="12">
        <v>23.98</v>
      </c>
      <c r="C185" s="12">
        <f t="shared" si="2"/>
        <v>2</v>
      </c>
      <c r="D185" s="8">
        <v>0.44908338785171509</v>
      </c>
      <c r="E185" s="5">
        <f>MATCH(D185,'Route Data'!$C$7:$C$8,1)</f>
        <v>2</v>
      </c>
      <c r="F185" s="5">
        <f>INDEX('Route Data'!$D$7:$D$8,E185)</f>
        <v>1</v>
      </c>
      <c r="G185" s="5" t="str">
        <f>INDEX('Route Data'!$A$7:$A$8,E185)</f>
        <v>u18</v>
      </c>
      <c r="H185" s="5">
        <f>EnergyCoeff(INDEX('Route Data'!$K$7:$K$8,E185),INDEX('Route Data'!$L$7:$L$8,E185)*2*PI()/60,INDEX('Route Data'!$F$7:$F$8,E185))</f>
        <v>0.19430699130049439</v>
      </c>
      <c r="I185" s="5">
        <f>DischargeCoeff(INDEX('Route Data'!$I$7:$I$8,E185), INDEX('Route Data'!$L$7:$L$8,E185)*2*PI()/60, INDEX('Route Data'!$F$7:$F$8,E185))</f>
        <v>0.15939200179827354</v>
      </c>
      <c r="J185" s="8">
        <f>FlowAngleRel(INDEX('Route Data'!$J$7:$J$8,E185)*INDEX('Route Data'!$I$7:$I$8,E185), INDEX('Route Data'!$L$7:$L$8,E185)*2*PI()/60, INDEX('Route Data'!$F$7:$F$8,E185),INDEX('Route Data'!$O$7:$O$8,E185), INDEX('Route Data'!$P$7:$P$8,E185),INDEX('Route Data'!$M$7:$M$8,E185))</f>
        <v>1.130811765868994</v>
      </c>
      <c r="K185" s="8">
        <f>FlowAngleAbsT(INDEX('Route Data'!$K$7:$K$8,E185), INDEX('Route Data'!$I$7:$I$8,E185), INDEX('Route Data'!$I$7:$I$8,E185)*INDEX('Route Data'!$J$7:$J$8,E185), INDEX('Route Data'!$L$7:$L$8,E185)*2*PI()/60, INDEX('Route Data'!$F$7:$F$8,E185),INDEX('Route Data'!$O$7:$O$8,E185), INDEX('Route Data'!$P$7:$P$8,E185), INDEX('Route Data'!$H$7:$H$8,E185), INDEX('Route Data'!$Q$7:$Q$8,E185), INDEX('Route Data'!$M$7:$M$8,E185))</f>
        <v>0.51617226640175828</v>
      </c>
      <c r="L185" s="5">
        <f>INDEX('Route Data'!$N$7:$N$8,E185)</f>
        <v>0.4</v>
      </c>
      <c r="M185" s="8">
        <v>6.1247408390045166E-2</v>
      </c>
      <c r="N185" s="8">
        <f>ProbStrikeFrancis(K185, I185, L185, INDEX('Route Data'!$G$7:$G$8,E185),C185, INDEX('Route Data'!$F$7:$F$8,E185), INDEX('Route Data'!$O$7:$O$8,E185), INDEX('Route Data'!$H$7:$H$18,E185))</f>
        <v>1</v>
      </c>
      <c r="O185" s="5" t="str">
        <f>IF(F185&gt;=1,IF(M185&lt;=N185,"STRIKE","pass"),IF(M185&lt;=INDEX('Route Data'!$R$7:$R$8,E185),"NO PASS","pass"))</f>
        <v>STRIKE</v>
      </c>
      <c r="P185" s="5">
        <f>IF(F185&gt;=1,IF(M185&lt;=N185,1,0),IF(M185&lt;=INDEX('Route Data'!$R$7:$R$8,E185),-1,0))</f>
        <v>1</v>
      </c>
    </row>
    <row r="186" spans="1:16">
      <c r="A186" s="5">
        <v>176</v>
      </c>
      <c r="B186" s="12">
        <v>27.35</v>
      </c>
      <c r="C186" s="12">
        <f t="shared" si="2"/>
        <v>2.2799999999999998</v>
      </c>
      <c r="D186" s="8">
        <v>0.67339134216308594</v>
      </c>
      <c r="E186" s="5">
        <f>MATCH(D186,'Route Data'!$C$7:$C$8,1)</f>
        <v>2</v>
      </c>
      <c r="F186" s="5">
        <f>INDEX('Route Data'!$D$7:$D$8,E186)</f>
        <v>1</v>
      </c>
      <c r="G186" s="5" t="str">
        <f>INDEX('Route Data'!$A$7:$A$8,E186)</f>
        <v>u18</v>
      </c>
      <c r="H186" s="5">
        <f>EnergyCoeff(INDEX('Route Data'!$K$7:$K$8,E186),INDEX('Route Data'!$L$7:$L$8,E186)*2*PI()/60,INDEX('Route Data'!$F$7:$F$8,E186))</f>
        <v>0.19430699130049439</v>
      </c>
      <c r="I186" s="5">
        <f>DischargeCoeff(INDEX('Route Data'!$I$7:$I$8,E186), INDEX('Route Data'!$L$7:$L$8,E186)*2*PI()/60, INDEX('Route Data'!$F$7:$F$8,E186))</f>
        <v>0.15939200179827354</v>
      </c>
      <c r="J186" s="8">
        <f>FlowAngleRel(INDEX('Route Data'!$J$7:$J$8,E186)*INDEX('Route Data'!$I$7:$I$8,E186), INDEX('Route Data'!$L$7:$L$8,E186)*2*PI()/60, INDEX('Route Data'!$F$7:$F$8,E186),INDEX('Route Data'!$O$7:$O$8,E186), INDEX('Route Data'!$P$7:$P$8,E186),INDEX('Route Data'!$M$7:$M$8,E186))</f>
        <v>1.130811765868994</v>
      </c>
      <c r="K186" s="8">
        <f>FlowAngleAbsT(INDEX('Route Data'!$K$7:$K$8,E186), INDEX('Route Data'!$I$7:$I$8,E186), INDEX('Route Data'!$I$7:$I$8,E186)*INDEX('Route Data'!$J$7:$J$8,E186), INDEX('Route Data'!$L$7:$L$8,E186)*2*PI()/60, INDEX('Route Data'!$F$7:$F$8,E186),INDEX('Route Data'!$O$7:$O$8,E186), INDEX('Route Data'!$P$7:$P$8,E186), INDEX('Route Data'!$H$7:$H$8,E186), INDEX('Route Data'!$Q$7:$Q$8,E186), INDEX('Route Data'!$M$7:$M$8,E186))</f>
        <v>0.51617226640175828</v>
      </c>
      <c r="L186" s="5">
        <f>INDEX('Route Data'!$N$7:$N$8,E186)</f>
        <v>0.4</v>
      </c>
      <c r="M186" s="8">
        <v>0.2601475715637207</v>
      </c>
      <c r="N186" s="8">
        <f>ProbStrikeFrancis(K186, I186, L186, INDEX('Route Data'!$G$7:$G$8,E186),C186, INDEX('Route Data'!$F$7:$F$8,E186), INDEX('Route Data'!$O$7:$O$8,E186), INDEX('Route Data'!$H$7:$H$18,E186))</f>
        <v>1</v>
      </c>
      <c r="O186" s="5" t="str">
        <f>IF(F186&gt;=1,IF(M186&lt;=N186,"STRIKE","pass"),IF(M186&lt;=INDEX('Route Data'!$R$7:$R$8,E186),"NO PASS","pass"))</f>
        <v>STRIKE</v>
      </c>
      <c r="P186" s="5">
        <f>IF(F186&gt;=1,IF(M186&lt;=N186,1,0),IF(M186&lt;=INDEX('Route Data'!$R$7:$R$8,E186),-1,0))</f>
        <v>1</v>
      </c>
    </row>
    <row r="187" spans="1:16">
      <c r="A187" s="5">
        <v>177</v>
      </c>
      <c r="B187" s="12">
        <v>26.98</v>
      </c>
      <c r="C187" s="12">
        <f t="shared" si="2"/>
        <v>2.25</v>
      </c>
      <c r="D187" s="8">
        <v>4.6747922897338867E-4</v>
      </c>
      <c r="E187" s="5">
        <f>MATCH(D187,'Route Data'!$C$7:$C$8,1)</f>
        <v>2</v>
      </c>
      <c r="F187" s="5">
        <f>INDEX('Route Data'!$D$7:$D$8,E187)</f>
        <v>1</v>
      </c>
      <c r="G187" s="5" t="str">
        <f>INDEX('Route Data'!$A$7:$A$8,E187)</f>
        <v>u18</v>
      </c>
      <c r="H187" s="5">
        <f>EnergyCoeff(INDEX('Route Data'!$K$7:$K$8,E187),INDEX('Route Data'!$L$7:$L$8,E187)*2*PI()/60,INDEX('Route Data'!$F$7:$F$8,E187))</f>
        <v>0.19430699130049439</v>
      </c>
      <c r="I187" s="5">
        <f>DischargeCoeff(INDEX('Route Data'!$I$7:$I$8,E187), INDEX('Route Data'!$L$7:$L$8,E187)*2*PI()/60, INDEX('Route Data'!$F$7:$F$8,E187))</f>
        <v>0.15939200179827354</v>
      </c>
      <c r="J187" s="8">
        <f>FlowAngleRel(INDEX('Route Data'!$J$7:$J$8,E187)*INDEX('Route Data'!$I$7:$I$8,E187), INDEX('Route Data'!$L$7:$L$8,E187)*2*PI()/60, INDEX('Route Data'!$F$7:$F$8,E187),INDEX('Route Data'!$O$7:$O$8,E187), INDEX('Route Data'!$P$7:$P$8,E187),INDEX('Route Data'!$M$7:$M$8,E187))</f>
        <v>1.130811765868994</v>
      </c>
      <c r="K187" s="8">
        <f>FlowAngleAbsT(INDEX('Route Data'!$K$7:$K$8,E187), INDEX('Route Data'!$I$7:$I$8,E187), INDEX('Route Data'!$I$7:$I$8,E187)*INDEX('Route Data'!$J$7:$J$8,E187), INDEX('Route Data'!$L$7:$L$8,E187)*2*PI()/60, INDEX('Route Data'!$F$7:$F$8,E187),INDEX('Route Data'!$O$7:$O$8,E187), INDEX('Route Data'!$P$7:$P$8,E187), INDEX('Route Data'!$H$7:$H$8,E187), INDEX('Route Data'!$Q$7:$Q$8,E187), INDEX('Route Data'!$M$7:$M$8,E187))</f>
        <v>0.51617226640175828</v>
      </c>
      <c r="L187" s="5">
        <f>INDEX('Route Data'!$N$7:$N$8,E187)</f>
        <v>0.4</v>
      </c>
      <c r="M187" s="8">
        <v>0.66344708204269409</v>
      </c>
      <c r="N187" s="8">
        <f>ProbStrikeFrancis(K187, I187, L187, INDEX('Route Data'!$G$7:$G$8,E187),C187, INDEX('Route Data'!$F$7:$F$8,E187), INDEX('Route Data'!$O$7:$O$8,E187), INDEX('Route Data'!$H$7:$H$18,E187))</f>
        <v>1</v>
      </c>
      <c r="O187" s="5" t="str">
        <f>IF(F187&gt;=1,IF(M187&lt;=N187,"STRIKE","pass"),IF(M187&lt;=INDEX('Route Data'!$R$7:$R$8,E187),"NO PASS","pass"))</f>
        <v>STRIKE</v>
      </c>
      <c r="P187" s="5">
        <f>IF(F187&gt;=1,IF(M187&lt;=N187,1,0),IF(M187&lt;=INDEX('Route Data'!$R$7:$R$8,E187),-1,0))</f>
        <v>1</v>
      </c>
    </row>
    <row r="188" spans="1:16">
      <c r="A188" s="5">
        <v>178</v>
      </c>
      <c r="B188" s="12">
        <v>20.21</v>
      </c>
      <c r="C188" s="12">
        <f t="shared" si="2"/>
        <v>1.68</v>
      </c>
      <c r="D188" s="8">
        <v>0.28481829166412354</v>
      </c>
      <c r="E188" s="5">
        <f>MATCH(D188,'Route Data'!$C$7:$C$8,1)</f>
        <v>2</v>
      </c>
      <c r="F188" s="5">
        <f>INDEX('Route Data'!$D$7:$D$8,E188)</f>
        <v>1</v>
      </c>
      <c r="G188" s="5" t="str">
        <f>INDEX('Route Data'!$A$7:$A$8,E188)</f>
        <v>u18</v>
      </c>
      <c r="H188" s="5">
        <f>EnergyCoeff(INDEX('Route Data'!$K$7:$K$8,E188),INDEX('Route Data'!$L$7:$L$8,E188)*2*PI()/60,INDEX('Route Data'!$F$7:$F$8,E188))</f>
        <v>0.19430699130049439</v>
      </c>
      <c r="I188" s="5">
        <f>DischargeCoeff(INDEX('Route Data'!$I$7:$I$8,E188), INDEX('Route Data'!$L$7:$L$8,E188)*2*PI()/60, INDEX('Route Data'!$F$7:$F$8,E188))</f>
        <v>0.15939200179827354</v>
      </c>
      <c r="J188" s="8">
        <f>FlowAngleRel(INDEX('Route Data'!$J$7:$J$8,E188)*INDEX('Route Data'!$I$7:$I$8,E188), INDEX('Route Data'!$L$7:$L$8,E188)*2*PI()/60, INDEX('Route Data'!$F$7:$F$8,E188),INDEX('Route Data'!$O$7:$O$8,E188), INDEX('Route Data'!$P$7:$P$8,E188),INDEX('Route Data'!$M$7:$M$8,E188))</f>
        <v>1.130811765868994</v>
      </c>
      <c r="K188" s="8">
        <f>FlowAngleAbsT(INDEX('Route Data'!$K$7:$K$8,E188), INDEX('Route Data'!$I$7:$I$8,E188), INDEX('Route Data'!$I$7:$I$8,E188)*INDEX('Route Data'!$J$7:$J$8,E188), INDEX('Route Data'!$L$7:$L$8,E188)*2*PI()/60, INDEX('Route Data'!$F$7:$F$8,E188),INDEX('Route Data'!$O$7:$O$8,E188), INDEX('Route Data'!$P$7:$P$8,E188), INDEX('Route Data'!$H$7:$H$8,E188), INDEX('Route Data'!$Q$7:$Q$8,E188), INDEX('Route Data'!$M$7:$M$8,E188))</f>
        <v>0.51617226640175828</v>
      </c>
      <c r="L188" s="5">
        <f>INDEX('Route Data'!$N$7:$N$8,E188)</f>
        <v>0.4</v>
      </c>
      <c r="M188" s="8">
        <v>0.92239010334014893</v>
      </c>
      <c r="N188" s="8">
        <f>ProbStrikeFrancis(K188, I188, L188, INDEX('Route Data'!$G$7:$G$8,E188),C188, INDEX('Route Data'!$F$7:$F$8,E188), INDEX('Route Data'!$O$7:$O$8,E188), INDEX('Route Data'!$H$7:$H$18,E188))</f>
        <v>1</v>
      </c>
      <c r="O188" s="5" t="str">
        <f>IF(F188&gt;=1,IF(M188&lt;=N188,"STRIKE","pass"),IF(M188&lt;=INDEX('Route Data'!$R$7:$R$8,E188),"NO PASS","pass"))</f>
        <v>STRIKE</v>
      </c>
      <c r="P188" s="5">
        <f>IF(F188&gt;=1,IF(M188&lt;=N188,1,0),IF(M188&lt;=INDEX('Route Data'!$R$7:$R$8,E188),-1,0))</f>
        <v>1</v>
      </c>
    </row>
    <row r="189" spans="1:16">
      <c r="A189" s="5">
        <v>179</v>
      </c>
      <c r="B189" s="12">
        <v>20.87</v>
      </c>
      <c r="C189" s="12">
        <f t="shared" si="2"/>
        <v>1.74</v>
      </c>
      <c r="D189" s="8">
        <v>0.6973450779914856</v>
      </c>
      <c r="E189" s="5">
        <f>MATCH(D189,'Route Data'!$C$7:$C$8,1)</f>
        <v>2</v>
      </c>
      <c r="F189" s="5">
        <f>INDEX('Route Data'!$D$7:$D$8,E189)</f>
        <v>1</v>
      </c>
      <c r="G189" s="5" t="str">
        <f>INDEX('Route Data'!$A$7:$A$8,E189)</f>
        <v>u18</v>
      </c>
      <c r="H189" s="5">
        <f>EnergyCoeff(INDEX('Route Data'!$K$7:$K$8,E189),INDEX('Route Data'!$L$7:$L$8,E189)*2*PI()/60,INDEX('Route Data'!$F$7:$F$8,E189))</f>
        <v>0.19430699130049439</v>
      </c>
      <c r="I189" s="5">
        <f>DischargeCoeff(INDEX('Route Data'!$I$7:$I$8,E189), INDEX('Route Data'!$L$7:$L$8,E189)*2*PI()/60, INDEX('Route Data'!$F$7:$F$8,E189))</f>
        <v>0.15939200179827354</v>
      </c>
      <c r="J189" s="8">
        <f>FlowAngleRel(INDEX('Route Data'!$J$7:$J$8,E189)*INDEX('Route Data'!$I$7:$I$8,E189), INDEX('Route Data'!$L$7:$L$8,E189)*2*PI()/60, INDEX('Route Data'!$F$7:$F$8,E189),INDEX('Route Data'!$O$7:$O$8,E189), INDEX('Route Data'!$P$7:$P$8,E189),INDEX('Route Data'!$M$7:$M$8,E189))</f>
        <v>1.130811765868994</v>
      </c>
      <c r="K189" s="8">
        <f>FlowAngleAbsT(INDEX('Route Data'!$K$7:$K$8,E189), INDEX('Route Data'!$I$7:$I$8,E189), INDEX('Route Data'!$I$7:$I$8,E189)*INDEX('Route Data'!$J$7:$J$8,E189), INDEX('Route Data'!$L$7:$L$8,E189)*2*PI()/60, INDEX('Route Data'!$F$7:$F$8,E189),INDEX('Route Data'!$O$7:$O$8,E189), INDEX('Route Data'!$P$7:$P$8,E189), INDEX('Route Data'!$H$7:$H$8,E189), INDEX('Route Data'!$Q$7:$Q$8,E189), INDEX('Route Data'!$M$7:$M$8,E189))</f>
        <v>0.51617226640175828</v>
      </c>
      <c r="L189" s="5">
        <f>INDEX('Route Data'!$N$7:$N$8,E189)</f>
        <v>0.4</v>
      </c>
      <c r="M189" s="8">
        <v>0.67671948671340942</v>
      </c>
      <c r="N189" s="8">
        <f>ProbStrikeFrancis(K189, I189, L189, INDEX('Route Data'!$G$7:$G$8,E189),C189, INDEX('Route Data'!$F$7:$F$8,E189), INDEX('Route Data'!$O$7:$O$8,E189), INDEX('Route Data'!$H$7:$H$18,E189))</f>
        <v>1</v>
      </c>
      <c r="O189" s="5" t="str">
        <f>IF(F189&gt;=1,IF(M189&lt;=N189,"STRIKE","pass"),IF(M189&lt;=INDEX('Route Data'!$R$7:$R$8,E189),"NO PASS","pass"))</f>
        <v>STRIKE</v>
      </c>
      <c r="P189" s="5">
        <f>IF(F189&gt;=1,IF(M189&lt;=N189,1,0),IF(M189&lt;=INDEX('Route Data'!$R$7:$R$8,E189),-1,0))</f>
        <v>1</v>
      </c>
    </row>
    <row r="190" spans="1:16">
      <c r="A190" s="5">
        <v>180</v>
      </c>
      <c r="B190" s="12">
        <v>21.32</v>
      </c>
      <c r="C190" s="12">
        <f t="shared" si="2"/>
        <v>1.78</v>
      </c>
      <c r="D190" s="8">
        <v>0.45976471900939941</v>
      </c>
      <c r="E190" s="5">
        <f>MATCH(D190,'Route Data'!$C$7:$C$8,1)</f>
        <v>2</v>
      </c>
      <c r="F190" s="5">
        <f>INDEX('Route Data'!$D$7:$D$8,E190)</f>
        <v>1</v>
      </c>
      <c r="G190" s="5" t="str">
        <f>INDEX('Route Data'!$A$7:$A$8,E190)</f>
        <v>u18</v>
      </c>
      <c r="H190" s="5">
        <f>EnergyCoeff(INDEX('Route Data'!$K$7:$K$8,E190),INDEX('Route Data'!$L$7:$L$8,E190)*2*PI()/60,INDEX('Route Data'!$F$7:$F$8,E190))</f>
        <v>0.19430699130049439</v>
      </c>
      <c r="I190" s="5">
        <f>DischargeCoeff(INDEX('Route Data'!$I$7:$I$8,E190), INDEX('Route Data'!$L$7:$L$8,E190)*2*PI()/60, INDEX('Route Data'!$F$7:$F$8,E190))</f>
        <v>0.15939200179827354</v>
      </c>
      <c r="J190" s="8">
        <f>FlowAngleRel(INDEX('Route Data'!$J$7:$J$8,E190)*INDEX('Route Data'!$I$7:$I$8,E190), INDEX('Route Data'!$L$7:$L$8,E190)*2*PI()/60, INDEX('Route Data'!$F$7:$F$8,E190),INDEX('Route Data'!$O$7:$O$8,E190), INDEX('Route Data'!$P$7:$P$8,E190),INDEX('Route Data'!$M$7:$M$8,E190))</f>
        <v>1.130811765868994</v>
      </c>
      <c r="K190" s="8">
        <f>FlowAngleAbsT(INDEX('Route Data'!$K$7:$K$8,E190), INDEX('Route Data'!$I$7:$I$8,E190), INDEX('Route Data'!$I$7:$I$8,E190)*INDEX('Route Data'!$J$7:$J$8,E190), INDEX('Route Data'!$L$7:$L$8,E190)*2*PI()/60, INDEX('Route Data'!$F$7:$F$8,E190),INDEX('Route Data'!$O$7:$O$8,E190), INDEX('Route Data'!$P$7:$P$8,E190), INDEX('Route Data'!$H$7:$H$8,E190), INDEX('Route Data'!$Q$7:$Q$8,E190), INDEX('Route Data'!$M$7:$M$8,E190))</f>
        <v>0.51617226640175828</v>
      </c>
      <c r="L190" s="5">
        <f>INDEX('Route Data'!$N$7:$N$8,E190)</f>
        <v>0.4</v>
      </c>
      <c r="M190" s="8">
        <v>0.41373133659362793</v>
      </c>
      <c r="N190" s="8">
        <f>ProbStrikeFrancis(K190, I190, L190, INDEX('Route Data'!$G$7:$G$8,E190),C190, INDEX('Route Data'!$F$7:$F$8,E190), INDEX('Route Data'!$O$7:$O$8,E190), INDEX('Route Data'!$H$7:$H$18,E190))</f>
        <v>1</v>
      </c>
      <c r="O190" s="5" t="str">
        <f>IF(F190&gt;=1,IF(M190&lt;=N190,"STRIKE","pass"),IF(M190&lt;=INDEX('Route Data'!$R$7:$R$8,E190),"NO PASS","pass"))</f>
        <v>STRIKE</v>
      </c>
      <c r="P190" s="5">
        <f>IF(F190&gt;=1,IF(M190&lt;=N190,1,0),IF(M190&lt;=INDEX('Route Data'!$R$7:$R$8,E190),-1,0))</f>
        <v>1</v>
      </c>
    </row>
    <row r="191" spans="1:16">
      <c r="A191" s="5">
        <v>181</v>
      </c>
      <c r="B191" s="12">
        <v>19.829999999999998</v>
      </c>
      <c r="C191" s="12">
        <f t="shared" si="2"/>
        <v>1.65</v>
      </c>
      <c r="D191" s="8">
        <v>0.64134734869003296</v>
      </c>
      <c r="E191" s="5">
        <f>MATCH(D191,'Route Data'!$C$7:$C$8,1)</f>
        <v>2</v>
      </c>
      <c r="F191" s="5">
        <f>INDEX('Route Data'!$D$7:$D$8,E191)</f>
        <v>1</v>
      </c>
      <c r="G191" s="5" t="str">
        <f>INDEX('Route Data'!$A$7:$A$8,E191)</f>
        <v>u18</v>
      </c>
      <c r="H191" s="5">
        <f>EnergyCoeff(INDEX('Route Data'!$K$7:$K$8,E191),INDEX('Route Data'!$L$7:$L$8,E191)*2*PI()/60,INDEX('Route Data'!$F$7:$F$8,E191))</f>
        <v>0.19430699130049439</v>
      </c>
      <c r="I191" s="5">
        <f>DischargeCoeff(INDEX('Route Data'!$I$7:$I$8,E191), INDEX('Route Data'!$L$7:$L$8,E191)*2*PI()/60, INDEX('Route Data'!$F$7:$F$8,E191))</f>
        <v>0.15939200179827354</v>
      </c>
      <c r="J191" s="8">
        <f>FlowAngleRel(INDEX('Route Data'!$J$7:$J$8,E191)*INDEX('Route Data'!$I$7:$I$8,E191), INDEX('Route Data'!$L$7:$L$8,E191)*2*PI()/60, INDEX('Route Data'!$F$7:$F$8,E191),INDEX('Route Data'!$O$7:$O$8,E191), INDEX('Route Data'!$P$7:$P$8,E191),INDEX('Route Data'!$M$7:$M$8,E191))</f>
        <v>1.130811765868994</v>
      </c>
      <c r="K191" s="8">
        <f>FlowAngleAbsT(INDEX('Route Data'!$K$7:$K$8,E191), INDEX('Route Data'!$I$7:$I$8,E191), INDEX('Route Data'!$I$7:$I$8,E191)*INDEX('Route Data'!$J$7:$J$8,E191), INDEX('Route Data'!$L$7:$L$8,E191)*2*PI()/60, INDEX('Route Data'!$F$7:$F$8,E191),INDEX('Route Data'!$O$7:$O$8,E191), INDEX('Route Data'!$P$7:$P$8,E191), INDEX('Route Data'!$H$7:$H$8,E191), INDEX('Route Data'!$Q$7:$Q$8,E191), INDEX('Route Data'!$M$7:$M$8,E191))</f>
        <v>0.51617226640175828</v>
      </c>
      <c r="L191" s="5">
        <f>INDEX('Route Data'!$N$7:$N$8,E191)</f>
        <v>0.4</v>
      </c>
      <c r="M191" s="8">
        <v>0.93711656332015991</v>
      </c>
      <c r="N191" s="8">
        <f>ProbStrikeFrancis(K191, I191, L191, INDEX('Route Data'!$G$7:$G$8,E191),C191, INDEX('Route Data'!$F$7:$F$8,E191), INDEX('Route Data'!$O$7:$O$8,E191), INDEX('Route Data'!$H$7:$H$18,E191))</f>
        <v>1</v>
      </c>
      <c r="O191" s="5" t="str">
        <f>IF(F191&gt;=1,IF(M191&lt;=N191,"STRIKE","pass"),IF(M191&lt;=INDEX('Route Data'!$R$7:$R$8,E191),"NO PASS","pass"))</f>
        <v>STRIKE</v>
      </c>
      <c r="P191" s="5">
        <f>IF(F191&gt;=1,IF(M191&lt;=N191,1,0),IF(M191&lt;=INDEX('Route Data'!$R$7:$R$8,E191),-1,0))</f>
        <v>1</v>
      </c>
    </row>
    <row r="192" spans="1:16">
      <c r="A192" s="5">
        <v>182</v>
      </c>
      <c r="B192" s="12">
        <v>23.89</v>
      </c>
      <c r="C192" s="12">
        <f t="shared" si="2"/>
        <v>1.99</v>
      </c>
      <c r="D192" s="8">
        <v>9.6599459648132324E-2</v>
      </c>
      <c r="E192" s="5">
        <f>MATCH(D192,'Route Data'!$C$7:$C$8,1)</f>
        <v>2</v>
      </c>
      <c r="F192" s="5">
        <f>INDEX('Route Data'!$D$7:$D$8,E192)</f>
        <v>1</v>
      </c>
      <c r="G192" s="5" t="str">
        <f>INDEX('Route Data'!$A$7:$A$8,E192)</f>
        <v>u18</v>
      </c>
      <c r="H192" s="5">
        <f>EnergyCoeff(INDEX('Route Data'!$K$7:$K$8,E192),INDEX('Route Data'!$L$7:$L$8,E192)*2*PI()/60,INDEX('Route Data'!$F$7:$F$8,E192))</f>
        <v>0.19430699130049439</v>
      </c>
      <c r="I192" s="5">
        <f>DischargeCoeff(INDEX('Route Data'!$I$7:$I$8,E192), INDEX('Route Data'!$L$7:$L$8,E192)*2*PI()/60, INDEX('Route Data'!$F$7:$F$8,E192))</f>
        <v>0.15939200179827354</v>
      </c>
      <c r="J192" s="8">
        <f>FlowAngleRel(INDEX('Route Data'!$J$7:$J$8,E192)*INDEX('Route Data'!$I$7:$I$8,E192), INDEX('Route Data'!$L$7:$L$8,E192)*2*PI()/60, INDEX('Route Data'!$F$7:$F$8,E192),INDEX('Route Data'!$O$7:$O$8,E192), INDEX('Route Data'!$P$7:$P$8,E192),INDEX('Route Data'!$M$7:$M$8,E192))</f>
        <v>1.130811765868994</v>
      </c>
      <c r="K192" s="8">
        <f>FlowAngleAbsT(INDEX('Route Data'!$K$7:$K$8,E192), INDEX('Route Data'!$I$7:$I$8,E192), INDEX('Route Data'!$I$7:$I$8,E192)*INDEX('Route Data'!$J$7:$J$8,E192), INDEX('Route Data'!$L$7:$L$8,E192)*2*PI()/60, INDEX('Route Data'!$F$7:$F$8,E192),INDEX('Route Data'!$O$7:$O$8,E192), INDEX('Route Data'!$P$7:$P$8,E192), INDEX('Route Data'!$H$7:$H$8,E192), INDEX('Route Data'!$Q$7:$Q$8,E192), INDEX('Route Data'!$M$7:$M$8,E192))</f>
        <v>0.51617226640175828</v>
      </c>
      <c r="L192" s="5">
        <f>INDEX('Route Data'!$N$7:$N$8,E192)</f>
        <v>0.4</v>
      </c>
      <c r="M192" s="8">
        <v>0.36696088314056396</v>
      </c>
      <c r="N192" s="8">
        <f>ProbStrikeFrancis(K192, I192, L192, INDEX('Route Data'!$G$7:$G$8,E192),C192, INDEX('Route Data'!$F$7:$F$8,E192), INDEX('Route Data'!$O$7:$O$8,E192), INDEX('Route Data'!$H$7:$H$18,E192))</f>
        <v>1</v>
      </c>
      <c r="O192" s="5" t="str">
        <f>IF(F192&gt;=1,IF(M192&lt;=N192,"STRIKE","pass"),IF(M192&lt;=INDEX('Route Data'!$R$7:$R$8,E192),"NO PASS","pass"))</f>
        <v>STRIKE</v>
      </c>
      <c r="P192" s="5">
        <f>IF(F192&gt;=1,IF(M192&lt;=N192,1,0),IF(M192&lt;=INDEX('Route Data'!$R$7:$R$8,E192),-1,0))</f>
        <v>1</v>
      </c>
    </row>
    <row r="193" spans="1:16">
      <c r="A193" s="5">
        <v>183</v>
      </c>
      <c r="B193" s="12">
        <v>28.57</v>
      </c>
      <c r="C193" s="12">
        <f t="shared" si="2"/>
        <v>2.38</v>
      </c>
      <c r="D193" s="8">
        <v>0.99642235040664673</v>
      </c>
      <c r="E193" s="5">
        <f>MATCH(D193,'Route Data'!$C$7:$C$8,1)</f>
        <v>2</v>
      </c>
      <c r="F193" s="5">
        <f>INDEX('Route Data'!$D$7:$D$8,E193)</f>
        <v>1</v>
      </c>
      <c r="G193" s="5" t="str">
        <f>INDEX('Route Data'!$A$7:$A$8,E193)</f>
        <v>u18</v>
      </c>
      <c r="H193" s="5">
        <f>EnergyCoeff(INDEX('Route Data'!$K$7:$K$8,E193),INDEX('Route Data'!$L$7:$L$8,E193)*2*PI()/60,INDEX('Route Data'!$F$7:$F$8,E193))</f>
        <v>0.19430699130049439</v>
      </c>
      <c r="I193" s="5">
        <f>DischargeCoeff(INDEX('Route Data'!$I$7:$I$8,E193), INDEX('Route Data'!$L$7:$L$8,E193)*2*PI()/60, INDEX('Route Data'!$F$7:$F$8,E193))</f>
        <v>0.15939200179827354</v>
      </c>
      <c r="J193" s="8">
        <f>FlowAngleRel(INDEX('Route Data'!$J$7:$J$8,E193)*INDEX('Route Data'!$I$7:$I$8,E193), INDEX('Route Data'!$L$7:$L$8,E193)*2*PI()/60, INDEX('Route Data'!$F$7:$F$8,E193),INDEX('Route Data'!$O$7:$O$8,E193), INDEX('Route Data'!$P$7:$P$8,E193),INDEX('Route Data'!$M$7:$M$8,E193))</f>
        <v>1.130811765868994</v>
      </c>
      <c r="K193" s="8">
        <f>FlowAngleAbsT(INDEX('Route Data'!$K$7:$K$8,E193), INDEX('Route Data'!$I$7:$I$8,E193), INDEX('Route Data'!$I$7:$I$8,E193)*INDEX('Route Data'!$J$7:$J$8,E193), INDEX('Route Data'!$L$7:$L$8,E193)*2*PI()/60, INDEX('Route Data'!$F$7:$F$8,E193),INDEX('Route Data'!$O$7:$O$8,E193), INDEX('Route Data'!$P$7:$P$8,E193), INDEX('Route Data'!$H$7:$H$8,E193), INDEX('Route Data'!$Q$7:$Q$8,E193), INDEX('Route Data'!$M$7:$M$8,E193))</f>
        <v>0.51617226640175828</v>
      </c>
      <c r="L193" s="5">
        <f>INDEX('Route Data'!$N$7:$N$8,E193)</f>
        <v>0.4</v>
      </c>
      <c r="M193" s="8">
        <v>0.34300714731216431</v>
      </c>
      <c r="N193" s="8">
        <f>ProbStrikeFrancis(K193, I193, L193, INDEX('Route Data'!$G$7:$G$8,E193),C193, INDEX('Route Data'!$F$7:$F$8,E193), INDEX('Route Data'!$O$7:$O$8,E193), INDEX('Route Data'!$H$7:$H$18,E193))</f>
        <v>1</v>
      </c>
      <c r="O193" s="5" t="str">
        <f>IF(F193&gt;=1,IF(M193&lt;=N193,"STRIKE","pass"),IF(M193&lt;=INDEX('Route Data'!$R$7:$R$8,E193),"NO PASS","pass"))</f>
        <v>STRIKE</v>
      </c>
      <c r="P193" s="5">
        <f>IF(F193&gt;=1,IF(M193&lt;=N193,1,0),IF(M193&lt;=INDEX('Route Data'!$R$7:$R$8,E193),-1,0))</f>
        <v>1</v>
      </c>
    </row>
    <row r="194" spans="1:16">
      <c r="A194" s="5">
        <v>184</v>
      </c>
      <c r="B194" s="12">
        <v>25.41</v>
      </c>
      <c r="C194" s="12">
        <f t="shared" si="2"/>
        <v>2.12</v>
      </c>
      <c r="D194" s="8">
        <v>0.56253290176391602</v>
      </c>
      <c r="E194" s="5">
        <f>MATCH(D194,'Route Data'!$C$7:$C$8,1)</f>
        <v>2</v>
      </c>
      <c r="F194" s="5">
        <f>INDEX('Route Data'!$D$7:$D$8,E194)</f>
        <v>1</v>
      </c>
      <c r="G194" s="5" t="str">
        <f>INDEX('Route Data'!$A$7:$A$8,E194)</f>
        <v>u18</v>
      </c>
      <c r="H194" s="5">
        <f>EnergyCoeff(INDEX('Route Data'!$K$7:$K$8,E194),INDEX('Route Data'!$L$7:$L$8,E194)*2*PI()/60,INDEX('Route Data'!$F$7:$F$8,E194))</f>
        <v>0.19430699130049439</v>
      </c>
      <c r="I194" s="5">
        <f>DischargeCoeff(INDEX('Route Data'!$I$7:$I$8,E194), INDEX('Route Data'!$L$7:$L$8,E194)*2*PI()/60, INDEX('Route Data'!$F$7:$F$8,E194))</f>
        <v>0.15939200179827354</v>
      </c>
      <c r="J194" s="8">
        <f>FlowAngleRel(INDEX('Route Data'!$J$7:$J$8,E194)*INDEX('Route Data'!$I$7:$I$8,E194), INDEX('Route Data'!$L$7:$L$8,E194)*2*PI()/60, INDEX('Route Data'!$F$7:$F$8,E194),INDEX('Route Data'!$O$7:$O$8,E194), INDEX('Route Data'!$P$7:$P$8,E194),INDEX('Route Data'!$M$7:$M$8,E194))</f>
        <v>1.130811765868994</v>
      </c>
      <c r="K194" s="8">
        <f>FlowAngleAbsT(INDEX('Route Data'!$K$7:$K$8,E194), INDEX('Route Data'!$I$7:$I$8,E194), INDEX('Route Data'!$I$7:$I$8,E194)*INDEX('Route Data'!$J$7:$J$8,E194), INDEX('Route Data'!$L$7:$L$8,E194)*2*PI()/60, INDEX('Route Data'!$F$7:$F$8,E194),INDEX('Route Data'!$O$7:$O$8,E194), INDEX('Route Data'!$P$7:$P$8,E194), INDEX('Route Data'!$H$7:$H$8,E194), INDEX('Route Data'!$Q$7:$Q$8,E194), INDEX('Route Data'!$M$7:$M$8,E194))</f>
        <v>0.51617226640175828</v>
      </c>
      <c r="L194" s="5">
        <f>INDEX('Route Data'!$N$7:$N$8,E194)</f>
        <v>0.4</v>
      </c>
      <c r="M194" s="8">
        <v>0.88370990753173828</v>
      </c>
      <c r="N194" s="8">
        <f>ProbStrikeFrancis(K194, I194, L194, INDEX('Route Data'!$G$7:$G$8,E194),C194, INDEX('Route Data'!$F$7:$F$8,E194), INDEX('Route Data'!$O$7:$O$8,E194), INDEX('Route Data'!$H$7:$H$18,E194))</f>
        <v>1</v>
      </c>
      <c r="O194" s="5" t="str">
        <f>IF(F194&gt;=1,IF(M194&lt;=N194,"STRIKE","pass"),IF(M194&lt;=INDEX('Route Data'!$R$7:$R$8,E194),"NO PASS","pass"))</f>
        <v>STRIKE</v>
      </c>
      <c r="P194" s="5">
        <f>IF(F194&gt;=1,IF(M194&lt;=N194,1,0),IF(M194&lt;=INDEX('Route Data'!$R$7:$R$8,E194),-1,0))</f>
        <v>1</v>
      </c>
    </row>
    <row r="195" spans="1:16">
      <c r="A195" s="5">
        <v>185</v>
      </c>
      <c r="B195" s="12">
        <v>22.62</v>
      </c>
      <c r="C195" s="12">
        <f t="shared" si="2"/>
        <v>1.89</v>
      </c>
      <c r="D195" s="8">
        <v>0.59862202405929565</v>
      </c>
      <c r="E195" s="5">
        <f>MATCH(D195,'Route Data'!$C$7:$C$8,1)</f>
        <v>2</v>
      </c>
      <c r="F195" s="5">
        <f>INDEX('Route Data'!$D$7:$D$8,E195)</f>
        <v>1</v>
      </c>
      <c r="G195" s="5" t="str">
        <f>INDEX('Route Data'!$A$7:$A$8,E195)</f>
        <v>u18</v>
      </c>
      <c r="H195" s="5">
        <f>EnergyCoeff(INDEX('Route Data'!$K$7:$K$8,E195),INDEX('Route Data'!$L$7:$L$8,E195)*2*PI()/60,INDEX('Route Data'!$F$7:$F$8,E195))</f>
        <v>0.19430699130049439</v>
      </c>
      <c r="I195" s="5">
        <f>DischargeCoeff(INDEX('Route Data'!$I$7:$I$8,E195), INDEX('Route Data'!$L$7:$L$8,E195)*2*PI()/60, INDEX('Route Data'!$F$7:$F$8,E195))</f>
        <v>0.15939200179827354</v>
      </c>
      <c r="J195" s="8">
        <f>FlowAngleRel(INDEX('Route Data'!$J$7:$J$8,E195)*INDEX('Route Data'!$I$7:$I$8,E195), INDEX('Route Data'!$L$7:$L$8,E195)*2*PI()/60, INDEX('Route Data'!$F$7:$F$8,E195),INDEX('Route Data'!$O$7:$O$8,E195), INDEX('Route Data'!$P$7:$P$8,E195),INDEX('Route Data'!$M$7:$M$8,E195))</f>
        <v>1.130811765868994</v>
      </c>
      <c r="K195" s="8">
        <f>FlowAngleAbsT(INDEX('Route Data'!$K$7:$K$8,E195), INDEX('Route Data'!$I$7:$I$8,E195), INDEX('Route Data'!$I$7:$I$8,E195)*INDEX('Route Data'!$J$7:$J$8,E195), INDEX('Route Data'!$L$7:$L$8,E195)*2*PI()/60, INDEX('Route Data'!$F$7:$F$8,E195),INDEX('Route Data'!$O$7:$O$8,E195), INDEX('Route Data'!$P$7:$P$8,E195), INDEX('Route Data'!$H$7:$H$8,E195), INDEX('Route Data'!$Q$7:$Q$8,E195), INDEX('Route Data'!$M$7:$M$8,E195))</f>
        <v>0.51617226640175828</v>
      </c>
      <c r="L195" s="5">
        <f>INDEX('Route Data'!$N$7:$N$8,E195)</f>
        <v>0.4</v>
      </c>
      <c r="M195" s="8">
        <v>0.52718085050582886</v>
      </c>
      <c r="N195" s="8">
        <f>ProbStrikeFrancis(K195, I195, L195, INDEX('Route Data'!$G$7:$G$8,E195),C195, INDEX('Route Data'!$F$7:$F$8,E195), INDEX('Route Data'!$O$7:$O$8,E195), INDEX('Route Data'!$H$7:$H$18,E195))</f>
        <v>1</v>
      </c>
      <c r="O195" s="5" t="str">
        <f>IF(F195&gt;=1,IF(M195&lt;=N195,"STRIKE","pass"),IF(M195&lt;=INDEX('Route Data'!$R$7:$R$8,E195),"NO PASS","pass"))</f>
        <v>STRIKE</v>
      </c>
      <c r="P195" s="5">
        <f>IF(F195&gt;=1,IF(M195&lt;=N195,1,0),IF(M195&lt;=INDEX('Route Data'!$R$7:$R$8,E195),-1,0))</f>
        <v>1</v>
      </c>
    </row>
    <row r="196" spans="1:16">
      <c r="A196" s="5">
        <v>186</v>
      </c>
      <c r="B196" s="12">
        <v>19.559999999999999</v>
      </c>
      <c r="C196" s="12">
        <f t="shared" si="2"/>
        <v>1.63</v>
      </c>
      <c r="D196" s="8">
        <v>0.22477543354034424</v>
      </c>
      <c r="E196" s="5">
        <f>MATCH(D196,'Route Data'!$C$7:$C$8,1)</f>
        <v>2</v>
      </c>
      <c r="F196" s="5">
        <f>INDEX('Route Data'!$D$7:$D$8,E196)</f>
        <v>1</v>
      </c>
      <c r="G196" s="5" t="str">
        <f>INDEX('Route Data'!$A$7:$A$8,E196)</f>
        <v>u18</v>
      </c>
      <c r="H196" s="5">
        <f>EnergyCoeff(INDEX('Route Data'!$K$7:$K$8,E196),INDEX('Route Data'!$L$7:$L$8,E196)*2*PI()/60,INDEX('Route Data'!$F$7:$F$8,E196))</f>
        <v>0.19430699130049439</v>
      </c>
      <c r="I196" s="5">
        <f>DischargeCoeff(INDEX('Route Data'!$I$7:$I$8,E196), INDEX('Route Data'!$L$7:$L$8,E196)*2*PI()/60, INDEX('Route Data'!$F$7:$F$8,E196))</f>
        <v>0.15939200179827354</v>
      </c>
      <c r="J196" s="8">
        <f>FlowAngleRel(INDEX('Route Data'!$J$7:$J$8,E196)*INDEX('Route Data'!$I$7:$I$8,E196), INDEX('Route Data'!$L$7:$L$8,E196)*2*PI()/60, INDEX('Route Data'!$F$7:$F$8,E196),INDEX('Route Data'!$O$7:$O$8,E196), INDEX('Route Data'!$P$7:$P$8,E196),INDEX('Route Data'!$M$7:$M$8,E196))</f>
        <v>1.130811765868994</v>
      </c>
      <c r="K196" s="8">
        <f>FlowAngleAbsT(INDEX('Route Data'!$K$7:$K$8,E196), INDEX('Route Data'!$I$7:$I$8,E196), INDEX('Route Data'!$I$7:$I$8,E196)*INDEX('Route Data'!$J$7:$J$8,E196), INDEX('Route Data'!$L$7:$L$8,E196)*2*PI()/60, INDEX('Route Data'!$F$7:$F$8,E196),INDEX('Route Data'!$O$7:$O$8,E196), INDEX('Route Data'!$P$7:$P$8,E196), INDEX('Route Data'!$H$7:$H$8,E196), INDEX('Route Data'!$Q$7:$Q$8,E196), INDEX('Route Data'!$M$7:$M$8,E196))</f>
        <v>0.51617226640175828</v>
      </c>
      <c r="L196" s="5">
        <f>INDEX('Route Data'!$N$7:$N$8,E196)</f>
        <v>0.4</v>
      </c>
      <c r="M196" s="8">
        <v>0.86234724521636963</v>
      </c>
      <c r="N196" s="8">
        <f>ProbStrikeFrancis(K196, I196, L196, INDEX('Route Data'!$G$7:$G$8,E196),C196, INDEX('Route Data'!$F$7:$F$8,E196), INDEX('Route Data'!$O$7:$O$8,E196), INDEX('Route Data'!$H$7:$H$18,E196))</f>
        <v>1</v>
      </c>
      <c r="O196" s="5" t="str">
        <f>IF(F196&gt;=1,IF(M196&lt;=N196,"STRIKE","pass"),IF(M196&lt;=INDEX('Route Data'!$R$7:$R$8,E196),"NO PASS","pass"))</f>
        <v>STRIKE</v>
      </c>
      <c r="P196" s="5">
        <f>IF(F196&gt;=1,IF(M196&lt;=N196,1,0),IF(M196&lt;=INDEX('Route Data'!$R$7:$R$8,E196),-1,0))</f>
        <v>1</v>
      </c>
    </row>
    <row r="197" spans="1:16">
      <c r="A197" s="5">
        <v>187</v>
      </c>
      <c r="B197" s="12">
        <v>20.059999999999999</v>
      </c>
      <c r="C197" s="12">
        <f t="shared" si="2"/>
        <v>1.67</v>
      </c>
      <c r="D197" s="8">
        <v>0.61189442873001099</v>
      </c>
      <c r="E197" s="5">
        <f>MATCH(D197,'Route Data'!$C$7:$C$8,1)</f>
        <v>2</v>
      </c>
      <c r="F197" s="5">
        <f>INDEX('Route Data'!$D$7:$D$8,E197)</f>
        <v>1</v>
      </c>
      <c r="G197" s="5" t="str">
        <f>INDEX('Route Data'!$A$7:$A$8,E197)</f>
        <v>u18</v>
      </c>
      <c r="H197" s="5">
        <f>EnergyCoeff(INDEX('Route Data'!$K$7:$K$8,E197),INDEX('Route Data'!$L$7:$L$8,E197)*2*PI()/60,INDEX('Route Data'!$F$7:$F$8,E197))</f>
        <v>0.19430699130049439</v>
      </c>
      <c r="I197" s="5">
        <f>DischargeCoeff(INDEX('Route Data'!$I$7:$I$8,E197), INDEX('Route Data'!$L$7:$L$8,E197)*2*PI()/60, INDEX('Route Data'!$F$7:$F$8,E197))</f>
        <v>0.15939200179827354</v>
      </c>
      <c r="J197" s="8">
        <f>FlowAngleRel(INDEX('Route Data'!$J$7:$J$8,E197)*INDEX('Route Data'!$I$7:$I$8,E197), INDEX('Route Data'!$L$7:$L$8,E197)*2*PI()/60, INDEX('Route Data'!$F$7:$F$8,E197),INDEX('Route Data'!$O$7:$O$8,E197), INDEX('Route Data'!$P$7:$P$8,E197),INDEX('Route Data'!$M$7:$M$8,E197))</f>
        <v>1.130811765868994</v>
      </c>
      <c r="K197" s="8">
        <f>FlowAngleAbsT(INDEX('Route Data'!$K$7:$K$8,E197), INDEX('Route Data'!$I$7:$I$8,E197), INDEX('Route Data'!$I$7:$I$8,E197)*INDEX('Route Data'!$J$7:$J$8,E197), INDEX('Route Data'!$L$7:$L$8,E197)*2*PI()/60, INDEX('Route Data'!$F$7:$F$8,E197),INDEX('Route Data'!$O$7:$O$8,E197), INDEX('Route Data'!$P$7:$P$8,E197), INDEX('Route Data'!$H$7:$H$8,E197), INDEX('Route Data'!$Q$7:$Q$8,E197), INDEX('Route Data'!$M$7:$M$8,E197))</f>
        <v>0.51617226640175828</v>
      </c>
      <c r="L197" s="5">
        <f>INDEX('Route Data'!$N$7:$N$8,E197)</f>
        <v>0.4</v>
      </c>
      <c r="M197" s="8">
        <v>0.59126883745193481</v>
      </c>
      <c r="N197" s="8">
        <f>ProbStrikeFrancis(K197, I197, L197, INDEX('Route Data'!$G$7:$G$8,E197),C197, INDEX('Route Data'!$F$7:$F$8,E197), INDEX('Route Data'!$O$7:$O$8,E197), INDEX('Route Data'!$H$7:$H$18,E197))</f>
        <v>1</v>
      </c>
      <c r="O197" s="5" t="str">
        <f>IF(F197&gt;=1,IF(M197&lt;=N197,"STRIKE","pass"),IF(M197&lt;=INDEX('Route Data'!$R$7:$R$8,E197),"NO PASS","pass"))</f>
        <v>STRIKE</v>
      </c>
      <c r="P197" s="5">
        <f>IF(F197&gt;=1,IF(M197&lt;=N197,1,0),IF(M197&lt;=INDEX('Route Data'!$R$7:$R$8,E197),-1,0))</f>
        <v>1</v>
      </c>
    </row>
    <row r="198" spans="1:16">
      <c r="A198" s="5">
        <v>188</v>
      </c>
      <c r="B198" s="12">
        <v>23.35</v>
      </c>
      <c r="C198" s="12">
        <f t="shared" si="2"/>
        <v>1.95</v>
      </c>
      <c r="D198" s="8">
        <v>0.71611666679382324</v>
      </c>
      <c r="E198" s="5">
        <f>MATCH(D198,'Route Data'!$C$7:$C$8,1)</f>
        <v>2</v>
      </c>
      <c r="F198" s="5">
        <f>INDEX('Route Data'!$D$7:$D$8,E198)</f>
        <v>1</v>
      </c>
      <c r="G198" s="5" t="str">
        <f>INDEX('Route Data'!$A$7:$A$8,E198)</f>
        <v>u18</v>
      </c>
      <c r="H198" s="5">
        <f>EnergyCoeff(INDEX('Route Data'!$K$7:$K$8,E198),INDEX('Route Data'!$L$7:$L$8,E198)*2*PI()/60,INDEX('Route Data'!$F$7:$F$8,E198))</f>
        <v>0.19430699130049439</v>
      </c>
      <c r="I198" s="5">
        <f>DischargeCoeff(INDEX('Route Data'!$I$7:$I$8,E198), INDEX('Route Data'!$L$7:$L$8,E198)*2*PI()/60, INDEX('Route Data'!$F$7:$F$8,E198))</f>
        <v>0.15939200179827354</v>
      </c>
      <c r="J198" s="8">
        <f>FlowAngleRel(INDEX('Route Data'!$J$7:$J$8,E198)*INDEX('Route Data'!$I$7:$I$8,E198), INDEX('Route Data'!$L$7:$L$8,E198)*2*PI()/60, INDEX('Route Data'!$F$7:$F$8,E198),INDEX('Route Data'!$O$7:$O$8,E198), INDEX('Route Data'!$P$7:$P$8,E198),INDEX('Route Data'!$M$7:$M$8,E198))</f>
        <v>1.130811765868994</v>
      </c>
      <c r="K198" s="8">
        <f>FlowAngleAbsT(INDEX('Route Data'!$K$7:$K$8,E198), INDEX('Route Data'!$I$7:$I$8,E198), INDEX('Route Data'!$I$7:$I$8,E198)*INDEX('Route Data'!$J$7:$J$8,E198), INDEX('Route Data'!$L$7:$L$8,E198)*2*PI()/60, INDEX('Route Data'!$F$7:$F$8,E198),INDEX('Route Data'!$O$7:$O$8,E198), INDEX('Route Data'!$P$7:$P$8,E198), INDEX('Route Data'!$H$7:$H$8,E198), INDEX('Route Data'!$Q$7:$Q$8,E198), INDEX('Route Data'!$M$7:$M$8,E198))</f>
        <v>0.51617226640175828</v>
      </c>
      <c r="L198" s="5">
        <f>INDEX('Route Data'!$N$7:$N$8,E198)</f>
        <v>0.4</v>
      </c>
      <c r="M198" s="8">
        <v>0.67008328437805176</v>
      </c>
      <c r="N198" s="8">
        <f>ProbStrikeFrancis(K198, I198, L198, INDEX('Route Data'!$G$7:$G$8,E198),C198, INDEX('Route Data'!$F$7:$F$8,E198), INDEX('Route Data'!$O$7:$O$8,E198), INDEX('Route Data'!$H$7:$H$18,E198))</f>
        <v>1</v>
      </c>
      <c r="O198" s="5" t="str">
        <f>IF(F198&gt;=1,IF(M198&lt;=N198,"STRIKE","pass"),IF(M198&lt;=INDEX('Route Data'!$R$7:$R$8,E198),"NO PASS","pass"))</f>
        <v>STRIKE</v>
      </c>
      <c r="P198" s="5">
        <f>IF(F198&gt;=1,IF(M198&lt;=N198,1,0),IF(M198&lt;=INDEX('Route Data'!$R$7:$R$8,E198),-1,0))</f>
        <v>1</v>
      </c>
    </row>
    <row r="199" spans="1:16">
      <c r="A199" s="5">
        <v>189</v>
      </c>
      <c r="B199" s="12">
        <v>19.43</v>
      </c>
      <c r="C199" s="12">
        <f t="shared" si="2"/>
        <v>1.62</v>
      </c>
      <c r="D199" s="8">
        <v>0.87229150533676147</v>
      </c>
      <c r="E199" s="5">
        <f>MATCH(D199,'Route Data'!$C$7:$C$8,1)</f>
        <v>2</v>
      </c>
      <c r="F199" s="5">
        <f>INDEX('Route Data'!$D$7:$D$8,E199)</f>
        <v>1</v>
      </c>
      <c r="G199" s="5" t="str">
        <f>INDEX('Route Data'!$A$7:$A$8,E199)</f>
        <v>u18</v>
      </c>
      <c r="H199" s="5">
        <f>EnergyCoeff(INDEX('Route Data'!$K$7:$K$8,E199),INDEX('Route Data'!$L$7:$L$8,E199)*2*PI()/60,INDEX('Route Data'!$F$7:$F$8,E199))</f>
        <v>0.19430699130049439</v>
      </c>
      <c r="I199" s="5">
        <f>DischargeCoeff(INDEX('Route Data'!$I$7:$I$8,E199), INDEX('Route Data'!$L$7:$L$8,E199)*2*PI()/60, INDEX('Route Data'!$F$7:$F$8,E199))</f>
        <v>0.15939200179827354</v>
      </c>
      <c r="J199" s="8">
        <f>FlowAngleRel(INDEX('Route Data'!$J$7:$J$8,E199)*INDEX('Route Data'!$I$7:$I$8,E199), INDEX('Route Data'!$L$7:$L$8,E199)*2*PI()/60, INDEX('Route Data'!$F$7:$F$8,E199),INDEX('Route Data'!$O$7:$O$8,E199), INDEX('Route Data'!$P$7:$P$8,E199),INDEX('Route Data'!$M$7:$M$8,E199))</f>
        <v>1.130811765868994</v>
      </c>
      <c r="K199" s="8">
        <f>FlowAngleAbsT(INDEX('Route Data'!$K$7:$K$8,E199), INDEX('Route Data'!$I$7:$I$8,E199), INDEX('Route Data'!$I$7:$I$8,E199)*INDEX('Route Data'!$J$7:$J$8,E199), INDEX('Route Data'!$L$7:$L$8,E199)*2*PI()/60, INDEX('Route Data'!$F$7:$F$8,E199),INDEX('Route Data'!$O$7:$O$8,E199), INDEX('Route Data'!$P$7:$P$8,E199), INDEX('Route Data'!$H$7:$H$8,E199), INDEX('Route Data'!$Q$7:$Q$8,E199), INDEX('Route Data'!$M$7:$M$8,E199))</f>
        <v>0.51617226640175828</v>
      </c>
      <c r="L199" s="5">
        <f>INDEX('Route Data'!$N$7:$N$8,E199)</f>
        <v>0.4</v>
      </c>
      <c r="M199" s="8">
        <v>0.16806071996688843</v>
      </c>
      <c r="N199" s="8">
        <f>ProbStrikeFrancis(K199, I199, L199, INDEX('Route Data'!$G$7:$G$8,E199),C199, INDEX('Route Data'!$F$7:$F$8,E199), INDEX('Route Data'!$O$7:$O$8,E199), INDEX('Route Data'!$H$7:$H$18,E199))</f>
        <v>1</v>
      </c>
      <c r="O199" s="5" t="str">
        <f>IF(F199&gt;=1,IF(M199&lt;=N199,"STRIKE","pass"),IF(M199&lt;=INDEX('Route Data'!$R$7:$R$8,E199),"NO PASS","pass"))</f>
        <v>STRIKE</v>
      </c>
      <c r="P199" s="5">
        <f>IF(F199&gt;=1,IF(M199&lt;=N199,1,0),IF(M199&lt;=INDEX('Route Data'!$R$7:$R$8,E199),-1,0))</f>
        <v>1</v>
      </c>
    </row>
    <row r="200" spans="1:16">
      <c r="A200" s="5">
        <v>190</v>
      </c>
      <c r="B200" s="12">
        <v>20.38</v>
      </c>
      <c r="C200" s="12">
        <f t="shared" si="2"/>
        <v>1.7</v>
      </c>
      <c r="D200" s="8">
        <v>0.66934621334075928</v>
      </c>
      <c r="E200" s="5">
        <f>MATCH(D200,'Route Data'!$C$7:$C$8,1)</f>
        <v>2</v>
      </c>
      <c r="F200" s="5">
        <f>INDEX('Route Data'!$D$7:$D$8,E200)</f>
        <v>1</v>
      </c>
      <c r="G200" s="5" t="str">
        <f>INDEX('Route Data'!$A$7:$A$8,E200)</f>
        <v>u18</v>
      </c>
      <c r="H200" s="5">
        <f>EnergyCoeff(INDEX('Route Data'!$K$7:$K$8,E200),INDEX('Route Data'!$L$7:$L$8,E200)*2*PI()/60,INDEX('Route Data'!$F$7:$F$8,E200))</f>
        <v>0.19430699130049439</v>
      </c>
      <c r="I200" s="5">
        <f>DischargeCoeff(INDEX('Route Data'!$I$7:$I$8,E200), INDEX('Route Data'!$L$7:$L$8,E200)*2*PI()/60, INDEX('Route Data'!$F$7:$F$8,E200))</f>
        <v>0.15939200179827354</v>
      </c>
      <c r="J200" s="8">
        <f>FlowAngleRel(INDEX('Route Data'!$J$7:$J$8,E200)*INDEX('Route Data'!$I$7:$I$8,E200), INDEX('Route Data'!$L$7:$L$8,E200)*2*PI()/60, INDEX('Route Data'!$F$7:$F$8,E200),INDEX('Route Data'!$O$7:$O$8,E200), INDEX('Route Data'!$P$7:$P$8,E200),INDEX('Route Data'!$M$7:$M$8,E200))</f>
        <v>1.130811765868994</v>
      </c>
      <c r="K200" s="8">
        <f>FlowAngleAbsT(INDEX('Route Data'!$K$7:$K$8,E200), INDEX('Route Data'!$I$7:$I$8,E200), INDEX('Route Data'!$I$7:$I$8,E200)*INDEX('Route Data'!$J$7:$J$8,E200), INDEX('Route Data'!$L$7:$L$8,E200)*2*PI()/60, INDEX('Route Data'!$F$7:$F$8,E200),INDEX('Route Data'!$O$7:$O$8,E200), INDEX('Route Data'!$P$7:$P$8,E200), INDEX('Route Data'!$H$7:$H$8,E200), INDEX('Route Data'!$Q$7:$Q$8,E200), INDEX('Route Data'!$M$7:$M$8,E200))</f>
        <v>0.51617226640175828</v>
      </c>
      <c r="L200" s="5">
        <f>INDEX('Route Data'!$N$7:$N$8,E200)</f>
        <v>0.4</v>
      </c>
      <c r="M200" s="8">
        <v>0.67412841320037842</v>
      </c>
      <c r="N200" s="8">
        <f>ProbStrikeFrancis(K200, I200, L200, INDEX('Route Data'!$G$7:$G$8,E200),C200, INDEX('Route Data'!$F$7:$F$8,E200), INDEX('Route Data'!$O$7:$O$8,E200), INDEX('Route Data'!$H$7:$H$18,E200))</f>
        <v>1</v>
      </c>
      <c r="O200" s="5" t="str">
        <f>IF(F200&gt;=1,IF(M200&lt;=N200,"STRIKE","pass"),IF(M200&lt;=INDEX('Route Data'!$R$7:$R$8,E200),"NO PASS","pass"))</f>
        <v>STRIKE</v>
      </c>
      <c r="P200" s="5">
        <f>IF(F200&gt;=1,IF(M200&lt;=N200,1,0),IF(M200&lt;=INDEX('Route Data'!$R$7:$R$8,E200),-1,0))</f>
        <v>1</v>
      </c>
    </row>
    <row r="201" spans="1:16">
      <c r="A201" s="5">
        <v>191</v>
      </c>
      <c r="B201" s="12">
        <v>22.59</v>
      </c>
      <c r="C201" s="12">
        <f t="shared" si="2"/>
        <v>1.88</v>
      </c>
      <c r="D201" s="8">
        <v>0.27818208932876587</v>
      </c>
      <c r="E201" s="5">
        <f>MATCH(D201,'Route Data'!$C$7:$C$8,1)</f>
        <v>2</v>
      </c>
      <c r="F201" s="5">
        <f>INDEX('Route Data'!$D$7:$D$8,E201)</f>
        <v>1</v>
      </c>
      <c r="G201" s="5" t="str">
        <f>INDEX('Route Data'!$A$7:$A$8,E201)</f>
        <v>u18</v>
      </c>
      <c r="H201" s="5">
        <f>EnergyCoeff(INDEX('Route Data'!$K$7:$K$8,E201),INDEX('Route Data'!$L$7:$L$8,E201)*2*PI()/60,INDEX('Route Data'!$F$7:$F$8,E201))</f>
        <v>0.19430699130049439</v>
      </c>
      <c r="I201" s="5">
        <f>DischargeCoeff(INDEX('Route Data'!$I$7:$I$8,E201), INDEX('Route Data'!$L$7:$L$8,E201)*2*PI()/60, INDEX('Route Data'!$F$7:$F$8,E201))</f>
        <v>0.15939200179827354</v>
      </c>
      <c r="J201" s="8">
        <f>FlowAngleRel(INDEX('Route Data'!$J$7:$J$8,E201)*INDEX('Route Data'!$I$7:$I$8,E201), INDEX('Route Data'!$L$7:$L$8,E201)*2*PI()/60, INDEX('Route Data'!$F$7:$F$8,E201),INDEX('Route Data'!$O$7:$O$8,E201), INDEX('Route Data'!$P$7:$P$8,E201),INDEX('Route Data'!$M$7:$M$8,E201))</f>
        <v>1.130811765868994</v>
      </c>
      <c r="K201" s="8">
        <f>FlowAngleAbsT(INDEX('Route Data'!$K$7:$K$8,E201), INDEX('Route Data'!$I$7:$I$8,E201), INDEX('Route Data'!$I$7:$I$8,E201)*INDEX('Route Data'!$J$7:$J$8,E201), INDEX('Route Data'!$L$7:$L$8,E201)*2*PI()/60, INDEX('Route Data'!$F$7:$F$8,E201),INDEX('Route Data'!$O$7:$O$8,E201), INDEX('Route Data'!$P$7:$P$8,E201), INDEX('Route Data'!$H$7:$H$8,E201), INDEX('Route Data'!$Q$7:$Q$8,E201), INDEX('Route Data'!$M$7:$M$8,E201))</f>
        <v>0.51617226640175828</v>
      </c>
      <c r="L201" s="5">
        <f>INDEX('Route Data'!$N$7:$N$8,E201)</f>
        <v>0.4</v>
      </c>
      <c r="M201" s="8">
        <v>0.89034610986709595</v>
      </c>
      <c r="N201" s="8">
        <f>ProbStrikeFrancis(K201, I201, L201, INDEX('Route Data'!$G$7:$G$8,E201),C201, INDEX('Route Data'!$F$7:$F$8,E201), INDEX('Route Data'!$O$7:$O$8,E201), INDEX('Route Data'!$H$7:$H$18,E201))</f>
        <v>1</v>
      </c>
      <c r="O201" s="5" t="str">
        <f>IF(F201&gt;=1,IF(M201&lt;=N201,"STRIKE","pass"),IF(M201&lt;=INDEX('Route Data'!$R$7:$R$8,E201),"NO PASS","pass"))</f>
        <v>STRIKE</v>
      </c>
      <c r="P201" s="5">
        <f>IF(F201&gt;=1,IF(M201&lt;=N201,1,0),IF(M201&lt;=INDEX('Route Data'!$R$7:$R$8,E201),-1,0))</f>
        <v>1</v>
      </c>
    </row>
    <row r="202" spans="1:16">
      <c r="A202" s="5">
        <v>192</v>
      </c>
      <c r="B202" s="12">
        <v>22.07</v>
      </c>
      <c r="C202" s="12">
        <f t="shared" si="2"/>
        <v>1.84</v>
      </c>
      <c r="D202" s="8">
        <v>0.45167446136474609</v>
      </c>
      <c r="E202" s="5">
        <f>MATCH(D202,'Route Data'!$C$7:$C$8,1)</f>
        <v>2</v>
      </c>
      <c r="F202" s="5">
        <f>INDEX('Route Data'!$D$7:$D$8,E202)</f>
        <v>1</v>
      </c>
      <c r="G202" s="5" t="str">
        <f>INDEX('Route Data'!$A$7:$A$8,E202)</f>
        <v>u18</v>
      </c>
      <c r="H202" s="5">
        <f>EnergyCoeff(INDEX('Route Data'!$K$7:$K$8,E202),INDEX('Route Data'!$L$7:$L$8,E202)*2*PI()/60,INDEX('Route Data'!$F$7:$F$8,E202))</f>
        <v>0.19430699130049439</v>
      </c>
      <c r="I202" s="5">
        <f>DischargeCoeff(INDEX('Route Data'!$I$7:$I$8,E202), INDEX('Route Data'!$L$7:$L$8,E202)*2*PI()/60, INDEX('Route Data'!$F$7:$F$8,E202))</f>
        <v>0.15939200179827354</v>
      </c>
      <c r="J202" s="8">
        <f>FlowAngleRel(INDEX('Route Data'!$J$7:$J$8,E202)*INDEX('Route Data'!$I$7:$I$8,E202), INDEX('Route Data'!$L$7:$L$8,E202)*2*PI()/60, INDEX('Route Data'!$F$7:$F$8,E202),INDEX('Route Data'!$O$7:$O$8,E202), INDEX('Route Data'!$P$7:$P$8,E202),INDEX('Route Data'!$M$7:$M$8,E202))</f>
        <v>1.130811765868994</v>
      </c>
      <c r="K202" s="8">
        <f>FlowAngleAbsT(INDEX('Route Data'!$K$7:$K$8,E202), INDEX('Route Data'!$I$7:$I$8,E202), INDEX('Route Data'!$I$7:$I$8,E202)*INDEX('Route Data'!$J$7:$J$8,E202), INDEX('Route Data'!$L$7:$L$8,E202)*2*PI()/60, INDEX('Route Data'!$F$7:$F$8,E202),INDEX('Route Data'!$O$7:$O$8,E202), INDEX('Route Data'!$P$7:$P$8,E202), INDEX('Route Data'!$H$7:$H$8,E202), INDEX('Route Data'!$Q$7:$Q$8,E202), INDEX('Route Data'!$M$7:$M$8,E202))</f>
        <v>0.51617226640175828</v>
      </c>
      <c r="L202" s="5">
        <f>INDEX('Route Data'!$N$7:$N$8,E202)</f>
        <v>0.4</v>
      </c>
      <c r="M202" s="8">
        <v>0.77285146713256836</v>
      </c>
      <c r="N202" s="8">
        <f>ProbStrikeFrancis(K202, I202, L202, INDEX('Route Data'!$G$7:$G$8,E202),C202, INDEX('Route Data'!$F$7:$F$8,E202), INDEX('Route Data'!$O$7:$O$8,E202), INDEX('Route Data'!$H$7:$H$18,E202))</f>
        <v>1</v>
      </c>
      <c r="O202" s="5" t="str">
        <f>IF(F202&gt;=1,IF(M202&lt;=N202,"STRIKE","pass"),IF(M202&lt;=INDEX('Route Data'!$R$7:$R$8,E202),"NO PASS","pass"))</f>
        <v>STRIKE</v>
      </c>
      <c r="P202" s="5">
        <f>IF(F202&gt;=1,IF(M202&lt;=N202,1,0),IF(M202&lt;=INDEX('Route Data'!$R$7:$R$8,E202),-1,0))</f>
        <v>1</v>
      </c>
    </row>
    <row r="203" spans="1:16">
      <c r="A203" s="5">
        <v>193</v>
      </c>
      <c r="B203" s="12">
        <v>18.850000000000001</v>
      </c>
      <c r="C203" s="12">
        <f t="shared" ref="C203:C266" si="3">ROUND(B203/12,2)</f>
        <v>1.57</v>
      </c>
      <c r="D203" s="8">
        <v>0.46235579252243042</v>
      </c>
      <c r="E203" s="5">
        <f>MATCH(D203,'Route Data'!$C$7:$C$8,1)</f>
        <v>2</v>
      </c>
      <c r="F203" s="5">
        <f>INDEX('Route Data'!$D$7:$D$8,E203)</f>
        <v>1</v>
      </c>
      <c r="G203" s="5" t="str">
        <f>INDEX('Route Data'!$A$7:$A$8,E203)</f>
        <v>u18</v>
      </c>
      <c r="H203" s="5">
        <f>EnergyCoeff(INDEX('Route Data'!$K$7:$K$8,E203),INDEX('Route Data'!$L$7:$L$8,E203)*2*PI()/60,INDEX('Route Data'!$F$7:$F$8,E203))</f>
        <v>0.19430699130049439</v>
      </c>
      <c r="I203" s="5">
        <f>DischargeCoeff(INDEX('Route Data'!$I$7:$I$8,E203), INDEX('Route Data'!$L$7:$L$8,E203)*2*PI()/60, INDEX('Route Data'!$F$7:$F$8,E203))</f>
        <v>0.15939200179827354</v>
      </c>
      <c r="J203" s="8">
        <f>FlowAngleRel(INDEX('Route Data'!$J$7:$J$8,E203)*INDEX('Route Data'!$I$7:$I$8,E203), INDEX('Route Data'!$L$7:$L$8,E203)*2*PI()/60, INDEX('Route Data'!$F$7:$F$8,E203),INDEX('Route Data'!$O$7:$O$8,E203), INDEX('Route Data'!$P$7:$P$8,E203),INDEX('Route Data'!$M$7:$M$8,E203))</f>
        <v>1.130811765868994</v>
      </c>
      <c r="K203" s="8">
        <f>FlowAngleAbsT(INDEX('Route Data'!$K$7:$K$8,E203), INDEX('Route Data'!$I$7:$I$8,E203), INDEX('Route Data'!$I$7:$I$8,E203)*INDEX('Route Data'!$J$7:$J$8,E203), INDEX('Route Data'!$L$7:$L$8,E203)*2*PI()/60, INDEX('Route Data'!$F$7:$F$8,E203),INDEX('Route Data'!$O$7:$O$8,E203), INDEX('Route Data'!$P$7:$P$8,E203), INDEX('Route Data'!$H$7:$H$8,E203), INDEX('Route Data'!$Q$7:$Q$8,E203), INDEX('Route Data'!$M$7:$M$8,E203))</f>
        <v>0.51617226640175828</v>
      </c>
      <c r="L203" s="5">
        <f>INDEX('Route Data'!$N$7:$N$8,E203)</f>
        <v>0.4</v>
      </c>
      <c r="M203" s="8">
        <v>0.12533539533615112</v>
      </c>
      <c r="N203" s="8">
        <f>ProbStrikeFrancis(K203, I203, L203, INDEX('Route Data'!$G$7:$G$8,E203),C203, INDEX('Route Data'!$F$7:$F$8,E203), INDEX('Route Data'!$O$7:$O$8,E203), INDEX('Route Data'!$H$7:$H$18,E203))</f>
        <v>1</v>
      </c>
      <c r="O203" s="5" t="str">
        <f>IF(F203&gt;=1,IF(M203&lt;=N203,"STRIKE","pass"),IF(M203&lt;=INDEX('Route Data'!$R$7:$R$8,E203),"NO PASS","pass"))</f>
        <v>STRIKE</v>
      </c>
      <c r="P203" s="5">
        <f>IF(F203&gt;=1,IF(M203&lt;=N203,1,0),IF(M203&lt;=INDEX('Route Data'!$R$7:$R$8,E203),-1,0))</f>
        <v>1</v>
      </c>
    </row>
    <row r="204" spans="1:16">
      <c r="A204" s="5">
        <v>194</v>
      </c>
      <c r="B204" s="12">
        <v>21.5</v>
      </c>
      <c r="C204" s="12">
        <f t="shared" si="3"/>
        <v>1.79</v>
      </c>
      <c r="D204" s="8">
        <v>0.43031179904937744</v>
      </c>
      <c r="E204" s="5">
        <f>MATCH(D204,'Route Data'!$C$7:$C$8,1)</f>
        <v>2</v>
      </c>
      <c r="F204" s="5">
        <f>INDEX('Route Data'!$D$7:$D$8,E204)</f>
        <v>1</v>
      </c>
      <c r="G204" s="5" t="str">
        <f>INDEX('Route Data'!$A$7:$A$8,E204)</f>
        <v>u18</v>
      </c>
      <c r="H204" s="5">
        <f>EnergyCoeff(INDEX('Route Data'!$K$7:$K$8,E204),INDEX('Route Data'!$L$7:$L$8,E204)*2*PI()/60,INDEX('Route Data'!$F$7:$F$8,E204))</f>
        <v>0.19430699130049439</v>
      </c>
      <c r="I204" s="5">
        <f>DischargeCoeff(INDEX('Route Data'!$I$7:$I$8,E204), INDEX('Route Data'!$L$7:$L$8,E204)*2*PI()/60, INDEX('Route Data'!$F$7:$F$8,E204))</f>
        <v>0.15939200179827354</v>
      </c>
      <c r="J204" s="8">
        <f>FlowAngleRel(INDEX('Route Data'!$J$7:$J$8,E204)*INDEX('Route Data'!$I$7:$I$8,E204), INDEX('Route Data'!$L$7:$L$8,E204)*2*PI()/60, INDEX('Route Data'!$F$7:$F$8,E204),INDEX('Route Data'!$O$7:$O$8,E204), INDEX('Route Data'!$P$7:$P$8,E204),INDEX('Route Data'!$M$7:$M$8,E204))</f>
        <v>1.130811765868994</v>
      </c>
      <c r="K204" s="8">
        <f>FlowAngleAbsT(INDEX('Route Data'!$K$7:$K$8,E204), INDEX('Route Data'!$I$7:$I$8,E204), INDEX('Route Data'!$I$7:$I$8,E204)*INDEX('Route Data'!$J$7:$J$8,E204), INDEX('Route Data'!$L$7:$L$8,E204)*2*PI()/60, INDEX('Route Data'!$F$7:$F$8,E204),INDEX('Route Data'!$O$7:$O$8,E204), INDEX('Route Data'!$P$7:$P$8,E204), INDEX('Route Data'!$H$7:$H$8,E204), INDEX('Route Data'!$Q$7:$Q$8,E204), INDEX('Route Data'!$M$7:$M$8,E204))</f>
        <v>0.51617226640175828</v>
      </c>
      <c r="L204" s="5">
        <f>INDEX('Route Data'!$N$7:$N$8,E204)</f>
        <v>0.4</v>
      </c>
      <c r="M204" s="8">
        <v>6.7883610725402832E-2</v>
      </c>
      <c r="N204" s="8">
        <f>ProbStrikeFrancis(K204, I204, L204, INDEX('Route Data'!$G$7:$G$8,E204),C204, INDEX('Route Data'!$F$7:$F$8,E204), INDEX('Route Data'!$O$7:$O$8,E204), INDEX('Route Data'!$H$7:$H$18,E204))</f>
        <v>1</v>
      </c>
      <c r="O204" s="5" t="str">
        <f>IF(F204&gt;=1,IF(M204&lt;=N204,"STRIKE","pass"),IF(M204&lt;=INDEX('Route Data'!$R$7:$R$8,E204),"NO PASS","pass"))</f>
        <v>STRIKE</v>
      </c>
      <c r="P204" s="5">
        <f>IF(F204&gt;=1,IF(M204&lt;=N204,1,0),IF(M204&lt;=INDEX('Route Data'!$R$7:$R$8,E204),-1,0))</f>
        <v>1</v>
      </c>
    </row>
    <row r="205" spans="1:16">
      <c r="A205" s="5">
        <v>195</v>
      </c>
      <c r="B205" s="12">
        <v>25.95</v>
      </c>
      <c r="C205" s="12">
        <f t="shared" si="3"/>
        <v>2.16</v>
      </c>
      <c r="D205" s="8">
        <v>0.52644377946853638</v>
      </c>
      <c r="E205" s="5">
        <f>MATCH(D205,'Route Data'!$C$7:$C$8,1)</f>
        <v>2</v>
      </c>
      <c r="F205" s="5">
        <f>INDEX('Route Data'!$D$7:$D$8,E205)</f>
        <v>1</v>
      </c>
      <c r="G205" s="5" t="str">
        <f>INDEX('Route Data'!$A$7:$A$8,E205)</f>
        <v>u18</v>
      </c>
      <c r="H205" s="5">
        <f>EnergyCoeff(INDEX('Route Data'!$K$7:$K$8,E205),INDEX('Route Data'!$L$7:$L$8,E205)*2*PI()/60,INDEX('Route Data'!$F$7:$F$8,E205))</f>
        <v>0.19430699130049439</v>
      </c>
      <c r="I205" s="5">
        <f>DischargeCoeff(INDEX('Route Data'!$I$7:$I$8,E205), INDEX('Route Data'!$L$7:$L$8,E205)*2*PI()/60, INDEX('Route Data'!$F$7:$F$8,E205))</f>
        <v>0.15939200179827354</v>
      </c>
      <c r="J205" s="8">
        <f>FlowAngleRel(INDEX('Route Data'!$J$7:$J$8,E205)*INDEX('Route Data'!$I$7:$I$8,E205), INDEX('Route Data'!$L$7:$L$8,E205)*2*PI()/60, INDEX('Route Data'!$F$7:$F$8,E205),INDEX('Route Data'!$O$7:$O$8,E205), INDEX('Route Data'!$P$7:$P$8,E205),INDEX('Route Data'!$M$7:$M$8,E205))</f>
        <v>1.130811765868994</v>
      </c>
      <c r="K205" s="8">
        <f>FlowAngleAbsT(INDEX('Route Data'!$K$7:$K$8,E205), INDEX('Route Data'!$I$7:$I$8,E205), INDEX('Route Data'!$I$7:$I$8,E205)*INDEX('Route Data'!$J$7:$J$8,E205), INDEX('Route Data'!$L$7:$L$8,E205)*2*PI()/60, INDEX('Route Data'!$F$7:$F$8,E205),INDEX('Route Data'!$O$7:$O$8,E205), INDEX('Route Data'!$P$7:$P$8,E205), INDEX('Route Data'!$H$7:$H$8,E205), INDEX('Route Data'!$Q$7:$Q$8,E205), INDEX('Route Data'!$M$7:$M$8,E205))</f>
        <v>0.51617226640175828</v>
      </c>
      <c r="L205" s="5">
        <f>INDEX('Route Data'!$N$7:$N$8,E205)</f>
        <v>0.4</v>
      </c>
      <c r="M205" s="8">
        <v>0.50581818819046021</v>
      </c>
      <c r="N205" s="8">
        <f>ProbStrikeFrancis(K205, I205, L205, INDEX('Route Data'!$G$7:$G$8,E205),C205, INDEX('Route Data'!$F$7:$F$8,E205), INDEX('Route Data'!$O$7:$O$8,E205), INDEX('Route Data'!$H$7:$H$18,E205))</f>
        <v>1</v>
      </c>
      <c r="O205" s="5" t="str">
        <f>IF(F205&gt;=1,IF(M205&lt;=N205,"STRIKE","pass"),IF(M205&lt;=INDEX('Route Data'!$R$7:$R$8,E205),"NO PASS","pass"))</f>
        <v>STRIKE</v>
      </c>
      <c r="P205" s="5">
        <f>IF(F205&gt;=1,IF(M205&lt;=N205,1,0),IF(M205&lt;=INDEX('Route Data'!$R$7:$R$8,E205),-1,0))</f>
        <v>1</v>
      </c>
    </row>
    <row r="206" spans="1:16">
      <c r="A206" s="5">
        <v>196</v>
      </c>
      <c r="B206" s="12">
        <v>25.99</v>
      </c>
      <c r="C206" s="12">
        <f t="shared" si="3"/>
        <v>2.17</v>
      </c>
      <c r="D206" s="8">
        <v>0.97246861457824707</v>
      </c>
      <c r="E206" s="5">
        <f>MATCH(D206,'Route Data'!$C$7:$C$8,1)</f>
        <v>2</v>
      </c>
      <c r="F206" s="5">
        <f>INDEX('Route Data'!$D$7:$D$8,E206)</f>
        <v>1</v>
      </c>
      <c r="G206" s="5" t="str">
        <f>INDEX('Route Data'!$A$7:$A$8,E206)</f>
        <v>u18</v>
      </c>
      <c r="H206" s="5">
        <f>EnergyCoeff(INDEX('Route Data'!$K$7:$K$8,E206),INDEX('Route Data'!$L$7:$L$8,E206)*2*PI()/60,INDEX('Route Data'!$F$7:$F$8,E206))</f>
        <v>0.19430699130049439</v>
      </c>
      <c r="I206" s="5">
        <f>DischargeCoeff(INDEX('Route Data'!$I$7:$I$8,E206), INDEX('Route Data'!$L$7:$L$8,E206)*2*PI()/60, INDEX('Route Data'!$F$7:$F$8,E206))</f>
        <v>0.15939200179827354</v>
      </c>
      <c r="J206" s="8">
        <f>FlowAngleRel(INDEX('Route Data'!$J$7:$J$8,E206)*INDEX('Route Data'!$I$7:$I$8,E206), INDEX('Route Data'!$L$7:$L$8,E206)*2*PI()/60, INDEX('Route Data'!$F$7:$F$8,E206),INDEX('Route Data'!$O$7:$O$8,E206), INDEX('Route Data'!$P$7:$P$8,E206),INDEX('Route Data'!$M$7:$M$8,E206))</f>
        <v>1.130811765868994</v>
      </c>
      <c r="K206" s="8">
        <f>FlowAngleAbsT(INDEX('Route Data'!$K$7:$K$8,E206), INDEX('Route Data'!$I$7:$I$8,E206), INDEX('Route Data'!$I$7:$I$8,E206)*INDEX('Route Data'!$J$7:$J$8,E206), INDEX('Route Data'!$L$7:$L$8,E206)*2*PI()/60, INDEX('Route Data'!$F$7:$F$8,E206),INDEX('Route Data'!$O$7:$O$8,E206), INDEX('Route Data'!$P$7:$P$8,E206), INDEX('Route Data'!$H$7:$H$8,E206), INDEX('Route Data'!$Q$7:$Q$8,E206), INDEX('Route Data'!$M$7:$M$8,E206))</f>
        <v>0.51617226640175828</v>
      </c>
      <c r="L206" s="5">
        <f>INDEX('Route Data'!$N$7:$N$8,E206)</f>
        <v>0.4</v>
      </c>
      <c r="M206" s="8">
        <v>0.92643523216247559</v>
      </c>
      <c r="N206" s="8">
        <f>ProbStrikeFrancis(K206, I206, L206, INDEX('Route Data'!$G$7:$G$8,E206),C206, INDEX('Route Data'!$F$7:$F$8,E206), INDEX('Route Data'!$O$7:$O$8,E206), INDEX('Route Data'!$H$7:$H$18,E206))</f>
        <v>1</v>
      </c>
      <c r="O206" s="5" t="str">
        <f>IF(F206&gt;=1,IF(M206&lt;=N206,"STRIKE","pass"),IF(M206&lt;=INDEX('Route Data'!$R$7:$R$8,E206),"NO PASS","pass"))</f>
        <v>STRIKE</v>
      </c>
      <c r="P206" s="5">
        <f>IF(F206&gt;=1,IF(M206&lt;=N206,1,0),IF(M206&lt;=INDEX('Route Data'!$R$7:$R$8,E206),-1,0))</f>
        <v>1</v>
      </c>
    </row>
    <row r="207" spans="1:16">
      <c r="A207" s="5">
        <v>197</v>
      </c>
      <c r="B207" s="12">
        <v>21.61</v>
      </c>
      <c r="C207" s="12">
        <f t="shared" si="3"/>
        <v>1.8</v>
      </c>
      <c r="D207" s="8">
        <v>0.10323566198348999</v>
      </c>
      <c r="E207" s="5">
        <f>MATCH(D207,'Route Data'!$C$7:$C$8,1)</f>
        <v>2</v>
      </c>
      <c r="F207" s="5">
        <f>INDEX('Route Data'!$D$7:$D$8,E207)</f>
        <v>1</v>
      </c>
      <c r="G207" s="5" t="str">
        <f>INDEX('Route Data'!$A$7:$A$8,E207)</f>
        <v>u18</v>
      </c>
      <c r="H207" s="5">
        <f>EnergyCoeff(INDEX('Route Data'!$K$7:$K$8,E207),INDEX('Route Data'!$L$7:$L$8,E207)*2*PI()/60,INDEX('Route Data'!$F$7:$F$8,E207))</f>
        <v>0.19430699130049439</v>
      </c>
      <c r="I207" s="5">
        <f>DischargeCoeff(INDEX('Route Data'!$I$7:$I$8,E207), INDEX('Route Data'!$L$7:$L$8,E207)*2*PI()/60, INDEX('Route Data'!$F$7:$F$8,E207))</f>
        <v>0.15939200179827354</v>
      </c>
      <c r="J207" s="8">
        <f>FlowAngleRel(INDEX('Route Data'!$J$7:$J$8,E207)*INDEX('Route Data'!$I$7:$I$8,E207), INDEX('Route Data'!$L$7:$L$8,E207)*2*PI()/60, INDEX('Route Data'!$F$7:$F$8,E207),INDEX('Route Data'!$O$7:$O$8,E207), INDEX('Route Data'!$P$7:$P$8,E207),INDEX('Route Data'!$M$7:$M$8,E207))</f>
        <v>1.130811765868994</v>
      </c>
      <c r="K207" s="8">
        <f>FlowAngleAbsT(INDEX('Route Data'!$K$7:$K$8,E207), INDEX('Route Data'!$I$7:$I$8,E207), INDEX('Route Data'!$I$7:$I$8,E207)*INDEX('Route Data'!$J$7:$J$8,E207), INDEX('Route Data'!$L$7:$L$8,E207)*2*PI()/60, INDEX('Route Data'!$F$7:$F$8,E207),INDEX('Route Data'!$O$7:$O$8,E207), INDEX('Route Data'!$P$7:$P$8,E207), INDEX('Route Data'!$H$7:$H$8,E207), INDEX('Route Data'!$Q$7:$Q$8,E207), INDEX('Route Data'!$M$7:$M$8,E207))</f>
        <v>0.51617226640175828</v>
      </c>
      <c r="L207" s="5">
        <f>INDEX('Route Data'!$N$7:$N$8,E207)</f>
        <v>0.4</v>
      </c>
      <c r="M207" s="8">
        <v>0.39900487661361694</v>
      </c>
      <c r="N207" s="8">
        <f>ProbStrikeFrancis(K207, I207, L207, INDEX('Route Data'!$G$7:$G$8,E207),C207, INDEX('Route Data'!$F$7:$F$8,E207), INDEX('Route Data'!$O$7:$O$8,E207), INDEX('Route Data'!$H$7:$H$18,E207))</f>
        <v>1</v>
      </c>
      <c r="O207" s="5" t="str">
        <f>IF(F207&gt;=1,IF(M207&lt;=N207,"STRIKE","pass"),IF(M207&lt;=INDEX('Route Data'!$R$7:$R$8,E207),"NO PASS","pass"))</f>
        <v>STRIKE</v>
      </c>
      <c r="P207" s="5">
        <f>IF(F207&gt;=1,IF(M207&lt;=N207,1,0),IF(M207&lt;=INDEX('Route Data'!$R$7:$R$8,E207),-1,0))</f>
        <v>1</v>
      </c>
    </row>
    <row r="208" spans="1:16">
      <c r="A208" s="5">
        <v>198</v>
      </c>
      <c r="B208" s="12">
        <v>22.9</v>
      </c>
      <c r="C208" s="12">
        <f t="shared" si="3"/>
        <v>1.91</v>
      </c>
      <c r="D208" s="8">
        <v>0.24209296703338623</v>
      </c>
      <c r="E208" s="5">
        <f>MATCH(D208,'Route Data'!$C$7:$C$8,1)</f>
        <v>2</v>
      </c>
      <c r="F208" s="5">
        <f>INDEX('Route Data'!$D$7:$D$8,E208)</f>
        <v>1</v>
      </c>
      <c r="G208" s="5" t="str">
        <f>INDEX('Route Data'!$A$7:$A$8,E208)</f>
        <v>u18</v>
      </c>
      <c r="H208" s="5">
        <f>EnergyCoeff(INDEX('Route Data'!$K$7:$K$8,E208),INDEX('Route Data'!$L$7:$L$8,E208)*2*PI()/60,INDEX('Route Data'!$F$7:$F$8,E208))</f>
        <v>0.19430699130049439</v>
      </c>
      <c r="I208" s="5">
        <f>DischargeCoeff(INDEX('Route Data'!$I$7:$I$8,E208), INDEX('Route Data'!$L$7:$L$8,E208)*2*PI()/60, INDEX('Route Data'!$F$7:$F$8,E208))</f>
        <v>0.15939200179827354</v>
      </c>
      <c r="J208" s="8">
        <f>FlowAngleRel(INDEX('Route Data'!$J$7:$J$8,E208)*INDEX('Route Data'!$I$7:$I$8,E208), INDEX('Route Data'!$L$7:$L$8,E208)*2*PI()/60, INDEX('Route Data'!$F$7:$F$8,E208),INDEX('Route Data'!$O$7:$O$8,E208), INDEX('Route Data'!$P$7:$P$8,E208),INDEX('Route Data'!$M$7:$M$8,E208))</f>
        <v>1.130811765868994</v>
      </c>
      <c r="K208" s="8">
        <f>FlowAngleAbsT(INDEX('Route Data'!$K$7:$K$8,E208), INDEX('Route Data'!$I$7:$I$8,E208), INDEX('Route Data'!$I$7:$I$8,E208)*INDEX('Route Data'!$J$7:$J$8,E208), INDEX('Route Data'!$L$7:$L$8,E208)*2*PI()/60, INDEX('Route Data'!$F$7:$F$8,E208),INDEX('Route Data'!$O$7:$O$8,E208), INDEX('Route Data'!$P$7:$P$8,E208), INDEX('Route Data'!$H$7:$H$8,E208), INDEX('Route Data'!$Q$7:$Q$8,E208), INDEX('Route Data'!$M$7:$M$8,E208))</f>
        <v>0.51617226640175828</v>
      </c>
      <c r="L208" s="5">
        <f>INDEX('Route Data'!$N$7:$N$8,E208)</f>
        <v>0.4</v>
      </c>
      <c r="M208" s="8">
        <v>0.24687516689300537</v>
      </c>
      <c r="N208" s="8">
        <f>ProbStrikeFrancis(K208, I208, L208, INDEX('Route Data'!$G$7:$G$8,E208),C208, INDEX('Route Data'!$F$7:$F$8,E208), INDEX('Route Data'!$O$7:$O$8,E208), INDEX('Route Data'!$H$7:$H$18,E208))</f>
        <v>1</v>
      </c>
      <c r="O208" s="5" t="str">
        <f>IF(F208&gt;=1,IF(M208&lt;=N208,"STRIKE","pass"),IF(M208&lt;=INDEX('Route Data'!$R$7:$R$8,E208),"NO PASS","pass"))</f>
        <v>STRIKE</v>
      </c>
      <c r="P208" s="5">
        <f>IF(F208&gt;=1,IF(M208&lt;=N208,1,0),IF(M208&lt;=INDEX('Route Data'!$R$7:$R$8,E208),-1,0))</f>
        <v>1</v>
      </c>
    </row>
    <row r="209" spans="1:16">
      <c r="A209" s="5">
        <v>199</v>
      </c>
      <c r="B209" s="12">
        <v>25.07</v>
      </c>
      <c r="C209" s="12">
        <f t="shared" si="3"/>
        <v>2.09</v>
      </c>
      <c r="D209" s="8">
        <v>0.82552105188369751</v>
      </c>
      <c r="E209" s="5">
        <f>MATCH(D209,'Route Data'!$C$7:$C$8,1)</f>
        <v>2</v>
      </c>
      <c r="F209" s="5">
        <f>INDEX('Route Data'!$D$7:$D$8,E209)</f>
        <v>1</v>
      </c>
      <c r="G209" s="5" t="str">
        <f>INDEX('Route Data'!$A$7:$A$8,E209)</f>
        <v>u18</v>
      </c>
      <c r="H209" s="5">
        <f>EnergyCoeff(INDEX('Route Data'!$K$7:$K$8,E209),INDEX('Route Data'!$L$7:$L$8,E209)*2*PI()/60,INDEX('Route Data'!$F$7:$F$8,E209))</f>
        <v>0.19430699130049439</v>
      </c>
      <c r="I209" s="5">
        <f>DischargeCoeff(INDEX('Route Data'!$I$7:$I$8,E209), INDEX('Route Data'!$L$7:$L$8,E209)*2*PI()/60, INDEX('Route Data'!$F$7:$F$8,E209))</f>
        <v>0.15939200179827354</v>
      </c>
      <c r="J209" s="8">
        <f>FlowAngleRel(INDEX('Route Data'!$J$7:$J$8,E209)*INDEX('Route Data'!$I$7:$I$8,E209), INDEX('Route Data'!$L$7:$L$8,E209)*2*PI()/60, INDEX('Route Data'!$F$7:$F$8,E209),INDEX('Route Data'!$O$7:$O$8,E209), INDEX('Route Data'!$P$7:$P$8,E209),INDEX('Route Data'!$M$7:$M$8,E209))</f>
        <v>1.130811765868994</v>
      </c>
      <c r="K209" s="8">
        <f>FlowAngleAbsT(INDEX('Route Data'!$K$7:$K$8,E209), INDEX('Route Data'!$I$7:$I$8,E209), INDEX('Route Data'!$I$7:$I$8,E209)*INDEX('Route Data'!$J$7:$J$8,E209), INDEX('Route Data'!$L$7:$L$8,E209)*2*PI()/60, INDEX('Route Data'!$F$7:$F$8,E209),INDEX('Route Data'!$O$7:$O$8,E209), INDEX('Route Data'!$P$7:$P$8,E209), INDEX('Route Data'!$H$7:$H$8,E209), INDEX('Route Data'!$Q$7:$Q$8,E209), INDEX('Route Data'!$M$7:$M$8,E209))</f>
        <v>0.51617226640175828</v>
      </c>
      <c r="L209" s="5">
        <f>INDEX('Route Data'!$N$7:$N$8,E209)</f>
        <v>0.4</v>
      </c>
      <c r="M209" s="8">
        <v>0.17210584878921509</v>
      </c>
      <c r="N209" s="8">
        <f>ProbStrikeFrancis(K209, I209, L209, INDEX('Route Data'!$G$7:$G$8,E209),C209, INDEX('Route Data'!$F$7:$F$8,E209), INDEX('Route Data'!$O$7:$O$8,E209), INDEX('Route Data'!$H$7:$H$18,E209))</f>
        <v>1</v>
      </c>
      <c r="O209" s="5" t="str">
        <f>IF(F209&gt;=1,IF(M209&lt;=N209,"STRIKE","pass"),IF(M209&lt;=INDEX('Route Data'!$R$7:$R$8,E209),"NO PASS","pass"))</f>
        <v>STRIKE</v>
      </c>
      <c r="P209" s="5">
        <f>IF(F209&gt;=1,IF(M209&lt;=N209,1,0),IF(M209&lt;=INDEX('Route Data'!$R$7:$R$8,E209),-1,0))</f>
        <v>1</v>
      </c>
    </row>
    <row r="210" spans="1:16">
      <c r="A210" s="5">
        <v>200</v>
      </c>
      <c r="B210" s="12">
        <v>21.18</v>
      </c>
      <c r="C210" s="12">
        <f t="shared" si="3"/>
        <v>1.77</v>
      </c>
      <c r="D210" s="8">
        <v>7.5236797332763672E-2</v>
      </c>
      <c r="E210" s="5">
        <f>MATCH(D210,'Route Data'!$C$7:$C$8,1)</f>
        <v>2</v>
      </c>
      <c r="F210" s="5">
        <f>INDEX('Route Data'!$D$7:$D$8,E210)</f>
        <v>1</v>
      </c>
      <c r="G210" s="5" t="str">
        <f>INDEX('Route Data'!$A$7:$A$8,E210)</f>
        <v>u18</v>
      </c>
      <c r="H210" s="5">
        <f>EnergyCoeff(INDEX('Route Data'!$K$7:$K$8,E210),INDEX('Route Data'!$L$7:$L$8,E210)*2*PI()/60,INDEX('Route Data'!$F$7:$F$8,E210))</f>
        <v>0.19430699130049439</v>
      </c>
      <c r="I210" s="5">
        <f>DischargeCoeff(INDEX('Route Data'!$I$7:$I$8,E210), INDEX('Route Data'!$L$7:$L$8,E210)*2*PI()/60, INDEX('Route Data'!$F$7:$F$8,E210))</f>
        <v>0.15939200179827354</v>
      </c>
      <c r="J210" s="8">
        <f>FlowAngleRel(INDEX('Route Data'!$J$7:$J$8,E210)*INDEX('Route Data'!$I$7:$I$8,E210), INDEX('Route Data'!$L$7:$L$8,E210)*2*PI()/60, INDEX('Route Data'!$F$7:$F$8,E210),INDEX('Route Data'!$O$7:$O$8,E210), INDEX('Route Data'!$P$7:$P$8,E210),INDEX('Route Data'!$M$7:$M$8,E210))</f>
        <v>1.130811765868994</v>
      </c>
      <c r="K210" s="8">
        <f>FlowAngleAbsT(INDEX('Route Data'!$K$7:$K$8,E210), INDEX('Route Data'!$I$7:$I$8,E210), INDEX('Route Data'!$I$7:$I$8,E210)*INDEX('Route Data'!$J$7:$J$8,E210), INDEX('Route Data'!$L$7:$L$8,E210)*2*PI()/60, INDEX('Route Data'!$F$7:$F$8,E210),INDEX('Route Data'!$O$7:$O$8,E210), INDEX('Route Data'!$P$7:$P$8,E210), INDEX('Route Data'!$H$7:$H$8,E210), INDEX('Route Data'!$Q$7:$Q$8,E210), INDEX('Route Data'!$M$7:$M$8,E210))</f>
        <v>0.51617226640175828</v>
      </c>
      <c r="L210" s="5">
        <f>INDEX('Route Data'!$N$7:$N$8,E210)</f>
        <v>0.4</v>
      </c>
      <c r="M210" s="8">
        <v>0.39641380310058594</v>
      </c>
      <c r="N210" s="8">
        <f>ProbStrikeFrancis(K210, I210, L210, INDEX('Route Data'!$G$7:$G$8,E210),C210, INDEX('Route Data'!$F$7:$F$8,E210), INDEX('Route Data'!$O$7:$O$8,E210), INDEX('Route Data'!$H$7:$H$18,E210))</f>
        <v>1</v>
      </c>
      <c r="O210" s="5" t="str">
        <f>IF(F210&gt;=1,IF(M210&lt;=N210,"STRIKE","pass"),IF(M210&lt;=INDEX('Route Data'!$R$7:$R$8,E210),"NO PASS","pass"))</f>
        <v>STRIKE</v>
      </c>
      <c r="P210" s="5">
        <f>IF(F210&gt;=1,IF(M210&lt;=N210,1,0),IF(M210&lt;=INDEX('Route Data'!$R$7:$R$8,E210),-1,0))</f>
        <v>1</v>
      </c>
    </row>
    <row r="211" spans="1:16">
      <c r="A211" s="5">
        <v>201</v>
      </c>
      <c r="B211" s="12">
        <v>24.25</v>
      </c>
      <c r="C211" s="12">
        <f t="shared" si="3"/>
        <v>2.02</v>
      </c>
      <c r="D211" s="8">
        <v>6.0510337352752686E-2</v>
      </c>
      <c r="E211" s="5">
        <f>MATCH(D211,'Route Data'!$C$7:$C$8,1)</f>
        <v>2</v>
      </c>
      <c r="F211" s="5">
        <f>INDEX('Route Data'!$D$7:$D$8,E211)</f>
        <v>1</v>
      </c>
      <c r="G211" s="5" t="str">
        <f>INDEX('Route Data'!$A$7:$A$8,E211)</f>
        <v>u18</v>
      </c>
      <c r="H211" s="5">
        <f>EnergyCoeff(INDEX('Route Data'!$K$7:$K$8,E211),INDEX('Route Data'!$L$7:$L$8,E211)*2*PI()/60,INDEX('Route Data'!$F$7:$F$8,E211))</f>
        <v>0.19430699130049439</v>
      </c>
      <c r="I211" s="5">
        <f>DischargeCoeff(INDEX('Route Data'!$I$7:$I$8,E211), INDEX('Route Data'!$L$7:$L$8,E211)*2*PI()/60, INDEX('Route Data'!$F$7:$F$8,E211))</f>
        <v>0.15939200179827354</v>
      </c>
      <c r="J211" s="8">
        <f>FlowAngleRel(INDEX('Route Data'!$J$7:$J$8,E211)*INDEX('Route Data'!$I$7:$I$8,E211), INDEX('Route Data'!$L$7:$L$8,E211)*2*PI()/60, INDEX('Route Data'!$F$7:$F$8,E211),INDEX('Route Data'!$O$7:$O$8,E211), INDEX('Route Data'!$P$7:$P$8,E211),INDEX('Route Data'!$M$7:$M$8,E211))</f>
        <v>1.130811765868994</v>
      </c>
      <c r="K211" s="8">
        <f>FlowAngleAbsT(INDEX('Route Data'!$K$7:$K$8,E211), INDEX('Route Data'!$I$7:$I$8,E211), INDEX('Route Data'!$I$7:$I$8,E211)*INDEX('Route Data'!$J$7:$J$8,E211), INDEX('Route Data'!$L$7:$L$8,E211)*2*PI()/60, INDEX('Route Data'!$F$7:$F$8,E211),INDEX('Route Data'!$O$7:$O$8,E211), INDEX('Route Data'!$P$7:$P$8,E211), INDEX('Route Data'!$H$7:$H$8,E211), INDEX('Route Data'!$Q$7:$Q$8,E211), INDEX('Route Data'!$M$7:$M$8,E211))</f>
        <v>0.51617226640175828</v>
      </c>
      <c r="L211" s="5">
        <f>INDEX('Route Data'!$N$7:$N$8,E211)</f>
        <v>0.4</v>
      </c>
      <c r="M211" s="8">
        <v>0.72348994016647339</v>
      </c>
      <c r="N211" s="8">
        <f>ProbStrikeFrancis(K211, I211, L211, INDEX('Route Data'!$G$7:$G$8,E211),C211, INDEX('Route Data'!$F$7:$F$8,E211), INDEX('Route Data'!$O$7:$O$8,E211), INDEX('Route Data'!$H$7:$H$18,E211))</f>
        <v>1</v>
      </c>
      <c r="O211" s="5" t="str">
        <f>IF(F211&gt;=1,IF(M211&lt;=N211,"STRIKE","pass"),IF(M211&lt;=INDEX('Route Data'!$R$7:$R$8,E211),"NO PASS","pass"))</f>
        <v>STRIKE</v>
      </c>
      <c r="P211" s="5">
        <f>IF(F211&gt;=1,IF(M211&lt;=N211,1,0),IF(M211&lt;=INDEX('Route Data'!$R$7:$R$8,E211),-1,0))</f>
        <v>1</v>
      </c>
    </row>
    <row r="212" spans="1:16">
      <c r="A212" s="5">
        <v>202</v>
      </c>
      <c r="B212" s="12">
        <v>21</v>
      </c>
      <c r="C212" s="12">
        <f t="shared" si="3"/>
        <v>1.75</v>
      </c>
      <c r="D212" s="8">
        <v>0.37026894092559814</v>
      </c>
      <c r="E212" s="5">
        <f>MATCH(D212,'Route Data'!$C$7:$C$8,1)</f>
        <v>2</v>
      </c>
      <c r="F212" s="5">
        <f>INDEX('Route Data'!$D$7:$D$8,E212)</f>
        <v>1</v>
      </c>
      <c r="G212" s="5" t="str">
        <f>INDEX('Route Data'!$A$7:$A$8,E212)</f>
        <v>u18</v>
      </c>
      <c r="H212" s="5">
        <f>EnergyCoeff(INDEX('Route Data'!$K$7:$K$8,E212),INDEX('Route Data'!$L$7:$L$8,E212)*2*PI()/60,INDEX('Route Data'!$F$7:$F$8,E212))</f>
        <v>0.19430699130049439</v>
      </c>
      <c r="I212" s="5">
        <f>DischargeCoeff(INDEX('Route Data'!$I$7:$I$8,E212), INDEX('Route Data'!$L$7:$L$8,E212)*2*PI()/60, INDEX('Route Data'!$F$7:$F$8,E212))</f>
        <v>0.15939200179827354</v>
      </c>
      <c r="J212" s="8">
        <f>FlowAngleRel(INDEX('Route Data'!$J$7:$J$8,E212)*INDEX('Route Data'!$I$7:$I$8,E212), INDEX('Route Data'!$L$7:$L$8,E212)*2*PI()/60, INDEX('Route Data'!$F$7:$F$8,E212),INDEX('Route Data'!$O$7:$O$8,E212), INDEX('Route Data'!$P$7:$P$8,E212),INDEX('Route Data'!$M$7:$M$8,E212))</f>
        <v>1.130811765868994</v>
      </c>
      <c r="K212" s="8">
        <f>FlowAngleAbsT(INDEX('Route Data'!$K$7:$K$8,E212), INDEX('Route Data'!$I$7:$I$8,E212), INDEX('Route Data'!$I$7:$I$8,E212)*INDEX('Route Data'!$J$7:$J$8,E212), INDEX('Route Data'!$L$7:$L$8,E212)*2*PI()/60, INDEX('Route Data'!$F$7:$F$8,E212),INDEX('Route Data'!$O$7:$O$8,E212), INDEX('Route Data'!$P$7:$P$8,E212), INDEX('Route Data'!$H$7:$H$8,E212), INDEX('Route Data'!$Q$7:$Q$8,E212), INDEX('Route Data'!$M$7:$M$8,E212))</f>
        <v>0.51617226640175828</v>
      </c>
      <c r="L212" s="5">
        <f>INDEX('Route Data'!$N$7:$N$8,E212)</f>
        <v>0.4</v>
      </c>
      <c r="M212" s="8">
        <v>7.8407526016235352E-3</v>
      </c>
      <c r="N212" s="8">
        <f>ProbStrikeFrancis(K212, I212, L212, INDEX('Route Data'!$G$7:$G$8,E212),C212, INDEX('Route Data'!$F$7:$F$8,E212), INDEX('Route Data'!$O$7:$O$8,E212), INDEX('Route Data'!$H$7:$H$18,E212))</f>
        <v>1</v>
      </c>
      <c r="O212" s="5" t="str">
        <f>IF(F212&gt;=1,IF(M212&lt;=N212,"STRIKE","pass"),IF(M212&lt;=INDEX('Route Data'!$R$7:$R$8,E212),"NO PASS","pass"))</f>
        <v>STRIKE</v>
      </c>
      <c r="P212" s="5">
        <f>IF(F212&gt;=1,IF(M212&lt;=N212,1,0),IF(M212&lt;=INDEX('Route Data'!$R$7:$R$8,E212),-1,0))</f>
        <v>1</v>
      </c>
    </row>
    <row r="213" spans="1:16">
      <c r="A213" s="5">
        <v>203</v>
      </c>
      <c r="B213" s="12">
        <v>24.88</v>
      </c>
      <c r="C213" s="12">
        <f t="shared" si="3"/>
        <v>2.0699999999999998</v>
      </c>
      <c r="D213" s="8">
        <v>0.44099313020706177</v>
      </c>
      <c r="E213" s="5">
        <f>MATCH(D213,'Route Data'!$C$7:$C$8,1)</f>
        <v>2</v>
      </c>
      <c r="F213" s="5">
        <f>INDEX('Route Data'!$D$7:$D$8,E213)</f>
        <v>1</v>
      </c>
      <c r="G213" s="5" t="str">
        <f>INDEX('Route Data'!$A$7:$A$8,E213)</f>
        <v>u18</v>
      </c>
      <c r="H213" s="5">
        <f>EnergyCoeff(INDEX('Route Data'!$K$7:$K$8,E213),INDEX('Route Data'!$L$7:$L$8,E213)*2*PI()/60,INDEX('Route Data'!$F$7:$F$8,E213))</f>
        <v>0.19430699130049439</v>
      </c>
      <c r="I213" s="5">
        <f>DischargeCoeff(INDEX('Route Data'!$I$7:$I$8,E213), INDEX('Route Data'!$L$7:$L$8,E213)*2*PI()/60, INDEX('Route Data'!$F$7:$F$8,E213))</f>
        <v>0.15939200179827354</v>
      </c>
      <c r="J213" s="8">
        <f>FlowAngleRel(INDEX('Route Data'!$J$7:$J$8,E213)*INDEX('Route Data'!$I$7:$I$8,E213), INDEX('Route Data'!$L$7:$L$8,E213)*2*PI()/60, INDEX('Route Data'!$F$7:$F$8,E213),INDEX('Route Data'!$O$7:$O$8,E213), INDEX('Route Data'!$P$7:$P$8,E213),INDEX('Route Data'!$M$7:$M$8,E213))</f>
        <v>1.130811765868994</v>
      </c>
      <c r="K213" s="8">
        <f>FlowAngleAbsT(INDEX('Route Data'!$K$7:$K$8,E213), INDEX('Route Data'!$I$7:$I$8,E213), INDEX('Route Data'!$I$7:$I$8,E213)*INDEX('Route Data'!$J$7:$J$8,E213), INDEX('Route Data'!$L$7:$L$8,E213)*2*PI()/60, INDEX('Route Data'!$F$7:$F$8,E213),INDEX('Route Data'!$O$7:$O$8,E213), INDEX('Route Data'!$P$7:$P$8,E213), INDEX('Route Data'!$H$7:$H$8,E213), INDEX('Route Data'!$Q$7:$Q$8,E213), INDEX('Route Data'!$M$7:$M$8,E213))</f>
        <v>0.51617226640175828</v>
      </c>
      <c r="L213" s="5">
        <f>INDEX('Route Data'!$N$7:$N$8,E213)</f>
        <v>0.4</v>
      </c>
      <c r="M213" s="8">
        <v>0.4203675389289856</v>
      </c>
      <c r="N213" s="8">
        <f>ProbStrikeFrancis(K213, I213, L213, INDEX('Route Data'!$G$7:$G$8,E213),C213, INDEX('Route Data'!$F$7:$F$8,E213), INDEX('Route Data'!$O$7:$O$8,E213), INDEX('Route Data'!$H$7:$H$18,E213))</f>
        <v>1</v>
      </c>
      <c r="O213" s="5" t="str">
        <f>IF(F213&gt;=1,IF(M213&lt;=N213,"STRIKE","pass"),IF(M213&lt;=INDEX('Route Data'!$R$7:$R$8,E213),"NO PASS","pass"))</f>
        <v>STRIKE</v>
      </c>
      <c r="P213" s="5">
        <f>IF(F213&gt;=1,IF(M213&lt;=N213,1,0),IF(M213&lt;=INDEX('Route Data'!$R$7:$R$8,E213),-1,0))</f>
        <v>1</v>
      </c>
    </row>
    <row r="214" spans="1:16">
      <c r="A214" s="5">
        <v>204</v>
      </c>
      <c r="B214" s="12">
        <v>18.95</v>
      </c>
      <c r="C214" s="12">
        <f t="shared" si="3"/>
        <v>1.58</v>
      </c>
      <c r="D214" s="8">
        <v>0.4943997859954834</v>
      </c>
      <c r="E214" s="5">
        <f>MATCH(D214,'Route Data'!$C$7:$C$8,1)</f>
        <v>2</v>
      </c>
      <c r="F214" s="5">
        <f>INDEX('Route Data'!$D$7:$D$8,E214)</f>
        <v>1</v>
      </c>
      <c r="G214" s="5" t="str">
        <f>INDEX('Route Data'!$A$7:$A$8,E214)</f>
        <v>u18</v>
      </c>
      <c r="H214" s="5">
        <f>EnergyCoeff(INDEX('Route Data'!$K$7:$K$8,E214),INDEX('Route Data'!$L$7:$L$8,E214)*2*PI()/60,INDEX('Route Data'!$F$7:$F$8,E214))</f>
        <v>0.19430699130049439</v>
      </c>
      <c r="I214" s="5">
        <f>DischargeCoeff(INDEX('Route Data'!$I$7:$I$8,E214), INDEX('Route Data'!$L$7:$L$8,E214)*2*PI()/60, INDEX('Route Data'!$F$7:$F$8,E214))</f>
        <v>0.15939200179827354</v>
      </c>
      <c r="J214" s="8">
        <f>FlowAngleRel(INDEX('Route Data'!$J$7:$J$8,E214)*INDEX('Route Data'!$I$7:$I$8,E214), INDEX('Route Data'!$L$7:$L$8,E214)*2*PI()/60, INDEX('Route Data'!$F$7:$F$8,E214),INDEX('Route Data'!$O$7:$O$8,E214), INDEX('Route Data'!$P$7:$P$8,E214),INDEX('Route Data'!$M$7:$M$8,E214))</f>
        <v>1.130811765868994</v>
      </c>
      <c r="K214" s="8">
        <f>FlowAngleAbsT(INDEX('Route Data'!$K$7:$K$8,E214), INDEX('Route Data'!$I$7:$I$8,E214), INDEX('Route Data'!$I$7:$I$8,E214)*INDEX('Route Data'!$J$7:$J$8,E214), INDEX('Route Data'!$L$7:$L$8,E214)*2*PI()/60, INDEX('Route Data'!$F$7:$F$8,E214),INDEX('Route Data'!$O$7:$O$8,E214), INDEX('Route Data'!$P$7:$P$8,E214), INDEX('Route Data'!$H$7:$H$8,E214), INDEX('Route Data'!$Q$7:$Q$8,E214), INDEX('Route Data'!$M$7:$M$8,E214))</f>
        <v>0.51617226640175828</v>
      </c>
      <c r="L214" s="5">
        <f>INDEX('Route Data'!$N$7:$N$8,E214)</f>
        <v>0.4</v>
      </c>
      <c r="M214" s="8">
        <v>0.18278717994689941</v>
      </c>
      <c r="N214" s="8">
        <f>ProbStrikeFrancis(K214, I214, L214, INDEX('Route Data'!$G$7:$G$8,E214),C214, INDEX('Route Data'!$F$7:$F$8,E214), INDEX('Route Data'!$O$7:$O$8,E214), INDEX('Route Data'!$H$7:$H$18,E214))</f>
        <v>1</v>
      </c>
      <c r="O214" s="5" t="str">
        <f>IF(F214&gt;=1,IF(M214&lt;=N214,"STRIKE","pass"),IF(M214&lt;=INDEX('Route Data'!$R$7:$R$8,E214),"NO PASS","pass"))</f>
        <v>STRIKE</v>
      </c>
      <c r="P214" s="5">
        <f>IF(F214&gt;=1,IF(M214&lt;=N214,1,0),IF(M214&lt;=INDEX('Route Data'!$R$7:$R$8,E214),-1,0))</f>
        <v>1</v>
      </c>
    </row>
    <row r="215" spans="1:16">
      <c r="A215" s="5">
        <v>205</v>
      </c>
      <c r="B215" s="12">
        <v>23.44</v>
      </c>
      <c r="C215" s="12">
        <f t="shared" si="3"/>
        <v>1.95</v>
      </c>
      <c r="D215" s="8">
        <v>0.33417981863021851</v>
      </c>
      <c r="E215" s="5">
        <f>MATCH(D215,'Route Data'!$C$7:$C$8,1)</f>
        <v>2</v>
      </c>
      <c r="F215" s="5">
        <f>INDEX('Route Data'!$D$7:$D$8,E215)</f>
        <v>1</v>
      </c>
      <c r="G215" s="5" t="str">
        <f>INDEX('Route Data'!$A$7:$A$8,E215)</f>
        <v>u18</v>
      </c>
      <c r="H215" s="5">
        <f>EnergyCoeff(INDEX('Route Data'!$K$7:$K$8,E215),INDEX('Route Data'!$L$7:$L$8,E215)*2*PI()/60,INDEX('Route Data'!$F$7:$F$8,E215))</f>
        <v>0.19430699130049439</v>
      </c>
      <c r="I215" s="5">
        <f>DischargeCoeff(INDEX('Route Data'!$I$7:$I$8,E215), INDEX('Route Data'!$L$7:$L$8,E215)*2*PI()/60, INDEX('Route Data'!$F$7:$F$8,E215))</f>
        <v>0.15939200179827354</v>
      </c>
      <c r="J215" s="8">
        <f>FlowAngleRel(INDEX('Route Data'!$J$7:$J$8,E215)*INDEX('Route Data'!$I$7:$I$8,E215), INDEX('Route Data'!$L$7:$L$8,E215)*2*PI()/60, INDEX('Route Data'!$F$7:$F$8,E215),INDEX('Route Data'!$O$7:$O$8,E215), INDEX('Route Data'!$P$7:$P$8,E215),INDEX('Route Data'!$M$7:$M$8,E215))</f>
        <v>1.130811765868994</v>
      </c>
      <c r="K215" s="8">
        <f>FlowAngleAbsT(INDEX('Route Data'!$K$7:$K$8,E215), INDEX('Route Data'!$I$7:$I$8,E215), INDEX('Route Data'!$I$7:$I$8,E215)*INDEX('Route Data'!$J$7:$J$8,E215), INDEX('Route Data'!$L$7:$L$8,E215)*2*PI()/60, INDEX('Route Data'!$F$7:$F$8,E215),INDEX('Route Data'!$O$7:$O$8,E215), INDEX('Route Data'!$P$7:$P$8,E215), INDEX('Route Data'!$H$7:$H$8,E215), INDEX('Route Data'!$Q$7:$Q$8,E215), INDEX('Route Data'!$M$7:$M$8,E215))</f>
        <v>0.51617226640175828</v>
      </c>
      <c r="L215" s="5">
        <f>INDEX('Route Data'!$N$7:$N$8,E215)</f>
        <v>0.4</v>
      </c>
      <c r="M215" s="8">
        <v>0.36436980962753296</v>
      </c>
      <c r="N215" s="8">
        <f>ProbStrikeFrancis(K215, I215, L215, INDEX('Route Data'!$G$7:$G$8,E215),C215, INDEX('Route Data'!$F$7:$F$8,E215), INDEX('Route Data'!$O$7:$O$8,E215), INDEX('Route Data'!$H$7:$H$18,E215))</f>
        <v>1</v>
      </c>
      <c r="O215" s="5" t="str">
        <f>IF(F215&gt;=1,IF(M215&lt;=N215,"STRIKE","pass"),IF(M215&lt;=INDEX('Route Data'!$R$7:$R$8,E215),"NO PASS","pass"))</f>
        <v>STRIKE</v>
      </c>
      <c r="P215" s="5">
        <f>IF(F215&gt;=1,IF(M215&lt;=N215,1,0),IF(M215&lt;=INDEX('Route Data'!$R$7:$R$8,E215),-1,0))</f>
        <v>1</v>
      </c>
    </row>
    <row r="216" spans="1:16">
      <c r="A216" s="5">
        <v>206</v>
      </c>
      <c r="B216" s="12">
        <v>19.010000000000002</v>
      </c>
      <c r="C216" s="12">
        <f t="shared" si="3"/>
        <v>1.58</v>
      </c>
      <c r="D216" s="8">
        <v>0.81483972072601318</v>
      </c>
      <c r="E216" s="5">
        <f>MATCH(D216,'Route Data'!$C$7:$C$8,1)</f>
        <v>2</v>
      </c>
      <c r="F216" s="5">
        <f>INDEX('Route Data'!$D$7:$D$8,E216)</f>
        <v>1</v>
      </c>
      <c r="G216" s="5" t="str">
        <f>INDEX('Route Data'!$A$7:$A$8,E216)</f>
        <v>u18</v>
      </c>
      <c r="H216" s="5">
        <f>EnergyCoeff(INDEX('Route Data'!$K$7:$K$8,E216),INDEX('Route Data'!$L$7:$L$8,E216)*2*PI()/60,INDEX('Route Data'!$F$7:$F$8,E216))</f>
        <v>0.19430699130049439</v>
      </c>
      <c r="I216" s="5">
        <f>DischargeCoeff(INDEX('Route Data'!$I$7:$I$8,E216), INDEX('Route Data'!$L$7:$L$8,E216)*2*PI()/60, INDEX('Route Data'!$F$7:$F$8,E216))</f>
        <v>0.15939200179827354</v>
      </c>
      <c r="J216" s="8">
        <f>FlowAngleRel(INDEX('Route Data'!$J$7:$J$8,E216)*INDEX('Route Data'!$I$7:$I$8,E216), INDEX('Route Data'!$L$7:$L$8,E216)*2*PI()/60, INDEX('Route Data'!$F$7:$F$8,E216),INDEX('Route Data'!$O$7:$O$8,E216), INDEX('Route Data'!$P$7:$P$8,E216),INDEX('Route Data'!$M$7:$M$8,E216))</f>
        <v>1.130811765868994</v>
      </c>
      <c r="K216" s="8">
        <f>FlowAngleAbsT(INDEX('Route Data'!$K$7:$K$8,E216), INDEX('Route Data'!$I$7:$I$8,E216), INDEX('Route Data'!$I$7:$I$8,E216)*INDEX('Route Data'!$J$7:$J$8,E216), INDEX('Route Data'!$L$7:$L$8,E216)*2*PI()/60, INDEX('Route Data'!$F$7:$F$8,E216),INDEX('Route Data'!$O$7:$O$8,E216), INDEX('Route Data'!$P$7:$P$8,E216), INDEX('Route Data'!$H$7:$H$8,E216), INDEX('Route Data'!$Q$7:$Q$8,E216), INDEX('Route Data'!$M$7:$M$8,E216))</f>
        <v>0.51617226640175828</v>
      </c>
      <c r="L216" s="5">
        <f>INDEX('Route Data'!$N$7:$N$8,E216)</f>
        <v>0.4</v>
      </c>
      <c r="M216" s="8">
        <v>0.81962192058563232</v>
      </c>
      <c r="N216" s="8">
        <f>ProbStrikeFrancis(K216, I216, L216, INDEX('Route Data'!$G$7:$G$8,E216),C216, INDEX('Route Data'!$F$7:$F$8,E216), INDEX('Route Data'!$O$7:$O$8,E216), INDEX('Route Data'!$H$7:$H$18,E216))</f>
        <v>1</v>
      </c>
      <c r="O216" s="5" t="str">
        <f>IF(F216&gt;=1,IF(M216&lt;=N216,"STRIKE","pass"),IF(M216&lt;=INDEX('Route Data'!$R$7:$R$8,E216),"NO PASS","pass"))</f>
        <v>STRIKE</v>
      </c>
      <c r="P216" s="5">
        <f>IF(F216&gt;=1,IF(M216&lt;=N216,1,0),IF(M216&lt;=INDEX('Route Data'!$R$7:$R$8,E216),-1,0))</f>
        <v>1</v>
      </c>
    </row>
    <row r="217" spans="1:16">
      <c r="A217" s="5">
        <v>207</v>
      </c>
      <c r="B217" s="12">
        <v>21.23</v>
      </c>
      <c r="C217" s="12">
        <f t="shared" si="3"/>
        <v>1.77</v>
      </c>
      <c r="D217" s="8">
        <v>0.10728079080581665</v>
      </c>
      <c r="E217" s="5">
        <f>MATCH(D217,'Route Data'!$C$7:$C$8,1)</f>
        <v>2</v>
      </c>
      <c r="F217" s="5">
        <f>INDEX('Route Data'!$D$7:$D$8,E217)</f>
        <v>1</v>
      </c>
      <c r="G217" s="5" t="str">
        <f>INDEX('Route Data'!$A$7:$A$8,E217)</f>
        <v>u18</v>
      </c>
      <c r="H217" s="5">
        <f>EnergyCoeff(INDEX('Route Data'!$K$7:$K$8,E217),INDEX('Route Data'!$L$7:$L$8,E217)*2*PI()/60,INDEX('Route Data'!$F$7:$F$8,E217))</f>
        <v>0.19430699130049439</v>
      </c>
      <c r="I217" s="5">
        <f>DischargeCoeff(INDEX('Route Data'!$I$7:$I$8,E217), INDEX('Route Data'!$L$7:$L$8,E217)*2*PI()/60, INDEX('Route Data'!$F$7:$F$8,E217))</f>
        <v>0.15939200179827354</v>
      </c>
      <c r="J217" s="8">
        <f>FlowAngleRel(INDEX('Route Data'!$J$7:$J$8,E217)*INDEX('Route Data'!$I$7:$I$8,E217), INDEX('Route Data'!$L$7:$L$8,E217)*2*PI()/60, INDEX('Route Data'!$F$7:$F$8,E217),INDEX('Route Data'!$O$7:$O$8,E217), INDEX('Route Data'!$P$7:$P$8,E217),INDEX('Route Data'!$M$7:$M$8,E217))</f>
        <v>1.130811765868994</v>
      </c>
      <c r="K217" s="8">
        <f>FlowAngleAbsT(INDEX('Route Data'!$K$7:$K$8,E217), INDEX('Route Data'!$I$7:$I$8,E217), INDEX('Route Data'!$I$7:$I$8,E217)*INDEX('Route Data'!$J$7:$J$8,E217), INDEX('Route Data'!$L$7:$L$8,E217)*2*PI()/60, INDEX('Route Data'!$F$7:$F$8,E217),INDEX('Route Data'!$O$7:$O$8,E217), INDEX('Route Data'!$P$7:$P$8,E217), INDEX('Route Data'!$H$7:$H$8,E217), INDEX('Route Data'!$Q$7:$Q$8,E217), INDEX('Route Data'!$M$7:$M$8,E217))</f>
        <v>0.51617226640175828</v>
      </c>
      <c r="L217" s="5">
        <f>INDEX('Route Data'!$N$7:$N$8,E217)</f>
        <v>0.4</v>
      </c>
      <c r="M217" s="8">
        <v>0.71944481134414673</v>
      </c>
      <c r="N217" s="8">
        <f>ProbStrikeFrancis(K217, I217, L217, INDEX('Route Data'!$G$7:$G$8,E217),C217, INDEX('Route Data'!$F$7:$F$8,E217), INDEX('Route Data'!$O$7:$O$8,E217), INDEX('Route Data'!$H$7:$H$18,E217))</f>
        <v>1</v>
      </c>
      <c r="O217" s="5" t="str">
        <f>IF(F217&gt;=1,IF(M217&lt;=N217,"STRIKE","pass"),IF(M217&lt;=INDEX('Route Data'!$R$7:$R$8,E217),"NO PASS","pass"))</f>
        <v>STRIKE</v>
      </c>
      <c r="P217" s="5">
        <f>IF(F217&gt;=1,IF(M217&lt;=N217,1,0),IF(M217&lt;=INDEX('Route Data'!$R$7:$R$8,E217),-1,0))</f>
        <v>1</v>
      </c>
    </row>
    <row r="218" spans="1:16">
      <c r="A218" s="5">
        <v>208</v>
      </c>
      <c r="B218" s="12">
        <v>20.170000000000002</v>
      </c>
      <c r="C218" s="12">
        <f t="shared" si="3"/>
        <v>1.68</v>
      </c>
      <c r="D218" s="8">
        <v>0.96437835693359375</v>
      </c>
      <c r="E218" s="5">
        <f>MATCH(D218,'Route Data'!$C$7:$C$8,1)</f>
        <v>2</v>
      </c>
      <c r="F218" s="5">
        <f>INDEX('Route Data'!$D$7:$D$8,E218)</f>
        <v>1</v>
      </c>
      <c r="G218" s="5" t="str">
        <f>INDEX('Route Data'!$A$7:$A$8,E218)</f>
        <v>u18</v>
      </c>
      <c r="H218" s="5">
        <f>EnergyCoeff(INDEX('Route Data'!$K$7:$K$8,E218),INDEX('Route Data'!$L$7:$L$8,E218)*2*PI()/60,INDEX('Route Data'!$F$7:$F$8,E218))</f>
        <v>0.19430699130049439</v>
      </c>
      <c r="I218" s="5">
        <f>DischargeCoeff(INDEX('Route Data'!$I$7:$I$8,E218), INDEX('Route Data'!$L$7:$L$8,E218)*2*PI()/60, INDEX('Route Data'!$F$7:$F$8,E218))</f>
        <v>0.15939200179827354</v>
      </c>
      <c r="J218" s="8">
        <f>FlowAngleRel(INDEX('Route Data'!$J$7:$J$8,E218)*INDEX('Route Data'!$I$7:$I$8,E218), INDEX('Route Data'!$L$7:$L$8,E218)*2*PI()/60, INDEX('Route Data'!$F$7:$F$8,E218),INDEX('Route Data'!$O$7:$O$8,E218), INDEX('Route Data'!$P$7:$P$8,E218),INDEX('Route Data'!$M$7:$M$8,E218))</f>
        <v>1.130811765868994</v>
      </c>
      <c r="K218" s="8">
        <f>FlowAngleAbsT(INDEX('Route Data'!$K$7:$K$8,E218), INDEX('Route Data'!$I$7:$I$8,E218), INDEX('Route Data'!$I$7:$I$8,E218)*INDEX('Route Data'!$J$7:$J$8,E218), INDEX('Route Data'!$L$7:$L$8,E218)*2*PI()/60, INDEX('Route Data'!$F$7:$F$8,E218),INDEX('Route Data'!$O$7:$O$8,E218), INDEX('Route Data'!$P$7:$P$8,E218), INDEX('Route Data'!$H$7:$H$8,E218), INDEX('Route Data'!$Q$7:$Q$8,E218), INDEX('Route Data'!$M$7:$M$8,E218))</f>
        <v>0.51617226640175828</v>
      </c>
      <c r="L218" s="5">
        <f>INDEX('Route Data'!$N$7:$N$8,E218)</f>
        <v>0.4</v>
      </c>
      <c r="M218" s="8">
        <v>0.28555536270141602</v>
      </c>
      <c r="N218" s="8">
        <f>ProbStrikeFrancis(K218, I218, L218, INDEX('Route Data'!$G$7:$G$8,E218),C218, INDEX('Route Data'!$F$7:$F$8,E218), INDEX('Route Data'!$O$7:$O$8,E218), INDEX('Route Data'!$H$7:$H$18,E218))</f>
        <v>1</v>
      </c>
      <c r="O218" s="5" t="str">
        <f>IF(F218&gt;=1,IF(M218&lt;=N218,"STRIKE","pass"),IF(M218&lt;=INDEX('Route Data'!$R$7:$R$8,E218),"NO PASS","pass"))</f>
        <v>STRIKE</v>
      </c>
      <c r="P218" s="5">
        <f>IF(F218&gt;=1,IF(M218&lt;=N218,1,0),IF(M218&lt;=INDEX('Route Data'!$R$7:$R$8,E218),-1,0))</f>
        <v>1</v>
      </c>
    </row>
    <row r="219" spans="1:16">
      <c r="A219" s="5">
        <v>209</v>
      </c>
      <c r="B219" s="12">
        <v>23.09</v>
      </c>
      <c r="C219" s="12">
        <f t="shared" si="3"/>
        <v>1.92</v>
      </c>
      <c r="D219" s="8">
        <v>0.65866488218307495</v>
      </c>
      <c r="E219" s="5">
        <f>MATCH(D219,'Route Data'!$C$7:$C$8,1)</f>
        <v>2</v>
      </c>
      <c r="F219" s="5">
        <f>INDEX('Route Data'!$D$7:$D$8,E219)</f>
        <v>1</v>
      </c>
      <c r="G219" s="5" t="str">
        <f>INDEX('Route Data'!$A$7:$A$8,E219)</f>
        <v>u18</v>
      </c>
      <c r="H219" s="5">
        <f>EnergyCoeff(INDEX('Route Data'!$K$7:$K$8,E219),INDEX('Route Data'!$L$7:$L$8,E219)*2*PI()/60,INDEX('Route Data'!$F$7:$F$8,E219))</f>
        <v>0.19430699130049439</v>
      </c>
      <c r="I219" s="5">
        <f>DischargeCoeff(INDEX('Route Data'!$I$7:$I$8,E219), INDEX('Route Data'!$L$7:$L$8,E219)*2*PI()/60, INDEX('Route Data'!$F$7:$F$8,E219))</f>
        <v>0.15939200179827354</v>
      </c>
      <c r="J219" s="8">
        <f>FlowAngleRel(INDEX('Route Data'!$J$7:$J$8,E219)*INDEX('Route Data'!$I$7:$I$8,E219), INDEX('Route Data'!$L$7:$L$8,E219)*2*PI()/60, INDEX('Route Data'!$F$7:$F$8,E219),INDEX('Route Data'!$O$7:$O$8,E219), INDEX('Route Data'!$P$7:$P$8,E219),INDEX('Route Data'!$M$7:$M$8,E219))</f>
        <v>1.130811765868994</v>
      </c>
      <c r="K219" s="8">
        <f>FlowAngleAbsT(INDEX('Route Data'!$K$7:$K$8,E219), INDEX('Route Data'!$I$7:$I$8,E219), INDEX('Route Data'!$I$7:$I$8,E219)*INDEX('Route Data'!$J$7:$J$8,E219), INDEX('Route Data'!$L$7:$L$8,E219)*2*PI()/60, INDEX('Route Data'!$F$7:$F$8,E219),INDEX('Route Data'!$O$7:$O$8,E219), INDEX('Route Data'!$P$7:$P$8,E219), INDEX('Route Data'!$H$7:$H$8,E219), INDEX('Route Data'!$Q$7:$Q$8,E219), INDEX('Route Data'!$M$7:$M$8,E219))</f>
        <v>0.51617226640175828</v>
      </c>
      <c r="L219" s="5">
        <f>INDEX('Route Data'!$N$7:$N$8,E219)</f>
        <v>0.4</v>
      </c>
      <c r="M219" s="8">
        <v>0.32164448499679565</v>
      </c>
      <c r="N219" s="8">
        <f>ProbStrikeFrancis(K219, I219, L219, INDEX('Route Data'!$G$7:$G$8,E219),C219, INDEX('Route Data'!$F$7:$F$8,E219), INDEX('Route Data'!$O$7:$O$8,E219), INDEX('Route Data'!$H$7:$H$18,E219))</f>
        <v>1</v>
      </c>
      <c r="O219" s="5" t="str">
        <f>IF(F219&gt;=1,IF(M219&lt;=N219,"STRIKE","pass"),IF(M219&lt;=INDEX('Route Data'!$R$7:$R$8,E219),"NO PASS","pass"))</f>
        <v>STRIKE</v>
      </c>
      <c r="P219" s="5">
        <f>IF(F219&gt;=1,IF(M219&lt;=N219,1,0),IF(M219&lt;=INDEX('Route Data'!$R$7:$R$8,E219),-1,0))</f>
        <v>1</v>
      </c>
    </row>
    <row r="220" spans="1:16">
      <c r="A220" s="5">
        <v>210</v>
      </c>
      <c r="B220" s="12">
        <v>20.45</v>
      </c>
      <c r="C220" s="12">
        <f t="shared" si="3"/>
        <v>1.7</v>
      </c>
      <c r="D220" s="8">
        <v>0.84138453006744385</v>
      </c>
      <c r="E220" s="5">
        <f>MATCH(D220,'Route Data'!$C$7:$C$8,1)</f>
        <v>2</v>
      </c>
      <c r="F220" s="5">
        <f>INDEX('Route Data'!$D$7:$D$8,E220)</f>
        <v>1</v>
      </c>
      <c r="G220" s="5" t="str">
        <f>INDEX('Route Data'!$A$7:$A$8,E220)</f>
        <v>u18</v>
      </c>
      <c r="H220" s="5">
        <f>EnergyCoeff(INDEX('Route Data'!$K$7:$K$8,E220),INDEX('Route Data'!$L$7:$L$8,E220)*2*PI()/60,INDEX('Route Data'!$F$7:$F$8,E220))</f>
        <v>0.19430699130049439</v>
      </c>
      <c r="I220" s="5">
        <f>DischargeCoeff(INDEX('Route Data'!$I$7:$I$8,E220), INDEX('Route Data'!$L$7:$L$8,E220)*2*PI()/60, INDEX('Route Data'!$F$7:$F$8,E220))</f>
        <v>0.15939200179827354</v>
      </c>
      <c r="J220" s="8">
        <f>FlowAngleRel(INDEX('Route Data'!$J$7:$J$8,E220)*INDEX('Route Data'!$I$7:$I$8,E220), INDEX('Route Data'!$L$7:$L$8,E220)*2*PI()/60, INDEX('Route Data'!$F$7:$F$8,E220),INDEX('Route Data'!$O$7:$O$8,E220), INDEX('Route Data'!$P$7:$P$8,E220),INDEX('Route Data'!$M$7:$M$8,E220))</f>
        <v>1.130811765868994</v>
      </c>
      <c r="K220" s="8">
        <f>FlowAngleAbsT(INDEX('Route Data'!$K$7:$K$8,E220), INDEX('Route Data'!$I$7:$I$8,E220), INDEX('Route Data'!$I$7:$I$8,E220)*INDEX('Route Data'!$J$7:$J$8,E220), INDEX('Route Data'!$L$7:$L$8,E220)*2*PI()/60, INDEX('Route Data'!$F$7:$F$8,E220),INDEX('Route Data'!$O$7:$O$8,E220), INDEX('Route Data'!$P$7:$P$8,E220), INDEX('Route Data'!$H$7:$H$8,E220), INDEX('Route Data'!$Q$7:$Q$8,E220), INDEX('Route Data'!$M$7:$M$8,E220))</f>
        <v>0.51617226640175828</v>
      </c>
      <c r="L220" s="5">
        <f>INDEX('Route Data'!$N$7:$N$8,E220)</f>
        <v>0.4</v>
      </c>
      <c r="M220" s="8">
        <v>0.94779789447784424</v>
      </c>
      <c r="N220" s="8">
        <f>ProbStrikeFrancis(K220, I220, L220, INDEX('Route Data'!$G$7:$G$8,E220),C220, INDEX('Route Data'!$F$7:$F$8,E220), INDEX('Route Data'!$O$7:$O$8,E220), INDEX('Route Data'!$H$7:$H$18,E220))</f>
        <v>1</v>
      </c>
      <c r="O220" s="5" t="str">
        <f>IF(F220&gt;=1,IF(M220&lt;=N220,"STRIKE","pass"),IF(M220&lt;=INDEX('Route Data'!$R$7:$R$8,E220),"NO PASS","pass"))</f>
        <v>STRIKE</v>
      </c>
      <c r="P220" s="5">
        <f>IF(F220&gt;=1,IF(M220&lt;=N220,1,0),IF(M220&lt;=INDEX('Route Data'!$R$7:$R$8,E220),-1,0))</f>
        <v>1</v>
      </c>
    </row>
    <row r="221" spans="1:16">
      <c r="A221" s="5">
        <v>211</v>
      </c>
      <c r="B221" s="12">
        <v>24.05</v>
      </c>
      <c r="C221" s="12">
        <f t="shared" si="3"/>
        <v>2</v>
      </c>
      <c r="D221" s="8">
        <v>0.88670092821121216</v>
      </c>
      <c r="E221" s="5">
        <f>MATCH(D221,'Route Data'!$C$7:$C$8,1)</f>
        <v>2</v>
      </c>
      <c r="F221" s="5">
        <f>INDEX('Route Data'!$D$7:$D$8,E221)</f>
        <v>1</v>
      </c>
      <c r="G221" s="5" t="str">
        <f>INDEX('Route Data'!$A$7:$A$8,E221)</f>
        <v>u18</v>
      </c>
      <c r="H221" s="5">
        <f>EnergyCoeff(INDEX('Route Data'!$K$7:$K$8,E221),INDEX('Route Data'!$L$7:$L$8,E221)*2*PI()/60,INDEX('Route Data'!$F$7:$F$8,E221))</f>
        <v>0.19430699130049439</v>
      </c>
      <c r="I221" s="5">
        <f>DischargeCoeff(INDEX('Route Data'!$I$7:$I$8,E221), INDEX('Route Data'!$L$7:$L$8,E221)*2*PI()/60, INDEX('Route Data'!$F$7:$F$8,E221))</f>
        <v>0.15939200179827354</v>
      </c>
      <c r="J221" s="8">
        <f>FlowAngleRel(INDEX('Route Data'!$J$7:$J$8,E221)*INDEX('Route Data'!$I$7:$I$8,E221), INDEX('Route Data'!$L$7:$L$8,E221)*2*PI()/60, INDEX('Route Data'!$F$7:$F$8,E221),INDEX('Route Data'!$O$7:$O$8,E221), INDEX('Route Data'!$P$7:$P$8,E221),INDEX('Route Data'!$M$7:$M$8,E221))</f>
        <v>1.130811765868994</v>
      </c>
      <c r="K221" s="8">
        <f>FlowAngleAbsT(INDEX('Route Data'!$K$7:$K$8,E221), INDEX('Route Data'!$I$7:$I$8,E221), INDEX('Route Data'!$I$7:$I$8,E221)*INDEX('Route Data'!$J$7:$J$8,E221), INDEX('Route Data'!$L$7:$L$8,E221)*2*PI()/60, INDEX('Route Data'!$F$7:$F$8,E221),INDEX('Route Data'!$O$7:$O$8,E221), INDEX('Route Data'!$P$7:$P$8,E221), INDEX('Route Data'!$H$7:$H$8,E221), INDEX('Route Data'!$Q$7:$Q$8,E221), INDEX('Route Data'!$M$7:$M$8,E221))</f>
        <v>0.51617226640175828</v>
      </c>
      <c r="L221" s="5">
        <f>INDEX('Route Data'!$N$7:$N$8,E221)</f>
        <v>0.4</v>
      </c>
      <c r="M221" s="8">
        <v>0.33491688966751099</v>
      </c>
      <c r="N221" s="8">
        <f>ProbStrikeFrancis(K221, I221, L221, INDEX('Route Data'!$G$7:$G$8,E221),C221, INDEX('Route Data'!$F$7:$F$8,E221), INDEX('Route Data'!$O$7:$O$8,E221), INDEX('Route Data'!$H$7:$H$18,E221))</f>
        <v>1</v>
      </c>
      <c r="O221" s="5" t="str">
        <f>IF(F221&gt;=1,IF(M221&lt;=N221,"STRIKE","pass"),IF(M221&lt;=INDEX('Route Data'!$R$7:$R$8,E221),"NO PASS","pass"))</f>
        <v>STRIKE</v>
      </c>
      <c r="P221" s="5">
        <f>IF(F221&gt;=1,IF(M221&lt;=N221,1,0),IF(M221&lt;=INDEX('Route Data'!$R$7:$R$8,E221),-1,0))</f>
        <v>1</v>
      </c>
    </row>
    <row r="222" spans="1:16">
      <c r="A222" s="5">
        <v>212</v>
      </c>
      <c r="B222" s="12">
        <v>21.53</v>
      </c>
      <c r="C222" s="12">
        <f t="shared" si="3"/>
        <v>1.79</v>
      </c>
      <c r="D222" s="8">
        <v>0.28191018104553223</v>
      </c>
      <c r="E222" s="5">
        <f>MATCH(D222,'Route Data'!$C$7:$C$8,1)</f>
        <v>2</v>
      </c>
      <c r="F222" s="5">
        <f>INDEX('Route Data'!$D$7:$D$8,E222)</f>
        <v>1</v>
      </c>
      <c r="G222" s="5" t="str">
        <f>INDEX('Route Data'!$A$7:$A$8,E222)</f>
        <v>u18</v>
      </c>
      <c r="H222" s="5">
        <f>EnergyCoeff(INDEX('Route Data'!$K$7:$K$8,E222),INDEX('Route Data'!$L$7:$L$8,E222)*2*PI()/60,INDEX('Route Data'!$F$7:$F$8,E222))</f>
        <v>0.19430699130049439</v>
      </c>
      <c r="I222" s="5">
        <f>DischargeCoeff(INDEX('Route Data'!$I$7:$I$8,E222), INDEX('Route Data'!$L$7:$L$8,E222)*2*PI()/60, INDEX('Route Data'!$F$7:$F$8,E222))</f>
        <v>0.15939200179827354</v>
      </c>
      <c r="J222" s="8">
        <f>FlowAngleRel(INDEX('Route Data'!$J$7:$J$8,E222)*INDEX('Route Data'!$I$7:$I$8,E222), INDEX('Route Data'!$L$7:$L$8,E222)*2*PI()/60, INDEX('Route Data'!$F$7:$F$8,E222),INDEX('Route Data'!$O$7:$O$8,E222), INDEX('Route Data'!$P$7:$P$8,E222),INDEX('Route Data'!$M$7:$M$8,E222))</f>
        <v>1.130811765868994</v>
      </c>
      <c r="K222" s="8">
        <f>FlowAngleAbsT(INDEX('Route Data'!$K$7:$K$8,E222), INDEX('Route Data'!$I$7:$I$8,E222), INDEX('Route Data'!$I$7:$I$8,E222)*INDEX('Route Data'!$J$7:$J$8,E222), INDEX('Route Data'!$L$7:$L$8,E222)*2*PI()/60, INDEX('Route Data'!$F$7:$F$8,E222),INDEX('Route Data'!$O$7:$O$8,E222), INDEX('Route Data'!$P$7:$P$8,E222), INDEX('Route Data'!$H$7:$H$8,E222), INDEX('Route Data'!$Q$7:$Q$8,E222), INDEX('Route Data'!$M$7:$M$8,E222))</f>
        <v>0.51617226640175828</v>
      </c>
      <c r="L222" s="5">
        <f>INDEX('Route Data'!$N$7:$N$8,E222)</f>
        <v>0.4</v>
      </c>
      <c r="M222" s="8">
        <v>0.43913912773132324</v>
      </c>
      <c r="N222" s="8">
        <f>ProbStrikeFrancis(K222, I222, L222, INDEX('Route Data'!$G$7:$G$8,E222),C222, INDEX('Route Data'!$F$7:$F$8,E222), INDEX('Route Data'!$O$7:$O$8,E222), INDEX('Route Data'!$H$7:$H$18,E222))</f>
        <v>1</v>
      </c>
      <c r="O222" s="5" t="str">
        <f>IF(F222&gt;=1,IF(M222&lt;=N222,"STRIKE","pass"),IF(M222&lt;=INDEX('Route Data'!$R$7:$R$8,E222),"NO PASS","pass"))</f>
        <v>STRIKE</v>
      </c>
      <c r="P222" s="5">
        <f>IF(F222&gt;=1,IF(M222&lt;=N222,1,0),IF(M222&lt;=INDEX('Route Data'!$R$7:$R$8,E222),-1,0))</f>
        <v>1</v>
      </c>
    </row>
    <row r="223" spans="1:16">
      <c r="A223" s="5">
        <v>213</v>
      </c>
      <c r="B223" s="12">
        <v>23.16</v>
      </c>
      <c r="C223" s="12">
        <f t="shared" si="3"/>
        <v>1.93</v>
      </c>
      <c r="D223" s="8">
        <v>0.83070319890975952</v>
      </c>
      <c r="E223" s="5">
        <f>MATCH(D223,'Route Data'!$C$7:$C$8,1)</f>
        <v>2</v>
      </c>
      <c r="F223" s="5">
        <f>INDEX('Route Data'!$D$7:$D$8,E223)</f>
        <v>1</v>
      </c>
      <c r="G223" s="5" t="str">
        <f>INDEX('Route Data'!$A$7:$A$8,E223)</f>
        <v>u18</v>
      </c>
      <c r="H223" s="5">
        <f>EnergyCoeff(INDEX('Route Data'!$K$7:$K$8,E223),INDEX('Route Data'!$L$7:$L$8,E223)*2*PI()/60,INDEX('Route Data'!$F$7:$F$8,E223))</f>
        <v>0.19430699130049439</v>
      </c>
      <c r="I223" s="5">
        <f>DischargeCoeff(INDEX('Route Data'!$I$7:$I$8,E223), INDEX('Route Data'!$L$7:$L$8,E223)*2*PI()/60, INDEX('Route Data'!$F$7:$F$8,E223))</f>
        <v>0.15939200179827354</v>
      </c>
      <c r="J223" s="8">
        <f>FlowAngleRel(INDEX('Route Data'!$J$7:$J$8,E223)*INDEX('Route Data'!$I$7:$I$8,E223), INDEX('Route Data'!$L$7:$L$8,E223)*2*PI()/60, INDEX('Route Data'!$F$7:$F$8,E223),INDEX('Route Data'!$O$7:$O$8,E223), INDEX('Route Data'!$P$7:$P$8,E223),INDEX('Route Data'!$M$7:$M$8,E223))</f>
        <v>1.130811765868994</v>
      </c>
      <c r="K223" s="8">
        <f>FlowAngleAbsT(INDEX('Route Data'!$K$7:$K$8,E223), INDEX('Route Data'!$I$7:$I$8,E223), INDEX('Route Data'!$I$7:$I$8,E223)*INDEX('Route Data'!$J$7:$J$8,E223), INDEX('Route Data'!$L$7:$L$8,E223)*2*PI()/60, INDEX('Route Data'!$F$7:$F$8,E223),INDEX('Route Data'!$O$7:$O$8,E223), INDEX('Route Data'!$P$7:$P$8,E223), INDEX('Route Data'!$H$7:$H$8,E223), INDEX('Route Data'!$Q$7:$Q$8,E223), INDEX('Route Data'!$M$7:$M$8,E223))</f>
        <v>0.51617226640175828</v>
      </c>
      <c r="L223" s="5">
        <f>INDEX('Route Data'!$N$7:$N$8,E223)</f>
        <v>0.4</v>
      </c>
      <c r="M223" s="8">
        <v>0.59531396627426147</v>
      </c>
      <c r="N223" s="8">
        <f>ProbStrikeFrancis(K223, I223, L223, INDEX('Route Data'!$G$7:$G$8,E223),C223, INDEX('Route Data'!$F$7:$F$8,E223), INDEX('Route Data'!$O$7:$O$8,E223), INDEX('Route Data'!$H$7:$H$18,E223))</f>
        <v>1</v>
      </c>
      <c r="O223" s="5" t="str">
        <f>IF(F223&gt;=1,IF(M223&lt;=N223,"STRIKE","pass"),IF(M223&lt;=INDEX('Route Data'!$R$7:$R$8,E223),"NO PASS","pass"))</f>
        <v>STRIKE</v>
      </c>
      <c r="P223" s="5">
        <f>IF(F223&gt;=1,IF(M223&lt;=N223,1,0),IF(M223&lt;=INDEX('Route Data'!$R$7:$R$8,E223),-1,0))</f>
        <v>1</v>
      </c>
    </row>
    <row r="224" spans="1:16">
      <c r="A224" s="5">
        <v>214</v>
      </c>
      <c r="B224" s="12">
        <v>24.11</v>
      </c>
      <c r="C224" s="12">
        <f t="shared" si="3"/>
        <v>2.0099999999999998</v>
      </c>
      <c r="D224" s="8">
        <v>0.91874492168426514</v>
      </c>
      <c r="E224" s="5">
        <f>MATCH(D224,'Route Data'!$C$7:$C$8,1)</f>
        <v>2</v>
      </c>
      <c r="F224" s="5">
        <f>INDEX('Route Data'!$D$7:$D$8,E224)</f>
        <v>1</v>
      </c>
      <c r="G224" s="5" t="str">
        <f>INDEX('Route Data'!$A$7:$A$8,E224)</f>
        <v>u18</v>
      </c>
      <c r="H224" s="5">
        <f>EnergyCoeff(INDEX('Route Data'!$K$7:$K$8,E224),INDEX('Route Data'!$L$7:$L$8,E224)*2*PI()/60,INDEX('Route Data'!$F$7:$F$8,E224))</f>
        <v>0.19430699130049439</v>
      </c>
      <c r="I224" s="5">
        <f>DischargeCoeff(INDEX('Route Data'!$I$7:$I$8,E224), INDEX('Route Data'!$L$7:$L$8,E224)*2*PI()/60, INDEX('Route Data'!$F$7:$F$8,E224))</f>
        <v>0.15939200179827354</v>
      </c>
      <c r="J224" s="8">
        <f>FlowAngleRel(INDEX('Route Data'!$J$7:$J$8,E224)*INDEX('Route Data'!$I$7:$I$8,E224), INDEX('Route Data'!$L$7:$L$8,E224)*2*PI()/60, INDEX('Route Data'!$F$7:$F$8,E224),INDEX('Route Data'!$O$7:$O$8,E224), INDEX('Route Data'!$P$7:$P$8,E224),INDEX('Route Data'!$M$7:$M$8,E224))</f>
        <v>1.130811765868994</v>
      </c>
      <c r="K224" s="8">
        <f>FlowAngleAbsT(INDEX('Route Data'!$K$7:$K$8,E224), INDEX('Route Data'!$I$7:$I$8,E224), INDEX('Route Data'!$I$7:$I$8,E224)*INDEX('Route Data'!$J$7:$J$8,E224), INDEX('Route Data'!$L$7:$L$8,E224)*2*PI()/60, INDEX('Route Data'!$F$7:$F$8,E224),INDEX('Route Data'!$O$7:$O$8,E224), INDEX('Route Data'!$P$7:$P$8,E224), INDEX('Route Data'!$H$7:$H$8,E224), INDEX('Route Data'!$Q$7:$Q$8,E224), INDEX('Route Data'!$M$7:$M$8,E224))</f>
        <v>0.51617226640175828</v>
      </c>
      <c r="L224" s="5">
        <f>INDEX('Route Data'!$N$7:$N$8,E224)</f>
        <v>0.4</v>
      </c>
      <c r="M224" s="8">
        <v>0.39236867427825928</v>
      </c>
      <c r="N224" s="8">
        <f>ProbStrikeFrancis(K224, I224, L224, INDEX('Route Data'!$G$7:$G$8,E224),C224, INDEX('Route Data'!$F$7:$F$8,E224), INDEX('Route Data'!$O$7:$O$8,E224), INDEX('Route Data'!$H$7:$H$18,E224))</f>
        <v>1</v>
      </c>
      <c r="O224" s="5" t="str">
        <f>IF(F224&gt;=1,IF(M224&lt;=N224,"STRIKE","pass"),IF(M224&lt;=INDEX('Route Data'!$R$7:$R$8,E224),"NO PASS","pass"))</f>
        <v>STRIKE</v>
      </c>
      <c r="P224" s="5">
        <f>IF(F224&gt;=1,IF(M224&lt;=N224,1,0),IF(M224&lt;=INDEX('Route Data'!$R$7:$R$8,E224),-1,0))</f>
        <v>1</v>
      </c>
    </row>
    <row r="225" spans="1:16">
      <c r="A225" s="5">
        <v>215</v>
      </c>
      <c r="B225" s="12">
        <v>23.47</v>
      </c>
      <c r="C225" s="12">
        <f t="shared" si="3"/>
        <v>1.96</v>
      </c>
      <c r="D225" s="8">
        <v>0.18577820062637329</v>
      </c>
      <c r="E225" s="5">
        <f>MATCH(D225,'Route Data'!$C$7:$C$8,1)</f>
        <v>2</v>
      </c>
      <c r="F225" s="5">
        <f>INDEX('Route Data'!$D$7:$D$8,E225)</f>
        <v>1</v>
      </c>
      <c r="G225" s="5" t="str">
        <f>INDEX('Route Data'!$A$7:$A$8,E225)</f>
        <v>u18</v>
      </c>
      <c r="H225" s="5">
        <f>EnergyCoeff(INDEX('Route Data'!$K$7:$K$8,E225),INDEX('Route Data'!$L$7:$L$8,E225)*2*PI()/60,INDEX('Route Data'!$F$7:$F$8,E225))</f>
        <v>0.19430699130049439</v>
      </c>
      <c r="I225" s="5">
        <f>DischargeCoeff(INDEX('Route Data'!$I$7:$I$8,E225), INDEX('Route Data'!$L$7:$L$8,E225)*2*PI()/60, INDEX('Route Data'!$F$7:$F$8,E225))</f>
        <v>0.15939200179827354</v>
      </c>
      <c r="J225" s="8">
        <f>FlowAngleRel(INDEX('Route Data'!$J$7:$J$8,E225)*INDEX('Route Data'!$I$7:$I$8,E225), INDEX('Route Data'!$L$7:$L$8,E225)*2*PI()/60, INDEX('Route Data'!$F$7:$F$8,E225),INDEX('Route Data'!$O$7:$O$8,E225), INDEX('Route Data'!$P$7:$P$8,E225),INDEX('Route Data'!$M$7:$M$8,E225))</f>
        <v>1.130811765868994</v>
      </c>
      <c r="K225" s="8">
        <f>FlowAngleAbsT(INDEX('Route Data'!$K$7:$K$8,E225), INDEX('Route Data'!$I$7:$I$8,E225), INDEX('Route Data'!$I$7:$I$8,E225)*INDEX('Route Data'!$J$7:$J$8,E225), INDEX('Route Data'!$L$7:$L$8,E225)*2*PI()/60, INDEX('Route Data'!$F$7:$F$8,E225),INDEX('Route Data'!$O$7:$O$8,E225), INDEX('Route Data'!$P$7:$P$8,E225), INDEX('Route Data'!$H$7:$H$8,E225), INDEX('Route Data'!$Q$7:$Q$8,E225), INDEX('Route Data'!$M$7:$M$8,E225))</f>
        <v>0.51617226640175828</v>
      </c>
      <c r="L225" s="5">
        <f>INDEX('Route Data'!$N$7:$N$8,E225)</f>
        <v>0.4</v>
      </c>
      <c r="M225" s="8">
        <v>1.2045502662658691E-3</v>
      </c>
      <c r="N225" s="8">
        <f>ProbStrikeFrancis(K225, I225, L225, INDEX('Route Data'!$G$7:$G$8,E225),C225, INDEX('Route Data'!$F$7:$F$8,E225), INDEX('Route Data'!$O$7:$O$8,E225), INDEX('Route Data'!$H$7:$H$18,E225))</f>
        <v>1</v>
      </c>
      <c r="O225" s="5" t="str">
        <f>IF(F225&gt;=1,IF(M225&lt;=N225,"STRIKE","pass"),IF(M225&lt;=INDEX('Route Data'!$R$7:$R$8,E225),"NO PASS","pass"))</f>
        <v>STRIKE</v>
      </c>
      <c r="P225" s="5">
        <f>IF(F225&gt;=1,IF(M225&lt;=N225,1,0),IF(M225&lt;=INDEX('Route Data'!$R$7:$R$8,E225),-1,0))</f>
        <v>1</v>
      </c>
    </row>
    <row r="226" spans="1:16">
      <c r="A226" s="5">
        <v>216</v>
      </c>
      <c r="B226" s="12">
        <v>25.74</v>
      </c>
      <c r="C226" s="12">
        <f t="shared" si="3"/>
        <v>2.15</v>
      </c>
      <c r="D226" s="8">
        <v>0.11909914016723633</v>
      </c>
      <c r="E226" s="5">
        <f>MATCH(D226,'Route Data'!$C$7:$C$8,1)</f>
        <v>2</v>
      </c>
      <c r="F226" s="5">
        <f>INDEX('Route Data'!$D$7:$D$8,E226)</f>
        <v>1</v>
      </c>
      <c r="G226" s="5" t="str">
        <f>INDEX('Route Data'!$A$7:$A$8,E226)</f>
        <v>u18</v>
      </c>
      <c r="H226" s="5">
        <f>EnergyCoeff(INDEX('Route Data'!$K$7:$K$8,E226),INDEX('Route Data'!$L$7:$L$8,E226)*2*PI()/60,INDEX('Route Data'!$F$7:$F$8,E226))</f>
        <v>0.19430699130049439</v>
      </c>
      <c r="I226" s="5">
        <f>DischargeCoeff(INDEX('Route Data'!$I$7:$I$8,E226), INDEX('Route Data'!$L$7:$L$8,E226)*2*PI()/60, INDEX('Route Data'!$F$7:$F$8,E226))</f>
        <v>0.15939200179827354</v>
      </c>
      <c r="J226" s="8">
        <f>FlowAngleRel(INDEX('Route Data'!$J$7:$J$8,E226)*INDEX('Route Data'!$I$7:$I$8,E226), INDEX('Route Data'!$L$7:$L$8,E226)*2*PI()/60, INDEX('Route Data'!$F$7:$F$8,E226),INDEX('Route Data'!$O$7:$O$8,E226), INDEX('Route Data'!$P$7:$P$8,E226),INDEX('Route Data'!$M$7:$M$8,E226))</f>
        <v>1.130811765868994</v>
      </c>
      <c r="K226" s="8">
        <f>FlowAngleAbsT(INDEX('Route Data'!$K$7:$K$8,E226), INDEX('Route Data'!$I$7:$I$8,E226), INDEX('Route Data'!$I$7:$I$8,E226)*INDEX('Route Data'!$J$7:$J$8,E226), INDEX('Route Data'!$L$7:$L$8,E226)*2*PI()/60, INDEX('Route Data'!$F$7:$F$8,E226),INDEX('Route Data'!$O$7:$O$8,E226), INDEX('Route Data'!$P$7:$P$8,E226), INDEX('Route Data'!$H$7:$H$8,E226), INDEX('Route Data'!$Q$7:$Q$8,E226), INDEX('Route Data'!$M$7:$M$8,E226))</f>
        <v>0.51617226640175828</v>
      </c>
      <c r="L226" s="5">
        <f>INDEX('Route Data'!$N$7:$N$8,E226)</f>
        <v>0.4</v>
      </c>
      <c r="M226" s="8">
        <v>0.17469692230224609</v>
      </c>
      <c r="N226" s="8">
        <f>ProbStrikeFrancis(K226, I226, L226, INDEX('Route Data'!$G$7:$G$8,E226),C226, INDEX('Route Data'!$F$7:$F$8,E226), INDEX('Route Data'!$O$7:$O$8,E226), INDEX('Route Data'!$H$7:$H$18,E226))</f>
        <v>1</v>
      </c>
      <c r="O226" s="5" t="str">
        <f>IF(F226&gt;=1,IF(M226&lt;=N226,"STRIKE","pass"),IF(M226&lt;=INDEX('Route Data'!$R$7:$R$8,E226),"NO PASS","pass"))</f>
        <v>STRIKE</v>
      </c>
      <c r="P226" s="5">
        <f>IF(F226&gt;=1,IF(M226&lt;=N226,1,0),IF(M226&lt;=INDEX('Route Data'!$R$7:$R$8,E226),-1,0))</f>
        <v>1</v>
      </c>
    </row>
    <row r="227" spans="1:16">
      <c r="A227" s="5">
        <v>217</v>
      </c>
      <c r="B227" s="12">
        <v>19.64</v>
      </c>
      <c r="C227" s="12">
        <f t="shared" si="3"/>
        <v>1.64</v>
      </c>
      <c r="D227" s="8">
        <v>0.78797787427902222</v>
      </c>
      <c r="E227" s="5">
        <f>MATCH(D227,'Route Data'!$C$7:$C$8,1)</f>
        <v>2</v>
      </c>
      <c r="F227" s="5">
        <f>INDEX('Route Data'!$D$7:$D$8,E227)</f>
        <v>1</v>
      </c>
      <c r="G227" s="5" t="str">
        <f>INDEX('Route Data'!$A$7:$A$8,E227)</f>
        <v>u18</v>
      </c>
      <c r="H227" s="5">
        <f>EnergyCoeff(INDEX('Route Data'!$K$7:$K$8,E227),INDEX('Route Data'!$L$7:$L$8,E227)*2*PI()/60,INDEX('Route Data'!$F$7:$F$8,E227))</f>
        <v>0.19430699130049439</v>
      </c>
      <c r="I227" s="5">
        <f>DischargeCoeff(INDEX('Route Data'!$I$7:$I$8,E227), INDEX('Route Data'!$L$7:$L$8,E227)*2*PI()/60, INDEX('Route Data'!$F$7:$F$8,E227))</f>
        <v>0.15939200179827354</v>
      </c>
      <c r="J227" s="8">
        <f>FlowAngleRel(INDEX('Route Data'!$J$7:$J$8,E227)*INDEX('Route Data'!$I$7:$I$8,E227), INDEX('Route Data'!$L$7:$L$8,E227)*2*PI()/60, INDEX('Route Data'!$F$7:$F$8,E227),INDEX('Route Data'!$O$7:$O$8,E227), INDEX('Route Data'!$P$7:$P$8,E227),INDEX('Route Data'!$M$7:$M$8,E227))</f>
        <v>1.130811765868994</v>
      </c>
      <c r="K227" s="8">
        <f>FlowAngleAbsT(INDEX('Route Data'!$K$7:$K$8,E227), INDEX('Route Data'!$I$7:$I$8,E227), INDEX('Route Data'!$I$7:$I$8,E227)*INDEX('Route Data'!$J$7:$J$8,E227), INDEX('Route Data'!$L$7:$L$8,E227)*2*PI()/60, INDEX('Route Data'!$F$7:$F$8,E227),INDEX('Route Data'!$O$7:$O$8,E227), INDEX('Route Data'!$P$7:$P$8,E227), INDEX('Route Data'!$H$7:$H$8,E227), INDEX('Route Data'!$Q$7:$Q$8,E227), INDEX('Route Data'!$M$7:$M$8,E227))</f>
        <v>0.51617226640175828</v>
      </c>
      <c r="L227" s="5">
        <f>INDEX('Route Data'!$N$7:$N$8,E227)</f>
        <v>0.4</v>
      </c>
      <c r="M227" s="8">
        <v>0.18537825345993042</v>
      </c>
      <c r="N227" s="8">
        <f>ProbStrikeFrancis(K227, I227, L227, INDEX('Route Data'!$G$7:$G$8,E227),C227, INDEX('Route Data'!$F$7:$F$8,E227), INDEX('Route Data'!$O$7:$O$8,E227), INDEX('Route Data'!$H$7:$H$18,E227))</f>
        <v>1</v>
      </c>
      <c r="O227" s="5" t="str">
        <f>IF(F227&gt;=1,IF(M227&lt;=N227,"STRIKE","pass"),IF(M227&lt;=INDEX('Route Data'!$R$7:$R$8,E227),"NO PASS","pass"))</f>
        <v>STRIKE</v>
      </c>
      <c r="P227" s="5">
        <f>IF(F227&gt;=1,IF(M227&lt;=N227,1,0),IF(M227&lt;=INDEX('Route Data'!$R$7:$R$8,E227),-1,0))</f>
        <v>1</v>
      </c>
    </row>
    <row r="228" spans="1:16">
      <c r="A228" s="5">
        <v>218</v>
      </c>
      <c r="B228" s="12">
        <v>22.17</v>
      </c>
      <c r="C228" s="12">
        <f t="shared" si="3"/>
        <v>1.85</v>
      </c>
      <c r="D228" s="8">
        <v>4.6920895576477051E-2</v>
      </c>
      <c r="E228" s="5">
        <f>MATCH(D228,'Route Data'!$C$7:$C$8,1)</f>
        <v>2</v>
      </c>
      <c r="F228" s="5">
        <f>INDEX('Route Data'!$D$7:$D$8,E228)</f>
        <v>1</v>
      </c>
      <c r="G228" s="5" t="str">
        <f>INDEX('Route Data'!$A$7:$A$8,E228)</f>
        <v>u18</v>
      </c>
      <c r="H228" s="5">
        <f>EnergyCoeff(INDEX('Route Data'!$K$7:$K$8,E228),INDEX('Route Data'!$L$7:$L$8,E228)*2*PI()/60,INDEX('Route Data'!$F$7:$F$8,E228))</f>
        <v>0.19430699130049439</v>
      </c>
      <c r="I228" s="5">
        <f>DischargeCoeff(INDEX('Route Data'!$I$7:$I$8,E228), INDEX('Route Data'!$L$7:$L$8,E228)*2*PI()/60, INDEX('Route Data'!$F$7:$F$8,E228))</f>
        <v>0.15939200179827354</v>
      </c>
      <c r="J228" s="8">
        <f>FlowAngleRel(INDEX('Route Data'!$J$7:$J$8,E228)*INDEX('Route Data'!$I$7:$I$8,E228), INDEX('Route Data'!$L$7:$L$8,E228)*2*PI()/60, INDEX('Route Data'!$F$7:$F$8,E228),INDEX('Route Data'!$O$7:$O$8,E228), INDEX('Route Data'!$P$7:$P$8,E228),INDEX('Route Data'!$M$7:$M$8,E228))</f>
        <v>1.130811765868994</v>
      </c>
      <c r="K228" s="8">
        <f>FlowAngleAbsT(INDEX('Route Data'!$K$7:$K$8,E228), INDEX('Route Data'!$I$7:$I$8,E228), INDEX('Route Data'!$I$7:$I$8,E228)*INDEX('Route Data'!$J$7:$J$8,E228), INDEX('Route Data'!$L$7:$L$8,E228)*2*PI()/60, INDEX('Route Data'!$F$7:$F$8,E228),INDEX('Route Data'!$O$7:$O$8,E228), INDEX('Route Data'!$P$7:$P$8,E228), INDEX('Route Data'!$H$7:$H$8,E228), INDEX('Route Data'!$Q$7:$Q$8,E228), INDEX('Route Data'!$M$7:$M$8,E228))</f>
        <v>0.51617226640175828</v>
      </c>
      <c r="L228" s="5">
        <f>INDEX('Route Data'!$N$7:$N$8,E228)</f>
        <v>0.4</v>
      </c>
      <c r="M228" s="8">
        <v>0.15333425998687744</v>
      </c>
      <c r="N228" s="8">
        <f>ProbStrikeFrancis(K228, I228, L228, INDEX('Route Data'!$G$7:$G$8,E228),C228, INDEX('Route Data'!$F$7:$F$8,E228), INDEX('Route Data'!$O$7:$O$8,E228), INDEX('Route Data'!$H$7:$H$18,E228))</f>
        <v>1</v>
      </c>
      <c r="O228" s="5" t="str">
        <f>IF(F228&gt;=1,IF(M228&lt;=N228,"STRIKE","pass"),IF(M228&lt;=INDEX('Route Data'!$R$7:$R$8,E228),"NO PASS","pass"))</f>
        <v>STRIKE</v>
      </c>
      <c r="P228" s="5">
        <f>IF(F228&gt;=1,IF(M228&lt;=N228,1,0),IF(M228&lt;=INDEX('Route Data'!$R$7:$R$8,E228),-1,0))</f>
        <v>1</v>
      </c>
    </row>
    <row r="229" spans="1:16">
      <c r="A229" s="5">
        <v>219</v>
      </c>
      <c r="B229" s="12">
        <v>23.33</v>
      </c>
      <c r="C229" s="12">
        <f t="shared" si="3"/>
        <v>1.94</v>
      </c>
      <c r="D229" s="8">
        <v>0.53567105531692505</v>
      </c>
      <c r="E229" s="5">
        <f>MATCH(D229,'Route Data'!$C$7:$C$8,1)</f>
        <v>2</v>
      </c>
      <c r="F229" s="5">
        <f>INDEX('Route Data'!$D$7:$D$8,E229)</f>
        <v>1</v>
      </c>
      <c r="G229" s="5" t="str">
        <f>INDEX('Route Data'!$A$7:$A$8,E229)</f>
        <v>u18</v>
      </c>
      <c r="H229" s="5">
        <f>EnergyCoeff(INDEX('Route Data'!$K$7:$K$8,E229),INDEX('Route Data'!$L$7:$L$8,E229)*2*PI()/60,INDEX('Route Data'!$F$7:$F$8,E229))</f>
        <v>0.19430699130049439</v>
      </c>
      <c r="I229" s="5">
        <f>DischargeCoeff(INDEX('Route Data'!$I$7:$I$8,E229), INDEX('Route Data'!$L$7:$L$8,E229)*2*PI()/60, INDEX('Route Data'!$F$7:$F$8,E229))</f>
        <v>0.15939200179827354</v>
      </c>
      <c r="J229" s="8">
        <f>FlowAngleRel(INDEX('Route Data'!$J$7:$J$8,E229)*INDEX('Route Data'!$I$7:$I$8,E229), INDEX('Route Data'!$L$7:$L$8,E229)*2*PI()/60, INDEX('Route Data'!$F$7:$F$8,E229),INDEX('Route Data'!$O$7:$O$8,E229), INDEX('Route Data'!$P$7:$P$8,E229),INDEX('Route Data'!$M$7:$M$8,E229))</f>
        <v>1.130811765868994</v>
      </c>
      <c r="K229" s="8">
        <f>FlowAngleAbsT(INDEX('Route Data'!$K$7:$K$8,E229), INDEX('Route Data'!$I$7:$I$8,E229), INDEX('Route Data'!$I$7:$I$8,E229)*INDEX('Route Data'!$J$7:$J$8,E229), INDEX('Route Data'!$L$7:$L$8,E229)*2*PI()/60, INDEX('Route Data'!$F$7:$F$8,E229),INDEX('Route Data'!$O$7:$O$8,E229), INDEX('Route Data'!$P$7:$P$8,E229), INDEX('Route Data'!$H$7:$H$8,E229), INDEX('Route Data'!$Q$7:$Q$8,E229), INDEX('Route Data'!$M$7:$M$8,E229))</f>
        <v>0.51617226640175828</v>
      </c>
      <c r="L229" s="5">
        <f>INDEX('Route Data'!$N$7:$N$8,E229)</f>
        <v>0.4</v>
      </c>
      <c r="M229" s="8">
        <v>0.24946624040603638</v>
      </c>
      <c r="N229" s="8">
        <f>ProbStrikeFrancis(K229, I229, L229, INDEX('Route Data'!$G$7:$G$8,E229),C229, INDEX('Route Data'!$F$7:$F$8,E229), INDEX('Route Data'!$O$7:$O$8,E229), INDEX('Route Data'!$H$7:$H$18,E229))</f>
        <v>1</v>
      </c>
      <c r="O229" s="5" t="str">
        <f>IF(F229&gt;=1,IF(M229&lt;=N229,"STRIKE","pass"),IF(M229&lt;=INDEX('Route Data'!$R$7:$R$8,E229),"NO PASS","pass"))</f>
        <v>STRIKE</v>
      </c>
      <c r="P229" s="5">
        <f>IF(F229&gt;=1,IF(M229&lt;=N229,1,0),IF(M229&lt;=INDEX('Route Data'!$R$7:$R$8,E229),-1,0))</f>
        <v>1</v>
      </c>
    </row>
    <row r="230" spans="1:16">
      <c r="A230" s="5">
        <v>220</v>
      </c>
      <c r="B230" s="12">
        <v>23.56</v>
      </c>
      <c r="C230" s="12">
        <f t="shared" si="3"/>
        <v>1.96</v>
      </c>
      <c r="D230" s="8">
        <v>0.53826212882995605</v>
      </c>
      <c r="E230" s="5">
        <f>MATCH(D230,'Route Data'!$C$7:$C$8,1)</f>
        <v>2</v>
      </c>
      <c r="F230" s="5">
        <f>INDEX('Route Data'!$D$7:$D$8,E230)</f>
        <v>1</v>
      </c>
      <c r="G230" s="5" t="str">
        <f>INDEX('Route Data'!$A$7:$A$8,E230)</f>
        <v>u18</v>
      </c>
      <c r="H230" s="5">
        <f>EnergyCoeff(INDEX('Route Data'!$K$7:$K$8,E230),INDEX('Route Data'!$L$7:$L$8,E230)*2*PI()/60,INDEX('Route Data'!$F$7:$F$8,E230))</f>
        <v>0.19430699130049439</v>
      </c>
      <c r="I230" s="5">
        <f>DischargeCoeff(INDEX('Route Data'!$I$7:$I$8,E230), INDEX('Route Data'!$L$7:$L$8,E230)*2*PI()/60, INDEX('Route Data'!$F$7:$F$8,E230))</f>
        <v>0.15939200179827354</v>
      </c>
      <c r="J230" s="8">
        <f>FlowAngleRel(INDEX('Route Data'!$J$7:$J$8,E230)*INDEX('Route Data'!$I$7:$I$8,E230), INDEX('Route Data'!$L$7:$L$8,E230)*2*PI()/60, INDEX('Route Data'!$F$7:$F$8,E230),INDEX('Route Data'!$O$7:$O$8,E230), INDEX('Route Data'!$P$7:$P$8,E230),INDEX('Route Data'!$M$7:$M$8,E230))</f>
        <v>1.130811765868994</v>
      </c>
      <c r="K230" s="8">
        <f>FlowAngleAbsT(INDEX('Route Data'!$K$7:$K$8,E230), INDEX('Route Data'!$I$7:$I$8,E230), INDEX('Route Data'!$I$7:$I$8,E230)*INDEX('Route Data'!$J$7:$J$8,E230), INDEX('Route Data'!$L$7:$L$8,E230)*2*PI()/60, INDEX('Route Data'!$F$7:$F$8,E230),INDEX('Route Data'!$O$7:$O$8,E230), INDEX('Route Data'!$P$7:$P$8,E230), INDEX('Route Data'!$H$7:$H$8,E230), INDEX('Route Data'!$Q$7:$Q$8,E230), INDEX('Route Data'!$M$7:$M$8,E230))</f>
        <v>0.51617226640175828</v>
      </c>
      <c r="L230" s="5">
        <f>INDEX('Route Data'!$N$7:$N$8,E230)</f>
        <v>0.4</v>
      </c>
      <c r="M230" s="8">
        <v>0.69549107551574707</v>
      </c>
      <c r="N230" s="8">
        <f>ProbStrikeFrancis(K230, I230, L230, INDEX('Route Data'!$G$7:$G$8,E230),C230, INDEX('Route Data'!$F$7:$F$8,E230), INDEX('Route Data'!$O$7:$O$8,E230), INDEX('Route Data'!$H$7:$H$18,E230))</f>
        <v>1</v>
      </c>
      <c r="O230" s="5" t="str">
        <f>IF(F230&gt;=1,IF(M230&lt;=N230,"STRIKE","pass"),IF(M230&lt;=INDEX('Route Data'!$R$7:$R$8,E230),"NO PASS","pass"))</f>
        <v>STRIKE</v>
      </c>
      <c r="P230" s="5">
        <f>IF(F230&gt;=1,IF(M230&lt;=N230,1,0),IF(M230&lt;=INDEX('Route Data'!$R$7:$R$8,E230),-1,0))</f>
        <v>1</v>
      </c>
    </row>
    <row r="231" spans="1:16">
      <c r="A231" s="5">
        <v>221</v>
      </c>
      <c r="B231" s="12">
        <v>25.32</v>
      </c>
      <c r="C231" s="12">
        <f t="shared" si="3"/>
        <v>2.11</v>
      </c>
      <c r="D231" s="8">
        <v>6.1647355556488037E-2</v>
      </c>
      <c r="E231" s="5">
        <f>MATCH(D231,'Route Data'!$C$7:$C$8,1)</f>
        <v>2</v>
      </c>
      <c r="F231" s="5">
        <f>INDEX('Route Data'!$D$7:$D$8,E231)</f>
        <v>1</v>
      </c>
      <c r="G231" s="5" t="str">
        <f>INDEX('Route Data'!$A$7:$A$8,E231)</f>
        <v>u18</v>
      </c>
      <c r="H231" s="5">
        <f>EnergyCoeff(INDEX('Route Data'!$K$7:$K$8,E231),INDEX('Route Data'!$L$7:$L$8,E231)*2*PI()/60,INDEX('Route Data'!$F$7:$F$8,E231))</f>
        <v>0.19430699130049439</v>
      </c>
      <c r="I231" s="5">
        <f>DischargeCoeff(INDEX('Route Data'!$I$7:$I$8,E231), INDEX('Route Data'!$L$7:$L$8,E231)*2*PI()/60, INDEX('Route Data'!$F$7:$F$8,E231))</f>
        <v>0.15939200179827354</v>
      </c>
      <c r="J231" s="8">
        <f>FlowAngleRel(INDEX('Route Data'!$J$7:$J$8,E231)*INDEX('Route Data'!$I$7:$I$8,E231), INDEX('Route Data'!$L$7:$L$8,E231)*2*PI()/60, INDEX('Route Data'!$F$7:$F$8,E231),INDEX('Route Data'!$O$7:$O$8,E231), INDEX('Route Data'!$P$7:$P$8,E231),INDEX('Route Data'!$M$7:$M$8,E231))</f>
        <v>1.130811765868994</v>
      </c>
      <c r="K231" s="8">
        <f>FlowAngleAbsT(INDEX('Route Data'!$K$7:$K$8,E231), INDEX('Route Data'!$I$7:$I$8,E231), INDEX('Route Data'!$I$7:$I$8,E231)*INDEX('Route Data'!$J$7:$J$8,E231), INDEX('Route Data'!$L$7:$L$8,E231)*2*PI()/60, INDEX('Route Data'!$F$7:$F$8,E231),INDEX('Route Data'!$O$7:$O$8,E231), INDEX('Route Data'!$P$7:$P$8,E231), INDEX('Route Data'!$H$7:$H$8,E231), INDEX('Route Data'!$Q$7:$Q$8,E231), INDEX('Route Data'!$M$7:$M$8,E231))</f>
        <v>0.51617226640175828</v>
      </c>
      <c r="L231" s="5">
        <f>INDEX('Route Data'!$N$7:$N$8,E231)</f>
        <v>0.4</v>
      </c>
      <c r="M231" s="8">
        <v>0.82625812292098999</v>
      </c>
      <c r="N231" s="8">
        <f>ProbStrikeFrancis(K231, I231, L231, INDEX('Route Data'!$G$7:$G$8,E231),C231, INDEX('Route Data'!$F$7:$F$8,E231), INDEX('Route Data'!$O$7:$O$8,E231), INDEX('Route Data'!$H$7:$H$18,E231))</f>
        <v>1</v>
      </c>
      <c r="O231" s="5" t="str">
        <f>IF(F231&gt;=1,IF(M231&lt;=N231,"STRIKE","pass"),IF(M231&lt;=INDEX('Route Data'!$R$7:$R$8,E231),"NO PASS","pass"))</f>
        <v>STRIKE</v>
      </c>
      <c r="P231" s="5">
        <f>IF(F231&gt;=1,IF(M231&lt;=N231,1,0),IF(M231&lt;=INDEX('Route Data'!$R$7:$R$8,E231),-1,0))</f>
        <v>1</v>
      </c>
    </row>
    <row r="232" spans="1:16">
      <c r="A232" s="5">
        <v>222</v>
      </c>
      <c r="B232" s="12">
        <v>20.62</v>
      </c>
      <c r="C232" s="12">
        <f t="shared" si="3"/>
        <v>1.72</v>
      </c>
      <c r="D232" s="8">
        <v>0.22591245174407959</v>
      </c>
      <c r="E232" s="5">
        <f>MATCH(D232,'Route Data'!$C$7:$C$8,1)</f>
        <v>2</v>
      </c>
      <c r="F232" s="5">
        <f>INDEX('Route Data'!$D$7:$D$8,E232)</f>
        <v>1</v>
      </c>
      <c r="G232" s="5" t="str">
        <f>INDEX('Route Data'!$A$7:$A$8,E232)</f>
        <v>u18</v>
      </c>
      <c r="H232" s="5">
        <f>EnergyCoeff(INDEX('Route Data'!$K$7:$K$8,E232),INDEX('Route Data'!$L$7:$L$8,E232)*2*PI()/60,INDEX('Route Data'!$F$7:$F$8,E232))</f>
        <v>0.19430699130049439</v>
      </c>
      <c r="I232" s="5">
        <f>DischargeCoeff(INDEX('Route Data'!$I$7:$I$8,E232), INDEX('Route Data'!$L$7:$L$8,E232)*2*PI()/60, INDEX('Route Data'!$F$7:$F$8,E232))</f>
        <v>0.15939200179827354</v>
      </c>
      <c r="J232" s="8">
        <f>FlowAngleRel(INDEX('Route Data'!$J$7:$J$8,E232)*INDEX('Route Data'!$I$7:$I$8,E232), INDEX('Route Data'!$L$7:$L$8,E232)*2*PI()/60, INDEX('Route Data'!$F$7:$F$8,E232),INDEX('Route Data'!$O$7:$O$8,E232), INDEX('Route Data'!$P$7:$P$8,E232),INDEX('Route Data'!$M$7:$M$8,E232))</f>
        <v>1.130811765868994</v>
      </c>
      <c r="K232" s="8">
        <f>FlowAngleAbsT(INDEX('Route Data'!$K$7:$K$8,E232), INDEX('Route Data'!$I$7:$I$8,E232), INDEX('Route Data'!$I$7:$I$8,E232)*INDEX('Route Data'!$J$7:$J$8,E232), INDEX('Route Data'!$L$7:$L$8,E232)*2*PI()/60, INDEX('Route Data'!$F$7:$F$8,E232),INDEX('Route Data'!$O$7:$O$8,E232), INDEX('Route Data'!$P$7:$P$8,E232), INDEX('Route Data'!$H$7:$H$8,E232), INDEX('Route Data'!$Q$7:$Q$8,E232), INDEX('Route Data'!$M$7:$M$8,E232))</f>
        <v>0.51617226640175828</v>
      </c>
      <c r="L232" s="5">
        <f>INDEX('Route Data'!$N$7:$N$8,E232)</f>
        <v>0.4</v>
      </c>
      <c r="M232" s="8">
        <v>0.96511542797088623</v>
      </c>
      <c r="N232" s="8">
        <f>ProbStrikeFrancis(K232, I232, L232, INDEX('Route Data'!$G$7:$G$8,E232),C232, INDEX('Route Data'!$F$7:$F$8,E232), INDEX('Route Data'!$O$7:$O$8,E232), INDEX('Route Data'!$H$7:$H$18,E232))</f>
        <v>1</v>
      </c>
      <c r="O232" s="5" t="str">
        <f>IF(F232&gt;=1,IF(M232&lt;=N232,"STRIKE","pass"),IF(M232&lt;=INDEX('Route Data'!$R$7:$R$8,E232),"NO PASS","pass"))</f>
        <v>STRIKE</v>
      </c>
      <c r="P232" s="5">
        <f>IF(F232&gt;=1,IF(M232&lt;=N232,1,0),IF(M232&lt;=INDEX('Route Data'!$R$7:$R$8,E232),-1,0))</f>
        <v>1</v>
      </c>
    </row>
    <row r="233" spans="1:16">
      <c r="A233" s="5">
        <v>223</v>
      </c>
      <c r="B233" s="12">
        <v>19.59</v>
      </c>
      <c r="C233" s="12">
        <f t="shared" si="3"/>
        <v>1.63</v>
      </c>
      <c r="D233" s="8">
        <v>0.46753793954849243</v>
      </c>
      <c r="E233" s="5">
        <f>MATCH(D233,'Route Data'!$C$7:$C$8,1)</f>
        <v>2</v>
      </c>
      <c r="F233" s="5">
        <f>INDEX('Route Data'!$D$7:$D$8,E233)</f>
        <v>1</v>
      </c>
      <c r="G233" s="5" t="str">
        <f>INDEX('Route Data'!$A$7:$A$8,E233)</f>
        <v>u18</v>
      </c>
      <c r="H233" s="5">
        <f>EnergyCoeff(INDEX('Route Data'!$K$7:$K$8,E233),INDEX('Route Data'!$L$7:$L$8,E233)*2*PI()/60,INDEX('Route Data'!$F$7:$F$8,E233))</f>
        <v>0.19430699130049439</v>
      </c>
      <c r="I233" s="5">
        <f>DischargeCoeff(INDEX('Route Data'!$I$7:$I$8,E233), INDEX('Route Data'!$L$7:$L$8,E233)*2*PI()/60, INDEX('Route Data'!$F$7:$F$8,E233))</f>
        <v>0.15939200179827354</v>
      </c>
      <c r="J233" s="8">
        <f>FlowAngleRel(INDEX('Route Data'!$J$7:$J$8,E233)*INDEX('Route Data'!$I$7:$I$8,E233), INDEX('Route Data'!$L$7:$L$8,E233)*2*PI()/60, INDEX('Route Data'!$F$7:$F$8,E233),INDEX('Route Data'!$O$7:$O$8,E233), INDEX('Route Data'!$P$7:$P$8,E233),INDEX('Route Data'!$M$7:$M$8,E233))</f>
        <v>1.130811765868994</v>
      </c>
      <c r="K233" s="8">
        <f>FlowAngleAbsT(INDEX('Route Data'!$K$7:$K$8,E233), INDEX('Route Data'!$I$7:$I$8,E233), INDEX('Route Data'!$I$7:$I$8,E233)*INDEX('Route Data'!$J$7:$J$8,E233), INDEX('Route Data'!$L$7:$L$8,E233)*2*PI()/60, INDEX('Route Data'!$F$7:$F$8,E233),INDEX('Route Data'!$O$7:$O$8,E233), INDEX('Route Data'!$P$7:$P$8,E233), INDEX('Route Data'!$H$7:$H$8,E233), INDEX('Route Data'!$Q$7:$Q$8,E233), INDEX('Route Data'!$M$7:$M$8,E233))</f>
        <v>0.51617226640175828</v>
      </c>
      <c r="L233" s="5">
        <f>INDEX('Route Data'!$N$7:$N$8,E233)</f>
        <v>0.4</v>
      </c>
      <c r="M233" s="8">
        <v>0.54854351282119751</v>
      </c>
      <c r="N233" s="8">
        <f>ProbStrikeFrancis(K233, I233, L233, INDEX('Route Data'!$G$7:$G$8,E233),C233, INDEX('Route Data'!$F$7:$F$8,E233), INDEX('Route Data'!$O$7:$O$8,E233), INDEX('Route Data'!$H$7:$H$18,E233))</f>
        <v>1</v>
      </c>
      <c r="O233" s="5" t="str">
        <f>IF(F233&gt;=1,IF(M233&lt;=N233,"STRIKE","pass"),IF(M233&lt;=INDEX('Route Data'!$R$7:$R$8,E233),"NO PASS","pass"))</f>
        <v>STRIKE</v>
      </c>
      <c r="P233" s="5">
        <f>IF(F233&gt;=1,IF(M233&lt;=N233,1,0),IF(M233&lt;=INDEX('Route Data'!$R$7:$R$8,E233),-1,0))</f>
        <v>1</v>
      </c>
    </row>
    <row r="234" spans="1:16">
      <c r="A234" s="5">
        <v>224</v>
      </c>
      <c r="B234" s="12">
        <v>24.48</v>
      </c>
      <c r="C234" s="12">
        <f t="shared" si="3"/>
        <v>2.04</v>
      </c>
      <c r="D234" s="8">
        <v>8.2406997680664063E-3</v>
      </c>
      <c r="E234" s="5">
        <f>MATCH(D234,'Route Data'!$C$7:$C$8,1)</f>
        <v>2</v>
      </c>
      <c r="F234" s="5">
        <f>INDEX('Route Data'!$D$7:$D$8,E234)</f>
        <v>1</v>
      </c>
      <c r="G234" s="5" t="str">
        <f>INDEX('Route Data'!$A$7:$A$8,E234)</f>
        <v>u18</v>
      </c>
      <c r="H234" s="5">
        <f>EnergyCoeff(INDEX('Route Data'!$K$7:$K$8,E234),INDEX('Route Data'!$L$7:$L$8,E234)*2*PI()/60,INDEX('Route Data'!$F$7:$F$8,E234))</f>
        <v>0.19430699130049439</v>
      </c>
      <c r="I234" s="5">
        <f>DischargeCoeff(INDEX('Route Data'!$I$7:$I$8,E234), INDEX('Route Data'!$L$7:$L$8,E234)*2*PI()/60, INDEX('Route Data'!$F$7:$F$8,E234))</f>
        <v>0.15939200179827354</v>
      </c>
      <c r="J234" s="8">
        <f>FlowAngleRel(INDEX('Route Data'!$J$7:$J$8,E234)*INDEX('Route Data'!$I$7:$I$8,E234), INDEX('Route Data'!$L$7:$L$8,E234)*2*PI()/60, INDEX('Route Data'!$F$7:$F$8,E234),INDEX('Route Data'!$O$7:$O$8,E234), INDEX('Route Data'!$P$7:$P$8,E234),INDEX('Route Data'!$M$7:$M$8,E234))</f>
        <v>1.130811765868994</v>
      </c>
      <c r="K234" s="8">
        <f>FlowAngleAbsT(INDEX('Route Data'!$K$7:$K$8,E234), INDEX('Route Data'!$I$7:$I$8,E234), INDEX('Route Data'!$I$7:$I$8,E234)*INDEX('Route Data'!$J$7:$J$8,E234), INDEX('Route Data'!$L$7:$L$8,E234)*2*PI()/60, INDEX('Route Data'!$F$7:$F$8,E234),INDEX('Route Data'!$O$7:$O$8,E234), INDEX('Route Data'!$P$7:$P$8,E234), INDEX('Route Data'!$H$7:$H$8,E234), INDEX('Route Data'!$Q$7:$Q$8,E234), INDEX('Route Data'!$M$7:$M$8,E234))</f>
        <v>0.51617226640175828</v>
      </c>
      <c r="L234" s="5">
        <f>INDEX('Route Data'!$N$7:$N$8,E234)</f>
        <v>0.4</v>
      </c>
      <c r="M234" s="8">
        <v>0.79825925827026367</v>
      </c>
      <c r="N234" s="8">
        <f>ProbStrikeFrancis(K234, I234, L234, INDEX('Route Data'!$G$7:$G$8,E234),C234, INDEX('Route Data'!$F$7:$F$8,E234), INDEX('Route Data'!$O$7:$O$8,E234), INDEX('Route Data'!$H$7:$H$18,E234))</f>
        <v>1</v>
      </c>
      <c r="O234" s="5" t="str">
        <f>IF(F234&gt;=1,IF(M234&lt;=N234,"STRIKE","pass"),IF(M234&lt;=INDEX('Route Data'!$R$7:$R$8,E234),"NO PASS","pass"))</f>
        <v>STRIKE</v>
      </c>
      <c r="P234" s="5">
        <f>IF(F234&gt;=1,IF(M234&lt;=N234,1,0),IF(M234&lt;=INDEX('Route Data'!$R$7:$R$8,E234),-1,0))</f>
        <v>1</v>
      </c>
    </row>
    <row r="235" spans="1:16">
      <c r="A235" s="5">
        <v>225</v>
      </c>
      <c r="B235" s="12">
        <v>24.84</v>
      </c>
      <c r="C235" s="12">
        <f t="shared" si="3"/>
        <v>2.0699999999999998</v>
      </c>
      <c r="D235" s="8">
        <v>0.38613241910934448</v>
      </c>
      <c r="E235" s="5">
        <f>MATCH(D235,'Route Data'!$C$7:$C$8,1)</f>
        <v>2</v>
      </c>
      <c r="F235" s="5">
        <f>INDEX('Route Data'!$D$7:$D$8,E235)</f>
        <v>1</v>
      </c>
      <c r="G235" s="5" t="str">
        <f>INDEX('Route Data'!$A$7:$A$8,E235)</f>
        <v>u18</v>
      </c>
      <c r="H235" s="5">
        <f>EnergyCoeff(INDEX('Route Data'!$K$7:$K$8,E235),INDEX('Route Data'!$L$7:$L$8,E235)*2*PI()/60,INDEX('Route Data'!$F$7:$F$8,E235))</f>
        <v>0.19430699130049439</v>
      </c>
      <c r="I235" s="5">
        <f>DischargeCoeff(INDEX('Route Data'!$I$7:$I$8,E235), INDEX('Route Data'!$L$7:$L$8,E235)*2*PI()/60, INDEX('Route Data'!$F$7:$F$8,E235))</f>
        <v>0.15939200179827354</v>
      </c>
      <c r="J235" s="8">
        <f>FlowAngleRel(INDEX('Route Data'!$J$7:$J$8,E235)*INDEX('Route Data'!$I$7:$I$8,E235), INDEX('Route Data'!$L$7:$L$8,E235)*2*PI()/60, INDEX('Route Data'!$F$7:$F$8,E235),INDEX('Route Data'!$O$7:$O$8,E235), INDEX('Route Data'!$P$7:$P$8,E235),INDEX('Route Data'!$M$7:$M$8,E235))</f>
        <v>1.130811765868994</v>
      </c>
      <c r="K235" s="8">
        <f>FlowAngleAbsT(INDEX('Route Data'!$K$7:$K$8,E235), INDEX('Route Data'!$I$7:$I$8,E235), INDEX('Route Data'!$I$7:$I$8,E235)*INDEX('Route Data'!$J$7:$J$8,E235), INDEX('Route Data'!$L$7:$L$8,E235)*2*PI()/60, INDEX('Route Data'!$F$7:$F$8,E235),INDEX('Route Data'!$O$7:$O$8,E235), INDEX('Route Data'!$P$7:$P$8,E235), INDEX('Route Data'!$H$7:$H$8,E235), INDEX('Route Data'!$Q$7:$Q$8,E235), INDEX('Route Data'!$M$7:$M$8,E235))</f>
        <v>0.51617226640175828</v>
      </c>
      <c r="L235" s="5">
        <f>INDEX('Route Data'!$N$7:$N$8,E235)</f>
        <v>0.4</v>
      </c>
      <c r="M235" s="8">
        <v>0.78353279829025269</v>
      </c>
      <c r="N235" s="8">
        <f>ProbStrikeFrancis(K235, I235, L235, INDEX('Route Data'!$G$7:$G$8,E235),C235, INDEX('Route Data'!$F$7:$F$8,E235), INDEX('Route Data'!$O$7:$O$8,E235), INDEX('Route Data'!$H$7:$H$18,E235))</f>
        <v>1</v>
      </c>
      <c r="O235" s="5" t="str">
        <f>IF(F235&gt;=1,IF(M235&lt;=N235,"STRIKE","pass"),IF(M235&lt;=INDEX('Route Data'!$R$7:$R$8,E235),"NO PASS","pass"))</f>
        <v>STRIKE</v>
      </c>
      <c r="P235" s="5">
        <f>IF(F235&gt;=1,IF(M235&lt;=N235,1,0),IF(M235&lt;=INDEX('Route Data'!$R$7:$R$8,E235),-1,0))</f>
        <v>1</v>
      </c>
    </row>
    <row r="236" spans="1:16">
      <c r="A236" s="5">
        <v>226</v>
      </c>
      <c r="B236" s="12">
        <v>21.7</v>
      </c>
      <c r="C236" s="12">
        <f t="shared" si="3"/>
        <v>1.81</v>
      </c>
      <c r="D236" s="8">
        <v>0.98687803745269775</v>
      </c>
      <c r="E236" s="5">
        <f>MATCH(D236,'Route Data'!$C$7:$C$8,1)</f>
        <v>2</v>
      </c>
      <c r="F236" s="5">
        <f>INDEX('Route Data'!$D$7:$D$8,E236)</f>
        <v>1</v>
      </c>
      <c r="G236" s="5" t="str">
        <f>INDEX('Route Data'!$A$7:$A$8,E236)</f>
        <v>u18</v>
      </c>
      <c r="H236" s="5">
        <f>EnergyCoeff(INDEX('Route Data'!$K$7:$K$8,E236),INDEX('Route Data'!$L$7:$L$8,E236)*2*PI()/60,INDEX('Route Data'!$F$7:$F$8,E236))</f>
        <v>0.19430699130049439</v>
      </c>
      <c r="I236" s="5">
        <f>DischargeCoeff(INDEX('Route Data'!$I$7:$I$8,E236), INDEX('Route Data'!$L$7:$L$8,E236)*2*PI()/60, INDEX('Route Data'!$F$7:$F$8,E236))</f>
        <v>0.15939200179827354</v>
      </c>
      <c r="J236" s="8">
        <f>FlowAngleRel(INDEX('Route Data'!$J$7:$J$8,E236)*INDEX('Route Data'!$I$7:$I$8,E236), INDEX('Route Data'!$L$7:$L$8,E236)*2*PI()/60, INDEX('Route Data'!$F$7:$F$8,E236),INDEX('Route Data'!$O$7:$O$8,E236), INDEX('Route Data'!$P$7:$P$8,E236),INDEX('Route Data'!$M$7:$M$8,E236))</f>
        <v>1.130811765868994</v>
      </c>
      <c r="K236" s="8">
        <f>FlowAngleAbsT(INDEX('Route Data'!$K$7:$K$8,E236), INDEX('Route Data'!$I$7:$I$8,E236), INDEX('Route Data'!$I$7:$I$8,E236)*INDEX('Route Data'!$J$7:$J$8,E236), INDEX('Route Data'!$L$7:$L$8,E236)*2*PI()/60, INDEX('Route Data'!$F$7:$F$8,E236),INDEX('Route Data'!$O$7:$O$8,E236), INDEX('Route Data'!$P$7:$P$8,E236), INDEX('Route Data'!$H$7:$H$8,E236), INDEX('Route Data'!$Q$7:$Q$8,E236), INDEX('Route Data'!$M$7:$M$8,E236))</f>
        <v>0.51617226640175828</v>
      </c>
      <c r="L236" s="5">
        <f>INDEX('Route Data'!$N$7:$N$8,E236)</f>
        <v>0.4</v>
      </c>
      <c r="M236" s="8">
        <v>9.3291401863098145E-2</v>
      </c>
      <c r="N236" s="8">
        <f>ProbStrikeFrancis(K236, I236, L236, INDEX('Route Data'!$G$7:$G$8,E236),C236, INDEX('Route Data'!$F$7:$F$8,E236), INDEX('Route Data'!$O$7:$O$8,E236), INDEX('Route Data'!$H$7:$H$18,E236))</f>
        <v>1</v>
      </c>
      <c r="O236" s="5" t="str">
        <f>IF(F236&gt;=1,IF(M236&lt;=N236,"STRIKE","pass"),IF(M236&lt;=INDEX('Route Data'!$R$7:$R$8,E236),"NO PASS","pass"))</f>
        <v>STRIKE</v>
      </c>
      <c r="P236" s="5">
        <f>IF(F236&gt;=1,IF(M236&lt;=N236,1,0),IF(M236&lt;=INDEX('Route Data'!$R$7:$R$8,E236),-1,0))</f>
        <v>1</v>
      </c>
    </row>
    <row r="237" spans="1:16">
      <c r="A237" s="5">
        <v>227</v>
      </c>
      <c r="B237" s="12">
        <v>22.65</v>
      </c>
      <c r="C237" s="12">
        <f t="shared" si="3"/>
        <v>1.89</v>
      </c>
      <c r="D237" s="8">
        <v>0.45022040605545044</v>
      </c>
      <c r="E237" s="5">
        <f>MATCH(D237,'Route Data'!$C$7:$C$8,1)</f>
        <v>2</v>
      </c>
      <c r="F237" s="5">
        <f>INDEX('Route Data'!$D$7:$D$8,E237)</f>
        <v>1</v>
      </c>
      <c r="G237" s="5" t="str">
        <f>INDEX('Route Data'!$A$7:$A$8,E237)</f>
        <v>u18</v>
      </c>
      <c r="H237" s="5">
        <f>EnergyCoeff(INDEX('Route Data'!$K$7:$K$8,E237),INDEX('Route Data'!$L$7:$L$8,E237)*2*PI()/60,INDEX('Route Data'!$F$7:$F$8,E237))</f>
        <v>0.19430699130049439</v>
      </c>
      <c r="I237" s="5">
        <f>DischargeCoeff(INDEX('Route Data'!$I$7:$I$8,E237), INDEX('Route Data'!$L$7:$L$8,E237)*2*PI()/60, INDEX('Route Data'!$F$7:$F$8,E237))</f>
        <v>0.15939200179827354</v>
      </c>
      <c r="J237" s="8">
        <f>FlowAngleRel(INDEX('Route Data'!$J$7:$J$8,E237)*INDEX('Route Data'!$I$7:$I$8,E237), INDEX('Route Data'!$L$7:$L$8,E237)*2*PI()/60, INDEX('Route Data'!$F$7:$F$8,E237),INDEX('Route Data'!$O$7:$O$8,E237), INDEX('Route Data'!$P$7:$P$8,E237),INDEX('Route Data'!$M$7:$M$8,E237))</f>
        <v>1.130811765868994</v>
      </c>
      <c r="K237" s="8">
        <f>FlowAngleAbsT(INDEX('Route Data'!$K$7:$K$8,E237), INDEX('Route Data'!$I$7:$I$8,E237), INDEX('Route Data'!$I$7:$I$8,E237)*INDEX('Route Data'!$J$7:$J$8,E237), INDEX('Route Data'!$L$7:$L$8,E237)*2*PI()/60, INDEX('Route Data'!$F$7:$F$8,E237),INDEX('Route Data'!$O$7:$O$8,E237), INDEX('Route Data'!$P$7:$P$8,E237), INDEX('Route Data'!$H$7:$H$8,E237), INDEX('Route Data'!$Q$7:$Q$8,E237), INDEX('Route Data'!$M$7:$M$8,E237))</f>
        <v>0.51617226640175828</v>
      </c>
      <c r="L237" s="5">
        <f>INDEX('Route Data'!$N$7:$N$8,E237)</f>
        <v>0.4</v>
      </c>
      <c r="M237" s="8">
        <v>0.16401559114456177</v>
      </c>
      <c r="N237" s="8">
        <f>ProbStrikeFrancis(K237, I237, L237, INDEX('Route Data'!$G$7:$G$8,E237),C237, INDEX('Route Data'!$F$7:$F$8,E237), INDEX('Route Data'!$O$7:$O$8,E237), INDEX('Route Data'!$H$7:$H$18,E237))</f>
        <v>1</v>
      </c>
      <c r="O237" s="5" t="str">
        <f>IF(F237&gt;=1,IF(M237&lt;=N237,"STRIKE","pass"),IF(M237&lt;=INDEX('Route Data'!$R$7:$R$8,E237),"NO PASS","pass"))</f>
        <v>STRIKE</v>
      </c>
      <c r="P237" s="5">
        <f>IF(F237&gt;=1,IF(M237&lt;=N237,1,0),IF(M237&lt;=INDEX('Route Data'!$R$7:$R$8,E237),-1,0))</f>
        <v>1</v>
      </c>
    </row>
    <row r="238" spans="1:16">
      <c r="A238" s="5">
        <v>228</v>
      </c>
      <c r="B238" s="12">
        <v>26.41</v>
      </c>
      <c r="C238" s="12">
        <f t="shared" si="3"/>
        <v>2.2000000000000002</v>
      </c>
      <c r="D238" s="8">
        <v>0.79461407661437988</v>
      </c>
      <c r="E238" s="5">
        <f>MATCH(D238,'Route Data'!$C$7:$C$8,1)</f>
        <v>2</v>
      </c>
      <c r="F238" s="5">
        <f>INDEX('Route Data'!$D$7:$D$8,E238)</f>
        <v>1</v>
      </c>
      <c r="G238" s="5" t="str">
        <f>INDEX('Route Data'!$A$7:$A$8,E238)</f>
        <v>u18</v>
      </c>
      <c r="H238" s="5">
        <f>EnergyCoeff(INDEX('Route Data'!$K$7:$K$8,E238),INDEX('Route Data'!$L$7:$L$8,E238)*2*PI()/60,INDEX('Route Data'!$F$7:$F$8,E238))</f>
        <v>0.19430699130049439</v>
      </c>
      <c r="I238" s="5">
        <f>DischargeCoeff(INDEX('Route Data'!$I$7:$I$8,E238), INDEX('Route Data'!$L$7:$L$8,E238)*2*PI()/60, INDEX('Route Data'!$F$7:$F$8,E238))</f>
        <v>0.15939200179827354</v>
      </c>
      <c r="J238" s="8">
        <f>FlowAngleRel(INDEX('Route Data'!$J$7:$J$8,E238)*INDEX('Route Data'!$I$7:$I$8,E238), INDEX('Route Data'!$L$7:$L$8,E238)*2*PI()/60, INDEX('Route Data'!$F$7:$F$8,E238),INDEX('Route Data'!$O$7:$O$8,E238), INDEX('Route Data'!$P$7:$P$8,E238),INDEX('Route Data'!$M$7:$M$8,E238))</f>
        <v>1.130811765868994</v>
      </c>
      <c r="K238" s="8">
        <f>FlowAngleAbsT(INDEX('Route Data'!$K$7:$K$8,E238), INDEX('Route Data'!$I$7:$I$8,E238), INDEX('Route Data'!$I$7:$I$8,E238)*INDEX('Route Data'!$J$7:$J$8,E238), INDEX('Route Data'!$L$7:$L$8,E238)*2*PI()/60, INDEX('Route Data'!$F$7:$F$8,E238),INDEX('Route Data'!$O$7:$O$8,E238), INDEX('Route Data'!$P$7:$P$8,E238), INDEX('Route Data'!$H$7:$H$8,E238), INDEX('Route Data'!$Q$7:$Q$8,E238), INDEX('Route Data'!$M$7:$M$8,E238))</f>
        <v>0.51617226640175828</v>
      </c>
      <c r="L238" s="5">
        <f>INDEX('Route Data'!$N$7:$N$8,E238)</f>
        <v>0.4</v>
      </c>
      <c r="M238" s="8">
        <v>0.2174222469329834</v>
      </c>
      <c r="N238" s="8">
        <f>ProbStrikeFrancis(K238, I238, L238, INDEX('Route Data'!$G$7:$G$8,E238),C238, INDEX('Route Data'!$F$7:$F$8,E238), INDEX('Route Data'!$O$7:$O$8,E238), INDEX('Route Data'!$H$7:$H$18,E238))</f>
        <v>1</v>
      </c>
      <c r="O238" s="5" t="str">
        <f>IF(F238&gt;=1,IF(M238&lt;=N238,"STRIKE","pass"),IF(M238&lt;=INDEX('Route Data'!$R$7:$R$8,E238),"NO PASS","pass"))</f>
        <v>STRIKE</v>
      </c>
      <c r="P238" s="5">
        <f>IF(F238&gt;=1,IF(M238&lt;=N238,1,0),IF(M238&lt;=INDEX('Route Data'!$R$7:$R$8,E238),-1,0))</f>
        <v>1</v>
      </c>
    </row>
    <row r="239" spans="1:16">
      <c r="A239" s="5">
        <v>229</v>
      </c>
      <c r="B239" s="12">
        <v>17.53</v>
      </c>
      <c r="C239" s="12">
        <f t="shared" si="3"/>
        <v>1.46</v>
      </c>
      <c r="D239" s="8">
        <v>0.29259151220321655</v>
      </c>
      <c r="E239" s="5">
        <f>MATCH(D239,'Route Data'!$C$7:$C$8,1)</f>
        <v>2</v>
      </c>
      <c r="F239" s="5">
        <f>INDEX('Route Data'!$D$7:$D$8,E239)</f>
        <v>1</v>
      </c>
      <c r="G239" s="5" t="str">
        <f>INDEX('Route Data'!$A$7:$A$8,E239)</f>
        <v>u18</v>
      </c>
      <c r="H239" s="5">
        <f>EnergyCoeff(INDEX('Route Data'!$K$7:$K$8,E239),INDEX('Route Data'!$L$7:$L$8,E239)*2*PI()/60,INDEX('Route Data'!$F$7:$F$8,E239))</f>
        <v>0.19430699130049439</v>
      </c>
      <c r="I239" s="5">
        <f>DischargeCoeff(INDEX('Route Data'!$I$7:$I$8,E239), INDEX('Route Data'!$L$7:$L$8,E239)*2*PI()/60, INDEX('Route Data'!$F$7:$F$8,E239))</f>
        <v>0.15939200179827354</v>
      </c>
      <c r="J239" s="8">
        <f>FlowAngleRel(INDEX('Route Data'!$J$7:$J$8,E239)*INDEX('Route Data'!$I$7:$I$8,E239), INDEX('Route Data'!$L$7:$L$8,E239)*2*PI()/60, INDEX('Route Data'!$F$7:$F$8,E239),INDEX('Route Data'!$O$7:$O$8,E239), INDEX('Route Data'!$P$7:$P$8,E239),INDEX('Route Data'!$M$7:$M$8,E239))</f>
        <v>1.130811765868994</v>
      </c>
      <c r="K239" s="8">
        <f>FlowAngleAbsT(INDEX('Route Data'!$K$7:$K$8,E239), INDEX('Route Data'!$I$7:$I$8,E239), INDEX('Route Data'!$I$7:$I$8,E239)*INDEX('Route Data'!$J$7:$J$8,E239), INDEX('Route Data'!$L$7:$L$8,E239)*2*PI()/60, INDEX('Route Data'!$F$7:$F$8,E239),INDEX('Route Data'!$O$7:$O$8,E239), INDEX('Route Data'!$P$7:$P$8,E239), INDEX('Route Data'!$H$7:$H$8,E239), INDEX('Route Data'!$Q$7:$Q$8,E239), INDEX('Route Data'!$M$7:$M$8,E239))</f>
        <v>0.51617226640175828</v>
      </c>
      <c r="L239" s="5">
        <f>INDEX('Route Data'!$N$7:$N$8,E239)</f>
        <v>0.4</v>
      </c>
      <c r="M239" s="8">
        <v>5.7202279567718506E-2</v>
      </c>
      <c r="N239" s="8">
        <f>ProbStrikeFrancis(K239, I239, L239, INDEX('Route Data'!$G$7:$G$8,E239),C239, INDEX('Route Data'!$F$7:$F$8,E239), INDEX('Route Data'!$O$7:$O$8,E239), INDEX('Route Data'!$H$7:$H$18,E239))</f>
        <v>1</v>
      </c>
      <c r="O239" s="5" t="str">
        <f>IF(F239&gt;=1,IF(M239&lt;=N239,"STRIKE","pass"),IF(M239&lt;=INDEX('Route Data'!$R$7:$R$8,E239),"NO PASS","pass"))</f>
        <v>STRIKE</v>
      </c>
      <c r="P239" s="5">
        <f>IF(F239&gt;=1,IF(M239&lt;=N239,1,0),IF(M239&lt;=INDEX('Route Data'!$R$7:$R$8,E239),-1,0))</f>
        <v>1</v>
      </c>
    </row>
    <row r="240" spans="1:16">
      <c r="A240" s="5">
        <v>230</v>
      </c>
      <c r="B240" s="12">
        <v>25.68</v>
      </c>
      <c r="C240" s="12">
        <f t="shared" si="3"/>
        <v>2.14</v>
      </c>
      <c r="D240" s="8">
        <v>0.79865920543670654</v>
      </c>
      <c r="E240" s="5">
        <f>MATCH(D240,'Route Data'!$C$7:$C$8,1)</f>
        <v>2</v>
      </c>
      <c r="F240" s="5">
        <f>INDEX('Route Data'!$D$7:$D$8,E240)</f>
        <v>1</v>
      </c>
      <c r="G240" s="5" t="str">
        <f>INDEX('Route Data'!$A$7:$A$8,E240)</f>
        <v>u18</v>
      </c>
      <c r="H240" s="5">
        <f>EnergyCoeff(INDEX('Route Data'!$K$7:$K$8,E240),INDEX('Route Data'!$L$7:$L$8,E240)*2*PI()/60,INDEX('Route Data'!$F$7:$F$8,E240))</f>
        <v>0.19430699130049439</v>
      </c>
      <c r="I240" s="5">
        <f>DischargeCoeff(INDEX('Route Data'!$I$7:$I$8,E240), INDEX('Route Data'!$L$7:$L$8,E240)*2*PI()/60, INDEX('Route Data'!$F$7:$F$8,E240))</f>
        <v>0.15939200179827354</v>
      </c>
      <c r="J240" s="8">
        <f>FlowAngleRel(INDEX('Route Data'!$J$7:$J$8,E240)*INDEX('Route Data'!$I$7:$I$8,E240), INDEX('Route Data'!$L$7:$L$8,E240)*2*PI()/60, INDEX('Route Data'!$F$7:$F$8,E240),INDEX('Route Data'!$O$7:$O$8,E240), INDEX('Route Data'!$P$7:$P$8,E240),INDEX('Route Data'!$M$7:$M$8,E240))</f>
        <v>1.130811765868994</v>
      </c>
      <c r="K240" s="8">
        <f>FlowAngleAbsT(INDEX('Route Data'!$K$7:$K$8,E240), INDEX('Route Data'!$I$7:$I$8,E240), INDEX('Route Data'!$I$7:$I$8,E240)*INDEX('Route Data'!$J$7:$J$8,E240), INDEX('Route Data'!$L$7:$L$8,E240)*2*PI()/60, INDEX('Route Data'!$F$7:$F$8,E240),INDEX('Route Data'!$O$7:$O$8,E240), INDEX('Route Data'!$P$7:$P$8,E240), INDEX('Route Data'!$H$7:$H$8,E240), INDEX('Route Data'!$Q$7:$Q$8,E240), INDEX('Route Data'!$M$7:$M$8,E240))</f>
        <v>0.51617226640175828</v>
      </c>
      <c r="L240" s="5">
        <f>INDEX('Route Data'!$N$7:$N$8,E240)</f>
        <v>0.4</v>
      </c>
      <c r="M240" s="8">
        <v>0.53786218166351318</v>
      </c>
      <c r="N240" s="8">
        <f>ProbStrikeFrancis(K240, I240, L240, INDEX('Route Data'!$G$7:$G$8,E240),C240, INDEX('Route Data'!$F$7:$F$8,E240), INDEX('Route Data'!$O$7:$O$8,E240), INDEX('Route Data'!$H$7:$H$18,E240))</f>
        <v>1</v>
      </c>
      <c r="O240" s="5" t="str">
        <f>IF(F240&gt;=1,IF(M240&lt;=N240,"STRIKE","pass"),IF(M240&lt;=INDEX('Route Data'!$R$7:$R$8,E240),"NO PASS","pass"))</f>
        <v>STRIKE</v>
      </c>
      <c r="P240" s="5">
        <f>IF(F240&gt;=1,IF(M240&lt;=N240,1,0),IF(M240&lt;=INDEX('Route Data'!$R$7:$R$8,E240),-1,0))</f>
        <v>1</v>
      </c>
    </row>
    <row r="241" spans="1:16">
      <c r="A241" s="5">
        <v>231</v>
      </c>
      <c r="B241" s="12">
        <v>22.12</v>
      </c>
      <c r="C241" s="12">
        <f t="shared" si="3"/>
        <v>1.84</v>
      </c>
      <c r="D241" s="8">
        <v>1.4876902103424072E-2</v>
      </c>
      <c r="E241" s="5">
        <f>MATCH(D241,'Route Data'!$C$7:$C$8,1)</f>
        <v>2</v>
      </c>
      <c r="F241" s="5">
        <f>INDEX('Route Data'!$D$7:$D$8,E241)</f>
        <v>1</v>
      </c>
      <c r="G241" s="5" t="str">
        <f>INDEX('Route Data'!$A$7:$A$8,E241)</f>
        <v>u18</v>
      </c>
      <c r="H241" s="5">
        <f>EnergyCoeff(INDEX('Route Data'!$K$7:$K$8,E241),INDEX('Route Data'!$L$7:$L$8,E241)*2*PI()/60,INDEX('Route Data'!$F$7:$F$8,E241))</f>
        <v>0.19430699130049439</v>
      </c>
      <c r="I241" s="5">
        <f>DischargeCoeff(INDEX('Route Data'!$I$7:$I$8,E241), INDEX('Route Data'!$L$7:$L$8,E241)*2*PI()/60, INDEX('Route Data'!$F$7:$F$8,E241))</f>
        <v>0.15939200179827354</v>
      </c>
      <c r="J241" s="8">
        <f>FlowAngleRel(INDEX('Route Data'!$J$7:$J$8,E241)*INDEX('Route Data'!$I$7:$I$8,E241), INDEX('Route Data'!$L$7:$L$8,E241)*2*PI()/60, INDEX('Route Data'!$F$7:$F$8,E241),INDEX('Route Data'!$O$7:$O$8,E241), INDEX('Route Data'!$P$7:$P$8,E241),INDEX('Route Data'!$M$7:$M$8,E241))</f>
        <v>1.130811765868994</v>
      </c>
      <c r="K241" s="8">
        <f>FlowAngleAbsT(INDEX('Route Data'!$K$7:$K$8,E241), INDEX('Route Data'!$I$7:$I$8,E241), INDEX('Route Data'!$I$7:$I$8,E241)*INDEX('Route Data'!$J$7:$J$8,E241), INDEX('Route Data'!$L$7:$L$8,E241)*2*PI()/60, INDEX('Route Data'!$F$7:$F$8,E241),INDEX('Route Data'!$O$7:$O$8,E241), INDEX('Route Data'!$P$7:$P$8,E241), INDEX('Route Data'!$H$7:$H$8,E241), INDEX('Route Data'!$Q$7:$Q$8,E241), INDEX('Route Data'!$M$7:$M$8,E241))</f>
        <v>0.51617226640175828</v>
      </c>
      <c r="L241" s="5">
        <f>INDEX('Route Data'!$N$7:$N$8,E241)</f>
        <v>0.4</v>
      </c>
      <c r="M241" s="8">
        <v>0.83030325174331665</v>
      </c>
      <c r="N241" s="8">
        <f>ProbStrikeFrancis(K241, I241, L241, INDEX('Route Data'!$G$7:$G$8,E241),C241, INDEX('Route Data'!$F$7:$F$8,E241), INDEX('Route Data'!$O$7:$O$8,E241), INDEX('Route Data'!$H$7:$H$18,E241))</f>
        <v>1</v>
      </c>
      <c r="O241" s="5" t="str">
        <f>IF(F241&gt;=1,IF(M241&lt;=N241,"STRIKE","pass"),IF(M241&lt;=INDEX('Route Data'!$R$7:$R$8,E241),"NO PASS","pass"))</f>
        <v>STRIKE</v>
      </c>
      <c r="P241" s="5">
        <f>IF(F241&gt;=1,IF(M241&lt;=N241,1,0),IF(M241&lt;=INDEX('Route Data'!$R$7:$R$8,E241),-1,0))</f>
        <v>1</v>
      </c>
    </row>
    <row r="242" spans="1:16">
      <c r="A242" s="5">
        <v>232</v>
      </c>
      <c r="B242" s="12">
        <v>21.39</v>
      </c>
      <c r="C242" s="12">
        <f t="shared" si="3"/>
        <v>1.78</v>
      </c>
      <c r="D242" s="8">
        <v>0.89738225936889648</v>
      </c>
      <c r="E242" s="5">
        <f>MATCH(D242,'Route Data'!$C$7:$C$8,1)</f>
        <v>2</v>
      </c>
      <c r="F242" s="5">
        <f>INDEX('Route Data'!$D$7:$D$8,E242)</f>
        <v>1</v>
      </c>
      <c r="G242" s="5" t="str">
        <f>INDEX('Route Data'!$A$7:$A$8,E242)</f>
        <v>u18</v>
      </c>
      <c r="H242" s="5">
        <f>EnergyCoeff(INDEX('Route Data'!$K$7:$K$8,E242),INDEX('Route Data'!$L$7:$L$8,E242)*2*PI()/60,INDEX('Route Data'!$F$7:$F$8,E242))</f>
        <v>0.19430699130049439</v>
      </c>
      <c r="I242" s="5">
        <f>DischargeCoeff(INDEX('Route Data'!$I$7:$I$8,E242), INDEX('Route Data'!$L$7:$L$8,E242)*2*PI()/60, INDEX('Route Data'!$F$7:$F$8,E242))</f>
        <v>0.15939200179827354</v>
      </c>
      <c r="J242" s="8">
        <f>FlowAngleRel(INDEX('Route Data'!$J$7:$J$8,E242)*INDEX('Route Data'!$I$7:$I$8,E242), INDEX('Route Data'!$L$7:$L$8,E242)*2*PI()/60, INDEX('Route Data'!$F$7:$F$8,E242),INDEX('Route Data'!$O$7:$O$8,E242), INDEX('Route Data'!$P$7:$P$8,E242),INDEX('Route Data'!$M$7:$M$8,E242))</f>
        <v>1.130811765868994</v>
      </c>
      <c r="K242" s="8">
        <f>FlowAngleAbsT(INDEX('Route Data'!$K$7:$K$8,E242), INDEX('Route Data'!$I$7:$I$8,E242), INDEX('Route Data'!$I$7:$I$8,E242)*INDEX('Route Data'!$J$7:$J$8,E242), INDEX('Route Data'!$L$7:$L$8,E242)*2*PI()/60, INDEX('Route Data'!$F$7:$F$8,E242),INDEX('Route Data'!$O$7:$O$8,E242), INDEX('Route Data'!$P$7:$P$8,E242), INDEX('Route Data'!$H$7:$H$8,E242), INDEX('Route Data'!$Q$7:$Q$8,E242), INDEX('Route Data'!$M$7:$M$8,E242))</f>
        <v>0.51617226640175828</v>
      </c>
      <c r="L242" s="5">
        <f>INDEX('Route Data'!$N$7:$N$8,E242)</f>
        <v>0.4</v>
      </c>
      <c r="M242" s="8">
        <v>0.68740081787109375</v>
      </c>
      <c r="N242" s="8">
        <f>ProbStrikeFrancis(K242, I242, L242, INDEX('Route Data'!$G$7:$G$8,E242),C242, INDEX('Route Data'!$F$7:$F$8,E242), INDEX('Route Data'!$O$7:$O$8,E242), INDEX('Route Data'!$H$7:$H$18,E242))</f>
        <v>1</v>
      </c>
      <c r="O242" s="5" t="str">
        <f>IF(F242&gt;=1,IF(M242&lt;=N242,"STRIKE","pass"),IF(M242&lt;=INDEX('Route Data'!$R$7:$R$8,E242),"NO PASS","pass"))</f>
        <v>STRIKE</v>
      </c>
      <c r="P242" s="5">
        <f>IF(F242&gt;=1,IF(M242&lt;=N242,1,0),IF(M242&lt;=INDEX('Route Data'!$R$7:$R$8,E242),-1,0))</f>
        <v>1</v>
      </c>
    </row>
    <row r="243" spans="1:16">
      <c r="A243" s="5">
        <v>233</v>
      </c>
      <c r="B243" s="12">
        <v>21.47</v>
      </c>
      <c r="C243" s="12">
        <f t="shared" si="3"/>
        <v>1.79</v>
      </c>
      <c r="D243" s="8">
        <v>0.24986618757247925</v>
      </c>
      <c r="E243" s="5">
        <f>MATCH(D243,'Route Data'!$C$7:$C$8,1)</f>
        <v>2</v>
      </c>
      <c r="F243" s="5">
        <f>INDEX('Route Data'!$D$7:$D$8,E243)</f>
        <v>1</v>
      </c>
      <c r="G243" s="5" t="str">
        <f>INDEX('Route Data'!$A$7:$A$8,E243)</f>
        <v>u18</v>
      </c>
      <c r="H243" s="5">
        <f>EnergyCoeff(INDEX('Route Data'!$K$7:$K$8,E243),INDEX('Route Data'!$L$7:$L$8,E243)*2*PI()/60,INDEX('Route Data'!$F$7:$F$8,E243))</f>
        <v>0.19430699130049439</v>
      </c>
      <c r="I243" s="5">
        <f>DischargeCoeff(INDEX('Route Data'!$I$7:$I$8,E243), INDEX('Route Data'!$L$7:$L$8,E243)*2*PI()/60, INDEX('Route Data'!$F$7:$F$8,E243))</f>
        <v>0.15939200179827354</v>
      </c>
      <c r="J243" s="8">
        <f>FlowAngleRel(INDEX('Route Data'!$J$7:$J$8,E243)*INDEX('Route Data'!$I$7:$I$8,E243), INDEX('Route Data'!$L$7:$L$8,E243)*2*PI()/60, INDEX('Route Data'!$F$7:$F$8,E243),INDEX('Route Data'!$O$7:$O$8,E243), INDEX('Route Data'!$P$7:$P$8,E243),INDEX('Route Data'!$M$7:$M$8,E243))</f>
        <v>1.130811765868994</v>
      </c>
      <c r="K243" s="8">
        <f>FlowAngleAbsT(INDEX('Route Data'!$K$7:$K$8,E243), INDEX('Route Data'!$I$7:$I$8,E243), INDEX('Route Data'!$I$7:$I$8,E243)*INDEX('Route Data'!$J$7:$J$8,E243), INDEX('Route Data'!$L$7:$L$8,E243)*2*PI()/60, INDEX('Route Data'!$F$7:$F$8,E243),INDEX('Route Data'!$O$7:$O$8,E243), INDEX('Route Data'!$P$7:$P$8,E243), INDEX('Route Data'!$H$7:$H$8,E243), INDEX('Route Data'!$Q$7:$Q$8,E243), INDEX('Route Data'!$M$7:$M$8,E243))</f>
        <v>0.51617226640175828</v>
      </c>
      <c r="L243" s="5">
        <f>INDEX('Route Data'!$N$7:$N$8,E243)</f>
        <v>0.4</v>
      </c>
      <c r="M243" s="8">
        <v>0.38168734312057495</v>
      </c>
      <c r="N243" s="8">
        <f>ProbStrikeFrancis(K243, I243, L243, INDEX('Route Data'!$G$7:$G$8,E243),C243, INDEX('Route Data'!$F$7:$F$8,E243), INDEX('Route Data'!$O$7:$O$8,E243), INDEX('Route Data'!$H$7:$H$18,E243))</f>
        <v>1</v>
      </c>
      <c r="O243" s="5" t="str">
        <f>IF(F243&gt;=1,IF(M243&lt;=N243,"STRIKE","pass"),IF(M243&lt;=INDEX('Route Data'!$R$7:$R$8,E243),"NO PASS","pass"))</f>
        <v>STRIKE</v>
      </c>
      <c r="P243" s="5">
        <f>IF(F243&gt;=1,IF(M243&lt;=N243,1,0),IF(M243&lt;=INDEX('Route Data'!$R$7:$R$8,E243),-1,0))</f>
        <v>1</v>
      </c>
    </row>
    <row r="244" spans="1:16">
      <c r="A244" s="5">
        <v>234</v>
      </c>
      <c r="B244" s="12">
        <v>21.21</v>
      </c>
      <c r="C244" s="12">
        <f t="shared" si="3"/>
        <v>1.77</v>
      </c>
      <c r="D244" s="8">
        <v>0.92683517932891846</v>
      </c>
      <c r="E244" s="5">
        <f>MATCH(D244,'Route Data'!$C$7:$C$8,1)</f>
        <v>2</v>
      </c>
      <c r="F244" s="5">
        <f>INDEX('Route Data'!$D$7:$D$8,E244)</f>
        <v>1</v>
      </c>
      <c r="G244" s="5" t="str">
        <f>INDEX('Route Data'!$A$7:$A$8,E244)</f>
        <v>u18</v>
      </c>
      <c r="H244" s="5">
        <f>EnergyCoeff(INDEX('Route Data'!$K$7:$K$8,E244),INDEX('Route Data'!$L$7:$L$8,E244)*2*PI()/60,INDEX('Route Data'!$F$7:$F$8,E244))</f>
        <v>0.19430699130049439</v>
      </c>
      <c r="I244" s="5">
        <f>DischargeCoeff(INDEX('Route Data'!$I$7:$I$8,E244), INDEX('Route Data'!$L$7:$L$8,E244)*2*PI()/60, INDEX('Route Data'!$F$7:$F$8,E244))</f>
        <v>0.15939200179827354</v>
      </c>
      <c r="J244" s="8">
        <f>FlowAngleRel(INDEX('Route Data'!$J$7:$J$8,E244)*INDEX('Route Data'!$I$7:$I$8,E244), INDEX('Route Data'!$L$7:$L$8,E244)*2*PI()/60, INDEX('Route Data'!$F$7:$F$8,E244),INDEX('Route Data'!$O$7:$O$8,E244), INDEX('Route Data'!$P$7:$P$8,E244),INDEX('Route Data'!$M$7:$M$8,E244))</f>
        <v>1.130811765868994</v>
      </c>
      <c r="K244" s="8">
        <f>FlowAngleAbsT(INDEX('Route Data'!$K$7:$K$8,E244), INDEX('Route Data'!$I$7:$I$8,E244), INDEX('Route Data'!$I$7:$I$8,E244)*INDEX('Route Data'!$J$7:$J$8,E244), INDEX('Route Data'!$L$7:$L$8,E244)*2*PI()/60, INDEX('Route Data'!$F$7:$F$8,E244),INDEX('Route Data'!$O$7:$O$8,E244), INDEX('Route Data'!$P$7:$P$8,E244), INDEX('Route Data'!$H$7:$H$8,E244), INDEX('Route Data'!$Q$7:$Q$8,E244), INDEX('Route Data'!$M$7:$M$8,E244))</f>
        <v>0.51617226640175828</v>
      </c>
      <c r="L244" s="5">
        <f>INDEX('Route Data'!$N$7:$N$8,E244)</f>
        <v>0.4</v>
      </c>
      <c r="M244" s="8">
        <v>3.3248543739318848E-2</v>
      </c>
      <c r="N244" s="8">
        <f>ProbStrikeFrancis(K244, I244, L244, INDEX('Route Data'!$G$7:$G$8,E244),C244, INDEX('Route Data'!$F$7:$F$8,E244), INDEX('Route Data'!$O$7:$O$8,E244), INDEX('Route Data'!$H$7:$H$18,E244))</f>
        <v>1</v>
      </c>
      <c r="O244" s="5" t="str">
        <f>IF(F244&gt;=1,IF(M244&lt;=N244,"STRIKE","pass"),IF(M244&lt;=INDEX('Route Data'!$R$7:$R$8,E244),"NO PASS","pass"))</f>
        <v>STRIKE</v>
      </c>
      <c r="P244" s="5">
        <f>IF(F244&gt;=1,IF(M244&lt;=N244,1,0),IF(M244&lt;=INDEX('Route Data'!$R$7:$R$8,E244),-1,0))</f>
        <v>1</v>
      </c>
    </row>
    <row r="245" spans="1:16">
      <c r="A245" s="5">
        <v>235</v>
      </c>
      <c r="B245" s="12">
        <v>21.99</v>
      </c>
      <c r="C245" s="12">
        <f t="shared" si="3"/>
        <v>1.83</v>
      </c>
      <c r="D245" s="8">
        <v>0.36476975679397583</v>
      </c>
      <c r="E245" s="5">
        <f>MATCH(D245,'Route Data'!$C$7:$C$8,1)</f>
        <v>2</v>
      </c>
      <c r="F245" s="5">
        <f>INDEX('Route Data'!$D$7:$D$8,E245)</f>
        <v>1</v>
      </c>
      <c r="G245" s="5" t="str">
        <f>INDEX('Route Data'!$A$7:$A$8,E245)</f>
        <v>u18</v>
      </c>
      <c r="H245" s="5">
        <f>EnergyCoeff(INDEX('Route Data'!$K$7:$K$8,E245),INDEX('Route Data'!$L$7:$L$8,E245)*2*PI()/60,INDEX('Route Data'!$F$7:$F$8,E245))</f>
        <v>0.19430699130049439</v>
      </c>
      <c r="I245" s="5">
        <f>DischargeCoeff(INDEX('Route Data'!$I$7:$I$8,E245), INDEX('Route Data'!$L$7:$L$8,E245)*2*PI()/60, INDEX('Route Data'!$F$7:$F$8,E245))</f>
        <v>0.15939200179827354</v>
      </c>
      <c r="J245" s="8">
        <f>FlowAngleRel(INDEX('Route Data'!$J$7:$J$8,E245)*INDEX('Route Data'!$I$7:$I$8,E245), INDEX('Route Data'!$L$7:$L$8,E245)*2*PI()/60, INDEX('Route Data'!$F$7:$F$8,E245),INDEX('Route Data'!$O$7:$O$8,E245), INDEX('Route Data'!$P$7:$P$8,E245),INDEX('Route Data'!$M$7:$M$8,E245))</f>
        <v>1.130811765868994</v>
      </c>
      <c r="K245" s="8">
        <f>FlowAngleAbsT(INDEX('Route Data'!$K$7:$K$8,E245), INDEX('Route Data'!$I$7:$I$8,E245), INDEX('Route Data'!$I$7:$I$8,E245)*INDEX('Route Data'!$J$7:$J$8,E245), INDEX('Route Data'!$L$7:$L$8,E245)*2*PI()/60, INDEX('Route Data'!$F$7:$F$8,E245),INDEX('Route Data'!$O$7:$O$8,E245), INDEX('Route Data'!$P$7:$P$8,E245), INDEX('Route Data'!$H$7:$H$8,E245), INDEX('Route Data'!$Q$7:$Q$8,E245), INDEX('Route Data'!$M$7:$M$8,E245))</f>
        <v>0.51617226640175828</v>
      </c>
      <c r="L245" s="5">
        <f>INDEX('Route Data'!$N$7:$N$8,E245)</f>
        <v>0.4</v>
      </c>
      <c r="M245" s="8">
        <v>7.8564941883087158E-2</v>
      </c>
      <c r="N245" s="8">
        <f>ProbStrikeFrancis(K245, I245, L245, INDEX('Route Data'!$G$7:$G$8,E245),C245, INDEX('Route Data'!$F$7:$F$8,E245), INDEX('Route Data'!$O$7:$O$8,E245), INDEX('Route Data'!$H$7:$H$18,E245))</f>
        <v>1</v>
      </c>
      <c r="O245" s="5" t="str">
        <f>IF(F245&gt;=1,IF(M245&lt;=N245,"STRIKE","pass"),IF(M245&lt;=INDEX('Route Data'!$R$7:$R$8,E245),"NO PASS","pass"))</f>
        <v>STRIKE</v>
      </c>
      <c r="P245" s="5">
        <f>IF(F245&gt;=1,IF(M245&lt;=N245,1,0),IF(M245&lt;=INDEX('Route Data'!$R$7:$R$8,E245),-1,0))</f>
        <v>1</v>
      </c>
    </row>
    <row r="246" spans="1:16">
      <c r="A246" s="5">
        <v>236</v>
      </c>
      <c r="B246" s="12">
        <v>19.3</v>
      </c>
      <c r="C246" s="12">
        <f t="shared" si="3"/>
        <v>1.61</v>
      </c>
      <c r="D246" s="8">
        <v>5.0966024398803711E-2</v>
      </c>
      <c r="E246" s="5">
        <f>MATCH(D246,'Route Data'!$C$7:$C$8,1)</f>
        <v>2</v>
      </c>
      <c r="F246" s="5">
        <f>INDEX('Route Data'!$D$7:$D$8,E246)</f>
        <v>1</v>
      </c>
      <c r="G246" s="5" t="str">
        <f>INDEX('Route Data'!$A$7:$A$8,E246)</f>
        <v>u18</v>
      </c>
      <c r="H246" s="5">
        <f>EnergyCoeff(INDEX('Route Data'!$K$7:$K$8,E246),INDEX('Route Data'!$L$7:$L$8,E246)*2*PI()/60,INDEX('Route Data'!$F$7:$F$8,E246))</f>
        <v>0.19430699130049439</v>
      </c>
      <c r="I246" s="5">
        <f>DischargeCoeff(INDEX('Route Data'!$I$7:$I$8,E246), INDEX('Route Data'!$L$7:$L$8,E246)*2*PI()/60, INDEX('Route Data'!$F$7:$F$8,E246))</f>
        <v>0.15939200179827354</v>
      </c>
      <c r="J246" s="8">
        <f>FlowAngleRel(INDEX('Route Data'!$J$7:$J$8,E246)*INDEX('Route Data'!$I$7:$I$8,E246), INDEX('Route Data'!$L$7:$L$8,E246)*2*PI()/60, INDEX('Route Data'!$F$7:$F$8,E246),INDEX('Route Data'!$O$7:$O$8,E246), INDEX('Route Data'!$P$7:$P$8,E246),INDEX('Route Data'!$M$7:$M$8,E246))</f>
        <v>1.130811765868994</v>
      </c>
      <c r="K246" s="8">
        <f>FlowAngleAbsT(INDEX('Route Data'!$K$7:$K$8,E246), INDEX('Route Data'!$I$7:$I$8,E246), INDEX('Route Data'!$I$7:$I$8,E246)*INDEX('Route Data'!$J$7:$J$8,E246), INDEX('Route Data'!$L$7:$L$8,E246)*2*PI()/60, INDEX('Route Data'!$F$7:$F$8,E246),INDEX('Route Data'!$O$7:$O$8,E246), INDEX('Route Data'!$P$7:$P$8,E246), INDEX('Route Data'!$H$7:$H$8,E246), INDEX('Route Data'!$Q$7:$Q$8,E246), INDEX('Route Data'!$M$7:$M$8,E246))</f>
        <v>0.51617226640175828</v>
      </c>
      <c r="L246" s="5">
        <f>INDEX('Route Data'!$N$7:$N$8,E246)</f>
        <v>0.4</v>
      </c>
      <c r="M246" s="8">
        <v>0.47377419471740723</v>
      </c>
      <c r="N246" s="8">
        <f>ProbStrikeFrancis(K246, I246, L246, INDEX('Route Data'!$G$7:$G$8,E246),C246, INDEX('Route Data'!$F$7:$F$8,E246), INDEX('Route Data'!$O$7:$O$8,E246), INDEX('Route Data'!$H$7:$H$18,E246))</f>
        <v>1</v>
      </c>
      <c r="O246" s="5" t="str">
        <f>IF(F246&gt;=1,IF(M246&lt;=N246,"STRIKE","pass"),IF(M246&lt;=INDEX('Route Data'!$R$7:$R$8,E246),"NO PASS","pass"))</f>
        <v>STRIKE</v>
      </c>
      <c r="P246" s="5">
        <f>IF(F246&gt;=1,IF(M246&lt;=N246,1,0),IF(M246&lt;=INDEX('Route Data'!$R$7:$R$8,E246),-1,0))</f>
        <v>1</v>
      </c>
    </row>
    <row r="247" spans="1:16">
      <c r="A247" s="5">
        <v>237</v>
      </c>
      <c r="B247" s="12">
        <v>20.68</v>
      </c>
      <c r="C247" s="12">
        <f t="shared" si="3"/>
        <v>1.72</v>
      </c>
      <c r="D247" s="8">
        <v>0.25795644521713257</v>
      </c>
      <c r="E247" s="5">
        <f>MATCH(D247,'Route Data'!$C$7:$C$8,1)</f>
        <v>2</v>
      </c>
      <c r="F247" s="5">
        <f>INDEX('Route Data'!$D$7:$D$8,E247)</f>
        <v>1</v>
      </c>
      <c r="G247" s="5" t="str">
        <f>INDEX('Route Data'!$A$7:$A$8,E247)</f>
        <v>u18</v>
      </c>
      <c r="H247" s="5">
        <f>EnergyCoeff(INDEX('Route Data'!$K$7:$K$8,E247),INDEX('Route Data'!$L$7:$L$8,E247)*2*PI()/60,INDEX('Route Data'!$F$7:$F$8,E247))</f>
        <v>0.19430699130049439</v>
      </c>
      <c r="I247" s="5">
        <f>DischargeCoeff(INDEX('Route Data'!$I$7:$I$8,E247), INDEX('Route Data'!$L$7:$L$8,E247)*2*PI()/60, INDEX('Route Data'!$F$7:$F$8,E247))</f>
        <v>0.15939200179827354</v>
      </c>
      <c r="J247" s="8">
        <f>FlowAngleRel(INDEX('Route Data'!$J$7:$J$8,E247)*INDEX('Route Data'!$I$7:$I$8,E247), INDEX('Route Data'!$L$7:$L$8,E247)*2*PI()/60, INDEX('Route Data'!$F$7:$F$8,E247),INDEX('Route Data'!$O$7:$O$8,E247), INDEX('Route Data'!$P$7:$P$8,E247),INDEX('Route Data'!$M$7:$M$8,E247))</f>
        <v>1.130811765868994</v>
      </c>
      <c r="K247" s="8">
        <f>FlowAngleAbsT(INDEX('Route Data'!$K$7:$K$8,E247), INDEX('Route Data'!$I$7:$I$8,E247), INDEX('Route Data'!$I$7:$I$8,E247)*INDEX('Route Data'!$J$7:$J$8,E247), INDEX('Route Data'!$L$7:$L$8,E247)*2*PI()/60, INDEX('Route Data'!$F$7:$F$8,E247),INDEX('Route Data'!$O$7:$O$8,E247), INDEX('Route Data'!$P$7:$P$8,E247), INDEX('Route Data'!$H$7:$H$8,E247), INDEX('Route Data'!$Q$7:$Q$8,E247), INDEX('Route Data'!$M$7:$M$8,E247))</f>
        <v>0.51617226640175828</v>
      </c>
      <c r="L247" s="5">
        <f>INDEX('Route Data'!$N$7:$N$8,E247)</f>
        <v>0.4</v>
      </c>
      <c r="M247" s="8">
        <v>2.2567212581634521E-2</v>
      </c>
      <c r="N247" s="8">
        <f>ProbStrikeFrancis(K247, I247, L247, INDEX('Route Data'!$G$7:$G$8,E247),C247, INDEX('Route Data'!$F$7:$F$8,E247), INDEX('Route Data'!$O$7:$O$8,E247), INDEX('Route Data'!$H$7:$H$18,E247))</f>
        <v>1</v>
      </c>
      <c r="O247" s="5" t="str">
        <f>IF(F247&gt;=1,IF(M247&lt;=N247,"STRIKE","pass"),IF(M247&lt;=INDEX('Route Data'!$R$7:$R$8,E247),"NO PASS","pass"))</f>
        <v>STRIKE</v>
      </c>
      <c r="P247" s="5">
        <f>IF(F247&gt;=1,IF(M247&lt;=N247,1,0),IF(M247&lt;=INDEX('Route Data'!$R$7:$R$8,E247),-1,0))</f>
        <v>1</v>
      </c>
    </row>
    <row r="248" spans="1:16">
      <c r="A248" s="5">
        <v>238</v>
      </c>
      <c r="B248" s="12">
        <v>21.84</v>
      </c>
      <c r="C248" s="12">
        <f t="shared" si="3"/>
        <v>1.82</v>
      </c>
      <c r="D248" s="8">
        <v>0.3714059591293335</v>
      </c>
      <c r="E248" s="5">
        <f>MATCH(D248,'Route Data'!$C$7:$C$8,1)</f>
        <v>2</v>
      </c>
      <c r="F248" s="5">
        <f>INDEX('Route Data'!$D$7:$D$8,E248)</f>
        <v>1</v>
      </c>
      <c r="G248" s="5" t="str">
        <f>INDEX('Route Data'!$A$7:$A$8,E248)</f>
        <v>u18</v>
      </c>
      <c r="H248" s="5">
        <f>EnergyCoeff(INDEX('Route Data'!$K$7:$K$8,E248),INDEX('Route Data'!$L$7:$L$8,E248)*2*PI()/60,INDEX('Route Data'!$F$7:$F$8,E248))</f>
        <v>0.19430699130049439</v>
      </c>
      <c r="I248" s="5">
        <f>DischargeCoeff(INDEX('Route Data'!$I$7:$I$8,E248), INDEX('Route Data'!$L$7:$L$8,E248)*2*PI()/60, INDEX('Route Data'!$F$7:$F$8,E248))</f>
        <v>0.15939200179827354</v>
      </c>
      <c r="J248" s="8">
        <f>FlowAngleRel(INDEX('Route Data'!$J$7:$J$8,E248)*INDEX('Route Data'!$I$7:$I$8,E248), INDEX('Route Data'!$L$7:$L$8,E248)*2*PI()/60, INDEX('Route Data'!$F$7:$F$8,E248),INDEX('Route Data'!$O$7:$O$8,E248), INDEX('Route Data'!$P$7:$P$8,E248),INDEX('Route Data'!$M$7:$M$8,E248))</f>
        <v>1.130811765868994</v>
      </c>
      <c r="K248" s="8">
        <f>FlowAngleAbsT(INDEX('Route Data'!$K$7:$K$8,E248), INDEX('Route Data'!$I$7:$I$8,E248), INDEX('Route Data'!$I$7:$I$8,E248)*INDEX('Route Data'!$J$7:$J$8,E248), INDEX('Route Data'!$L$7:$L$8,E248)*2*PI()/60, INDEX('Route Data'!$F$7:$F$8,E248),INDEX('Route Data'!$O$7:$O$8,E248), INDEX('Route Data'!$P$7:$P$8,E248), INDEX('Route Data'!$H$7:$H$8,E248), INDEX('Route Data'!$Q$7:$Q$8,E248), INDEX('Route Data'!$M$7:$M$8,E248))</f>
        <v>0.51617226640175828</v>
      </c>
      <c r="L248" s="5">
        <f>INDEX('Route Data'!$N$7:$N$8,E248)</f>
        <v>0.4</v>
      </c>
      <c r="M248" s="8">
        <v>0.11060893535614014</v>
      </c>
      <c r="N248" s="8">
        <f>ProbStrikeFrancis(K248, I248, L248, INDEX('Route Data'!$G$7:$G$8,E248),C248, INDEX('Route Data'!$F$7:$F$8,E248), INDEX('Route Data'!$O$7:$O$8,E248), INDEX('Route Data'!$H$7:$H$18,E248))</f>
        <v>1</v>
      </c>
      <c r="O248" s="5" t="str">
        <f>IF(F248&gt;=1,IF(M248&lt;=N248,"STRIKE","pass"),IF(M248&lt;=INDEX('Route Data'!$R$7:$R$8,E248),"NO PASS","pass"))</f>
        <v>STRIKE</v>
      </c>
      <c r="P248" s="5">
        <f>IF(F248&gt;=1,IF(M248&lt;=N248,1,0),IF(M248&lt;=INDEX('Route Data'!$R$7:$R$8,E248),-1,0))</f>
        <v>1</v>
      </c>
    </row>
    <row r="249" spans="1:16">
      <c r="A249" s="5">
        <v>239</v>
      </c>
      <c r="B249" s="12">
        <v>24.45</v>
      </c>
      <c r="C249" s="12">
        <f t="shared" si="3"/>
        <v>2.04</v>
      </c>
      <c r="D249" s="8">
        <v>0.29663664102554321</v>
      </c>
      <c r="E249" s="5">
        <f>MATCH(D249,'Route Data'!$C$7:$C$8,1)</f>
        <v>2</v>
      </c>
      <c r="F249" s="5">
        <f>INDEX('Route Data'!$D$7:$D$8,E249)</f>
        <v>1</v>
      </c>
      <c r="G249" s="5" t="str">
        <f>INDEX('Route Data'!$A$7:$A$8,E249)</f>
        <v>u18</v>
      </c>
      <c r="H249" s="5">
        <f>EnergyCoeff(INDEX('Route Data'!$K$7:$K$8,E249),INDEX('Route Data'!$L$7:$L$8,E249)*2*PI()/60,INDEX('Route Data'!$F$7:$F$8,E249))</f>
        <v>0.19430699130049439</v>
      </c>
      <c r="I249" s="5">
        <f>DischargeCoeff(INDEX('Route Data'!$I$7:$I$8,E249), INDEX('Route Data'!$L$7:$L$8,E249)*2*PI()/60, INDEX('Route Data'!$F$7:$F$8,E249))</f>
        <v>0.15939200179827354</v>
      </c>
      <c r="J249" s="8">
        <f>FlowAngleRel(INDEX('Route Data'!$J$7:$J$8,E249)*INDEX('Route Data'!$I$7:$I$8,E249), INDEX('Route Data'!$L$7:$L$8,E249)*2*PI()/60, INDEX('Route Data'!$F$7:$F$8,E249),INDEX('Route Data'!$O$7:$O$8,E249), INDEX('Route Data'!$P$7:$P$8,E249),INDEX('Route Data'!$M$7:$M$8,E249))</f>
        <v>1.130811765868994</v>
      </c>
      <c r="K249" s="8">
        <f>FlowAngleAbsT(INDEX('Route Data'!$K$7:$K$8,E249), INDEX('Route Data'!$I$7:$I$8,E249), INDEX('Route Data'!$I$7:$I$8,E249)*INDEX('Route Data'!$J$7:$J$8,E249), INDEX('Route Data'!$L$7:$L$8,E249)*2*PI()/60, INDEX('Route Data'!$F$7:$F$8,E249),INDEX('Route Data'!$O$7:$O$8,E249), INDEX('Route Data'!$P$7:$P$8,E249), INDEX('Route Data'!$H$7:$H$8,E249), INDEX('Route Data'!$Q$7:$Q$8,E249), INDEX('Route Data'!$M$7:$M$8,E249))</f>
        <v>0.51617226640175828</v>
      </c>
      <c r="L249" s="5">
        <f>INDEX('Route Data'!$N$7:$N$8,E249)</f>
        <v>0.4</v>
      </c>
      <c r="M249" s="8">
        <v>0.37764221429824829</v>
      </c>
      <c r="N249" s="8">
        <f>ProbStrikeFrancis(K249, I249, L249, INDEX('Route Data'!$G$7:$G$8,E249),C249, INDEX('Route Data'!$F$7:$F$8,E249), INDEX('Route Data'!$O$7:$O$8,E249), INDEX('Route Data'!$H$7:$H$18,E249))</f>
        <v>1</v>
      </c>
      <c r="O249" s="5" t="str">
        <f>IF(F249&gt;=1,IF(M249&lt;=N249,"STRIKE","pass"),IF(M249&lt;=INDEX('Route Data'!$R$7:$R$8,E249),"NO PASS","pass"))</f>
        <v>STRIKE</v>
      </c>
      <c r="P249" s="5">
        <f>IF(F249&gt;=1,IF(M249&lt;=N249,1,0),IF(M249&lt;=INDEX('Route Data'!$R$7:$R$8,E249),-1,0))</f>
        <v>1</v>
      </c>
    </row>
    <row r="250" spans="1:16">
      <c r="A250" s="5">
        <v>240</v>
      </c>
      <c r="B250" s="12">
        <v>20.420000000000002</v>
      </c>
      <c r="C250" s="12">
        <f t="shared" si="3"/>
        <v>1.7</v>
      </c>
      <c r="D250" s="8">
        <v>0.52094459533691406</v>
      </c>
      <c r="E250" s="5">
        <f>MATCH(D250,'Route Data'!$C$7:$C$8,1)</f>
        <v>2</v>
      </c>
      <c r="F250" s="5">
        <f>INDEX('Route Data'!$D$7:$D$8,E250)</f>
        <v>1</v>
      </c>
      <c r="G250" s="5" t="str">
        <f>INDEX('Route Data'!$A$7:$A$8,E250)</f>
        <v>u18</v>
      </c>
      <c r="H250" s="5">
        <f>EnergyCoeff(INDEX('Route Data'!$K$7:$K$8,E250),INDEX('Route Data'!$L$7:$L$8,E250)*2*PI()/60,INDEX('Route Data'!$F$7:$F$8,E250))</f>
        <v>0.19430699130049439</v>
      </c>
      <c r="I250" s="5">
        <f>DischargeCoeff(INDEX('Route Data'!$I$7:$I$8,E250), INDEX('Route Data'!$L$7:$L$8,E250)*2*PI()/60, INDEX('Route Data'!$F$7:$F$8,E250))</f>
        <v>0.15939200179827354</v>
      </c>
      <c r="J250" s="8">
        <f>FlowAngleRel(INDEX('Route Data'!$J$7:$J$8,E250)*INDEX('Route Data'!$I$7:$I$8,E250), INDEX('Route Data'!$L$7:$L$8,E250)*2*PI()/60, INDEX('Route Data'!$F$7:$F$8,E250),INDEX('Route Data'!$O$7:$O$8,E250), INDEX('Route Data'!$P$7:$P$8,E250),INDEX('Route Data'!$M$7:$M$8,E250))</f>
        <v>1.130811765868994</v>
      </c>
      <c r="K250" s="8">
        <f>FlowAngleAbsT(INDEX('Route Data'!$K$7:$K$8,E250), INDEX('Route Data'!$I$7:$I$8,E250), INDEX('Route Data'!$I$7:$I$8,E250)*INDEX('Route Data'!$J$7:$J$8,E250), INDEX('Route Data'!$L$7:$L$8,E250)*2*PI()/60, INDEX('Route Data'!$F$7:$F$8,E250),INDEX('Route Data'!$O$7:$O$8,E250), INDEX('Route Data'!$P$7:$P$8,E250), INDEX('Route Data'!$H$7:$H$8,E250), INDEX('Route Data'!$Q$7:$Q$8,E250), INDEX('Route Data'!$M$7:$M$8,E250))</f>
        <v>0.51617226640175828</v>
      </c>
      <c r="L250" s="5">
        <f>INDEX('Route Data'!$N$7:$N$8,E250)</f>
        <v>0.4</v>
      </c>
      <c r="M250" s="8">
        <v>0.31096315383911133</v>
      </c>
      <c r="N250" s="8">
        <f>ProbStrikeFrancis(K250, I250, L250, INDEX('Route Data'!$G$7:$G$8,E250),C250, INDEX('Route Data'!$F$7:$F$8,E250), INDEX('Route Data'!$O$7:$O$8,E250), INDEX('Route Data'!$H$7:$H$18,E250))</f>
        <v>1</v>
      </c>
      <c r="O250" s="5" t="str">
        <f>IF(F250&gt;=1,IF(M250&lt;=N250,"STRIKE","pass"),IF(M250&lt;=INDEX('Route Data'!$R$7:$R$8,E250),"NO PASS","pass"))</f>
        <v>STRIKE</v>
      </c>
      <c r="P250" s="5">
        <f>IF(F250&gt;=1,IF(M250&lt;=N250,1,0),IF(M250&lt;=INDEX('Route Data'!$R$7:$R$8,E250),-1,0))</f>
        <v>1</v>
      </c>
    </row>
    <row r="251" spans="1:16">
      <c r="A251" s="5">
        <v>241</v>
      </c>
      <c r="B251" s="12">
        <v>20.27</v>
      </c>
      <c r="C251" s="12">
        <f t="shared" si="3"/>
        <v>1.69</v>
      </c>
      <c r="D251" s="8">
        <v>0.84802073240280151</v>
      </c>
      <c r="E251" s="5">
        <f>MATCH(D251,'Route Data'!$C$7:$C$8,1)</f>
        <v>2</v>
      </c>
      <c r="F251" s="5">
        <f>INDEX('Route Data'!$D$7:$D$8,E251)</f>
        <v>1</v>
      </c>
      <c r="G251" s="5" t="str">
        <f>INDEX('Route Data'!$A$7:$A$8,E251)</f>
        <v>u18</v>
      </c>
      <c r="H251" s="5">
        <f>EnergyCoeff(INDEX('Route Data'!$K$7:$K$8,E251),INDEX('Route Data'!$L$7:$L$8,E251)*2*PI()/60,INDEX('Route Data'!$F$7:$F$8,E251))</f>
        <v>0.19430699130049439</v>
      </c>
      <c r="I251" s="5">
        <f>DischargeCoeff(INDEX('Route Data'!$I$7:$I$8,E251), INDEX('Route Data'!$L$7:$L$8,E251)*2*PI()/60, INDEX('Route Data'!$F$7:$F$8,E251))</f>
        <v>0.15939200179827354</v>
      </c>
      <c r="J251" s="8">
        <f>FlowAngleRel(INDEX('Route Data'!$J$7:$J$8,E251)*INDEX('Route Data'!$I$7:$I$8,E251), INDEX('Route Data'!$L$7:$L$8,E251)*2*PI()/60, INDEX('Route Data'!$F$7:$F$8,E251),INDEX('Route Data'!$O$7:$O$8,E251), INDEX('Route Data'!$P$7:$P$8,E251),INDEX('Route Data'!$M$7:$M$8,E251))</f>
        <v>1.130811765868994</v>
      </c>
      <c r="K251" s="8">
        <f>FlowAngleAbsT(INDEX('Route Data'!$K$7:$K$8,E251), INDEX('Route Data'!$I$7:$I$8,E251), INDEX('Route Data'!$I$7:$I$8,E251)*INDEX('Route Data'!$J$7:$J$8,E251), INDEX('Route Data'!$L$7:$L$8,E251)*2*PI()/60, INDEX('Route Data'!$F$7:$F$8,E251),INDEX('Route Data'!$O$7:$O$8,E251), INDEX('Route Data'!$P$7:$P$8,E251), INDEX('Route Data'!$H$7:$H$8,E251), INDEX('Route Data'!$Q$7:$Q$8,E251), INDEX('Route Data'!$M$7:$M$8,E251))</f>
        <v>0.51617226640175828</v>
      </c>
      <c r="L251" s="5">
        <f>INDEX('Route Data'!$N$7:$N$8,E251)</f>
        <v>0.4</v>
      </c>
      <c r="M251" s="8">
        <v>0.97984188795089722</v>
      </c>
      <c r="N251" s="8">
        <f>ProbStrikeFrancis(K251, I251, L251, INDEX('Route Data'!$G$7:$G$8,E251),C251, INDEX('Route Data'!$F$7:$F$8,E251), INDEX('Route Data'!$O$7:$O$8,E251), INDEX('Route Data'!$H$7:$H$18,E251))</f>
        <v>1</v>
      </c>
      <c r="O251" s="5" t="str">
        <f>IF(F251&gt;=1,IF(M251&lt;=N251,"STRIKE","pass"),IF(M251&lt;=INDEX('Route Data'!$R$7:$R$8,E251),"NO PASS","pass"))</f>
        <v>STRIKE</v>
      </c>
      <c r="P251" s="5">
        <f>IF(F251&gt;=1,IF(M251&lt;=N251,1,0),IF(M251&lt;=INDEX('Route Data'!$R$7:$R$8,E251),-1,0))</f>
        <v>1</v>
      </c>
    </row>
    <row r="252" spans="1:16">
      <c r="A252" s="5">
        <v>242</v>
      </c>
      <c r="B252" s="12">
        <v>22.84</v>
      </c>
      <c r="C252" s="12">
        <f t="shared" si="3"/>
        <v>1.9</v>
      </c>
      <c r="D252" s="8">
        <v>0.13237154483795166</v>
      </c>
      <c r="E252" s="5">
        <f>MATCH(D252,'Route Data'!$C$7:$C$8,1)</f>
        <v>2</v>
      </c>
      <c r="F252" s="5">
        <f>INDEX('Route Data'!$D$7:$D$8,E252)</f>
        <v>1</v>
      </c>
      <c r="G252" s="5" t="str">
        <f>INDEX('Route Data'!$A$7:$A$8,E252)</f>
        <v>u18</v>
      </c>
      <c r="H252" s="5">
        <f>EnergyCoeff(INDEX('Route Data'!$K$7:$K$8,E252),INDEX('Route Data'!$L$7:$L$8,E252)*2*PI()/60,INDEX('Route Data'!$F$7:$F$8,E252))</f>
        <v>0.19430699130049439</v>
      </c>
      <c r="I252" s="5">
        <f>DischargeCoeff(INDEX('Route Data'!$I$7:$I$8,E252), INDEX('Route Data'!$L$7:$L$8,E252)*2*PI()/60, INDEX('Route Data'!$F$7:$F$8,E252))</f>
        <v>0.15939200179827354</v>
      </c>
      <c r="J252" s="8">
        <f>FlowAngleRel(INDEX('Route Data'!$J$7:$J$8,E252)*INDEX('Route Data'!$I$7:$I$8,E252), INDEX('Route Data'!$L$7:$L$8,E252)*2*PI()/60, INDEX('Route Data'!$F$7:$F$8,E252),INDEX('Route Data'!$O$7:$O$8,E252), INDEX('Route Data'!$P$7:$P$8,E252),INDEX('Route Data'!$M$7:$M$8,E252))</f>
        <v>1.130811765868994</v>
      </c>
      <c r="K252" s="8">
        <f>FlowAngleAbsT(INDEX('Route Data'!$K$7:$K$8,E252), INDEX('Route Data'!$I$7:$I$8,E252), INDEX('Route Data'!$I$7:$I$8,E252)*INDEX('Route Data'!$J$7:$J$8,E252), INDEX('Route Data'!$L$7:$L$8,E252)*2*PI()/60, INDEX('Route Data'!$F$7:$F$8,E252),INDEX('Route Data'!$O$7:$O$8,E252), INDEX('Route Data'!$P$7:$P$8,E252), INDEX('Route Data'!$H$7:$H$8,E252), INDEX('Route Data'!$Q$7:$Q$8,E252), INDEX('Route Data'!$M$7:$M$8,E252))</f>
        <v>0.51617226640175828</v>
      </c>
      <c r="L252" s="5">
        <f>INDEX('Route Data'!$N$7:$N$8,E252)</f>
        <v>0.4</v>
      </c>
      <c r="M252" s="8">
        <v>0.23878490924835205</v>
      </c>
      <c r="N252" s="8">
        <f>ProbStrikeFrancis(K252, I252, L252, INDEX('Route Data'!$G$7:$G$8,E252),C252, INDEX('Route Data'!$F$7:$F$8,E252), INDEX('Route Data'!$O$7:$O$8,E252), INDEX('Route Data'!$H$7:$H$18,E252))</f>
        <v>1</v>
      </c>
      <c r="O252" s="5" t="str">
        <f>IF(F252&gt;=1,IF(M252&lt;=N252,"STRIKE","pass"),IF(M252&lt;=INDEX('Route Data'!$R$7:$R$8,E252),"NO PASS","pass"))</f>
        <v>STRIKE</v>
      </c>
      <c r="P252" s="5">
        <f>IF(F252&gt;=1,IF(M252&lt;=N252,1,0),IF(M252&lt;=INDEX('Route Data'!$R$7:$R$8,E252),-1,0))</f>
        <v>1</v>
      </c>
    </row>
    <row r="253" spans="1:16">
      <c r="A253" s="5">
        <v>243</v>
      </c>
      <c r="B253" s="12">
        <v>21.3</v>
      </c>
      <c r="C253" s="12">
        <f t="shared" si="3"/>
        <v>1.78</v>
      </c>
      <c r="D253" s="8">
        <v>0.27931910753250122</v>
      </c>
      <c r="E253" s="5">
        <f>MATCH(D253,'Route Data'!$C$7:$C$8,1)</f>
        <v>2</v>
      </c>
      <c r="F253" s="5">
        <f>INDEX('Route Data'!$D$7:$D$8,E253)</f>
        <v>1</v>
      </c>
      <c r="G253" s="5" t="str">
        <f>INDEX('Route Data'!$A$7:$A$8,E253)</f>
        <v>u18</v>
      </c>
      <c r="H253" s="5">
        <f>EnergyCoeff(INDEX('Route Data'!$K$7:$K$8,E253),INDEX('Route Data'!$L$7:$L$8,E253)*2*PI()/60,INDEX('Route Data'!$F$7:$F$8,E253))</f>
        <v>0.19430699130049439</v>
      </c>
      <c r="I253" s="5">
        <f>DischargeCoeff(INDEX('Route Data'!$I$7:$I$8,E253), INDEX('Route Data'!$L$7:$L$8,E253)*2*PI()/60, INDEX('Route Data'!$F$7:$F$8,E253))</f>
        <v>0.15939200179827354</v>
      </c>
      <c r="J253" s="8">
        <f>FlowAngleRel(INDEX('Route Data'!$J$7:$J$8,E253)*INDEX('Route Data'!$I$7:$I$8,E253), INDEX('Route Data'!$L$7:$L$8,E253)*2*PI()/60, INDEX('Route Data'!$F$7:$F$8,E253),INDEX('Route Data'!$O$7:$O$8,E253), INDEX('Route Data'!$P$7:$P$8,E253),INDEX('Route Data'!$M$7:$M$8,E253))</f>
        <v>1.130811765868994</v>
      </c>
      <c r="K253" s="8">
        <f>FlowAngleAbsT(INDEX('Route Data'!$K$7:$K$8,E253), INDEX('Route Data'!$I$7:$I$8,E253), INDEX('Route Data'!$I$7:$I$8,E253)*INDEX('Route Data'!$J$7:$J$8,E253), INDEX('Route Data'!$L$7:$L$8,E253)*2*PI()/60, INDEX('Route Data'!$F$7:$F$8,E253),INDEX('Route Data'!$O$7:$O$8,E253), INDEX('Route Data'!$P$7:$P$8,E253), INDEX('Route Data'!$H$7:$H$8,E253), INDEX('Route Data'!$Q$7:$Q$8,E253), INDEX('Route Data'!$M$7:$M$8,E253))</f>
        <v>0.51617226640175828</v>
      </c>
      <c r="L253" s="5">
        <f>INDEX('Route Data'!$N$7:$N$8,E253)</f>
        <v>0.4</v>
      </c>
      <c r="M253" s="8">
        <v>0.72753506898880005</v>
      </c>
      <c r="N253" s="8">
        <f>ProbStrikeFrancis(K253, I253, L253, INDEX('Route Data'!$G$7:$G$8,E253),C253, INDEX('Route Data'!$F$7:$F$8,E253), INDEX('Route Data'!$O$7:$O$8,E253), INDEX('Route Data'!$H$7:$H$18,E253))</f>
        <v>1</v>
      </c>
      <c r="O253" s="5" t="str">
        <f>IF(F253&gt;=1,IF(M253&lt;=N253,"STRIKE","pass"),IF(M253&lt;=INDEX('Route Data'!$R$7:$R$8,E253),"NO PASS","pass"))</f>
        <v>STRIKE</v>
      </c>
      <c r="P253" s="5">
        <f>IF(F253&gt;=1,IF(M253&lt;=N253,1,0),IF(M253&lt;=INDEX('Route Data'!$R$7:$R$8,E253),-1,0))</f>
        <v>1</v>
      </c>
    </row>
    <row r="254" spans="1:16">
      <c r="A254" s="5">
        <v>244</v>
      </c>
      <c r="B254" s="12">
        <v>21.73</v>
      </c>
      <c r="C254" s="12">
        <f t="shared" si="3"/>
        <v>1.81</v>
      </c>
      <c r="D254" s="8">
        <v>0.30731797218322754</v>
      </c>
      <c r="E254" s="5">
        <f>MATCH(D254,'Route Data'!$C$7:$C$8,1)</f>
        <v>2</v>
      </c>
      <c r="F254" s="5">
        <f>INDEX('Route Data'!$D$7:$D$8,E254)</f>
        <v>1</v>
      </c>
      <c r="G254" s="5" t="str">
        <f>INDEX('Route Data'!$A$7:$A$8,E254)</f>
        <v>u18</v>
      </c>
      <c r="H254" s="5">
        <f>EnergyCoeff(INDEX('Route Data'!$K$7:$K$8,E254),INDEX('Route Data'!$L$7:$L$8,E254)*2*PI()/60,INDEX('Route Data'!$F$7:$F$8,E254))</f>
        <v>0.19430699130049439</v>
      </c>
      <c r="I254" s="5">
        <f>DischargeCoeff(INDEX('Route Data'!$I$7:$I$8,E254), INDEX('Route Data'!$L$7:$L$8,E254)*2*PI()/60, INDEX('Route Data'!$F$7:$F$8,E254))</f>
        <v>0.15939200179827354</v>
      </c>
      <c r="J254" s="8">
        <f>FlowAngleRel(INDEX('Route Data'!$J$7:$J$8,E254)*INDEX('Route Data'!$I$7:$I$8,E254), INDEX('Route Data'!$L$7:$L$8,E254)*2*PI()/60, INDEX('Route Data'!$F$7:$F$8,E254),INDEX('Route Data'!$O$7:$O$8,E254), INDEX('Route Data'!$P$7:$P$8,E254),INDEX('Route Data'!$M$7:$M$8,E254))</f>
        <v>1.130811765868994</v>
      </c>
      <c r="K254" s="8">
        <f>FlowAngleAbsT(INDEX('Route Data'!$K$7:$K$8,E254), INDEX('Route Data'!$I$7:$I$8,E254), INDEX('Route Data'!$I$7:$I$8,E254)*INDEX('Route Data'!$J$7:$J$8,E254), INDEX('Route Data'!$L$7:$L$8,E254)*2*PI()/60, INDEX('Route Data'!$F$7:$F$8,E254),INDEX('Route Data'!$O$7:$O$8,E254), INDEX('Route Data'!$P$7:$P$8,E254), INDEX('Route Data'!$H$7:$H$8,E254), INDEX('Route Data'!$Q$7:$Q$8,E254), INDEX('Route Data'!$M$7:$M$8,E254))</f>
        <v>0.51617226640175828</v>
      </c>
      <c r="L254" s="5">
        <f>INDEX('Route Data'!$N$7:$N$8,E254)</f>
        <v>0.4</v>
      </c>
      <c r="M254" s="8">
        <v>0.73012614250183105</v>
      </c>
      <c r="N254" s="8">
        <f>ProbStrikeFrancis(K254, I254, L254, INDEX('Route Data'!$G$7:$G$8,E254),C254, INDEX('Route Data'!$F$7:$F$8,E254), INDEX('Route Data'!$O$7:$O$8,E254), INDEX('Route Data'!$H$7:$H$18,E254))</f>
        <v>1</v>
      </c>
      <c r="O254" s="5" t="str">
        <f>IF(F254&gt;=1,IF(M254&lt;=N254,"STRIKE","pass"),IF(M254&lt;=INDEX('Route Data'!$R$7:$R$8,E254),"NO PASS","pass"))</f>
        <v>STRIKE</v>
      </c>
      <c r="P254" s="5">
        <f>IF(F254&gt;=1,IF(M254&lt;=N254,1,0),IF(M254&lt;=INDEX('Route Data'!$R$7:$R$8,E254),-1,0))</f>
        <v>1</v>
      </c>
    </row>
    <row r="255" spans="1:16">
      <c r="A255" s="5">
        <v>245</v>
      </c>
      <c r="B255" s="12">
        <v>20.350000000000001</v>
      </c>
      <c r="C255" s="12">
        <f t="shared" si="3"/>
        <v>1.7</v>
      </c>
      <c r="D255" s="8">
        <v>0.48890060186386108</v>
      </c>
      <c r="E255" s="5">
        <f>MATCH(D255,'Route Data'!$C$7:$C$8,1)</f>
        <v>2</v>
      </c>
      <c r="F255" s="5">
        <f>INDEX('Route Data'!$D$7:$D$8,E255)</f>
        <v>1</v>
      </c>
      <c r="G255" s="5" t="str">
        <f>INDEX('Route Data'!$A$7:$A$8,E255)</f>
        <v>u18</v>
      </c>
      <c r="H255" s="5">
        <f>EnergyCoeff(INDEX('Route Data'!$K$7:$K$8,E255),INDEX('Route Data'!$L$7:$L$8,E255)*2*PI()/60,INDEX('Route Data'!$F$7:$F$8,E255))</f>
        <v>0.19430699130049439</v>
      </c>
      <c r="I255" s="5">
        <f>DischargeCoeff(INDEX('Route Data'!$I$7:$I$8,E255), INDEX('Route Data'!$L$7:$L$8,E255)*2*PI()/60, INDEX('Route Data'!$F$7:$F$8,E255))</f>
        <v>0.15939200179827354</v>
      </c>
      <c r="J255" s="8">
        <f>FlowAngleRel(INDEX('Route Data'!$J$7:$J$8,E255)*INDEX('Route Data'!$I$7:$I$8,E255), INDEX('Route Data'!$L$7:$L$8,E255)*2*PI()/60, INDEX('Route Data'!$F$7:$F$8,E255),INDEX('Route Data'!$O$7:$O$8,E255), INDEX('Route Data'!$P$7:$P$8,E255),INDEX('Route Data'!$M$7:$M$8,E255))</f>
        <v>1.130811765868994</v>
      </c>
      <c r="K255" s="8">
        <f>FlowAngleAbsT(INDEX('Route Data'!$K$7:$K$8,E255), INDEX('Route Data'!$I$7:$I$8,E255), INDEX('Route Data'!$I$7:$I$8,E255)*INDEX('Route Data'!$J$7:$J$8,E255), INDEX('Route Data'!$L$7:$L$8,E255)*2*PI()/60, INDEX('Route Data'!$F$7:$F$8,E255),INDEX('Route Data'!$O$7:$O$8,E255), INDEX('Route Data'!$P$7:$P$8,E255), INDEX('Route Data'!$H$7:$H$8,E255), INDEX('Route Data'!$Q$7:$Q$8,E255), INDEX('Route Data'!$M$7:$M$8,E255))</f>
        <v>0.51617226640175828</v>
      </c>
      <c r="L255" s="5">
        <f>INDEX('Route Data'!$N$7:$N$8,E255)</f>
        <v>0.4</v>
      </c>
      <c r="M255" s="8">
        <v>0.25351136922836304</v>
      </c>
      <c r="N255" s="8">
        <f>ProbStrikeFrancis(K255, I255, L255, INDEX('Route Data'!$G$7:$G$8,E255),C255, INDEX('Route Data'!$F$7:$F$8,E255), INDEX('Route Data'!$O$7:$O$8,E255), INDEX('Route Data'!$H$7:$H$18,E255))</f>
        <v>1</v>
      </c>
      <c r="O255" s="5" t="str">
        <f>IF(F255&gt;=1,IF(M255&lt;=N255,"STRIKE","pass"),IF(M255&lt;=INDEX('Route Data'!$R$7:$R$8,E255),"NO PASS","pass"))</f>
        <v>STRIKE</v>
      </c>
      <c r="P255" s="5">
        <f>IF(F255&gt;=1,IF(M255&lt;=N255,1,0),IF(M255&lt;=INDEX('Route Data'!$R$7:$R$8,E255),-1,0))</f>
        <v>1</v>
      </c>
    </row>
    <row r="256" spans="1:16">
      <c r="A256" s="5">
        <v>246</v>
      </c>
      <c r="B256" s="12">
        <v>24.35</v>
      </c>
      <c r="C256" s="12">
        <f t="shared" si="3"/>
        <v>2.0299999999999998</v>
      </c>
      <c r="D256" s="8">
        <v>0.94415271282196045</v>
      </c>
      <c r="E256" s="5">
        <f>MATCH(D256,'Route Data'!$C$7:$C$8,1)</f>
        <v>2</v>
      </c>
      <c r="F256" s="5">
        <f>INDEX('Route Data'!$D$7:$D$8,E256)</f>
        <v>1</v>
      </c>
      <c r="G256" s="5" t="str">
        <f>INDEX('Route Data'!$A$7:$A$8,E256)</f>
        <v>u18</v>
      </c>
      <c r="H256" s="5">
        <f>EnergyCoeff(INDEX('Route Data'!$K$7:$K$8,E256),INDEX('Route Data'!$L$7:$L$8,E256)*2*PI()/60,INDEX('Route Data'!$F$7:$F$8,E256))</f>
        <v>0.19430699130049439</v>
      </c>
      <c r="I256" s="5">
        <f>DischargeCoeff(INDEX('Route Data'!$I$7:$I$8,E256), INDEX('Route Data'!$L$7:$L$8,E256)*2*PI()/60, INDEX('Route Data'!$F$7:$F$8,E256))</f>
        <v>0.15939200179827354</v>
      </c>
      <c r="J256" s="8">
        <f>FlowAngleRel(INDEX('Route Data'!$J$7:$J$8,E256)*INDEX('Route Data'!$I$7:$I$8,E256), INDEX('Route Data'!$L$7:$L$8,E256)*2*PI()/60, INDEX('Route Data'!$F$7:$F$8,E256),INDEX('Route Data'!$O$7:$O$8,E256), INDEX('Route Data'!$P$7:$P$8,E256),INDEX('Route Data'!$M$7:$M$8,E256))</f>
        <v>1.130811765868994</v>
      </c>
      <c r="K256" s="8">
        <f>FlowAngleAbsT(INDEX('Route Data'!$K$7:$K$8,E256), INDEX('Route Data'!$I$7:$I$8,E256), INDEX('Route Data'!$I$7:$I$8,E256)*INDEX('Route Data'!$J$7:$J$8,E256), INDEX('Route Data'!$L$7:$L$8,E256)*2*PI()/60, INDEX('Route Data'!$F$7:$F$8,E256),INDEX('Route Data'!$O$7:$O$8,E256), INDEX('Route Data'!$P$7:$P$8,E256), INDEX('Route Data'!$H$7:$H$8,E256), INDEX('Route Data'!$Q$7:$Q$8,E256), INDEX('Route Data'!$M$7:$M$8,E256))</f>
        <v>0.51617226640175828</v>
      </c>
      <c r="L256" s="5">
        <f>INDEX('Route Data'!$N$7:$N$8,E256)</f>
        <v>0.4</v>
      </c>
      <c r="M256" s="8">
        <v>0.41777646541595459</v>
      </c>
      <c r="N256" s="8">
        <f>ProbStrikeFrancis(K256, I256, L256, INDEX('Route Data'!$G$7:$G$8,E256),C256, INDEX('Route Data'!$F$7:$F$8,E256), INDEX('Route Data'!$O$7:$O$8,E256), INDEX('Route Data'!$H$7:$H$18,E256))</f>
        <v>1</v>
      </c>
      <c r="O256" s="5" t="str">
        <f>IF(F256&gt;=1,IF(M256&lt;=N256,"STRIKE","pass"),IF(M256&lt;=INDEX('Route Data'!$R$7:$R$8,E256),"NO PASS","pass"))</f>
        <v>STRIKE</v>
      </c>
      <c r="P256" s="5">
        <f>IF(F256&gt;=1,IF(M256&lt;=N256,1,0),IF(M256&lt;=INDEX('Route Data'!$R$7:$R$8,E256),-1,0))</f>
        <v>1</v>
      </c>
    </row>
    <row r="257" spans="1:16">
      <c r="A257" s="5">
        <v>247</v>
      </c>
      <c r="B257" s="12">
        <v>20.71</v>
      </c>
      <c r="C257" s="12">
        <f t="shared" si="3"/>
        <v>1.73</v>
      </c>
      <c r="D257" s="8">
        <v>0.84397560358047485</v>
      </c>
      <c r="E257" s="5">
        <f>MATCH(D257,'Route Data'!$C$7:$C$8,1)</f>
        <v>2</v>
      </c>
      <c r="F257" s="5">
        <f>INDEX('Route Data'!$D$7:$D$8,E257)</f>
        <v>1</v>
      </c>
      <c r="G257" s="5" t="str">
        <f>INDEX('Route Data'!$A$7:$A$8,E257)</f>
        <v>u18</v>
      </c>
      <c r="H257" s="5">
        <f>EnergyCoeff(INDEX('Route Data'!$K$7:$K$8,E257),INDEX('Route Data'!$L$7:$L$8,E257)*2*PI()/60,INDEX('Route Data'!$F$7:$F$8,E257))</f>
        <v>0.19430699130049439</v>
      </c>
      <c r="I257" s="5">
        <f>DischargeCoeff(INDEX('Route Data'!$I$7:$I$8,E257), INDEX('Route Data'!$L$7:$L$8,E257)*2*PI()/60, INDEX('Route Data'!$F$7:$F$8,E257))</f>
        <v>0.15939200179827354</v>
      </c>
      <c r="J257" s="8">
        <f>FlowAngleRel(INDEX('Route Data'!$J$7:$J$8,E257)*INDEX('Route Data'!$I$7:$I$8,E257), INDEX('Route Data'!$L$7:$L$8,E257)*2*PI()/60, INDEX('Route Data'!$F$7:$F$8,E257),INDEX('Route Data'!$O$7:$O$8,E257), INDEX('Route Data'!$P$7:$P$8,E257),INDEX('Route Data'!$M$7:$M$8,E257))</f>
        <v>1.130811765868994</v>
      </c>
      <c r="K257" s="8">
        <f>FlowAngleAbsT(INDEX('Route Data'!$K$7:$K$8,E257), INDEX('Route Data'!$I$7:$I$8,E257), INDEX('Route Data'!$I$7:$I$8,E257)*INDEX('Route Data'!$J$7:$J$8,E257), INDEX('Route Data'!$L$7:$L$8,E257)*2*PI()/60, INDEX('Route Data'!$F$7:$F$8,E257),INDEX('Route Data'!$O$7:$O$8,E257), INDEX('Route Data'!$P$7:$P$8,E257), INDEX('Route Data'!$H$7:$H$8,E257), INDEX('Route Data'!$Q$7:$Q$8,E257), INDEX('Route Data'!$M$7:$M$8,E257))</f>
        <v>0.51617226640175828</v>
      </c>
      <c r="L257" s="5">
        <f>INDEX('Route Data'!$N$7:$N$8,E257)</f>
        <v>0.4</v>
      </c>
      <c r="M257" s="8">
        <v>0.65940195322036743</v>
      </c>
      <c r="N257" s="8">
        <f>ProbStrikeFrancis(K257, I257, L257, INDEX('Route Data'!$G$7:$G$8,E257),C257, INDEX('Route Data'!$F$7:$F$8,E257), INDEX('Route Data'!$O$7:$O$8,E257), INDEX('Route Data'!$H$7:$H$18,E257))</f>
        <v>1</v>
      </c>
      <c r="O257" s="5" t="str">
        <f>IF(F257&gt;=1,IF(M257&lt;=N257,"STRIKE","pass"),IF(M257&lt;=INDEX('Route Data'!$R$7:$R$8,E257),"NO PASS","pass"))</f>
        <v>STRIKE</v>
      </c>
      <c r="P257" s="5">
        <f>IF(F257&gt;=1,IF(M257&lt;=N257,1,0),IF(M257&lt;=INDEX('Route Data'!$R$7:$R$8,E257),-1,0))</f>
        <v>1</v>
      </c>
    </row>
    <row r="258" spans="1:16">
      <c r="A258" s="5">
        <v>248</v>
      </c>
      <c r="B258" s="12">
        <v>26.12</v>
      </c>
      <c r="C258" s="12">
        <f t="shared" si="3"/>
        <v>2.1800000000000002</v>
      </c>
      <c r="D258" s="8">
        <v>0.41008615493774414</v>
      </c>
      <c r="E258" s="5">
        <f>MATCH(D258,'Route Data'!$C$7:$C$8,1)</f>
        <v>2</v>
      </c>
      <c r="F258" s="5">
        <f>INDEX('Route Data'!$D$7:$D$8,E258)</f>
        <v>1</v>
      </c>
      <c r="G258" s="5" t="str">
        <f>INDEX('Route Data'!$A$7:$A$8,E258)</f>
        <v>u18</v>
      </c>
      <c r="H258" s="5">
        <f>EnergyCoeff(INDEX('Route Data'!$K$7:$K$8,E258),INDEX('Route Data'!$L$7:$L$8,E258)*2*PI()/60,INDEX('Route Data'!$F$7:$F$8,E258))</f>
        <v>0.19430699130049439</v>
      </c>
      <c r="I258" s="5">
        <f>DischargeCoeff(INDEX('Route Data'!$I$7:$I$8,E258), INDEX('Route Data'!$L$7:$L$8,E258)*2*PI()/60, INDEX('Route Data'!$F$7:$F$8,E258))</f>
        <v>0.15939200179827354</v>
      </c>
      <c r="J258" s="8">
        <f>FlowAngleRel(INDEX('Route Data'!$J$7:$J$8,E258)*INDEX('Route Data'!$I$7:$I$8,E258), INDEX('Route Data'!$L$7:$L$8,E258)*2*PI()/60, INDEX('Route Data'!$F$7:$F$8,E258),INDEX('Route Data'!$O$7:$O$8,E258), INDEX('Route Data'!$P$7:$P$8,E258),INDEX('Route Data'!$M$7:$M$8,E258))</f>
        <v>1.130811765868994</v>
      </c>
      <c r="K258" s="8">
        <f>FlowAngleAbsT(INDEX('Route Data'!$K$7:$K$8,E258), INDEX('Route Data'!$I$7:$I$8,E258), INDEX('Route Data'!$I$7:$I$8,E258)*INDEX('Route Data'!$J$7:$J$8,E258), INDEX('Route Data'!$L$7:$L$8,E258)*2*PI()/60, INDEX('Route Data'!$F$7:$F$8,E258),INDEX('Route Data'!$O$7:$O$8,E258), INDEX('Route Data'!$P$7:$P$8,E258), INDEX('Route Data'!$H$7:$H$8,E258), INDEX('Route Data'!$Q$7:$Q$8,E258), INDEX('Route Data'!$M$7:$M$8,E258))</f>
        <v>0.51617226640175828</v>
      </c>
      <c r="L258" s="5">
        <f>INDEX('Route Data'!$N$7:$N$8,E258)</f>
        <v>0.4</v>
      </c>
      <c r="M258" s="8">
        <v>0.20010471343994141</v>
      </c>
      <c r="N258" s="8">
        <f>ProbStrikeFrancis(K258, I258, L258, INDEX('Route Data'!$G$7:$G$8,E258),C258, INDEX('Route Data'!$F$7:$F$8,E258), INDEX('Route Data'!$O$7:$O$8,E258), INDEX('Route Data'!$H$7:$H$18,E258))</f>
        <v>1</v>
      </c>
      <c r="O258" s="5" t="str">
        <f>IF(F258&gt;=1,IF(M258&lt;=N258,"STRIKE","pass"),IF(M258&lt;=INDEX('Route Data'!$R$7:$R$8,E258),"NO PASS","pass"))</f>
        <v>STRIKE</v>
      </c>
      <c r="P258" s="5">
        <f>IF(F258&gt;=1,IF(M258&lt;=N258,1,0),IF(M258&lt;=INDEX('Route Data'!$R$7:$R$8,E258),-1,0))</f>
        <v>1</v>
      </c>
    </row>
    <row r="259" spans="1:16">
      <c r="A259" s="5">
        <v>249</v>
      </c>
      <c r="B259" s="12">
        <v>25.54</v>
      </c>
      <c r="C259" s="12">
        <f t="shared" si="3"/>
        <v>2.13</v>
      </c>
      <c r="D259" s="8">
        <v>0.44617527723312378</v>
      </c>
      <c r="E259" s="5">
        <f>MATCH(D259,'Route Data'!$C$7:$C$8,1)</f>
        <v>2</v>
      </c>
      <c r="F259" s="5">
        <f>INDEX('Route Data'!$D$7:$D$8,E259)</f>
        <v>1</v>
      </c>
      <c r="G259" s="5" t="str">
        <f>INDEX('Route Data'!$A$7:$A$8,E259)</f>
        <v>u18</v>
      </c>
      <c r="H259" s="5">
        <f>EnergyCoeff(INDEX('Route Data'!$K$7:$K$8,E259),INDEX('Route Data'!$L$7:$L$8,E259)*2*PI()/60,INDEX('Route Data'!$F$7:$F$8,E259))</f>
        <v>0.19430699130049439</v>
      </c>
      <c r="I259" s="5">
        <f>DischargeCoeff(INDEX('Route Data'!$I$7:$I$8,E259), INDEX('Route Data'!$L$7:$L$8,E259)*2*PI()/60, INDEX('Route Data'!$F$7:$F$8,E259))</f>
        <v>0.15939200179827354</v>
      </c>
      <c r="J259" s="8">
        <f>FlowAngleRel(INDEX('Route Data'!$J$7:$J$8,E259)*INDEX('Route Data'!$I$7:$I$8,E259), INDEX('Route Data'!$L$7:$L$8,E259)*2*PI()/60, INDEX('Route Data'!$F$7:$F$8,E259),INDEX('Route Data'!$O$7:$O$8,E259), INDEX('Route Data'!$P$7:$P$8,E259),INDEX('Route Data'!$M$7:$M$8,E259))</f>
        <v>1.130811765868994</v>
      </c>
      <c r="K259" s="8">
        <f>FlowAngleAbsT(INDEX('Route Data'!$K$7:$K$8,E259), INDEX('Route Data'!$I$7:$I$8,E259), INDEX('Route Data'!$I$7:$I$8,E259)*INDEX('Route Data'!$J$7:$J$8,E259), INDEX('Route Data'!$L$7:$L$8,E259)*2*PI()/60, INDEX('Route Data'!$F$7:$F$8,E259),INDEX('Route Data'!$O$7:$O$8,E259), INDEX('Route Data'!$P$7:$P$8,E259), INDEX('Route Data'!$H$7:$H$8,E259), INDEX('Route Data'!$Q$7:$Q$8,E259), INDEX('Route Data'!$M$7:$M$8,E259))</f>
        <v>0.51617226640175828</v>
      </c>
      <c r="L259" s="5">
        <f>INDEX('Route Data'!$N$7:$N$8,E259)</f>
        <v>0.4</v>
      </c>
      <c r="M259" s="8">
        <v>0.57799643278121948</v>
      </c>
      <c r="N259" s="8">
        <f>ProbStrikeFrancis(K259, I259, L259, INDEX('Route Data'!$G$7:$G$8,E259),C259, INDEX('Route Data'!$F$7:$F$8,E259), INDEX('Route Data'!$O$7:$O$8,E259), INDEX('Route Data'!$H$7:$H$18,E259))</f>
        <v>1</v>
      </c>
      <c r="O259" s="5" t="str">
        <f>IF(F259&gt;=1,IF(M259&lt;=N259,"STRIKE","pass"),IF(M259&lt;=INDEX('Route Data'!$R$7:$R$8,E259),"NO PASS","pass"))</f>
        <v>STRIKE</v>
      </c>
      <c r="P259" s="5">
        <f>IF(F259&gt;=1,IF(M259&lt;=N259,1,0),IF(M259&lt;=INDEX('Route Data'!$R$7:$R$8,E259),-1,0))</f>
        <v>1</v>
      </c>
    </row>
    <row r="260" spans="1:16">
      <c r="A260" s="5">
        <v>250</v>
      </c>
      <c r="B260" s="12">
        <v>22.37</v>
      </c>
      <c r="C260" s="12">
        <f t="shared" si="3"/>
        <v>1.86</v>
      </c>
      <c r="D260" s="8">
        <v>7.2328686714172363E-2</v>
      </c>
      <c r="E260" s="5">
        <f>MATCH(D260,'Route Data'!$C$7:$C$8,1)</f>
        <v>2</v>
      </c>
      <c r="F260" s="5">
        <f>INDEX('Route Data'!$D$7:$D$8,E260)</f>
        <v>1</v>
      </c>
      <c r="G260" s="5" t="str">
        <f>INDEX('Route Data'!$A$7:$A$8,E260)</f>
        <v>u18</v>
      </c>
      <c r="H260" s="5">
        <f>EnergyCoeff(INDEX('Route Data'!$K$7:$K$8,E260),INDEX('Route Data'!$L$7:$L$8,E260)*2*PI()/60,INDEX('Route Data'!$F$7:$F$8,E260))</f>
        <v>0.19430699130049439</v>
      </c>
      <c r="I260" s="5">
        <f>DischargeCoeff(INDEX('Route Data'!$I$7:$I$8,E260), INDEX('Route Data'!$L$7:$L$8,E260)*2*PI()/60, INDEX('Route Data'!$F$7:$F$8,E260))</f>
        <v>0.15939200179827354</v>
      </c>
      <c r="J260" s="8">
        <f>FlowAngleRel(INDEX('Route Data'!$J$7:$J$8,E260)*INDEX('Route Data'!$I$7:$I$8,E260), INDEX('Route Data'!$L$7:$L$8,E260)*2*PI()/60, INDEX('Route Data'!$F$7:$F$8,E260),INDEX('Route Data'!$O$7:$O$8,E260), INDEX('Route Data'!$P$7:$P$8,E260),INDEX('Route Data'!$M$7:$M$8,E260))</f>
        <v>1.130811765868994</v>
      </c>
      <c r="K260" s="8">
        <f>FlowAngleAbsT(INDEX('Route Data'!$K$7:$K$8,E260), INDEX('Route Data'!$I$7:$I$8,E260), INDEX('Route Data'!$I$7:$I$8,E260)*INDEX('Route Data'!$J$7:$J$8,E260), INDEX('Route Data'!$L$7:$L$8,E260)*2*PI()/60, INDEX('Route Data'!$F$7:$F$8,E260),INDEX('Route Data'!$O$7:$O$8,E260), INDEX('Route Data'!$P$7:$P$8,E260), INDEX('Route Data'!$H$7:$H$8,E260), INDEX('Route Data'!$Q$7:$Q$8,E260), INDEX('Route Data'!$M$7:$M$8,E260))</f>
        <v>0.51617226640175828</v>
      </c>
      <c r="L260" s="5">
        <f>INDEX('Route Data'!$N$7:$N$8,E260)</f>
        <v>0.4</v>
      </c>
      <c r="M260" s="8">
        <v>0.17874205112457275</v>
      </c>
      <c r="N260" s="8">
        <f>ProbStrikeFrancis(K260, I260, L260, INDEX('Route Data'!$G$7:$G$8,E260),C260, INDEX('Route Data'!$F$7:$F$8,E260), INDEX('Route Data'!$O$7:$O$8,E260), INDEX('Route Data'!$H$7:$H$18,E260))</f>
        <v>1</v>
      </c>
      <c r="O260" s="5" t="str">
        <f>IF(F260&gt;=1,IF(M260&lt;=N260,"STRIKE","pass"),IF(M260&lt;=INDEX('Route Data'!$R$7:$R$8,E260),"NO PASS","pass"))</f>
        <v>STRIKE</v>
      </c>
      <c r="P260" s="5">
        <f>IF(F260&gt;=1,IF(M260&lt;=N260,1,0),IF(M260&lt;=INDEX('Route Data'!$R$7:$R$8,E260),-1,0))</f>
        <v>1</v>
      </c>
    </row>
    <row r="261" spans="1:16">
      <c r="A261" s="5">
        <v>251</v>
      </c>
      <c r="B261" s="12">
        <v>20.55</v>
      </c>
      <c r="C261" s="12">
        <f t="shared" si="3"/>
        <v>1.71</v>
      </c>
      <c r="D261" s="8">
        <v>0.19386845827102661</v>
      </c>
      <c r="E261" s="5">
        <f>MATCH(D261,'Route Data'!$C$7:$C$8,1)</f>
        <v>2</v>
      </c>
      <c r="F261" s="5">
        <f>INDEX('Route Data'!$D$7:$D$8,E261)</f>
        <v>1</v>
      </c>
      <c r="G261" s="5" t="str">
        <f>INDEX('Route Data'!$A$7:$A$8,E261)</f>
        <v>u18</v>
      </c>
      <c r="H261" s="5">
        <f>EnergyCoeff(INDEX('Route Data'!$K$7:$K$8,E261),INDEX('Route Data'!$L$7:$L$8,E261)*2*PI()/60,INDEX('Route Data'!$F$7:$F$8,E261))</f>
        <v>0.19430699130049439</v>
      </c>
      <c r="I261" s="5">
        <f>DischargeCoeff(INDEX('Route Data'!$I$7:$I$8,E261), INDEX('Route Data'!$L$7:$L$8,E261)*2*PI()/60, INDEX('Route Data'!$F$7:$F$8,E261))</f>
        <v>0.15939200179827354</v>
      </c>
      <c r="J261" s="8">
        <f>FlowAngleRel(INDEX('Route Data'!$J$7:$J$8,E261)*INDEX('Route Data'!$I$7:$I$8,E261), INDEX('Route Data'!$L$7:$L$8,E261)*2*PI()/60, INDEX('Route Data'!$F$7:$F$8,E261),INDEX('Route Data'!$O$7:$O$8,E261), INDEX('Route Data'!$P$7:$P$8,E261),INDEX('Route Data'!$M$7:$M$8,E261))</f>
        <v>1.130811765868994</v>
      </c>
      <c r="K261" s="8">
        <f>FlowAngleAbsT(INDEX('Route Data'!$K$7:$K$8,E261), INDEX('Route Data'!$I$7:$I$8,E261), INDEX('Route Data'!$I$7:$I$8,E261)*INDEX('Route Data'!$J$7:$J$8,E261), INDEX('Route Data'!$L$7:$L$8,E261)*2*PI()/60, INDEX('Route Data'!$F$7:$F$8,E261),INDEX('Route Data'!$O$7:$O$8,E261), INDEX('Route Data'!$P$7:$P$8,E261), INDEX('Route Data'!$H$7:$H$8,E261), INDEX('Route Data'!$Q$7:$Q$8,E261), INDEX('Route Data'!$M$7:$M$8,E261))</f>
        <v>0.51617226640175828</v>
      </c>
      <c r="L261" s="5">
        <f>INDEX('Route Data'!$N$7:$N$8,E261)</f>
        <v>0.4</v>
      </c>
      <c r="M261" s="8">
        <v>0.64208441972732544</v>
      </c>
      <c r="N261" s="8">
        <f>ProbStrikeFrancis(K261, I261, L261, INDEX('Route Data'!$G$7:$G$8,E261),C261, INDEX('Route Data'!$F$7:$F$8,E261), INDEX('Route Data'!$O$7:$O$8,E261), INDEX('Route Data'!$H$7:$H$18,E261))</f>
        <v>1</v>
      </c>
      <c r="O261" s="5" t="str">
        <f>IF(F261&gt;=1,IF(M261&lt;=N261,"STRIKE","pass"),IF(M261&lt;=INDEX('Route Data'!$R$7:$R$8,E261),"NO PASS","pass"))</f>
        <v>STRIKE</v>
      </c>
      <c r="P261" s="5">
        <f>IF(F261&gt;=1,IF(M261&lt;=N261,1,0),IF(M261&lt;=INDEX('Route Data'!$R$7:$R$8,E261),-1,0))</f>
        <v>1</v>
      </c>
    </row>
    <row r="262" spans="1:16">
      <c r="A262" s="5">
        <v>252</v>
      </c>
      <c r="B262" s="12">
        <v>23.77</v>
      </c>
      <c r="C262" s="12">
        <f t="shared" si="3"/>
        <v>1.98</v>
      </c>
      <c r="D262" s="8">
        <v>0.56366991996765137</v>
      </c>
      <c r="E262" s="5">
        <f>MATCH(D262,'Route Data'!$C$7:$C$8,1)</f>
        <v>2</v>
      </c>
      <c r="F262" s="5">
        <f>INDEX('Route Data'!$D$7:$D$8,E262)</f>
        <v>1</v>
      </c>
      <c r="G262" s="5" t="str">
        <f>INDEX('Route Data'!$A$7:$A$8,E262)</f>
        <v>u18</v>
      </c>
      <c r="H262" s="5">
        <f>EnergyCoeff(INDEX('Route Data'!$K$7:$K$8,E262),INDEX('Route Data'!$L$7:$L$8,E262)*2*PI()/60,INDEX('Route Data'!$F$7:$F$8,E262))</f>
        <v>0.19430699130049439</v>
      </c>
      <c r="I262" s="5">
        <f>DischargeCoeff(INDEX('Route Data'!$I$7:$I$8,E262), INDEX('Route Data'!$L$7:$L$8,E262)*2*PI()/60, INDEX('Route Data'!$F$7:$F$8,E262))</f>
        <v>0.15939200179827354</v>
      </c>
      <c r="J262" s="8">
        <f>FlowAngleRel(INDEX('Route Data'!$J$7:$J$8,E262)*INDEX('Route Data'!$I$7:$I$8,E262), INDEX('Route Data'!$L$7:$L$8,E262)*2*PI()/60, INDEX('Route Data'!$F$7:$F$8,E262),INDEX('Route Data'!$O$7:$O$8,E262), INDEX('Route Data'!$P$7:$P$8,E262),INDEX('Route Data'!$M$7:$M$8,E262))</f>
        <v>1.130811765868994</v>
      </c>
      <c r="K262" s="8">
        <f>FlowAngleAbsT(INDEX('Route Data'!$K$7:$K$8,E262), INDEX('Route Data'!$I$7:$I$8,E262), INDEX('Route Data'!$I$7:$I$8,E262)*INDEX('Route Data'!$J$7:$J$8,E262), INDEX('Route Data'!$L$7:$L$8,E262)*2*PI()/60, INDEX('Route Data'!$F$7:$F$8,E262),INDEX('Route Data'!$O$7:$O$8,E262), INDEX('Route Data'!$P$7:$P$8,E262), INDEX('Route Data'!$H$7:$H$8,E262), INDEX('Route Data'!$Q$7:$Q$8,E262), INDEX('Route Data'!$M$7:$M$8,E262))</f>
        <v>0.51617226640175828</v>
      </c>
      <c r="L262" s="5">
        <f>INDEX('Route Data'!$N$7:$N$8,E262)</f>
        <v>0.4</v>
      </c>
      <c r="M262" s="8">
        <v>0.86184430122375488</v>
      </c>
      <c r="N262" s="8">
        <f>ProbStrikeFrancis(K262, I262, L262, INDEX('Route Data'!$G$7:$G$8,E262),C262, INDEX('Route Data'!$F$7:$F$8,E262), INDEX('Route Data'!$O$7:$O$8,E262), INDEX('Route Data'!$H$7:$H$18,E262))</f>
        <v>1</v>
      </c>
      <c r="O262" s="5" t="str">
        <f>IF(F262&gt;=1,IF(M262&lt;=N262,"STRIKE","pass"),IF(M262&lt;=INDEX('Route Data'!$R$7:$R$8,E262),"NO PASS","pass"))</f>
        <v>STRIKE</v>
      </c>
      <c r="P262" s="5">
        <f>IF(F262&gt;=1,IF(M262&lt;=N262,1,0),IF(M262&lt;=INDEX('Route Data'!$R$7:$R$8,E262),-1,0))</f>
        <v>1</v>
      </c>
    </row>
    <row r="263" spans="1:16">
      <c r="A263" s="5">
        <v>253</v>
      </c>
      <c r="B263" s="12">
        <v>22.29</v>
      </c>
      <c r="C263" s="12">
        <f t="shared" si="3"/>
        <v>1.86</v>
      </c>
      <c r="D263" s="8">
        <v>0.7198447585105896</v>
      </c>
      <c r="E263" s="5">
        <f>MATCH(D263,'Route Data'!$C$7:$C$8,1)</f>
        <v>2</v>
      </c>
      <c r="F263" s="5">
        <f>INDEX('Route Data'!$D$7:$D$8,E263)</f>
        <v>1</v>
      </c>
      <c r="G263" s="5" t="str">
        <f>INDEX('Route Data'!$A$7:$A$8,E263)</f>
        <v>u18</v>
      </c>
      <c r="H263" s="5">
        <f>EnergyCoeff(INDEX('Route Data'!$K$7:$K$8,E263),INDEX('Route Data'!$L$7:$L$8,E263)*2*PI()/60,INDEX('Route Data'!$F$7:$F$8,E263))</f>
        <v>0.19430699130049439</v>
      </c>
      <c r="I263" s="5">
        <f>DischargeCoeff(INDEX('Route Data'!$I$7:$I$8,E263), INDEX('Route Data'!$L$7:$L$8,E263)*2*PI()/60, INDEX('Route Data'!$F$7:$F$8,E263))</f>
        <v>0.15939200179827354</v>
      </c>
      <c r="J263" s="8">
        <f>FlowAngleRel(INDEX('Route Data'!$J$7:$J$8,E263)*INDEX('Route Data'!$I$7:$I$8,E263), INDEX('Route Data'!$L$7:$L$8,E263)*2*PI()/60, INDEX('Route Data'!$F$7:$F$8,E263),INDEX('Route Data'!$O$7:$O$8,E263), INDEX('Route Data'!$P$7:$P$8,E263),INDEX('Route Data'!$M$7:$M$8,E263))</f>
        <v>1.130811765868994</v>
      </c>
      <c r="K263" s="8">
        <f>FlowAngleAbsT(INDEX('Route Data'!$K$7:$K$8,E263), INDEX('Route Data'!$I$7:$I$8,E263), INDEX('Route Data'!$I$7:$I$8,E263)*INDEX('Route Data'!$J$7:$J$8,E263), INDEX('Route Data'!$L$7:$L$8,E263)*2*PI()/60, INDEX('Route Data'!$F$7:$F$8,E263),INDEX('Route Data'!$O$7:$O$8,E263), INDEX('Route Data'!$P$7:$P$8,E263), INDEX('Route Data'!$H$7:$H$8,E263), INDEX('Route Data'!$Q$7:$Q$8,E263), INDEX('Route Data'!$M$7:$M$8,E263))</f>
        <v>0.51617226640175828</v>
      </c>
      <c r="L263" s="5">
        <f>INDEX('Route Data'!$N$7:$N$8,E263)</f>
        <v>0.4</v>
      </c>
      <c r="M263" s="8">
        <v>0.35982173681259155</v>
      </c>
      <c r="N263" s="8">
        <f>ProbStrikeFrancis(K263, I263, L263, INDEX('Route Data'!$G$7:$G$8,E263),C263, INDEX('Route Data'!$F$7:$F$8,E263), INDEX('Route Data'!$O$7:$O$8,E263), INDEX('Route Data'!$H$7:$H$18,E263))</f>
        <v>1</v>
      </c>
      <c r="O263" s="5" t="str">
        <f>IF(F263&gt;=1,IF(M263&lt;=N263,"STRIKE","pass"),IF(M263&lt;=INDEX('Route Data'!$R$7:$R$8,E263),"NO PASS","pass"))</f>
        <v>STRIKE</v>
      </c>
      <c r="P263" s="5">
        <f>IF(F263&gt;=1,IF(M263&lt;=N263,1,0),IF(M263&lt;=INDEX('Route Data'!$R$7:$R$8,E263),-1,0))</f>
        <v>1</v>
      </c>
    </row>
    <row r="264" spans="1:16">
      <c r="A264" s="5">
        <v>254</v>
      </c>
      <c r="B264" s="12">
        <v>20.84</v>
      </c>
      <c r="C264" s="12">
        <f t="shared" si="3"/>
        <v>1.74</v>
      </c>
      <c r="D264" s="8">
        <v>0.5168994665145874</v>
      </c>
      <c r="E264" s="5">
        <f>MATCH(D264,'Route Data'!$C$7:$C$8,1)</f>
        <v>2</v>
      </c>
      <c r="F264" s="5">
        <f>INDEX('Route Data'!$D$7:$D$8,E264)</f>
        <v>1</v>
      </c>
      <c r="G264" s="5" t="str">
        <f>INDEX('Route Data'!$A$7:$A$8,E264)</f>
        <v>u18</v>
      </c>
      <c r="H264" s="5">
        <f>EnergyCoeff(INDEX('Route Data'!$K$7:$K$8,E264),INDEX('Route Data'!$L$7:$L$8,E264)*2*PI()/60,INDEX('Route Data'!$F$7:$F$8,E264))</f>
        <v>0.19430699130049439</v>
      </c>
      <c r="I264" s="5">
        <f>DischargeCoeff(INDEX('Route Data'!$I$7:$I$8,E264), INDEX('Route Data'!$L$7:$L$8,E264)*2*PI()/60, INDEX('Route Data'!$F$7:$F$8,E264))</f>
        <v>0.15939200179827354</v>
      </c>
      <c r="J264" s="8">
        <f>FlowAngleRel(INDEX('Route Data'!$J$7:$J$8,E264)*INDEX('Route Data'!$I$7:$I$8,E264), INDEX('Route Data'!$L$7:$L$8,E264)*2*PI()/60, INDEX('Route Data'!$F$7:$F$8,E264),INDEX('Route Data'!$O$7:$O$8,E264), INDEX('Route Data'!$P$7:$P$8,E264),INDEX('Route Data'!$M$7:$M$8,E264))</f>
        <v>1.130811765868994</v>
      </c>
      <c r="K264" s="8">
        <f>FlowAngleAbsT(INDEX('Route Data'!$K$7:$K$8,E264), INDEX('Route Data'!$I$7:$I$8,E264), INDEX('Route Data'!$I$7:$I$8,E264)*INDEX('Route Data'!$J$7:$J$8,E264), INDEX('Route Data'!$L$7:$L$8,E264)*2*PI()/60, INDEX('Route Data'!$F$7:$F$8,E264),INDEX('Route Data'!$O$7:$O$8,E264), INDEX('Route Data'!$P$7:$P$8,E264), INDEX('Route Data'!$H$7:$H$8,E264), INDEX('Route Data'!$Q$7:$Q$8,E264), INDEX('Route Data'!$M$7:$M$8,E264))</f>
        <v>0.51617226640175828</v>
      </c>
      <c r="L264" s="5">
        <f>INDEX('Route Data'!$N$7:$N$8,E264)</f>
        <v>0.4</v>
      </c>
      <c r="M264" s="8">
        <v>0.86588943004608154</v>
      </c>
      <c r="N264" s="8">
        <f>ProbStrikeFrancis(K264, I264, L264, INDEX('Route Data'!$G$7:$G$8,E264),C264, INDEX('Route Data'!$F$7:$F$8,E264), INDEX('Route Data'!$O$7:$O$8,E264), INDEX('Route Data'!$H$7:$H$18,E264))</f>
        <v>1</v>
      </c>
      <c r="O264" s="5" t="str">
        <f>IF(F264&gt;=1,IF(M264&lt;=N264,"STRIKE","pass"),IF(M264&lt;=INDEX('Route Data'!$R$7:$R$8,E264),"NO PASS","pass"))</f>
        <v>STRIKE</v>
      </c>
      <c r="P264" s="5">
        <f>IF(F264&gt;=1,IF(M264&lt;=N264,1,0),IF(M264&lt;=INDEX('Route Data'!$R$7:$R$8,E264),-1,0))</f>
        <v>1</v>
      </c>
    </row>
    <row r="265" spans="1:16">
      <c r="A265" s="5">
        <v>255</v>
      </c>
      <c r="B265" s="12">
        <v>22.99</v>
      </c>
      <c r="C265" s="12">
        <f t="shared" si="3"/>
        <v>1.92</v>
      </c>
      <c r="D265" s="8">
        <v>0.12573534250259399</v>
      </c>
      <c r="E265" s="5">
        <f>MATCH(D265,'Route Data'!$C$7:$C$8,1)</f>
        <v>2</v>
      </c>
      <c r="F265" s="5">
        <f>INDEX('Route Data'!$D$7:$D$8,E265)</f>
        <v>1</v>
      </c>
      <c r="G265" s="5" t="str">
        <f>INDEX('Route Data'!$A$7:$A$8,E265)</f>
        <v>u18</v>
      </c>
      <c r="H265" s="5">
        <f>EnergyCoeff(INDEX('Route Data'!$K$7:$K$8,E265),INDEX('Route Data'!$L$7:$L$8,E265)*2*PI()/60,INDEX('Route Data'!$F$7:$F$8,E265))</f>
        <v>0.19430699130049439</v>
      </c>
      <c r="I265" s="5">
        <f>DischargeCoeff(INDEX('Route Data'!$I$7:$I$8,E265), INDEX('Route Data'!$L$7:$L$8,E265)*2*PI()/60, INDEX('Route Data'!$F$7:$F$8,E265))</f>
        <v>0.15939200179827354</v>
      </c>
      <c r="J265" s="8">
        <f>FlowAngleRel(INDEX('Route Data'!$J$7:$J$8,E265)*INDEX('Route Data'!$I$7:$I$8,E265), INDEX('Route Data'!$L$7:$L$8,E265)*2*PI()/60, INDEX('Route Data'!$F$7:$F$8,E265),INDEX('Route Data'!$O$7:$O$8,E265), INDEX('Route Data'!$P$7:$P$8,E265),INDEX('Route Data'!$M$7:$M$8,E265))</f>
        <v>1.130811765868994</v>
      </c>
      <c r="K265" s="8">
        <f>FlowAngleAbsT(INDEX('Route Data'!$K$7:$K$8,E265), INDEX('Route Data'!$I$7:$I$8,E265), INDEX('Route Data'!$I$7:$I$8,E265)*INDEX('Route Data'!$J$7:$J$8,E265), INDEX('Route Data'!$L$7:$L$8,E265)*2*PI()/60, INDEX('Route Data'!$F$7:$F$8,E265),INDEX('Route Data'!$O$7:$O$8,E265), INDEX('Route Data'!$P$7:$P$8,E265), INDEX('Route Data'!$H$7:$H$8,E265), INDEX('Route Data'!$Q$7:$Q$8,E265), INDEX('Route Data'!$M$7:$M$8,E265))</f>
        <v>0.51617226640175828</v>
      </c>
      <c r="L265" s="5">
        <f>INDEX('Route Data'!$N$7:$N$8,E265)</f>
        <v>0.4</v>
      </c>
      <c r="M265" s="8">
        <v>8.2107126712799072E-2</v>
      </c>
      <c r="N265" s="8">
        <f>ProbStrikeFrancis(K265, I265, L265, INDEX('Route Data'!$G$7:$G$8,E265),C265, INDEX('Route Data'!$F$7:$F$8,E265), INDEX('Route Data'!$O$7:$O$8,E265), INDEX('Route Data'!$H$7:$H$18,E265))</f>
        <v>1</v>
      </c>
      <c r="O265" s="5" t="str">
        <f>IF(F265&gt;=1,IF(M265&lt;=N265,"STRIKE","pass"),IF(M265&lt;=INDEX('Route Data'!$R$7:$R$8,E265),"NO PASS","pass"))</f>
        <v>STRIKE</v>
      </c>
      <c r="P265" s="5">
        <f>IF(F265&gt;=1,IF(M265&lt;=N265,1,0),IF(M265&lt;=INDEX('Route Data'!$R$7:$R$8,E265),-1,0))</f>
        <v>1</v>
      </c>
    </row>
    <row r="266" spans="1:16">
      <c r="A266" s="5">
        <v>256</v>
      </c>
      <c r="B266" s="12">
        <v>24.73</v>
      </c>
      <c r="C266" s="12">
        <f t="shared" si="3"/>
        <v>2.06</v>
      </c>
      <c r="D266" s="8">
        <v>3.3648490905761719E-2</v>
      </c>
      <c r="E266" s="5">
        <f>MATCH(D266,'Route Data'!$C$7:$C$8,1)</f>
        <v>2</v>
      </c>
      <c r="F266" s="5">
        <f>INDEX('Route Data'!$D$7:$D$8,E266)</f>
        <v>1</v>
      </c>
      <c r="G266" s="5" t="str">
        <f>INDEX('Route Data'!$A$7:$A$8,E266)</f>
        <v>u18</v>
      </c>
      <c r="H266" s="5">
        <f>EnergyCoeff(INDEX('Route Data'!$K$7:$K$8,E266),INDEX('Route Data'!$L$7:$L$8,E266)*2*PI()/60,INDEX('Route Data'!$F$7:$F$8,E266))</f>
        <v>0.19430699130049439</v>
      </c>
      <c r="I266" s="5">
        <f>DischargeCoeff(INDEX('Route Data'!$I$7:$I$8,E266), INDEX('Route Data'!$L$7:$L$8,E266)*2*PI()/60, INDEX('Route Data'!$F$7:$F$8,E266))</f>
        <v>0.15939200179827354</v>
      </c>
      <c r="J266" s="8">
        <f>FlowAngleRel(INDEX('Route Data'!$J$7:$J$8,E266)*INDEX('Route Data'!$I$7:$I$8,E266), INDEX('Route Data'!$L$7:$L$8,E266)*2*PI()/60, INDEX('Route Data'!$F$7:$F$8,E266),INDEX('Route Data'!$O$7:$O$8,E266), INDEX('Route Data'!$P$7:$P$8,E266),INDEX('Route Data'!$M$7:$M$8,E266))</f>
        <v>1.130811765868994</v>
      </c>
      <c r="K266" s="8">
        <f>FlowAngleAbsT(INDEX('Route Data'!$K$7:$K$8,E266), INDEX('Route Data'!$I$7:$I$8,E266), INDEX('Route Data'!$I$7:$I$8,E266)*INDEX('Route Data'!$J$7:$J$8,E266), INDEX('Route Data'!$L$7:$L$8,E266)*2*PI()/60, INDEX('Route Data'!$F$7:$F$8,E266),INDEX('Route Data'!$O$7:$O$8,E266), INDEX('Route Data'!$P$7:$P$8,E266), INDEX('Route Data'!$H$7:$H$8,E266), INDEX('Route Data'!$Q$7:$Q$8,E266), INDEX('Route Data'!$M$7:$M$8,E266))</f>
        <v>0.51617226640175828</v>
      </c>
      <c r="L266" s="5">
        <f>INDEX('Route Data'!$N$7:$N$8,E266)</f>
        <v>0.4</v>
      </c>
      <c r="M266" s="8">
        <v>0.96461248397827148</v>
      </c>
      <c r="N266" s="8">
        <f>ProbStrikeFrancis(K266, I266, L266, INDEX('Route Data'!$G$7:$G$8,E266),C266, INDEX('Route Data'!$F$7:$F$8,E266), INDEX('Route Data'!$O$7:$O$8,E266), INDEX('Route Data'!$H$7:$H$18,E266))</f>
        <v>1</v>
      </c>
      <c r="O266" s="5" t="str">
        <f>IF(F266&gt;=1,IF(M266&lt;=N266,"STRIKE","pass"),IF(M266&lt;=INDEX('Route Data'!$R$7:$R$8,E266),"NO PASS","pass"))</f>
        <v>STRIKE</v>
      </c>
      <c r="P266" s="5">
        <f>IF(F266&gt;=1,IF(M266&lt;=N266,1,0),IF(M266&lt;=INDEX('Route Data'!$R$7:$R$8,E266),-1,0))</f>
        <v>1</v>
      </c>
    </row>
    <row r="267" spans="1:16">
      <c r="A267" s="5">
        <v>257</v>
      </c>
      <c r="B267" s="12">
        <v>21.95</v>
      </c>
      <c r="C267" s="12">
        <f t="shared" ref="C267:C330" si="4">ROUND(B267/12,2)</f>
        <v>1.83</v>
      </c>
      <c r="D267" s="8">
        <v>4.4329822063446045E-2</v>
      </c>
      <c r="E267" s="5">
        <f>MATCH(D267,'Route Data'!$C$7:$C$8,1)</f>
        <v>2</v>
      </c>
      <c r="F267" s="5">
        <f>INDEX('Route Data'!$D$7:$D$8,E267)</f>
        <v>1</v>
      </c>
      <c r="G267" s="5" t="str">
        <f>INDEX('Route Data'!$A$7:$A$8,E267)</f>
        <v>u18</v>
      </c>
      <c r="H267" s="5">
        <f>EnergyCoeff(INDEX('Route Data'!$K$7:$K$8,E267),INDEX('Route Data'!$L$7:$L$8,E267)*2*PI()/60,INDEX('Route Data'!$F$7:$F$8,E267))</f>
        <v>0.19430699130049439</v>
      </c>
      <c r="I267" s="5">
        <f>DischargeCoeff(INDEX('Route Data'!$I$7:$I$8,E267), INDEX('Route Data'!$L$7:$L$8,E267)*2*PI()/60, INDEX('Route Data'!$F$7:$F$8,E267))</f>
        <v>0.15939200179827354</v>
      </c>
      <c r="J267" s="8">
        <f>FlowAngleRel(INDEX('Route Data'!$J$7:$J$8,E267)*INDEX('Route Data'!$I$7:$I$8,E267), INDEX('Route Data'!$L$7:$L$8,E267)*2*PI()/60, INDEX('Route Data'!$F$7:$F$8,E267),INDEX('Route Data'!$O$7:$O$8,E267), INDEX('Route Data'!$P$7:$P$8,E267),INDEX('Route Data'!$M$7:$M$8,E267))</f>
        <v>1.130811765868994</v>
      </c>
      <c r="K267" s="8">
        <f>FlowAngleAbsT(INDEX('Route Data'!$K$7:$K$8,E267), INDEX('Route Data'!$I$7:$I$8,E267), INDEX('Route Data'!$I$7:$I$8,E267)*INDEX('Route Data'!$J$7:$J$8,E267), INDEX('Route Data'!$L$7:$L$8,E267)*2*PI()/60, INDEX('Route Data'!$F$7:$F$8,E267),INDEX('Route Data'!$O$7:$O$8,E267), INDEX('Route Data'!$P$7:$P$8,E267), INDEX('Route Data'!$H$7:$H$8,E267), INDEX('Route Data'!$Q$7:$Q$8,E267), INDEX('Route Data'!$M$7:$M$8,E267))</f>
        <v>0.51617226640175828</v>
      </c>
      <c r="L267" s="5">
        <f>INDEX('Route Data'!$N$7:$N$8,E267)</f>
        <v>0.4</v>
      </c>
      <c r="M267" s="8">
        <v>0.31709641218185425</v>
      </c>
      <c r="N267" s="8">
        <f>ProbStrikeFrancis(K267, I267, L267, INDEX('Route Data'!$G$7:$G$8,E267),C267, INDEX('Route Data'!$F$7:$F$8,E267), INDEX('Route Data'!$O$7:$O$8,E267), INDEX('Route Data'!$H$7:$H$18,E267))</f>
        <v>1</v>
      </c>
      <c r="O267" s="5" t="str">
        <f>IF(F267&gt;=1,IF(M267&lt;=N267,"STRIKE","pass"),IF(M267&lt;=INDEX('Route Data'!$R$7:$R$8,E267),"NO PASS","pass"))</f>
        <v>STRIKE</v>
      </c>
      <c r="P267" s="5">
        <f>IF(F267&gt;=1,IF(M267&lt;=N267,1,0),IF(M267&lt;=INDEX('Route Data'!$R$7:$R$8,E267),-1,0))</f>
        <v>1</v>
      </c>
    </row>
    <row r="268" spans="1:16">
      <c r="A268" s="5">
        <v>258</v>
      </c>
      <c r="B268" s="12">
        <v>21.9</v>
      </c>
      <c r="C268" s="12">
        <f t="shared" si="4"/>
        <v>1.83</v>
      </c>
      <c r="D268" s="8">
        <v>1.2285828590393066E-2</v>
      </c>
      <c r="E268" s="5">
        <f>MATCH(D268,'Route Data'!$C$7:$C$8,1)</f>
        <v>2</v>
      </c>
      <c r="F268" s="5">
        <f>INDEX('Route Data'!$D$7:$D$8,E268)</f>
        <v>1</v>
      </c>
      <c r="G268" s="5" t="str">
        <f>INDEX('Route Data'!$A$7:$A$8,E268)</f>
        <v>u18</v>
      </c>
      <c r="H268" s="5">
        <f>EnergyCoeff(INDEX('Route Data'!$K$7:$K$8,E268),INDEX('Route Data'!$L$7:$L$8,E268)*2*PI()/60,INDEX('Route Data'!$F$7:$F$8,E268))</f>
        <v>0.19430699130049439</v>
      </c>
      <c r="I268" s="5">
        <f>DischargeCoeff(INDEX('Route Data'!$I$7:$I$8,E268), INDEX('Route Data'!$L$7:$L$8,E268)*2*PI()/60, INDEX('Route Data'!$F$7:$F$8,E268))</f>
        <v>0.15939200179827354</v>
      </c>
      <c r="J268" s="8">
        <f>FlowAngleRel(INDEX('Route Data'!$J$7:$J$8,E268)*INDEX('Route Data'!$I$7:$I$8,E268), INDEX('Route Data'!$L$7:$L$8,E268)*2*PI()/60, INDEX('Route Data'!$F$7:$F$8,E268),INDEX('Route Data'!$O$7:$O$8,E268), INDEX('Route Data'!$P$7:$P$8,E268),INDEX('Route Data'!$M$7:$M$8,E268))</f>
        <v>1.130811765868994</v>
      </c>
      <c r="K268" s="8">
        <f>FlowAngleAbsT(INDEX('Route Data'!$K$7:$K$8,E268), INDEX('Route Data'!$I$7:$I$8,E268), INDEX('Route Data'!$I$7:$I$8,E268)*INDEX('Route Data'!$J$7:$J$8,E268), INDEX('Route Data'!$L$7:$L$8,E268)*2*PI()/60, INDEX('Route Data'!$F$7:$F$8,E268),INDEX('Route Data'!$O$7:$O$8,E268), INDEX('Route Data'!$P$7:$P$8,E268), INDEX('Route Data'!$H$7:$H$8,E268), INDEX('Route Data'!$Q$7:$Q$8,E268), INDEX('Route Data'!$M$7:$M$8,E268))</f>
        <v>0.51617226640175828</v>
      </c>
      <c r="L268" s="5">
        <f>INDEX('Route Data'!$N$7:$N$8,E268)</f>
        <v>0.4</v>
      </c>
      <c r="M268" s="8">
        <v>0.99406540393829346</v>
      </c>
      <c r="N268" s="8">
        <f>ProbStrikeFrancis(K268, I268, L268, INDEX('Route Data'!$G$7:$G$8,E268),C268, INDEX('Route Data'!$F$7:$F$8,E268), INDEX('Route Data'!$O$7:$O$8,E268), INDEX('Route Data'!$H$7:$H$18,E268))</f>
        <v>1</v>
      </c>
      <c r="O268" s="5" t="str">
        <f>IF(F268&gt;=1,IF(M268&lt;=N268,"STRIKE","pass"),IF(M268&lt;=INDEX('Route Data'!$R$7:$R$8,E268),"NO PASS","pass"))</f>
        <v>STRIKE</v>
      </c>
      <c r="P268" s="5">
        <f>IF(F268&gt;=1,IF(M268&lt;=N268,1,0),IF(M268&lt;=INDEX('Route Data'!$R$7:$R$8,E268),-1,0))</f>
        <v>1</v>
      </c>
    </row>
    <row r="269" spans="1:16">
      <c r="A269" s="5">
        <v>259</v>
      </c>
      <c r="B269" s="12">
        <v>19.68</v>
      </c>
      <c r="C269" s="12">
        <f t="shared" si="4"/>
        <v>1.64</v>
      </c>
      <c r="D269" s="8">
        <v>0.108417809009552</v>
      </c>
      <c r="E269" s="5">
        <f>MATCH(D269,'Route Data'!$C$7:$C$8,1)</f>
        <v>2</v>
      </c>
      <c r="F269" s="5">
        <f>INDEX('Route Data'!$D$7:$D$8,E269)</f>
        <v>1</v>
      </c>
      <c r="G269" s="5" t="str">
        <f>INDEX('Route Data'!$A$7:$A$8,E269)</f>
        <v>u18</v>
      </c>
      <c r="H269" s="5">
        <f>EnergyCoeff(INDEX('Route Data'!$K$7:$K$8,E269),INDEX('Route Data'!$L$7:$L$8,E269)*2*PI()/60,INDEX('Route Data'!$F$7:$F$8,E269))</f>
        <v>0.19430699130049439</v>
      </c>
      <c r="I269" s="5">
        <f>DischargeCoeff(INDEX('Route Data'!$I$7:$I$8,E269), INDEX('Route Data'!$L$7:$L$8,E269)*2*PI()/60, INDEX('Route Data'!$F$7:$F$8,E269))</f>
        <v>0.15939200179827354</v>
      </c>
      <c r="J269" s="8">
        <f>FlowAngleRel(INDEX('Route Data'!$J$7:$J$8,E269)*INDEX('Route Data'!$I$7:$I$8,E269), INDEX('Route Data'!$L$7:$L$8,E269)*2*PI()/60, INDEX('Route Data'!$F$7:$F$8,E269),INDEX('Route Data'!$O$7:$O$8,E269), INDEX('Route Data'!$P$7:$P$8,E269),INDEX('Route Data'!$M$7:$M$8,E269))</f>
        <v>1.130811765868994</v>
      </c>
      <c r="K269" s="8">
        <f>FlowAngleAbsT(INDEX('Route Data'!$K$7:$K$8,E269), INDEX('Route Data'!$I$7:$I$8,E269), INDEX('Route Data'!$I$7:$I$8,E269)*INDEX('Route Data'!$J$7:$J$8,E269), INDEX('Route Data'!$L$7:$L$8,E269)*2*PI()/60, INDEX('Route Data'!$F$7:$F$8,E269),INDEX('Route Data'!$O$7:$O$8,E269), INDEX('Route Data'!$P$7:$P$8,E269), INDEX('Route Data'!$H$7:$H$8,E269), INDEX('Route Data'!$Q$7:$Q$8,E269), INDEX('Route Data'!$M$7:$M$8,E269))</f>
        <v>0.51617226640175828</v>
      </c>
      <c r="L269" s="5">
        <f>INDEX('Route Data'!$N$7:$N$8,E269)</f>
        <v>0.4</v>
      </c>
      <c r="M269" s="8">
        <v>0.43199998140335083</v>
      </c>
      <c r="N269" s="8">
        <f>ProbStrikeFrancis(K269, I269, L269, INDEX('Route Data'!$G$7:$G$8,E269),C269, INDEX('Route Data'!$F$7:$F$8,E269), INDEX('Route Data'!$O$7:$O$8,E269), INDEX('Route Data'!$H$7:$H$18,E269))</f>
        <v>1</v>
      </c>
      <c r="O269" s="5" t="str">
        <f>IF(F269&gt;=1,IF(M269&lt;=N269,"STRIKE","pass"),IF(M269&lt;=INDEX('Route Data'!$R$7:$R$8,E269),"NO PASS","pass"))</f>
        <v>STRIKE</v>
      </c>
      <c r="P269" s="5">
        <f>IF(F269&gt;=1,IF(M269&lt;=N269,1,0),IF(M269&lt;=INDEX('Route Data'!$R$7:$R$8,E269),-1,0))</f>
        <v>1</v>
      </c>
    </row>
    <row r="270" spans="1:16">
      <c r="A270" s="5">
        <v>260</v>
      </c>
      <c r="B270" s="12">
        <v>19.71</v>
      </c>
      <c r="C270" s="12">
        <f t="shared" si="4"/>
        <v>1.64</v>
      </c>
      <c r="D270" s="8">
        <v>0.8200218677520752</v>
      </c>
      <c r="E270" s="5">
        <f>MATCH(D270,'Route Data'!$C$7:$C$8,1)</f>
        <v>2</v>
      </c>
      <c r="F270" s="5">
        <f>INDEX('Route Data'!$D$7:$D$8,E270)</f>
        <v>1</v>
      </c>
      <c r="G270" s="5" t="str">
        <f>INDEX('Route Data'!$A$7:$A$8,E270)</f>
        <v>u18</v>
      </c>
      <c r="H270" s="5">
        <f>EnergyCoeff(INDEX('Route Data'!$K$7:$K$8,E270),INDEX('Route Data'!$L$7:$L$8,E270)*2*PI()/60,INDEX('Route Data'!$F$7:$F$8,E270))</f>
        <v>0.19430699130049439</v>
      </c>
      <c r="I270" s="5">
        <f>DischargeCoeff(INDEX('Route Data'!$I$7:$I$8,E270), INDEX('Route Data'!$L$7:$L$8,E270)*2*PI()/60, INDEX('Route Data'!$F$7:$F$8,E270))</f>
        <v>0.15939200179827354</v>
      </c>
      <c r="J270" s="8">
        <f>FlowAngleRel(INDEX('Route Data'!$J$7:$J$8,E270)*INDEX('Route Data'!$I$7:$I$8,E270), INDEX('Route Data'!$L$7:$L$8,E270)*2*PI()/60, INDEX('Route Data'!$F$7:$F$8,E270),INDEX('Route Data'!$O$7:$O$8,E270), INDEX('Route Data'!$P$7:$P$8,E270),INDEX('Route Data'!$M$7:$M$8,E270))</f>
        <v>1.130811765868994</v>
      </c>
      <c r="K270" s="8">
        <f>FlowAngleAbsT(INDEX('Route Data'!$K$7:$K$8,E270), INDEX('Route Data'!$I$7:$I$8,E270), INDEX('Route Data'!$I$7:$I$8,E270)*INDEX('Route Data'!$J$7:$J$8,E270), INDEX('Route Data'!$L$7:$L$8,E270)*2*PI()/60, INDEX('Route Data'!$F$7:$F$8,E270),INDEX('Route Data'!$O$7:$O$8,E270), INDEX('Route Data'!$P$7:$P$8,E270), INDEX('Route Data'!$H$7:$H$8,E270), INDEX('Route Data'!$Q$7:$Q$8,E270), INDEX('Route Data'!$M$7:$M$8,E270))</f>
        <v>0.51617226640175828</v>
      </c>
      <c r="L270" s="5">
        <f>INDEX('Route Data'!$N$7:$N$8,E270)</f>
        <v>0.4</v>
      </c>
      <c r="M270" s="8">
        <v>0.11819624900817871</v>
      </c>
      <c r="N270" s="8">
        <f>ProbStrikeFrancis(K270, I270, L270, INDEX('Route Data'!$G$7:$G$8,E270),C270, INDEX('Route Data'!$F$7:$F$8,E270), INDEX('Route Data'!$O$7:$O$8,E270), INDEX('Route Data'!$H$7:$H$18,E270))</f>
        <v>1</v>
      </c>
      <c r="O270" s="5" t="str">
        <f>IF(F270&gt;=1,IF(M270&lt;=N270,"STRIKE","pass"),IF(M270&lt;=INDEX('Route Data'!$R$7:$R$8,E270),"NO PASS","pass"))</f>
        <v>STRIKE</v>
      </c>
      <c r="P270" s="5">
        <f>IF(F270&gt;=1,IF(M270&lt;=N270,1,0),IF(M270&lt;=INDEX('Route Data'!$R$7:$R$8,E270),-1,0))</f>
        <v>1</v>
      </c>
    </row>
    <row r="271" spans="1:16">
      <c r="A271" s="5">
        <v>261</v>
      </c>
      <c r="B271" s="12">
        <v>24.17</v>
      </c>
      <c r="C271" s="12">
        <f t="shared" si="4"/>
        <v>2.0099999999999998</v>
      </c>
      <c r="D271" s="8">
        <v>0.95078891515731812</v>
      </c>
      <c r="E271" s="5">
        <f>MATCH(D271,'Route Data'!$C$7:$C$8,1)</f>
        <v>2</v>
      </c>
      <c r="F271" s="5">
        <f>INDEX('Route Data'!$D$7:$D$8,E271)</f>
        <v>1</v>
      </c>
      <c r="G271" s="5" t="str">
        <f>INDEX('Route Data'!$A$7:$A$8,E271)</f>
        <v>u18</v>
      </c>
      <c r="H271" s="5">
        <f>EnergyCoeff(INDEX('Route Data'!$K$7:$K$8,E271),INDEX('Route Data'!$L$7:$L$8,E271)*2*PI()/60,INDEX('Route Data'!$F$7:$F$8,E271))</f>
        <v>0.19430699130049439</v>
      </c>
      <c r="I271" s="5">
        <f>DischargeCoeff(INDEX('Route Data'!$I$7:$I$8,E271), INDEX('Route Data'!$L$7:$L$8,E271)*2*PI()/60, INDEX('Route Data'!$F$7:$F$8,E271))</f>
        <v>0.15939200179827354</v>
      </c>
      <c r="J271" s="8">
        <f>FlowAngleRel(INDEX('Route Data'!$J$7:$J$8,E271)*INDEX('Route Data'!$I$7:$I$8,E271), INDEX('Route Data'!$L$7:$L$8,E271)*2*PI()/60, INDEX('Route Data'!$F$7:$F$8,E271),INDEX('Route Data'!$O$7:$O$8,E271), INDEX('Route Data'!$P$7:$P$8,E271),INDEX('Route Data'!$M$7:$M$8,E271))</f>
        <v>1.130811765868994</v>
      </c>
      <c r="K271" s="8">
        <f>FlowAngleAbsT(INDEX('Route Data'!$K$7:$K$8,E271), INDEX('Route Data'!$I$7:$I$8,E271), INDEX('Route Data'!$I$7:$I$8,E271)*INDEX('Route Data'!$J$7:$J$8,E271), INDEX('Route Data'!$L$7:$L$8,E271)*2*PI()/60, INDEX('Route Data'!$F$7:$F$8,E271),INDEX('Route Data'!$O$7:$O$8,E271), INDEX('Route Data'!$P$7:$P$8,E271), INDEX('Route Data'!$H$7:$H$8,E271), INDEX('Route Data'!$Q$7:$Q$8,E271), INDEX('Route Data'!$M$7:$M$8,E271))</f>
        <v>0.51617226640175828</v>
      </c>
      <c r="L271" s="5">
        <f>INDEX('Route Data'!$N$7:$N$8,E271)</f>
        <v>0.4</v>
      </c>
      <c r="M271" s="8">
        <v>0.32518666982650757</v>
      </c>
      <c r="N271" s="8">
        <f>ProbStrikeFrancis(K271, I271, L271, INDEX('Route Data'!$G$7:$G$8,E271),C271, INDEX('Route Data'!$F$7:$F$8,E271), INDEX('Route Data'!$O$7:$O$8,E271), INDEX('Route Data'!$H$7:$H$18,E271))</f>
        <v>1</v>
      </c>
      <c r="O271" s="5" t="str">
        <f>IF(F271&gt;=1,IF(M271&lt;=N271,"STRIKE","pass"),IF(M271&lt;=INDEX('Route Data'!$R$7:$R$8,E271),"NO PASS","pass"))</f>
        <v>STRIKE</v>
      </c>
      <c r="P271" s="5">
        <f>IF(F271&gt;=1,IF(M271&lt;=N271,1,0),IF(M271&lt;=INDEX('Route Data'!$R$7:$R$8,E271),-1,0))</f>
        <v>1</v>
      </c>
    </row>
    <row r="272" spans="1:16">
      <c r="A272" s="5">
        <v>262</v>
      </c>
      <c r="B272" s="12">
        <v>26.05</v>
      </c>
      <c r="C272" s="12">
        <f t="shared" si="4"/>
        <v>2.17</v>
      </c>
      <c r="D272" s="8">
        <v>0.37153708934783936</v>
      </c>
      <c r="E272" s="5">
        <f>MATCH(D272,'Route Data'!$C$7:$C$8,1)</f>
        <v>2</v>
      </c>
      <c r="F272" s="5">
        <f>INDEX('Route Data'!$D$7:$D$8,E272)</f>
        <v>1</v>
      </c>
      <c r="G272" s="5" t="str">
        <f>INDEX('Route Data'!$A$7:$A$8,E272)</f>
        <v>u18</v>
      </c>
      <c r="H272" s="5">
        <f>EnergyCoeff(INDEX('Route Data'!$K$7:$K$8,E272),INDEX('Route Data'!$L$7:$L$8,E272)*2*PI()/60,INDEX('Route Data'!$F$7:$F$8,E272))</f>
        <v>0.19430699130049439</v>
      </c>
      <c r="I272" s="5">
        <f>DischargeCoeff(INDEX('Route Data'!$I$7:$I$8,E272), INDEX('Route Data'!$L$7:$L$8,E272)*2*PI()/60, INDEX('Route Data'!$F$7:$F$8,E272))</f>
        <v>0.15939200179827354</v>
      </c>
      <c r="J272" s="8">
        <f>FlowAngleRel(INDEX('Route Data'!$J$7:$J$8,E272)*INDEX('Route Data'!$I$7:$I$8,E272), INDEX('Route Data'!$L$7:$L$8,E272)*2*PI()/60, INDEX('Route Data'!$F$7:$F$8,E272),INDEX('Route Data'!$O$7:$O$8,E272), INDEX('Route Data'!$P$7:$P$8,E272),INDEX('Route Data'!$M$7:$M$8,E272))</f>
        <v>1.130811765868994</v>
      </c>
      <c r="K272" s="8">
        <f>FlowAngleAbsT(INDEX('Route Data'!$K$7:$K$8,E272), INDEX('Route Data'!$I$7:$I$8,E272), INDEX('Route Data'!$I$7:$I$8,E272)*INDEX('Route Data'!$J$7:$J$8,E272), INDEX('Route Data'!$L$7:$L$8,E272)*2*PI()/60, INDEX('Route Data'!$F$7:$F$8,E272),INDEX('Route Data'!$O$7:$O$8,E272), INDEX('Route Data'!$P$7:$P$8,E272), INDEX('Route Data'!$H$7:$H$8,E272), INDEX('Route Data'!$Q$7:$Q$8,E272), INDEX('Route Data'!$M$7:$M$8,E272))</f>
        <v>0.51617226640175828</v>
      </c>
      <c r="L272" s="5">
        <f>INDEX('Route Data'!$N$7:$N$8,E272)</f>
        <v>0.4</v>
      </c>
      <c r="M272" s="8">
        <v>0.4386361837387085</v>
      </c>
      <c r="N272" s="8">
        <f>ProbStrikeFrancis(K272, I272, L272, INDEX('Route Data'!$G$7:$G$8,E272),C272, INDEX('Route Data'!$F$7:$F$8,E272), INDEX('Route Data'!$O$7:$O$8,E272), INDEX('Route Data'!$H$7:$H$18,E272))</f>
        <v>1</v>
      </c>
      <c r="O272" s="5" t="str">
        <f>IF(F272&gt;=1,IF(M272&lt;=N272,"STRIKE","pass"),IF(M272&lt;=INDEX('Route Data'!$R$7:$R$8,E272),"NO PASS","pass"))</f>
        <v>STRIKE</v>
      </c>
      <c r="P272" s="5">
        <f>IF(F272&gt;=1,IF(M272&lt;=N272,1,0),IF(M272&lt;=INDEX('Route Data'!$R$7:$R$8,E272),-1,0))</f>
        <v>1</v>
      </c>
    </row>
    <row r="273" spans="1:16">
      <c r="A273" s="5">
        <v>263</v>
      </c>
      <c r="B273" s="12">
        <v>18.79</v>
      </c>
      <c r="C273" s="12">
        <f t="shared" si="4"/>
        <v>1.57</v>
      </c>
      <c r="D273" s="8">
        <v>0.68938595056533813</v>
      </c>
      <c r="E273" s="5">
        <f>MATCH(D273,'Route Data'!$C$7:$C$8,1)</f>
        <v>2</v>
      </c>
      <c r="F273" s="5">
        <f>INDEX('Route Data'!$D$7:$D$8,E273)</f>
        <v>1</v>
      </c>
      <c r="G273" s="5" t="str">
        <f>INDEX('Route Data'!$A$7:$A$8,E273)</f>
        <v>u18</v>
      </c>
      <c r="H273" s="5">
        <f>EnergyCoeff(INDEX('Route Data'!$K$7:$K$8,E273),INDEX('Route Data'!$L$7:$L$8,E273)*2*PI()/60,INDEX('Route Data'!$F$7:$F$8,E273))</f>
        <v>0.19430699130049439</v>
      </c>
      <c r="I273" s="5">
        <f>DischargeCoeff(INDEX('Route Data'!$I$7:$I$8,E273), INDEX('Route Data'!$L$7:$L$8,E273)*2*PI()/60, INDEX('Route Data'!$F$7:$F$8,E273))</f>
        <v>0.15939200179827354</v>
      </c>
      <c r="J273" s="8">
        <f>FlowAngleRel(INDEX('Route Data'!$J$7:$J$8,E273)*INDEX('Route Data'!$I$7:$I$8,E273), INDEX('Route Data'!$L$7:$L$8,E273)*2*PI()/60, INDEX('Route Data'!$F$7:$F$8,E273),INDEX('Route Data'!$O$7:$O$8,E273), INDEX('Route Data'!$P$7:$P$8,E273),INDEX('Route Data'!$M$7:$M$8,E273))</f>
        <v>1.130811765868994</v>
      </c>
      <c r="K273" s="8">
        <f>FlowAngleAbsT(INDEX('Route Data'!$K$7:$K$8,E273), INDEX('Route Data'!$I$7:$I$8,E273), INDEX('Route Data'!$I$7:$I$8,E273)*INDEX('Route Data'!$J$7:$J$8,E273), INDEX('Route Data'!$L$7:$L$8,E273)*2*PI()/60, INDEX('Route Data'!$F$7:$F$8,E273),INDEX('Route Data'!$O$7:$O$8,E273), INDEX('Route Data'!$P$7:$P$8,E273), INDEX('Route Data'!$H$7:$H$8,E273), INDEX('Route Data'!$Q$7:$Q$8,E273), INDEX('Route Data'!$M$7:$M$8,E273))</f>
        <v>0.51617226640175828</v>
      </c>
      <c r="L273" s="5">
        <f>INDEX('Route Data'!$N$7:$N$8,E273)</f>
        <v>0.4</v>
      </c>
      <c r="M273" s="8">
        <v>0.36386686563491821</v>
      </c>
      <c r="N273" s="8">
        <f>ProbStrikeFrancis(K273, I273, L273, INDEX('Route Data'!$G$7:$G$8,E273),C273, INDEX('Route Data'!$F$7:$F$8,E273), INDEX('Route Data'!$O$7:$O$8,E273), INDEX('Route Data'!$H$7:$H$18,E273))</f>
        <v>1</v>
      </c>
      <c r="O273" s="5" t="str">
        <f>IF(F273&gt;=1,IF(M273&lt;=N273,"STRIKE","pass"),IF(M273&lt;=INDEX('Route Data'!$R$7:$R$8,E273),"NO PASS","pass"))</f>
        <v>STRIKE</v>
      </c>
      <c r="P273" s="5">
        <f>IF(F273&gt;=1,IF(M273&lt;=N273,1,0),IF(M273&lt;=INDEX('Route Data'!$R$7:$R$8,E273),-1,0))</f>
        <v>1</v>
      </c>
    </row>
    <row r="274" spans="1:16">
      <c r="A274" s="5">
        <v>264</v>
      </c>
      <c r="B274" s="12">
        <v>23.7</v>
      </c>
      <c r="C274" s="12">
        <f t="shared" si="4"/>
        <v>1.98</v>
      </c>
      <c r="D274" s="8">
        <v>0.2046809196472168</v>
      </c>
      <c r="E274" s="5">
        <f>MATCH(D274,'Route Data'!$C$7:$C$8,1)</f>
        <v>2</v>
      </c>
      <c r="F274" s="5">
        <f>INDEX('Route Data'!$D$7:$D$8,E274)</f>
        <v>1</v>
      </c>
      <c r="G274" s="5" t="str">
        <f>INDEX('Route Data'!$A$7:$A$8,E274)</f>
        <v>u18</v>
      </c>
      <c r="H274" s="5">
        <f>EnergyCoeff(INDEX('Route Data'!$K$7:$K$8,E274),INDEX('Route Data'!$L$7:$L$8,E274)*2*PI()/60,INDEX('Route Data'!$F$7:$F$8,E274))</f>
        <v>0.19430699130049439</v>
      </c>
      <c r="I274" s="5">
        <f>DischargeCoeff(INDEX('Route Data'!$I$7:$I$8,E274), INDEX('Route Data'!$L$7:$L$8,E274)*2*PI()/60, INDEX('Route Data'!$F$7:$F$8,E274))</f>
        <v>0.15939200179827354</v>
      </c>
      <c r="J274" s="8">
        <f>FlowAngleRel(INDEX('Route Data'!$J$7:$J$8,E274)*INDEX('Route Data'!$I$7:$I$8,E274), INDEX('Route Data'!$L$7:$L$8,E274)*2*PI()/60, INDEX('Route Data'!$F$7:$F$8,E274),INDEX('Route Data'!$O$7:$O$8,E274), INDEX('Route Data'!$P$7:$P$8,E274),INDEX('Route Data'!$M$7:$M$8,E274))</f>
        <v>1.130811765868994</v>
      </c>
      <c r="K274" s="8">
        <f>FlowAngleAbsT(INDEX('Route Data'!$K$7:$K$8,E274), INDEX('Route Data'!$I$7:$I$8,E274), INDEX('Route Data'!$I$7:$I$8,E274)*INDEX('Route Data'!$J$7:$J$8,E274), INDEX('Route Data'!$L$7:$L$8,E274)*2*PI()/60, INDEX('Route Data'!$F$7:$F$8,E274),INDEX('Route Data'!$O$7:$O$8,E274), INDEX('Route Data'!$P$7:$P$8,E274), INDEX('Route Data'!$H$7:$H$8,E274), INDEX('Route Data'!$Q$7:$Q$8,E274), INDEX('Route Data'!$M$7:$M$8,E274))</f>
        <v>0.51617226640175828</v>
      </c>
      <c r="L274" s="5">
        <f>INDEX('Route Data'!$N$7:$N$8,E274)</f>
        <v>0.4</v>
      </c>
      <c r="M274" s="8">
        <v>0.58817481994628906</v>
      </c>
      <c r="N274" s="8">
        <f>ProbStrikeFrancis(K274, I274, L274, INDEX('Route Data'!$G$7:$G$8,E274),C274, INDEX('Route Data'!$F$7:$F$8,E274), INDEX('Route Data'!$O$7:$O$8,E274), INDEX('Route Data'!$H$7:$H$18,E274))</f>
        <v>1</v>
      </c>
      <c r="O274" s="5" t="str">
        <f>IF(F274&gt;=1,IF(M274&lt;=N274,"STRIKE","pass"),IF(M274&lt;=INDEX('Route Data'!$R$7:$R$8,E274),"NO PASS","pass"))</f>
        <v>STRIKE</v>
      </c>
      <c r="P274" s="5">
        <f>IF(F274&gt;=1,IF(M274&lt;=N274,1,0),IF(M274&lt;=INDEX('Route Data'!$R$7:$R$8,E274),-1,0))</f>
        <v>1</v>
      </c>
    </row>
    <row r="275" spans="1:16">
      <c r="A275" s="5">
        <v>265</v>
      </c>
      <c r="B275" s="12">
        <v>17</v>
      </c>
      <c r="C275" s="12">
        <f t="shared" si="4"/>
        <v>1.42</v>
      </c>
      <c r="D275" s="8">
        <v>0.18995445966720581</v>
      </c>
      <c r="E275" s="5">
        <f>MATCH(D275,'Route Data'!$C$7:$C$8,1)</f>
        <v>2</v>
      </c>
      <c r="F275" s="5">
        <f>INDEX('Route Data'!$D$7:$D$8,E275)</f>
        <v>1</v>
      </c>
      <c r="G275" s="5" t="str">
        <f>INDEX('Route Data'!$A$7:$A$8,E275)</f>
        <v>u18</v>
      </c>
      <c r="H275" s="5">
        <f>EnergyCoeff(INDEX('Route Data'!$K$7:$K$8,E275),INDEX('Route Data'!$L$7:$L$8,E275)*2*PI()/60,INDEX('Route Data'!$F$7:$F$8,E275))</f>
        <v>0.19430699130049439</v>
      </c>
      <c r="I275" s="5">
        <f>DischargeCoeff(INDEX('Route Data'!$I$7:$I$8,E275), INDEX('Route Data'!$L$7:$L$8,E275)*2*PI()/60, INDEX('Route Data'!$F$7:$F$8,E275))</f>
        <v>0.15939200179827354</v>
      </c>
      <c r="J275" s="8">
        <f>FlowAngleRel(INDEX('Route Data'!$J$7:$J$8,E275)*INDEX('Route Data'!$I$7:$I$8,E275), INDEX('Route Data'!$L$7:$L$8,E275)*2*PI()/60, INDEX('Route Data'!$F$7:$F$8,E275),INDEX('Route Data'!$O$7:$O$8,E275), INDEX('Route Data'!$P$7:$P$8,E275),INDEX('Route Data'!$M$7:$M$8,E275))</f>
        <v>1.130811765868994</v>
      </c>
      <c r="K275" s="8">
        <f>FlowAngleAbsT(INDEX('Route Data'!$K$7:$K$8,E275), INDEX('Route Data'!$I$7:$I$8,E275), INDEX('Route Data'!$I$7:$I$8,E275)*INDEX('Route Data'!$J$7:$J$8,E275), INDEX('Route Data'!$L$7:$L$8,E275)*2*PI()/60, INDEX('Route Data'!$F$7:$F$8,E275),INDEX('Route Data'!$O$7:$O$8,E275), INDEX('Route Data'!$P$7:$P$8,E275), INDEX('Route Data'!$H$7:$H$8,E275), INDEX('Route Data'!$Q$7:$Q$8,E275), INDEX('Route Data'!$M$7:$M$8,E275))</f>
        <v>0.51617226640175828</v>
      </c>
      <c r="L275" s="5">
        <f>INDEX('Route Data'!$N$7:$N$8,E275)</f>
        <v>0.4</v>
      </c>
      <c r="M275" s="8">
        <v>0.91525095701217651</v>
      </c>
      <c r="N275" s="8">
        <f>ProbStrikeFrancis(K275, I275, L275, INDEX('Route Data'!$G$7:$G$8,E275),C275, INDEX('Route Data'!$F$7:$F$8,E275), INDEX('Route Data'!$O$7:$O$8,E275), INDEX('Route Data'!$H$7:$H$18,E275))</f>
        <v>1</v>
      </c>
      <c r="O275" s="5" t="str">
        <f>IF(F275&gt;=1,IF(M275&lt;=N275,"STRIKE","pass"),IF(M275&lt;=INDEX('Route Data'!$R$7:$R$8,E275),"NO PASS","pass"))</f>
        <v>STRIKE</v>
      </c>
      <c r="P275" s="5">
        <f>IF(F275&gt;=1,IF(M275&lt;=N275,1,0),IF(M275&lt;=INDEX('Route Data'!$R$7:$R$8,E275),-1,0))</f>
        <v>1</v>
      </c>
    </row>
    <row r="276" spans="1:16">
      <c r="A276" s="5">
        <v>266</v>
      </c>
      <c r="B276" s="12">
        <v>23.52</v>
      </c>
      <c r="C276" s="12">
        <f t="shared" si="4"/>
        <v>1.96</v>
      </c>
      <c r="D276" s="8">
        <v>0.49971306324005127</v>
      </c>
      <c r="E276" s="5">
        <f>MATCH(D276,'Route Data'!$C$7:$C$8,1)</f>
        <v>2</v>
      </c>
      <c r="F276" s="5">
        <f>INDEX('Route Data'!$D$7:$D$8,E276)</f>
        <v>1</v>
      </c>
      <c r="G276" s="5" t="str">
        <f>INDEX('Route Data'!$A$7:$A$8,E276)</f>
        <v>u18</v>
      </c>
      <c r="H276" s="5">
        <f>EnergyCoeff(INDEX('Route Data'!$K$7:$K$8,E276),INDEX('Route Data'!$L$7:$L$8,E276)*2*PI()/60,INDEX('Route Data'!$F$7:$F$8,E276))</f>
        <v>0.19430699130049439</v>
      </c>
      <c r="I276" s="5">
        <f>DischargeCoeff(INDEX('Route Data'!$I$7:$I$8,E276), INDEX('Route Data'!$L$7:$L$8,E276)*2*PI()/60, INDEX('Route Data'!$F$7:$F$8,E276))</f>
        <v>0.15939200179827354</v>
      </c>
      <c r="J276" s="8">
        <f>FlowAngleRel(INDEX('Route Data'!$J$7:$J$8,E276)*INDEX('Route Data'!$I$7:$I$8,E276), INDEX('Route Data'!$L$7:$L$8,E276)*2*PI()/60, INDEX('Route Data'!$F$7:$F$8,E276),INDEX('Route Data'!$O$7:$O$8,E276), INDEX('Route Data'!$P$7:$P$8,E276),INDEX('Route Data'!$M$7:$M$8,E276))</f>
        <v>1.130811765868994</v>
      </c>
      <c r="K276" s="8">
        <f>FlowAngleAbsT(INDEX('Route Data'!$K$7:$K$8,E276), INDEX('Route Data'!$I$7:$I$8,E276), INDEX('Route Data'!$I$7:$I$8,E276)*INDEX('Route Data'!$J$7:$J$8,E276), INDEX('Route Data'!$L$7:$L$8,E276)*2*PI()/60, INDEX('Route Data'!$F$7:$F$8,E276),INDEX('Route Data'!$O$7:$O$8,E276), INDEX('Route Data'!$P$7:$P$8,E276), INDEX('Route Data'!$H$7:$H$8,E276), INDEX('Route Data'!$Q$7:$Q$8,E276), INDEX('Route Data'!$M$7:$M$8,E276))</f>
        <v>0.51617226640175828</v>
      </c>
      <c r="L276" s="5">
        <f>INDEX('Route Data'!$N$7:$N$8,E276)</f>
        <v>0.4</v>
      </c>
      <c r="M276" s="8">
        <v>0.19960176944732666</v>
      </c>
      <c r="N276" s="8">
        <f>ProbStrikeFrancis(K276, I276, L276, INDEX('Route Data'!$G$7:$G$8,E276),C276, INDEX('Route Data'!$F$7:$F$8,E276), INDEX('Route Data'!$O$7:$O$8,E276), INDEX('Route Data'!$H$7:$H$18,E276))</f>
        <v>1</v>
      </c>
      <c r="O276" s="5" t="str">
        <f>IF(F276&gt;=1,IF(M276&lt;=N276,"STRIKE","pass"),IF(M276&lt;=INDEX('Route Data'!$R$7:$R$8,E276),"NO PASS","pass"))</f>
        <v>STRIKE</v>
      </c>
      <c r="P276" s="5">
        <f>IF(F276&gt;=1,IF(M276&lt;=N276,1,0),IF(M276&lt;=INDEX('Route Data'!$R$7:$R$8,E276),-1,0))</f>
        <v>1</v>
      </c>
    </row>
    <row r="277" spans="1:16">
      <c r="A277" s="5">
        <v>267</v>
      </c>
      <c r="B277" s="12">
        <v>18.510000000000002</v>
      </c>
      <c r="C277" s="12">
        <f t="shared" si="4"/>
        <v>1.54</v>
      </c>
      <c r="D277" s="8">
        <v>0.30485802888870239</v>
      </c>
      <c r="E277" s="5">
        <f>MATCH(D277,'Route Data'!$C$7:$C$8,1)</f>
        <v>2</v>
      </c>
      <c r="F277" s="5">
        <f>INDEX('Route Data'!$D$7:$D$8,E277)</f>
        <v>1</v>
      </c>
      <c r="G277" s="5" t="str">
        <f>INDEX('Route Data'!$A$7:$A$8,E277)</f>
        <v>u18</v>
      </c>
      <c r="H277" s="5">
        <f>EnergyCoeff(INDEX('Route Data'!$K$7:$K$8,E277),INDEX('Route Data'!$L$7:$L$8,E277)*2*PI()/60,INDEX('Route Data'!$F$7:$F$8,E277))</f>
        <v>0.19430699130049439</v>
      </c>
      <c r="I277" s="5">
        <f>DischargeCoeff(INDEX('Route Data'!$I$7:$I$8,E277), INDEX('Route Data'!$L$7:$L$8,E277)*2*PI()/60, INDEX('Route Data'!$F$7:$F$8,E277))</f>
        <v>0.15939200179827354</v>
      </c>
      <c r="J277" s="8">
        <f>FlowAngleRel(INDEX('Route Data'!$J$7:$J$8,E277)*INDEX('Route Data'!$I$7:$I$8,E277), INDEX('Route Data'!$L$7:$L$8,E277)*2*PI()/60, INDEX('Route Data'!$F$7:$F$8,E277),INDEX('Route Data'!$O$7:$O$8,E277), INDEX('Route Data'!$P$7:$P$8,E277),INDEX('Route Data'!$M$7:$M$8,E277))</f>
        <v>1.130811765868994</v>
      </c>
      <c r="K277" s="8">
        <f>FlowAngleAbsT(INDEX('Route Data'!$K$7:$K$8,E277), INDEX('Route Data'!$I$7:$I$8,E277), INDEX('Route Data'!$I$7:$I$8,E277)*INDEX('Route Data'!$J$7:$J$8,E277), INDEX('Route Data'!$L$7:$L$8,E277)*2*PI()/60, INDEX('Route Data'!$F$7:$F$8,E277),INDEX('Route Data'!$O$7:$O$8,E277), INDEX('Route Data'!$P$7:$P$8,E277), INDEX('Route Data'!$H$7:$H$8,E277), INDEX('Route Data'!$Q$7:$Q$8,E277), INDEX('Route Data'!$M$7:$M$8,E277))</f>
        <v>0.51617226640175828</v>
      </c>
      <c r="L277" s="5">
        <f>INDEX('Route Data'!$N$7:$N$8,E277)</f>
        <v>0.4</v>
      </c>
      <c r="M277" s="8">
        <v>0.34654933214187622</v>
      </c>
      <c r="N277" s="8">
        <f>ProbStrikeFrancis(K277, I277, L277, INDEX('Route Data'!$G$7:$G$8,E277),C277, INDEX('Route Data'!$F$7:$F$8,E277), INDEX('Route Data'!$O$7:$O$8,E277), INDEX('Route Data'!$H$7:$H$18,E277))</f>
        <v>1</v>
      </c>
      <c r="O277" s="5" t="str">
        <f>IF(F277&gt;=1,IF(M277&lt;=N277,"STRIKE","pass"),IF(M277&lt;=INDEX('Route Data'!$R$7:$R$8,E277),"NO PASS","pass"))</f>
        <v>STRIKE</v>
      </c>
      <c r="P277" s="5">
        <f>IF(F277&gt;=1,IF(M277&lt;=N277,1,0),IF(M277&lt;=INDEX('Route Data'!$R$7:$R$8,E277),-1,0))</f>
        <v>1</v>
      </c>
    </row>
    <row r="278" spans="1:16">
      <c r="A278" s="5">
        <v>268</v>
      </c>
      <c r="B278" s="12">
        <v>22.01</v>
      </c>
      <c r="C278" s="12">
        <f t="shared" si="4"/>
        <v>1.83</v>
      </c>
      <c r="D278" s="8">
        <v>0.35826468467712402</v>
      </c>
      <c r="E278" s="5">
        <f>MATCH(D278,'Route Data'!$C$7:$C$8,1)</f>
        <v>2</v>
      </c>
      <c r="F278" s="5">
        <f>INDEX('Route Data'!$D$7:$D$8,E278)</f>
        <v>1</v>
      </c>
      <c r="G278" s="5" t="str">
        <f>INDEX('Route Data'!$A$7:$A$8,E278)</f>
        <v>u18</v>
      </c>
      <c r="H278" s="5">
        <f>EnergyCoeff(INDEX('Route Data'!$K$7:$K$8,E278),INDEX('Route Data'!$L$7:$L$8,E278)*2*PI()/60,INDEX('Route Data'!$F$7:$F$8,E278))</f>
        <v>0.19430699130049439</v>
      </c>
      <c r="I278" s="5">
        <f>DischargeCoeff(INDEX('Route Data'!$I$7:$I$8,E278), INDEX('Route Data'!$L$7:$L$8,E278)*2*PI()/60, INDEX('Route Data'!$F$7:$F$8,E278))</f>
        <v>0.15939200179827354</v>
      </c>
      <c r="J278" s="8">
        <f>FlowAngleRel(INDEX('Route Data'!$J$7:$J$8,E278)*INDEX('Route Data'!$I$7:$I$8,E278), INDEX('Route Data'!$L$7:$L$8,E278)*2*PI()/60, INDEX('Route Data'!$F$7:$F$8,E278),INDEX('Route Data'!$O$7:$O$8,E278), INDEX('Route Data'!$P$7:$P$8,E278),INDEX('Route Data'!$M$7:$M$8,E278))</f>
        <v>1.130811765868994</v>
      </c>
      <c r="K278" s="8">
        <f>FlowAngleAbsT(INDEX('Route Data'!$K$7:$K$8,E278), INDEX('Route Data'!$I$7:$I$8,E278), INDEX('Route Data'!$I$7:$I$8,E278)*INDEX('Route Data'!$J$7:$J$8,E278), INDEX('Route Data'!$L$7:$L$8,E278)*2*PI()/60, INDEX('Route Data'!$F$7:$F$8,E278),INDEX('Route Data'!$O$7:$O$8,E278), INDEX('Route Data'!$P$7:$P$8,E278), INDEX('Route Data'!$H$7:$H$8,E278), INDEX('Route Data'!$Q$7:$Q$8,E278), INDEX('Route Data'!$M$7:$M$8,E278))</f>
        <v>0.51617226640175828</v>
      </c>
      <c r="L278" s="5">
        <f>INDEX('Route Data'!$N$7:$N$8,E278)</f>
        <v>0.4</v>
      </c>
      <c r="M278" s="8">
        <v>0.37454819679260254</v>
      </c>
      <c r="N278" s="8">
        <f>ProbStrikeFrancis(K278, I278, L278, INDEX('Route Data'!$G$7:$G$8,E278),C278, INDEX('Route Data'!$F$7:$F$8,E278), INDEX('Route Data'!$O$7:$O$8,E278), INDEX('Route Data'!$H$7:$H$18,E278))</f>
        <v>1</v>
      </c>
      <c r="O278" s="5" t="str">
        <f>IF(F278&gt;=1,IF(M278&lt;=N278,"STRIKE","pass"),IF(M278&lt;=INDEX('Route Data'!$R$7:$R$8,E278),"NO PASS","pass"))</f>
        <v>STRIKE</v>
      </c>
      <c r="P278" s="5">
        <f>IF(F278&gt;=1,IF(M278&lt;=N278,1,0),IF(M278&lt;=INDEX('Route Data'!$R$7:$R$8,E278),-1,0))</f>
        <v>1</v>
      </c>
    </row>
    <row r="279" spans="1:16">
      <c r="A279" s="5">
        <v>269</v>
      </c>
      <c r="B279" s="12">
        <v>23.87</v>
      </c>
      <c r="C279" s="12">
        <f t="shared" si="4"/>
        <v>1.99</v>
      </c>
      <c r="D279" s="8">
        <v>0.19804471731185913</v>
      </c>
      <c r="E279" s="5">
        <f>MATCH(D279,'Route Data'!$C$7:$C$8,1)</f>
        <v>2</v>
      </c>
      <c r="F279" s="5">
        <f>INDEX('Route Data'!$D$7:$D$8,E279)</f>
        <v>1</v>
      </c>
      <c r="G279" s="5" t="str">
        <f>INDEX('Route Data'!$A$7:$A$8,E279)</f>
        <v>u18</v>
      </c>
      <c r="H279" s="5">
        <f>EnergyCoeff(INDEX('Route Data'!$K$7:$K$8,E279),INDEX('Route Data'!$L$7:$L$8,E279)*2*PI()/60,INDEX('Route Data'!$F$7:$F$8,E279))</f>
        <v>0.19430699130049439</v>
      </c>
      <c r="I279" s="5">
        <f>DischargeCoeff(INDEX('Route Data'!$I$7:$I$8,E279), INDEX('Route Data'!$L$7:$L$8,E279)*2*PI()/60, INDEX('Route Data'!$F$7:$F$8,E279))</f>
        <v>0.15939200179827354</v>
      </c>
      <c r="J279" s="8">
        <f>FlowAngleRel(INDEX('Route Data'!$J$7:$J$8,E279)*INDEX('Route Data'!$I$7:$I$8,E279), INDEX('Route Data'!$L$7:$L$8,E279)*2*PI()/60, INDEX('Route Data'!$F$7:$F$8,E279),INDEX('Route Data'!$O$7:$O$8,E279), INDEX('Route Data'!$P$7:$P$8,E279),INDEX('Route Data'!$M$7:$M$8,E279))</f>
        <v>1.130811765868994</v>
      </c>
      <c r="K279" s="8">
        <f>FlowAngleAbsT(INDEX('Route Data'!$K$7:$K$8,E279), INDEX('Route Data'!$I$7:$I$8,E279), INDEX('Route Data'!$I$7:$I$8,E279)*INDEX('Route Data'!$J$7:$J$8,E279), INDEX('Route Data'!$L$7:$L$8,E279)*2*PI()/60, INDEX('Route Data'!$F$7:$F$8,E279),INDEX('Route Data'!$O$7:$O$8,E279), INDEX('Route Data'!$P$7:$P$8,E279), INDEX('Route Data'!$H$7:$H$8,E279), INDEX('Route Data'!$Q$7:$Q$8,E279), INDEX('Route Data'!$M$7:$M$8,E279))</f>
        <v>0.51617226640175828</v>
      </c>
      <c r="L279" s="5">
        <f>INDEX('Route Data'!$N$7:$N$8,E279)</f>
        <v>0.4</v>
      </c>
      <c r="M279" s="8">
        <v>0.55613082647323608</v>
      </c>
      <c r="N279" s="8">
        <f>ProbStrikeFrancis(K279, I279, L279, INDEX('Route Data'!$G$7:$G$8,E279),C279, INDEX('Route Data'!$F$7:$F$8,E279), INDEX('Route Data'!$O$7:$O$8,E279), INDEX('Route Data'!$H$7:$H$18,E279))</f>
        <v>1</v>
      </c>
      <c r="O279" s="5" t="str">
        <f>IF(F279&gt;=1,IF(M279&lt;=N279,"STRIKE","pass"),IF(M279&lt;=INDEX('Route Data'!$R$7:$R$8,E279),"NO PASS","pass"))</f>
        <v>STRIKE</v>
      </c>
      <c r="P279" s="5">
        <f>IF(F279&gt;=1,IF(M279&lt;=N279,1,0),IF(M279&lt;=INDEX('Route Data'!$R$7:$R$8,E279),-1,0))</f>
        <v>1</v>
      </c>
    </row>
    <row r="280" spans="1:16">
      <c r="A280" s="5">
        <v>270</v>
      </c>
      <c r="B280" s="12">
        <v>22.04</v>
      </c>
      <c r="C280" s="12">
        <f t="shared" si="4"/>
        <v>1.84</v>
      </c>
      <c r="D280" s="8">
        <v>0.67870461940765381</v>
      </c>
      <c r="E280" s="5">
        <f>MATCH(D280,'Route Data'!$C$7:$C$8,1)</f>
        <v>2</v>
      </c>
      <c r="F280" s="5">
        <f>INDEX('Route Data'!$D$7:$D$8,E280)</f>
        <v>1</v>
      </c>
      <c r="G280" s="5" t="str">
        <f>INDEX('Route Data'!$A$7:$A$8,E280)</f>
        <v>u18</v>
      </c>
      <c r="H280" s="5">
        <f>EnergyCoeff(INDEX('Route Data'!$K$7:$K$8,E280),INDEX('Route Data'!$L$7:$L$8,E280)*2*PI()/60,INDEX('Route Data'!$F$7:$F$8,E280))</f>
        <v>0.19430699130049439</v>
      </c>
      <c r="I280" s="5">
        <f>DischargeCoeff(INDEX('Route Data'!$I$7:$I$8,E280), INDEX('Route Data'!$L$7:$L$8,E280)*2*PI()/60, INDEX('Route Data'!$F$7:$F$8,E280))</f>
        <v>0.15939200179827354</v>
      </c>
      <c r="J280" s="8">
        <f>FlowAngleRel(INDEX('Route Data'!$J$7:$J$8,E280)*INDEX('Route Data'!$I$7:$I$8,E280), INDEX('Route Data'!$L$7:$L$8,E280)*2*PI()/60, INDEX('Route Data'!$F$7:$F$8,E280),INDEX('Route Data'!$O$7:$O$8,E280), INDEX('Route Data'!$P$7:$P$8,E280),INDEX('Route Data'!$M$7:$M$8,E280))</f>
        <v>1.130811765868994</v>
      </c>
      <c r="K280" s="8">
        <f>FlowAngleAbsT(INDEX('Route Data'!$K$7:$K$8,E280), INDEX('Route Data'!$I$7:$I$8,E280), INDEX('Route Data'!$I$7:$I$8,E280)*INDEX('Route Data'!$J$7:$J$8,E280), INDEX('Route Data'!$L$7:$L$8,E280)*2*PI()/60, INDEX('Route Data'!$F$7:$F$8,E280),INDEX('Route Data'!$O$7:$O$8,E280), INDEX('Route Data'!$P$7:$P$8,E280), INDEX('Route Data'!$H$7:$H$8,E280), INDEX('Route Data'!$Q$7:$Q$8,E280), INDEX('Route Data'!$M$7:$M$8,E280))</f>
        <v>0.51617226640175828</v>
      </c>
      <c r="L280" s="5">
        <f>INDEX('Route Data'!$N$7:$N$8,E280)</f>
        <v>0.4</v>
      </c>
      <c r="M280" s="8">
        <v>1.1382937431335449E-2</v>
      </c>
      <c r="N280" s="8">
        <f>ProbStrikeFrancis(K280, I280, L280, INDEX('Route Data'!$G$7:$G$8,E280),C280, INDEX('Route Data'!$F$7:$F$8,E280), INDEX('Route Data'!$O$7:$O$8,E280), INDEX('Route Data'!$H$7:$H$18,E280))</f>
        <v>1</v>
      </c>
      <c r="O280" s="5" t="str">
        <f>IF(F280&gt;=1,IF(M280&lt;=N280,"STRIKE","pass"),IF(M280&lt;=INDEX('Route Data'!$R$7:$R$8,E280),"NO PASS","pass"))</f>
        <v>STRIKE</v>
      </c>
      <c r="P280" s="5">
        <f>IF(F280&gt;=1,IF(M280&lt;=N280,1,0),IF(M280&lt;=INDEX('Route Data'!$R$7:$R$8,E280),-1,0))</f>
        <v>1</v>
      </c>
    </row>
    <row r="281" spans="1:16">
      <c r="A281" s="5">
        <v>271</v>
      </c>
      <c r="B281" s="12">
        <v>21.65</v>
      </c>
      <c r="C281" s="12">
        <f t="shared" si="4"/>
        <v>1.8</v>
      </c>
      <c r="D281" s="8">
        <v>0.23672491312026978</v>
      </c>
      <c r="E281" s="5">
        <f>MATCH(D281,'Route Data'!$C$7:$C$8,1)</f>
        <v>2</v>
      </c>
      <c r="F281" s="5">
        <f>INDEX('Route Data'!$D$7:$D$8,E281)</f>
        <v>1</v>
      </c>
      <c r="G281" s="5" t="str">
        <f>INDEX('Route Data'!$A$7:$A$8,E281)</f>
        <v>u18</v>
      </c>
      <c r="H281" s="5">
        <f>EnergyCoeff(INDEX('Route Data'!$K$7:$K$8,E281),INDEX('Route Data'!$L$7:$L$8,E281)*2*PI()/60,INDEX('Route Data'!$F$7:$F$8,E281))</f>
        <v>0.19430699130049439</v>
      </c>
      <c r="I281" s="5">
        <f>DischargeCoeff(INDEX('Route Data'!$I$7:$I$8,E281), INDEX('Route Data'!$L$7:$L$8,E281)*2*PI()/60, INDEX('Route Data'!$F$7:$F$8,E281))</f>
        <v>0.15939200179827354</v>
      </c>
      <c r="J281" s="8">
        <f>FlowAngleRel(INDEX('Route Data'!$J$7:$J$8,E281)*INDEX('Route Data'!$I$7:$I$8,E281), INDEX('Route Data'!$L$7:$L$8,E281)*2*PI()/60, INDEX('Route Data'!$F$7:$F$8,E281),INDEX('Route Data'!$O$7:$O$8,E281), INDEX('Route Data'!$P$7:$P$8,E281),INDEX('Route Data'!$M$7:$M$8,E281))</f>
        <v>1.130811765868994</v>
      </c>
      <c r="K281" s="8">
        <f>FlowAngleAbsT(INDEX('Route Data'!$K$7:$K$8,E281), INDEX('Route Data'!$I$7:$I$8,E281), INDEX('Route Data'!$I$7:$I$8,E281)*INDEX('Route Data'!$J$7:$J$8,E281), INDEX('Route Data'!$L$7:$L$8,E281)*2*PI()/60, INDEX('Route Data'!$F$7:$F$8,E281),INDEX('Route Data'!$O$7:$O$8,E281), INDEX('Route Data'!$P$7:$P$8,E281), INDEX('Route Data'!$H$7:$H$8,E281), INDEX('Route Data'!$Q$7:$Q$8,E281), INDEX('Route Data'!$M$7:$M$8,E281))</f>
        <v>0.51617226640175828</v>
      </c>
      <c r="L281" s="5">
        <f>INDEX('Route Data'!$N$7:$N$8,E281)</f>
        <v>0.4</v>
      </c>
      <c r="M281" s="8">
        <v>0.91120582818984985</v>
      </c>
      <c r="N281" s="8">
        <f>ProbStrikeFrancis(K281, I281, L281, INDEX('Route Data'!$G$7:$G$8,E281),C281, INDEX('Route Data'!$F$7:$F$8,E281), INDEX('Route Data'!$O$7:$O$8,E281), INDEX('Route Data'!$H$7:$H$18,E281))</f>
        <v>1</v>
      </c>
      <c r="O281" s="5" t="str">
        <f>IF(F281&gt;=1,IF(M281&lt;=N281,"STRIKE","pass"),IF(M281&lt;=INDEX('Route Data'!$R$7:$R$8,E281),"NO PASS","pass"))</f>
        <v>STRIKE</v>
      </c>
      <c r="P281" s="5">
        <f>IF(F281&gt;=1,IF(M281&lt;=N281,1,0),IF(M281&lt;=INDEX('Route Data'!$R$7:$R$8,E281),-1,0))</f>
        <v>1</v>
      </c>
    </row>
    <row r="282" spans="1:16">
      <c r="A282" s="5">
        <v>272</v>
      </c>
      <c r="B282" s="12">
        <v>20.65</v>
      </c>
      <c r="C282" s="12">
        <f t="shared" si="4"/>
        <v>1.72</v>
      </c>
      <c r="D282" s="8">
        <v>0.82824325561523438</v>
      </c>
      <c r="E282" s="5">
        <f>MATCH(D282,'Route Data'!$C$7:$C$8,1)</f>
        <v>2</v>
      </c>
      <c r="F282" s="5">
        <f>INDEX('Route Data'!$D$7:$D$8,E282)</f>
        <v>1</v>
      </c>
      <c r="G282" s="5" t="str">
        <f>INDEX('Route Data'!$A$7:$A$8,E282)</f>
        <v>u18</v>
      </c>
      <c r="H282" s="5">
        <f>EnergyCoeff(INDEX('Route Data'!$K$7:$K$8,E282),INDEX('Route Data'!$L$7:$L$8,E282)*2*PI()/60,INDEX('Route Data'!$F$7:$F$8,E282))</f>
        <v>0.19430699130049439</v>
      </c>
      <c r="I282" s="5">
        <f>DischargeCoeff(INDEX('Route Data'!$I$7:$I$8,E282), INDEX('Route Data'!$L$7:$L$8,E282)*2*PI()/60, INDEX('Route Data'!$F$7:$F$8,E282))</f>
        <v>0.15939200179827354</v>
      </c>
      <c r="J282" s="8">
        <f>FlowAngleRel(INDEX('Route Data'!$J$7:$J$8,E282)*INDEX('Route Data'!$I$7:$I$8,E282), INDEX('Route Data'!$L$7:$L$8,E282)*2*PI()/60, INDEX('Route Data'!$F$7:$F$8,E282),INDEX('Route Data'!$O$7:$O$8,E282), INDEX('Route Data'!$P$7:$P$8,E282),INDEX('Route Data'!$M$7:$M$8,E282))</f>
        <v>1.130811765868994</v>
      </c>
      <c r="K282" s="8">
        <f>FlowAngleAbsT(INDEX('Route Data'!$K$7:$K$8,E282), INDEX('Route Data'!$I$7:$I$8,E282), INDEX('Route Data'!$I$7:$I$8,E282)*INDEX('Route Data'!$J$7:$J$8,E282), INDEX('Route Data'!$L$7:$L$8,E282)*2*PI()/60, INDEX('Route Data'!$F$7:$F$8,E282),INDEX('Route Data'!$O$7:$O$8,E282), INDEX('Route Data'!$P$7:$P$8,E282), INDEX('Route Data'!$H$7:$H$8,E282), INDEX('Route Data'!$Q$7:$Q$8,E282), INDEX('Route Data'!$M$7:$M$8,E282))</f>
        <v>0.51617226640175828</v>
      </c>
      <c r="L282" s="5">
        <f>INDEX('Route Data'!$N$7:$N$8,E282)</f>
        <v>0.4</v>
      </c>
      <c r="M282" s="8">
        <v>0.47731637954711914</v>
      </c>
      <c r="N282" s="8">
        <f>ProbStrikeFrancis(K282, I282, L282, INDEX('Route Data'!$G$7:$G$8,E282),C282, INDEX('Route Data'!$F$7:$F$8,E282), INDEX('Route Data'!$O$7:$O$8,E282), INDEX('Route Data'!$H$7:$H$18,E282))</f>
        <v>1</v>
      </c>
      <c r="O282" s="5" t="str">
        <f>IF(F282&gt;=1,IF(M282&lt;=N282,"STRIKE","pass"),IF(M282&lt;=INDEX('Route Data'!$R$7:$R$8,E282),"NO PASS","pass"))</f>
        <v>STRIKE</v>
      </c>
      <c r="P282" s="5">
        <f>IF(F282&gt;=1,IF(M282&lt;=N282,1,0),IF(M282&lt;=INDEX('Route Data'!$R$7:$R$8,E282),-1,0))</f>
        <v>1</v>
      </c>
    </row>
    <row r="283" spans="1:16">
      <c r="A283" s="5">
        <v>273</v>
      </c>
      <c r="B283" s="12">
        <v>23.5</v>
      </c>
      <c r="C283" s="12">
        <f t="shared" si="4"/>
        <v>1.96</v>
      </c>
      <c r="D283" s="8">
        <v>0.78810900449752808</v>
      </c>
      <c r="E283" s="5">
        <f>MATCH(D283,'Route Data'!$C$7:$C$8,1)</f>
        <v>2</v>
      </c>
      <c r="F283" s="5">
        <f>INDEX('Route Data'!$D$7:$D$8,E283)</f>
        <v>1</v>
      </c>
      <c r="G283" s="5" t="str">
        <f>INDEX('Route Data'!$A$7:$A$8,E283)</f>
        <v>u18</v>
      </c>
      <c r="H283" s="5">
        <f>EnergyCoeff(INDEX('Route Data'!$K$7:$K$8,E283),INDEX('Route Data'!$L$7:$L$8,E283)*2*PI()/60,INDEX('Route Data'!$F$7:$F$8,E283))</f>
        <v>0.19430699130049439</v>
      </c>
      <c r="I283" s="5">
        <f>DischargeCoeff(INDEX('Route Data'!$I$7:$I$8,E283), INDEX('Route Data'!$L$7:$L$8,E283)*2*PI()/60, INDEX('Route Data'!$F$7:$F$8,E283))</f>
        <v>0.15939200179827354</v>
      </c>
      <c r="J283" s="8">
        <f>FlowAngleRel(INDEX('Route Data'!$J$7:$J$8,E283)*INDEX('Route Data'!$I$7:$I$8,E283), INDEX('Route Data'!$L$7:$L$8,E283)*2*PI()/60, INDEX('Route Data'!$F$7:$F$8,E283),INDEX('Route Data'!$O$7:$O$8,E283), INDEX('Route Data'!$P$7:$P$8,E283),INDEX('Route Data'!$M$7:$M$8,E283))</f>
        <v>1.130811765868994</v>
      </c>
      <c r="K283" s="8">
        <f>FlowAngleAbsT(INDEX('Route Data'!$K$7:$K$8,E283), INDEX('Route Data'!$I$7:$I$8,E283), INDEX('Route Data'!$I$7:$I$8,E283)*INDEX('Route Data'!$J$7:$J$8,E283), INDEX('Route Data'!$L$7:$L$8,E283)*2*PI()/60, INDEX('Route Data'!$F$7:$F$8,E283),INDEX('Route Data'!$O$7:$O$8,E283), INDEX('Route Data'!$P$7:$P$8,E283), INDEX('Route Data'!$H$7:$H$8,E283), INDEX('Route Data'!$Q$7:$Q$8,E283), INDEX('Route Data'!$M$7:$M$8,E283))</f>
        <v>0.51617226640175828</v>
      </c>
      <c r="L283" s="5">
        <f>INDEX('Route Data'!$N$7:$N$8,E283)</f>
        <v>0.4</v>
      </c>
      <c r="M283" s="8">
        <v>0.51340550184249878</v>
      </c>
      <c r="N283" s="8">
        <f>ProbStrikeFrancis(K283, I283, L283, INDEX('Route Data'!$G$7:$G$8,E283),C283, INDEX('Route Data'!$F$7:$F$8,E283), INDEX('Route Data'!$O$7:$O$8,E283), INDEX('Route Data'!$H$7:$H$18,E283))</f>
        <v>1</v>
      </c>
      <c r="O283" s="5" t="str">
        <f>IF(F283&gt;=1,IF(M283&lt;=N283,"STRIKE","pass"),IF(M283&lt;=INDEX('Route Data'!$R$7:$R$8,E283),"NO PASS","pass"))</f>
        <v>STRIKE</v>
      </c>
      <c r="P283" s="5">
        <f>IF(F283&gt;=1,IF(M283&lt;=N283,1,0),IF(M283&lt;=INDEX('Route Data'!$R$7:$R$8,E283),-1,0))</f>
        <v>1</v>
      </c>
    </row>
    <row r="284" spans="1:16">
      <c r="A284" s="5">
        <v>274</v>
      </c>
      <c r="B284" s="12">
        <v>23.04</v>
      </c>
      <c r="C284" s="12">
        <f t="shared" si="4"/>
        <v>1.92</v>
      </c>
      <c r="D284" s="8">
        <v>0.43967020511627197</v>
      </c>
      <c r="E284" s="5">
        <f>MATCH(D284,'Route Data'!$C$7:$C$8,1)</f>
        <v>2</v>
      </c>
      <c r="F284" s="5">
        <f>INDEX('Route Data'!$D$7:$D$8,E284)</f>
        <v>1</v>
      </c>
      <c r="G284" s="5" t="str">
        <f>INDEX('Route Data'!$A$7:$A$8,E284)</f>
        <v>u18</v>
      </c>
      <c r="H284" s="5">
        <f>EnergyCoeff(INDEX('Route Data'!$K$7:$K$8,E284),INDEX('Route Data'!$L$7:$L$8,E284)*2*PI()/60,INDEX('Route Data'!$F$7:$F$8,E284))</f>
        <v>0.19430699130049439</v>
      </c>
      <c r="I284" s="5">
        <f>DischargeCoeff(INDEX('Route Data'!$I$7:$I$8,E284), INDEX('Route Data'!$L$7:$L$8,E284)*2*PI()/60, INDEX('Route Data'!$F$7:$F$8,E284))</f>
        <v>0.15939200179827354</v>
      </c>
      <c r="J284" s="8">
        <f>FlowAngleRel(INDEX('Route Data'!$J$7:$J$8,E284)*INDEX('Route Data'!$I$7:$I$8,E284), INDEX('Route Data'!$L$7:$L$8,E284)*2*PI()/60, INDEX('Route Data'!$F$7:$F$8,E284),INDEX('Route Data'!$O$7:$O$8,E284), INDEX('Route Data'!$P$7:$P$8,E284),INDEX('Route Data'!$M$7:$M$8,E284))</f>
        <v>1.130811765868994</v>
      </c>
      <c r="K284" s="8">
        <f>FlowAngleAbsT(INDEX('Route Data'!$K$7:$K$8,E284), INDEX('Route Data'!$I$7:$I$8,E284), INDEX('Route Data'!$I$7:$I$8,E284)*INDEX('Route Data'!$J$7:$J$8,E284), INDEX('Route Data'!$L$7:$L$8,E284)*2*PI()/60, INDEX('Route Data'!$F$7:$F$8,E284),INDEX('Route Data'!$O$7:$O$8,E284), INDEX('Route Data'!$P$7:$P$8,E284), INDEX('Route Data'!$H$7:$H$8,E284), INDEX('Route Data'!$Q$7:$Q$8,E284), INDEX('Route Data'!$M$7:$M$8,E284))</f>
        <v>0.51617226640175828</v>
      </c>
      <c r="L284" s="5">
        <f>INDEX('Route Data'!$N$7:$N$8,E284)</f>
        <v>0.4</v>
      </c>
      <c r="M284" s="8">
        <v>0.13955891132354736</v>
      </c>
      <c r="N284" s="8">
        <f>ProbStrikeFrancis(K284, I284, L284, INDEX('Route Data'!$G$7:$G$8,E284),C284, INDEX('Route Data'!$F$7:$F$8,E284), INDEX('Route Data'!$O$7:$O$8,E284), INDEX('Route Data'!$H$7:$H$18,E284))</f>
        <v>1</v>
      </c>
      <c r="O284" s="5" t="str">
        <f>IF(F284&gt;=1,IF(M284&lt;=N284,"STRIKE","pass"),IF(M284&lt;=INDEX('Route Data'!$R$7:$R$8,E284),"NO PASS","pass"))</f>
        <v>STRIKE</v>
      </c>
      <c r="P284" s="5">
        <f>IF(F284&gt;=1,IF(M284&lt;=N284,1,0),IF(M284&lt;=INDEX('Route Data'!$R$7:$R$8,E284),-1,0))</f>
        <v>1</v>
      </c>
    </row>
    <row r="285" spans="1:16">
      <c r="A285" s="5">
        <v>275</v>
      </c>
      <c r="B285" s="12">
        <v>16</v>
      </c>
      <c r="C285" s="12">
        <f t="shared" si="4"/>
        <v>1.33</v>
      </c>
      <c r="D285" s="8">
        <v>0.21940737962722778</v>
      </c>
      <c r="E285" s="5">
        <f>MATCH(D285,'Route Data'!$C$7:$C$8,1)</f>
        <v>2</v>
      </c>
      <c r="F285" s="5">
        <f>INDEX('Route Data'!$D$7:$D$8,E285)</f>
        <v>1</v>
      </c>
      <c r="G285" s="5" t="str">
        <f>INDEX('Route Data'!$A$7:$A$8,E285)</f>
        <v>u18</v>
      </c>
      <c r="H285" s="5">
        <f>EnergyCoeff(INDEX('Route Data'!$K$7:$K$8,E285),INDEX('Route Data'!$L$7:$L$8,E285)*2*PI()/60,INDEX('Route Data'!$F$7:$F$8,E285))</f>
        <v>0.19430699130049439</v>
      </c>
      <c r="I285" s="5">
        <f>DischargeCoeff(INDEX('Route Data'!$I$7:$I$8,E285), INDEX('Route Data'!$L$7:$L$8,E285)*2*PI()/60, INDEX('Route Data'!$F$7:$F$8,E285))</f>
        <v>0.15939200179827354</v>
      </c>
      <c r="J285" s="8">
        <f>FlowAngleRel(INDEX('Route Data'!$J$7:$J$8,E285)*INDEX('Route Data'!$I$7:$I$8,E285), INDEX('Route Data'!$L$7:$L$8,E285)*2*PI()/60, INDEX('Route Data'!$F$7:$F$8,E285),INDEX('Route Data'!$O$7:$O$8,E285), INDEX('Route Data'!$P$7:$P$8,E285),INDEX('Route Data'!$M$7:$M$8,E285))</f>
        <v>1.130811765868994</v>
      </c>
      <c r="K285" s="8">
        <f>FlowAngleAbsT(INDEX('Route Data'!$K$7:$K$8,E285), INDEX('Route Data'!$I$7:$I$8,E285), INDEX('Route Data'!$I$7:$I$8,E285)*INDEX('Route Data'!$J$7:$J$8,E285), INDEX('Route Data'!$L$7:$L$8,E285)*2*PI()/60, INDEX('Route Data'!$F$7:$F$8,E285),INDEX('Route Data'!$O$7:$O$8,E285), INDEX('Route Data'!$P$7:$P$8,E285), INDEX('Route Data'!$H$7:$H$8,E285), INDEX('Route Data'!$Q$7:$Q$8,E285), INDEX('Route Data'!$M$7:$M$8,E285))</f>
        <v>0.51617226640175828</v>
      </c>
      <c r="L285" s="5">
        <f>INDEX('Route Data'!$N$7:$N$8,E285)</f>
        <v>0.4</v>
      </c>
      <c r="M285" s="8">
        <v>0.26109868288040161</v>
      </c>
      <c r="N285" s="8">
        <f>ProbStrikeFrancis(K285, I285, L285, INDEX('Route Data'!$G$7:$G$8,E285),C285, INDEX('Route Data'!$F$7:$F$8,E285), INDEX('Route Data'!$O$7:$O$8,E285), INDEX('Route Data'!$H$7:$H$18,E285))</f>
        <v>1</v>
      </c>
      <c r="O285" s="5" t="str">
        <f>IF(F285&gt;=1,IF(M285&lt;=N285,"STRIKE","pass"),IF(M285&lt;=INDEX('Route Data'!$R$7:$R$8,E285),"NO PASS","pass"))</f>
        <v>STRIKE</v>
      </c>
      <c r="P285" s="5">
        <f>IF(F285&gt;=1,IF(M285&lt;=N285,1,0),IF(M285&lt;=INDEX('Route Data'!$R$7:$R$8,E285),-1,0))</f>
        <v>1</v>
      </c>
    </row>
    <row r="286" spans="1:16">
      <c r="A286" s="5">
        <v>276</v>
      </c>
      <c r="B286" s="12">
        <v>24.08</v>
      </c>
      <c r="C286" s="12">
        <f t="shared" si="4"/>
        <v>2.0099999999999998</v>
      </c>
      <c r="D286" s="8">
        <v>0.61461663246154785</v>
      </c>
      <c r="E286" s="5">
        <f>MATCH(D286,'Route Data'!$C$7:$C$8,1)</f>
        <v>2</v>
      </c>
      <c r="F286" s="5">
        <f>INDEX('Route Data'!$D$7:$D$8,E286)</f>
        <v>1</v>
      </c>
      <c r="G286" s="5" t="str">
        <f>INDEX('Route Data'!$A$7:$A$8,E286)</f>
        <v>u18</v>
      </c>
      <c r="H286" s="5">
        <f>EnergyCoeff(INDEX('Route Data'!$K$7:$K$8,E286),INDEX('Route Data'!$L$7:$L$8,E286)*2*PI()/60,INDEX('Route Data'!$F$7:$F$8,E286))</f>
        <v>0.19430699130049439</v>
      </c>
      <c r="I286" s="5">
        <f>DischargeCoeff(INDEX('Route Data'!$I$7:$I$8,E286), INDEX('Route Data'!$L$7:$L$8,E286)*2*PI()/60, INDEX('Route Data'!$F$7:$F$8,E286))</f>
        <v>0.15939200179827354</v>
      </c>
      <c r="J286" s="8">
        <f>FlowAngleRel(INDEX('Route Data'!$J$7:$J$8,E286)*INDEX('Route Data'!$I$7:$I$8,E286), INDEX('Route Data'!$L$7:$L$8,E286)*2*PI()/60, INDEX('Route Data'!$F$7:$F$8,E286),INDEX('Route Data'!$O$7:$O$8,E286), INDEX('Route Data'!$P$7:$P$8,E286),INDEX('Route Data'!$M$7:$M$8,E286))</f>
        <v>1.130811765868994</v>
      </c>
      <c r="K286" s="8">
        <f>FlowAngleAbsT(INDEX('Route Data'!$K$7:$K$8,E286), INDEX('Route Data'!$I$7:$I$8,E286), INDEX('Route Data'!$I$7:$I$8,E286)*INDEX('Route Data'!$J$7:$J$8,E286), INDEX('Route Data'!$L$7:$L$8,E286)*2*PI()/60, INDEX('Route Data'!$F$7:$F$8,E286),INDEX('Route Data'!$O$7:$O$8,E286), INDEX('Route Data'!$P$7:$P$8,E286), INDEX('Route Data'!$H$7:$H$8,E286), INDEX('Route Data'!$Q$7:$Q$8,E286), INDEX('Route Data'!$M$7:$M$8,E286))</f>
        <v>0.51617226640175828</v>
      </c>
      <c r="L286" s="5">
        <f>INDEX('Route Data'!$N$7:$N$8,E286)</f>
        <v>0.4</v>
      </c>
      <c r="M286" s="8">
        <v>0.63090014457702637</v>
      </c>
      <c r="N286" s="8">
        <f>ProbStrikeFrancis(K286, I286, L286, INDEX('Route Data'!$G$7:$G$8,E286),C286, INDEX('Route Data'!$F$7:$F$8,E286), INDEX('Route Data'!$O$7:$O$8,E286), INDEX('Route Data'!$H$7:$H$18,E286))</f>
        <v>1</v>
      </c>
      <c r="O286" s="5" t="str">
        <f>IF(F286&gt;=1,IF(M286&lt;=N286,"STRIKE","pass"),IF(M286&lt;=INDEX('Route Data'!$R$7:$R$8,E286),"NO PASS","pass"))</f>
        <v>STRIKE</v>
      </c>
      <c r="P286" s="5">
        <f>IF(F286&gt;=1,IF(M286&lt;=N286,1,0),IF(M286&lt;=INDEX('Route Data'!$R$7:$R$8,E286),-1,0))</f>
        <v>1</v>
      </c>
    </row>
    <row r="287" spans="1:16">
      <c r="A287" s="5">
        <v>277</v>
      </c>
      <c r="B287" s="12">
        <v>26.61</v>
      </c>
      <c r="C287" s="12">
        <f t="shared" si="4"/>
        <v>2.2200000000000002</v>
      </c>
      <c r="D287" s="8">
        <v>0.42898887395858765</v>
      </c>
      <c r="E287" s="5">
        <f>MATCH(D287,'Route Data'!$C$7:$C$8,1)</f>
        <v>2</v>
      </c>
      <c r="F287" s="5">
        <f>INDEX('Route Data'!$D$7:$D$8,E287)</f>
        <v>1</v>
      </c>
      <c r="G287" s="5" t="str">
        <f>INDEX('Route Data'!$A$7:$A$8,E287)</f>
        <v>u18</v>
      </c>
      <c r="H287" s="5">
        <f>EnergyCoeff(INDEX('Route Data'!$K$7:$K$8,E287),INDEX('Route Data'!$L$7:$L$8,E287)*2*PI()/60,INDEX('Route Data'!$F$7:$F$8,E287))</f>
        <v>0.19430699130049439</v>
      </c>
      <c r="I287" s="5">
        <f>DischargeCoeff(INDEX('Route Data'!$I$7:$I$8,E287), INDEX('Route Data'!$L$7:$L$8,E287)*2*PI()/60, INDEX('Route Data'!$F$7:$F$8,E287))</f>
        <v>0.15939200179827354</v>
      </c>
      <c r="J287" s="8">
        <f>FlowAngleRel(INDEX('Route Data'!$J$7:$J$8,E287)*INDEX('Route Data'!$I$7:$I$8,E287), INDEX('Route Data'!$L$7:$L$8,E287)*2*PI()/60, INDEX('Route Data'!$F$7:$F$8,E287),INDEX('Route Data'!$O$7:$O$8,E287), INDEX('Route Data'!$P$7:$P$8,E287),INDEX('Route Data'!$M$7:$M$8,E287))</f>
        <v>1.130811765868994</v>
      </c>
      <c r="K287" s="8">
        <f>FlowAngleAbsT(INDEX('Route Data'!$K$7:$K$8,E287), INDEX('Route Data'!$I$7:$I$8,E287), INDEX('Route Data'!$I$7:$I$8,E287)*INDEX('Route Data'!$J$7:$J$8,E287), INDEX('Route Data'!$L$7:$L$8,E287)*2*PI()/60, INDEX('Route Data'!$F$7:$F$8,E287),INDEX('Route Data'!$O$7:$O$8,E287), INDEX('Route Data'!$P$7:$P$8,E287), INDEX('Route Data'!$H$7:$H$8,E287), INDEX('Route Data'!$Q$7:$Q$8,E287), INDEX('Route Data'!$M$7:$M$8,E287))</f>
        <v>0.51617226640175828</v>
      </c>
      <c r="L287" s="5">
        <f>INDEX('Route Data'!$N$7:$N$8,E287)</f>
        <v>0.4</v>
      </c>
      <c r="M287" s="8">
        <v>0.7870749831199646</v>
      </c>
      <c r="N287" s="8">
        <f>ProbStrikeFrancis(K287, I287, L287, INDEX('Route Data'!$G$7:$G$8,E287),C287, INDEX('Route Data'!$F$7:$F$8,E287), INDEX('Route Data'!$O$7:$O$8,E287), INDEX('Route Data'!$H$7:$H$18,E287))</f>
        <v>1</v>
      </c>
      <c r="O287" s="5" t="str">
        <f>IF(F287&gt;=1,IF(M287&lt;=N287,"STRIKE","pass"),IF(M287&lt;=INDEX('Route Data'!$R$7:$R$8,E287),"NO PASS","pass"))</f>
        <v>STRIKE</v>
      </c>
      <c r="P287" s="5">
        <f>IF(F287&gt;=1,IF(M287&lt;=N287,1,0),IF(M287&lt;=INDEX('Route Data'!$R$7:$R$8,E287),-1,0))</f>
        <v>1</v>
      </c>
    </row>
    <row r="288" spans="1:16">
      <c r="A288" s="5">
        <v>278</v>
      </c>
      <c r="B288" s="12">
        <v>16.38</v>
      </c>
      <c r="C288" s="12">
        <f t="shared" si="4"/>
        <v>1.37</v>
      </c>
      <c r="D288" s="8">
        <v>0.25145137310028076</v>
      </c>
      <c r="E288" s="5">
        <f>MATCH(D288,'Route Data'!$C$7:$C$8,1)</f>
        <v>2</v>
      </c>
      <c r="F288" s="5">
        <f>INDEX('Route Data'!$D$7:$D$8,E288)</f>
        <v>1</v>
      </c>
      <c r="G288" s="5" t="str">
        <f>INDEX('Route Data'!$A$7:$A$8,E288)</f>
        <v>u18</v>
      </c>
      <c r="H288" s="5">
        <f>EnergyCoeff(INDEX('Route Data'!$K$7:$K$8,E288),INDEX('Route Data'!$L$7:$L$8,E288)*2*PI()/60,INDEX('Route Data'!$F$7:$F$8,E288))</f>
        <v>0.19430699130049439</v>
      </c>
      <c r="I288" s="5">
        <f>DischargeCoeff(INDEX('Route Data'!$I$7:$I$8,E288), INDEX('Route Data'!$L$7:$L$8,E288)*2*PI()/60, INDEX('Route Data'!$F$7:$F$8,E288))</f>
        <v>0.15939200179827354</v>
      </c>
      <c r="J288" s="8">
        <f>FlowAngleRel(INDEX('Route Data'!$J$7:$J$8,E288)*INDEX('Route Data'!$I$7:$I$8,E288), INDEX('Route Data'!$L$7:$L$8,E288)*2*PI()/60, INDEX('Route Data'!$F$7:$F$8,E288),INDEX('Route Data'!$O$7:$O$8,E288), INDEX('Route Data'!$P$7:$P$8,E288),INDEX('Route Data'!$M$7:$M$8,E288))</f>
        <v>1.130811765868994</v>
      </c>
      <c r="K288" s="8">
        <f>FlowAngleAbsT(INDEX('Route Data'!$K$7:$K$8,E288), INDEX('Route Data'!$I$7:$I$8,E288), INDEX('Route Data'!$I$7:$I$8,E288)*INDEX('Route Data'!$J$7:$J$8,E288), INDEX('Route Data'!$L$7:$L$8,E288)*2*PI()/60, INDEX('Route Data'!$F$7:$F$8,E288),INDEX('Route Data'!$O$7:$O$8,E288), INDEX('Route Data'!$P$7:$P$8,E288), INDEX('Route Data'!$H$7:$H$8,E288), INDEX('Route Data'!$Q$7:$Q$8,E288), INDEX('Route Data'!$M$7:$M$8,E288))</f>
        <v>0.51617226640175828</v>
      </c>
      <c r="L288" s="5">
        <f>INDEX('Route Data'!$N$7:$N$8,E288)</f>
        <v>0.4</v>
      </c>
      <c r="M288" s="8">
        <v>0.5841296911239624</v>
      </c>
      <c r="N288" s="8">
        <f>ProbStrikeFrancis(K288, I288, L288, INDEX('Route Data'!$G$7:$G$8,E288),C288, INDEX('Route Data'!$F$7:$F$8,E288), INDEX('Route Data'!$O$7:$O$8,E288), INDEX('Route Data'!$H$7:$H$18,E288))</f>
        <v>1</v>
      </c>
      <c r="O288" s="5" t="str">
        <f>IF(F288&gt;=1,IF(M288&lt;=N288,"STRIKE","pass"),IF(M288&lt;=INDEX('Route Data'!$R$7:$R$8,E288),"NO PASS","pass"))</f>
        <v>STRIKE</v>
      </c>
      <c r="P288" s="5">
        <f>IF(F288&gt;=1,IF(M288&lt;=N288,1,0),IF(M288&lt;=INDEX('Route Data'!$R$7:$R$8,E288),-1,0))</f>
        <v>1</v>
      </c>
    </row>
    <row r="289" spans="1:16">
      <c r="A289" s="5">
        <v>279</v>
      </c>
      <c r="B289" s="12">
        <v>27.54</v>
      </c>
      <c r="C289" s="12">
        <f t="shared" si="4"/>
        <v>2.2999999999999998</v>
      </c>
      <c r="D289" s="8">
        <v>0.51848465204238892</v>
      </c>
      <c r="E289" s="5">
        <f>MATCH(D289,'Route Data'!$C$7:$C$8,1)</f>
        <v>2</v>
      </c>
      <c r="F289" s="5">
        <f>INDEX('Route Data'!$D$7:$D$8,E289)</f>
        <v>1</v>
      </c>
      <c r="G289" s="5" t="str">
        <f>INDEX('Route Data'!$A$7:$A$8,E289)</f>
        <v>u18</v>
      </c>
      <c r="H289" s="5">
        <f>EnergyCoeff(INDEX('Route Data'!$K$7:$K$8,E289),INDEX('Route Data'!$L$7:$L$8,E289)*2*PI()/60,INDEX('Route Data'!$F$7:$F$8,E289))</f>
        <v>0.19430699130049439</v>
      </c>
      <c r="I289" s="5">
        <f>DischargeCoeff(INDEX('Route Data'!$I$7:$I$8,E289), INDEX('Route Data'!$L$7:$L$8,E289)*2*PI()/60, INDEX('Route Data'!$F$7:$F$8,E289))</f>
        <v>0.15939200179827354</v>
      </c>
      <c r="J289" s="8">
        <f>FlowAngleRel(INDEX('Route Data'!$J$7:$J$8,E289)*INDEX('Route Data'!$I$7:$I$8,E289), INDEX('Route Data'!$L$7:$L$8,E289)*2*PI()/60, INDEX('Route Data'!$F$7:$F$8,E289),INDEX('Route Data'!$O$7:$O$8,E289), INDEX('Route Data'!$P$7:$P$8,E289),INDEX('Route Data'!$M$7:$M$8,E289))</f>
        <v>1.130811765868994</v>
      </c>
      <c r="K289" s="8">
        <f>FlowAngleAbsT(INDEX('Route Data'!$K$7:$K$8,E289), INDEX('Route Data'!$I$7:$I$8,E289), INDEX('Route Data'!$I$7:$I$8,E289)*INDEX('Route Data'!$J$7:$J$8,E289), INDEX('Route Data'!$L$7:$L$8,E289)*2*PI()/60, INDEX('Route Data'!$F$7:$F$8,E289),INDEX('Route Data'!$O$7:$O$8,E289), INDEX('Route Data'!$P$7:$P$8,E289), INDEX('Route Data'!$H$7:$H$8,E289), INDEX('Route Data'!$Q$7:$Q$8,E289), INDEX('Route Data'!$M$7:$M$8,E289))</f>
        <v>0.51617226640175828</v>
      </c>
      <c r="L289" s="5">
        <f>INDEX('Route Data'!$N$7:$N$8,E289)</f>
        <v>0.4</v>
      </c>
      <c r="M289" s="8">
        <v>0.19296556711196899</v>
      </c>
      <c r="N289" s="8">
        <f>ProbStrikeFrancis(K289, I289, L289, INDEX('Route Data'!$G$7:$G$8,E289),C289, INDEX('Route Data'!$F$7:$F$8,E289), INDEX('Route Data'!$O$7:$O$8,E289), INDEX('Route Data'!$H$7:$H$18,E289))</f>
        <v>1</v>
      </c>
      <c r="O289" s="5" t="str">
        <f>IF(F289&gt;=1,IF(M289&lt;=N289,"STRIKE","pass"),IF(M289&lt;=INDEX('Route Data'!$R$7:$R$8,E289),"NO PASS","pass"))</f>
        <v>STRIKE</v>
      </c>
      <c r="P289" s="5">
        <f>IF(F289&gt;=1,IF(M289&lt;=N289,1,0),IF(M289&lt;=INDEX('Route Data'!$R$7:$R$8,E289),-1,0))</f>
        <v>1</v>
      </c>
    </row>
    <row r="290" spans="1:16">
      <c r="A290" s="5">
        <v>280</v>
      </c>
      <c r="B290" s="12">
        <v>19.510000000000002</v>
      </c>
      <c r="C290" s="12">
        <f t="shared" si="4"/>
        <v>1.63</v>
      </c>
      <c r="D290" s="8">
        <v>0.71738481521606445</v>
      </c>
      <c r="E290" s="5">
        <f>MATCH(D290,'Route Data'!$C$7:$C$8,1)</f>
        <v>2</v>
      </c>
      <c r="F290" s="5">
        <f>INDEX('Route Data'!$D$7:$D$8,E290)</f>
        <v>1</v>
      </c>
      <c r="G290" s="5" t="str">
        <f>INDEX('Route Data'!$A$7:$A$8,E290)</f>
        <v>u18</v>
      </c>
      <c r="H290" s="5">
        <f>EnergyCoeff(INDEX('Route Data'!$K$7:$K$8,E290),INDEX('Route Data'!$L$7:$L$8,E290)*2*PI()/60,INDEX('Route Data'!$F$7:$F$8,E290))</f>
        <v>0.19430699130049439</v>
      </c>
      <c r="I290" s="5">
        <f>DischargeCoeff(INDEX('Route Data'!$I$7:$I$8,E290), INDEX('Route Data'!$L$7:$L$8,E290)*2*PI()/60, INDEX('Route Data'!$F$7:$F$8,E290))</f>
        <v>0.15939200179827354</v>
      </c>
      <c r="J290" s="8">
        <f>FlowAngleRel(INDEX('Route Data'!$J$7:$J$8,E290)*INDEX('Route Data'!$I$7:$I$8,E290), INDEX('Route Data'!$L$7:$L$8,E290)*2*PI()/60, INDEX('Route Data'!$F$7:$F$8,E290),INDEX('Route Data'!$O$7:$O$8,E290), INDEX('Route Data'!$P$7:$P$8,E290),INDEX('Route Data'!$M$7:$M$8,E290))</f>
        <v>1.130811765868994</v>
      </c>
      <c r="K290" s="8">
        <f>FlowAngleAbsT(INDEX('Route Data'!$K$7:$K$8,E290), INDEX('Route Data'!$I$7:$I$8,E290), INDEX('Route Data'!$I$7:$I$8,E290)*INDEX('Route Data'!$J$7:$J$8,E290), INDEX('Route Data'!$L$7:$L$8,E290)*2*PI()/60, INDEX('Route Data'!$F$7:$F$8,E290),INDEX('Route Data'!$O$7:$O$8,E290), INDEX('Route Data'!$P$7:$P$8,E290), INDEX('Route Data'!$H$7:$H$8,E290), INDEX('Route Data'!$Q$7:$Q$8,E290), INDEX('Route Data'!$M$7:$M$8,E290))</f>
        <v>0.51617226640175828</v>
      </c>
      <c r="L290" s="5">
        <f>INDEX('Route Data'!$N$7:$N$8,E290)</f>
        <v>0.4</v>
      </c>
      <c r="M290" s="8">
        <v>0.10087871551513672</v>
      </c>
      <c r="N290" s="8">
        <f>ProbStrikeFrancis(K290, I290, L290, INDEX('Route Data'!$G$7:$G$8,E290),C290, INDEX('Route Data'!$F$7:$F$8,E290), INDEX('Route Data'!$O$7:$O$8,E290), INDEX('Route Data'!$H$7:$H$18,E290))</f>
        <v>1</v>
      </c>
      <c r="O290" s="5" t="str">
        <f>IF(F290&gt;=1,IF(M290&lt;=N290,"STRIKE","pass"),IF(M290&lt;=INDEX('Route Data'!$R$7:$R$8,E290),"NO PASS","pass"))</f>
        <v>STRIKE</v>
      </c>
      <c r="P290" s="5">
        <f>IF(F290&gt;=1,IF(M290&lt;=N290,1,0),IF(M290&lt;=INDEX('Route Data'!$R$7:$R$8,E290),-1,0))</f>
        <v>1</v>
      </c>
    </row>
    <row r="291" spans="1:16">
      <c r="A291" s="5">
        <v>281</v>
      </c>
      <c r="B291" s="12">
        <v>22.42</v>
      </c>
      <c r="C291" s="12">
        <f t="shared" si="4"/>
        <v>1.87</v>
      </c>
      <c r="D291" s="8">
        <v>0.38626354932785034</v>
      </c>
      <c r="E291" s="5">
        <f>MATCH(D291,'Route Data'!$C$7:$C$8,1)</f>
        <v>2</v>
      </c>
      <c r="F291" s="5">
        <f>INDEX('Route Data'!$D$7:$D$8,E291)</f>
        <v>1</v>
      </c>
      <c r="G291" s="5" t="str">
        <f>INDEX('Route Data'!$A$7:$A$8,E291)</f>
        <v>u18</v>
      </c>
      <c r="H291" s="5">
        <f>EnergyCoeff(INDEX('Route Data'!$K$7:$K$8,E291),INDEX('Route Data'!$L$7:$L$8,E291)*2*PI()/60,INDEX('Route Data'!$F$7:$F$8,E291))</f>
        <v>0.19430699130049439</v>
      </c>
      <c r="I291" s="5">
        <f>DischargeCoeff(INDEX('Route Data'!$I$7:$I$8,E291), INDEX('Route Data'!$L$7:$L$8,E291)*2*PI()/60, INDEX('Route Data'!$F$7:$F$8,E291))</f>
        <v>0.15939200179827354</v>
      </c>
      <c r="J291" s="8">
        <f>FlowAngleRel(INDEX('Route Data'!$J$7:$J$8,E291)*INDEX('Route Data'!$I$7:$I$8,E291), INDEX('Route Data'!$L$7:$L$8,E291)*2*PI()/60, INDEX('Route Data'!$F$7:$F$8,E291),INDEX('Route Data'!$O$7:$O$8,E291), INDEX('Route Data'!$P$7:$P$8,E291),INDEX('Route Data'!$M$7:$M$8,E291))</f>
        <v>1.130811765868994</v>
      </c>
      <c r="K291" s="8">
        <f>FlowAngleAbsT(INDEX('Route Data'!$K$7:$K$8,E291), INDEX('Route Data'!$I$7:$I$8,E291), INDEX('Route Data'!$I$7:$I$8,E291)*INDEX('Route Data'!$J$7:$J$8,E291), INDEX('Route Data'!$L$7:$L$8,E291)*2*PI()/60, INDEX('Route Data'!$F$7:$F$8,E291),INDEX('Route Data'!$O$7:$O$8,E291), INDEX('Route Data'!$P$7:$P$8,E291), INDEX('Route Data'!$H$7:$H$8,E291), INDEX('Route Data'!$Q$7:$Q$8,E291), INDEX('Route Data'!$M$7:$M$8,E291))</f>
        <v>0.51617226640175828</v>
      </c>
      <c r="L291" s="5">
        <f>INDEX('Route Data'!$N$7:$N$8,E291)</f>
        <v>0.4</v>
      </c>
      <c r="M291" s="8">
        <v>0.11156004667282104</v>
      </c>
      <c r="N291" s="8">
        <f>ProbStrikeFrancis(K291, I291, L291, INDEX('Route Data'!$G$7:$G$8,E291),C291, INDEX('Route Data'!$F$7:$F$8,E291), INDEX('Route Data'!$O$7:$O$8,E291), INDEX('Route Data'!$H$7:$H$18,E291))</f>
        <v>1</v>
      </c>
      <c r="O291" s="5" t="str">
        <f>IF(F291&gt;=1,IF(M291&lt;=N291,"STRIKE","pass"),IF(M291&lt;=INDEX('Route Data'!$R$7:$R$8,E291),"NO PASS","pass"))</f>
        <v>STRIKE</v>
      </c>
      <c r="P291" s="5">
        <f>IF(F291&gt;=1,IF(M291&lt;=N291,1,0),IF(M291&lt;=INDEX('Route Data'!$R$7:$R$8,E291),-1,0))</f>
        <v>1</v>
      </c>
    </row>
    <row r="292" spans="1:16">
      <c r="A292" s="5">
        <v>282</v>
      </c>
      <c r="B292" s="12">
        <v>22.57</v>
      </c>
      <c r="C292" s="12">
        <f t="shared" si="4"/>
        <v>1.88</v>
      </c>
      <c r="D292" s="8">
        <v>0.37962734699249268</v>
      </c>
      <c r="E292" s="5">
        <f>MATCH(D292,'Route Data'!$C$7:$C$8,1)</f>
        <v>2</v>
      </c>
      <c r="F292" s="5">
        <f>INDEX('Route Data'!$D$7:$D$8,E292)</f>
        <v>1</v>
      </c>
      <c r="G292" s="5" t="str">
        <f>INDEX('Route Data'!$A$7:$A$8,E292)</f>
        <v>u18</v>
      </c>
      <c r="H292" s="5">
        <f>EnergyCoeff(INDEX('Route Data'!$K$7:$K$8,E292),INDEX('Route Data'!$L$7:$L$8,E292)*2*PI()/60,INDEX('Route Data'!$F$7:$F$8,E292))</f>
        <v>0.19430699130049439</v>
      </c>
      <c r="I292" s="5">
        <f>DischargeCoeff(INDEX('Route Data'!$I$7:$I$8,E292), INDEX('Route Data'!$L$7:$L$8,E292)*2*PI()/60, INDEX('Route Data'!$F$7:$F$8,E292))</f>
        <v>0.15939200179827354</v>
      </c>
      <c r="J292" s="8">
        <f>FlowAngleRel(INDEX('Route Data'!$J$7:$J$8,E292)*INDEX('Route Data'!$I$7:$I$8,E292), INDEX('Route Data'!$L$7:$L$8,E292)*2*PI()/60, INDEX('Route Data'!$F$7:$F$8,E292),INDEX('Route Data'!$O$7:$O$8,E292), INDEX('Route Data'!$P$7:$P$8,E292),INDEX('Route Data'!$M$7:$M$8,E292))</f>
        <v>1.130811765868994</v>
      </c>
      <c r="K292" s="8">
        <f>FlowAngleAbsT(INDEX('Route Data'!$K$7:$K$8,E292), INDEX('Route Data'!$I$7:$I$8,E292), INDEX('Route Data'!$I$7:$I$8,E292)*INDEX('Route Data'!$J$7:$J$8,E292), INDEX('Route Data'!$L$7:$L$8,E292)*2*PI()/60, INDEX('Route Data'!$F$7:$F$8,E292),INDEX('Route Data'!$O$7:$O$8,E292), INDEX('Route Data'!$P$7:$P$8,E292), INDEX('Route Data'!$H$7:$H$8,E292), INDEX('Route Data'!$Q$7:$Q$8,E292), INDEX('Route Data'!$M$7:$M$8,E292))</f>
        <v>0.51617226640175828</v>
      </c>
      <c r="L292" s="5">
        <f>INDEX('Route Data'!$N$7:$N$8,E292)</f>
        <v>0.4</v>
      </c>
      <c r="M292" s="8">
        <v>7.9516053199768066E-2</v>
      </c>
      <c r="N292" s="8">
        <f>ProbStrikeFrancis(K292, I292, L292, INDEX('Route Data'!$G$7:$G$8,E292),C292, INDEX('Route Data'!$F$7:$F$8,E292), INDEX('Route Data'!$O$7:$O$8,E292), INDEX('Route Data'!$H$7:$H$18,E292))</f>
        <v>1</v>
      </c>
      <c r="O292" s="5" t="str">
        <f>IF(F292&gt;=1,IF(M292&lt;=N292,"STRIKE","pass"),IF(M292&lt;=INDEX('Route Data'!$R$7:$R$8,E292),"NO PASS","pass"))</f>
        <v>STRIKE</v>
      </c>
      <c r="P292" s="5">
        <f>IF(F292&gt;=1,IF(M292&lt;=N292,1,0),IF(M292&lt;=INDEX('Route Data'!$R$7:$R$8,E292),-1,0))</f>
        <v>1</v>
      </c>
    </row>
    <row r="293" spans="1:16">
      <c r="A293" s="5">
        <v>283</v>
      </c>
      <c r="B293" s="12">
        <v>27.07</v>
      </c>
      <c r="C293" s="12">
        <f t="shared" si="4"/>
        <v>2.2599999999999998</v>
      </c>
      <c r="D293" s="8">
        <v>0.13395673036575317</v>
      </c>
      <c r="E293" s="5">
        <f>MATCH(D293,'Route Data'!$C$7:$C$8,1)</f>
        <v>2</v>
      </c>
      <c r="F293" s="5">
        <f>INDEX('Route Data'!$D$7:$D$8,E293)</f>
        <v>1</v>
      </c>
      <c r="G293" s="5" t="str">
        <f>INDEX('Route Data'!$A$7:$A$8,E293)</f>
        <v>u18</v>
      </c>
      <c r="H293" s="5">
        <f>EnergyCoeff(INDEX('Route Data'!$K$7:$K$8,E293),INDEX('Route Data'!$L$7:$L$8,E293)*2*PI()/60,INDEX('Route Data'!$F$7:$F$8,E293))</f>
        <v>0.19430699130049439</v>
      </c>
      <c r="I293" s="5">
        <f>DischargeCoeff(INDEX('Route Data'!$I$7:$I$8,E293), INDEX('Route Data'!$L$7:$L$8,E293)*2*PI()/60, INDEX('Route Data'!$F$7:$F$8,E293))</f>
        <v>0.15939200179827354</v>
      </c>
      <c r="J293" s="8">
        <f>FlowAngleRel(INDEX('Route Data'!$J$7:$J$8,E293)*INDEX('Route Data'!$I$7:$I$8,E293), INDEX('Route Data'!$L$7:$L$8,E293)*2*PI()/60, INDEX('Route Data'!$F$7:$F$8,E293),INDEX('Route Data'!$O$7:$O$8,E293), INDEX('Route Data'!$P$7:$P$8,E293),INDEX('Route Data'!$M$7:$M$8,E293))</f>
        <v>1.130811765868994</v>
      </c>
      <c r="K293" s="8">
        <f>FlowAngleAbsT(INDEX('Route Data'!$K$7:$K$8,E293), INDEX('Route Data'!$I$7:$I$8,E293), INDEX('Route Data'!$I$7:$I$8,E293)*INDEX('Route Data'!$J$7:$J$8,E293), INDEX('Route Data'!$L$7:$L$8,E293)*2*PI()/60, INDEX('Route Data'!$F$7:$F$8,E293),INDEX('Route Data'!$O$7:$O$8,E293), INDEX('Route Data'!$P$7:$P$8,E293), INDEX('Route Data'!$H$7:$H$8,E293), INDEX('Route Data'!$Q$7:$Q$8,E293), INDEX('Route Data'!$M$7:$M$8,E293))</f>
        <v>0.51617226640175828</v>
      </c>
      <c r="L293" s="5">
        <f>INDEX('Route Data'!$N$7:$N$8,E293)</f>
        <v>0.4</v>
      </c>
      <c r="M293" s="8">
        <v>0.175648033618927</v>
      </c>
      <c r="N293" s="8">
        <f>ProbStrikeFrancis(K293, I293, L293, INDEX('Route Data'!$G$7:$G$8,E293),C293, INDEX('Route Data'!$F$7:$F$8,E293), INDEX('Route Data'!$O$7:$O$8,E293), INDEX('Route Data'!$H$7:$H$18,E293))</f>
        <v>1</v>
      </c>
      <c r="O293" s="5" t="str">
        <f>IF(F293&gt;=1,IF(M293&lt;=N293,"STRIKE","pass"),IF(M293&lt;=INDEX('Route Data'!$R$7:$R$8,E293),"NO PASS","pass"))</f>
        <v>STRIKE</v>
      </c>
      <c r="P293" s="5">
        <f>IF(F293&gt;=1,IF(M293&lt;=N293,1,0),IF(M293&lt;=INDEX('Route Data'!$R$7:$R$8,E293),-1,0))</f>
        <v>1</v>
      </c>
    </row>
    <row r="294" spans="1:16">
      <c r="A294" s="5">
        <v>284</v>
      </c>
      <c r="B294" s="12">
        <v>27.9</v>
      </c>
      <c r="C294" s="12">
        <f t="shared" si="4"/>
        <v>2.33</v>
      </c>
      <c r="D294" s="8">
        <v>0.13654780387878418</v>
      </c>
      <c r="E294" s="5">
        <f>MATCH(D294,'Route Data'!$C$7:$C$8,1)</f>
        <v>2</v>
      </c>
      <c r="F294" s="5">
        <f>INDEX('Route Data'!$D$7:$D$8,E294)</f>
        <v>1</v>
      </c>
      <c r="G294" s="5" t="str">
        <f>INDEX('Route Data'!$A$7:$A$8,E294)</f>
        <v>u18</v>
      </c>
      <c r="H294" s="5">
        <f>EnergyCoeff(INDEX('Route Data'!$K$7:$K$8,E294),INDEX('Route Data'!$L$7:$L$8,E294)*2*PI()/60,INDEX('Route Data'!$F$7:$F$8,E294))</f>
        <v>0.19430699130049439</v>
      </c>
      <c r="I294" s="5">
        <f>DischargeCoeff(INDEX('Route Data'!$I$7:$I$8,E294), INDEX('Route Data'!$L$7:$L$8,E294)*2*PI()/60, INDEX('Route Data'!$F$7:$F$8,E294))</f>
        <v>0.15939200179827354</v>
      </c>
      <c r="J294" s="8">
        <f>FlowAngleRel(INDEX('Route Data'!$J$7:$J$8,E294)*INDEX('Route Data'!$I$7:$I$8,E294), INDEX('Route Data'!$L$7:$L$8,E294)*2*PI()/60, INDEX('Route Data'!$F$7:$F$8,E294),INDEX('Route Data'!$O$7:$O$8,E294), INDEX('Route Data'!$P$7:$P$8,E294),INDEX('Route Data'!$M$7:$M$8,E294))</f>
        <v>1.130811765868994</v>
      </c>
      <c r="K294" s="8">
        <f>FlowAngleAbsT(INDEX('Route Data'!$K$7:$K$8,E294), INDEX('Route Data'!$I$7:$I$8,E294), INDEX('Route Data'!$I$7:$I$8,E294)*INDEX('Route Data'!$J$7:$J$8,E294), INDEX('Route Data'!$L$7:$L$8,E294)*2*PI()/60, INDEX('Route Data'!$F$7:$F$8,E294),INDEX('Route Data'!$O$7:$O$8,E294), INDEX('Route Data'!$P$7:$P$8,E294), INDEX('Route Data'!$H$7:$H$8,E294), INDEX('Route Data'!$Q$7:$Q$8,E294), INDEX('Route Data'!$M$7:$M$8,E294))</f>
        <v>0.51617226640175828</v>
      </c>
      <c r="L294" s="5">
        <f>INDEX('Route Data'!$N$7:$N$8,E294)</f>
        <v>0.4</v>
      </c>
      <c r="M294" s="8">
        <v>0.8872520923614502</v>
      </c>
      <c r="N294" s="8">
        <f>ProbStrikeFrancis(K294, I294, L294, INDEX('Route Data'!$G$7:$G$8,E294),C294, INDEX('Route Data'!$F$7:$F$8,E294), INDEX('Route Data'!$O$7:$O$8,E294), INDEX('Route Data'!$H$7:$H$18,E294))</f>
        <v>1</v>
      </c>
      <c r="O294" s="5" t="str">
        <f>IF(F294&gt;=1,IF(M294&lt;=N294,"STRIKE","pass"),IF(M294&lt;=INDEX('Route Data'!$R$7:$R$8,E294),"NO PASS","pass"))</f>
        <v>STRIKE</v>
      </c>
      <c r="P294" s="5">
        <f>IF(F294&gt;=1,IF(M294&lt;=N294,1,0),IF(M294&lt;=INDEX('Route Data'!$R$7:$R$8,E294),-1,0))</f>
        <v>1</v>
      </c>
    </row>
    <row r="295" spans="1:16">
      <c r="A295" s="5">
        <v>285</v>
      </c>
      <c r="B295" s="12">
        <v>19.100000000000001</v>
      </c>
      <c r="C295" s="12">
        <f t="shared" si="4"/>
        <v>1.59</v>
      </c>
      <c r="D295" s="8">
        <v>0.65993303060531616</v>
      </c>
      <c r="E295" s="5">
        <f>MATCH(D295,'Route Data'!$C$7:$C$8,1)</f>
        <v>2</v>
      </c>
      <c r="F295" s="5">
        <f>INDEX('Route Data'!$D$7:$D$8,E295)</f>
        <v>1</v>
      </c>
      <c r="G295" s="5" t="str">
        <f>INDEX('Route Data'!$A$7:$A$8,E295)</f>
        <v>u18</v>
      </c>
      <c r="H295" s="5">
        <f>EnergyCoeff(INDEX('Route Data'!$K$7:$K$8,E295),INDEX('Route Data'!$L$7:$L$8,E295)*2*PI()/60,INDEX('Route Data'!$F$7:$F$8,E295))</f>
        <v>0.19430699130049439</v>
      </c>
      <c r="I295" s="5">
        <f>DischargeCoeff(INDEX('Route Data'!$I$7:$I$8,E295), INDEX('Route Data'!$L$7:$L$8,E295)*2*PI()/60, INDEX('Route Data'!$F$7:$F$8,E295))</f>
        <v>0.15939200179827354</v>
      </c>
      <c r="J295" s="8">
        <f>FlowAngleRel(INDEX('Route Data'!$J$7:$J$8,E295)*INDEX('Route Data'!$I$7:$I$8,E295), INDEX('Route Data'!$L$7:$L$8,E295)*2*PI()/60, INDEX('Route Data'!$F$7:$F$8,E295),INDEX('Route Data'!$O$7:$O$8,E295), INDEX('Route Data'!$P$7:$P$8,E295),INDEX('Route Data'!$M$7:$M$8,E295))</f>
        <v>1.130811765868994</v>
      </c>
      <c r="K295" s="8">
        <f>FlowAngleAbsT(INDEX('Route Data'!$K$7:$K$8,E295), INDEX('Route Data'!$I$7:$I$8,E295), INDEX('Route Data'!$I$7:$I$8,E295)*INDEX('Route Data'!$J$7:$J$8,E295), INDEX('Route Data'!$L$7:$L$8,E295)*2*PI()/60, INDEX('Route Data'!$F$7:$F$8,E295),INDEX('Route Data'!$O$7:$O$8,E295), INDEX('Route Data'!$P$7:$P$8,E295), INDEX('Route Data'!$H$7:$H$8,E295), INDEX('Route Data'!$Q$7:$Q$8,E295), INDEX('Route Data'!$M$7:$M$8,E295))</f>
        <v>0.51617226640175828</v>
      </c>
      <c r="L295" s="5">
        <f>INDEX('Route Data'!$N$7:$N$8,E295)</f>
        <v>0.4</v>
      </c>
      <c r="M295" s="8">
        <v>1.8019139766693115E-2</v>
      </c>
      <c r="N295" s="8">
        <f>ProbStrikeFrancis(K295, I295, L295, INDEX('Route Data'!$G$7:$G$8,E295),C295, INDEX('Route Data'!$F$7:$F$8,E295), INDEX('Route Data'!$O$7:$O$8,E295), INDEX('Route Data'!$H$7:$H$18,E295))</f>
        <v>1</v>
      </c>
      <c r="O295" s="5" t="str">
        <f>IF(F295&gt;=1,IF(M295&lt;=N295,"STRIKE","pass"),IF(M295&lt;=INDEX('Route Data'!$R$7:$R$8,E295),"NO PASS","pass"))</f>
        <v>STRIKE</v>
      </c>
      <c r="P295" s="5">
        <f>IF(F295&gt;=1,IF(M295&lt;=N295,1,0),IF(M295&lt;=INDEX('Route Data'!$R$7:$R$8,E295),-1,0))</f>
        <v>1</v>
      </c>
    </row>
    <row r="296" spans="1:16">
      <c r="A296" s="5">
        <v>286</v>
      </c>
      <c r="B296" s="12">
        <v>23.18</v>
      </c>
      <c r="C296" s="12">
        <f t="shared" si="4"/>
        <v>1.93</v>
      </c>
      <c r="D296" s="8">
        <v>0.82419812679290771</v>
      </c>
      <c r="E296" s="5">
        <f>MATCH(D296,'Route Data'!$C$7:$C$8,1)</f>
        <v>2</v>
      </c>
      <c r="F296" s="5">
        <f>INDEX('Route Data'!$D$7:$D$8,E296)</f>
        <v>1</v>
      </c>
      <c r="G296" s="5" t="str">
        <f>INDEX('Route Data'!$A$7:$A$8,E296)</f>
        <v>u18</v>
      </c>
      <c r="H296" s="5">
        <f>EnergyCoeff(INDEX('Route Data'!$K$7:$K$8,E296),INDEX('Route Data'!$L$7:$L$8,E296)*2*PI()/60,INDEX('Route Data'!$F$7:$F$8,E296))</f>
        <v>0.19430699130049439</v>
      </c>
      <c r="I296" s="5">
        <f>DischargeCoeff(INDEX('Route Data'!$I$7:$I$8,E296), INDEX('Route Data'!$L$7:$L$8,E296)*2*PI()/60, INDEX('Route Data'!$F$7:$F$8,E296))</f>
        <v>0.15939200179827354</v>
      </c>
      <c r="J296" s="8">
        <f>FlowAngleRel(INDEX('Route Data'!$J$7:$J$8,E296)*INDEX('Route Data'!$I$7:$I$8,E296), INDEX('Route Data'!$L$7:$L$8,E296)*2*PI()/60, INDEX('Route Data'!$F$7:$F$8,E296),INDEX('Route Data'!$O$7:$O$8,E296), INDEX('Route Data'!$P$7:$P$8,E296),INDEX('Route Data'!$M$7:$M$8,E296))</f>
        <v>1.130811765868994</v>
      </c>
      <c r="K296" s="8">
        <f>FlowAngleAbsT(INDEX('Route Data'!$K$7:$K$8,E296), INDEX('Route Data'!$I$7:$I$8,E296), INDEX('Route Data'!$I$7:$I$8,E296)*INDEX('Route Data'!$J$7:$J$8,E296), INDEX('Route Data'!$L$7:$L$8,E296)*2*PI()/60, INDEX('Route Data'!$F$7:$F$8,E296),INDEX('Route Data'!$O$7:$O$8,E296), INDEX('Route Data'!$P$7:$P$8,E296), INDEX('Route Data'!$H$7:$H$8,E296), INDEX('Route Data'!$Q$7:$Q$8,E296), INDEX('Route Data'!$M$7:$M$8,E296))</f>
        <v>0.51617226640175828</v>
      </c>
      <c r="L296" s="5">
        <f>INDEX('Route Data'!$N$7:$N$8,E296)</f>
        <v>0.4</v>
      </c>
      <c r="M296" s="8">
        <v>0.15687644481658936</v>
      </c>
      <c r="N296" s="8">
        <f>ProbStrikeFrancis(K296, I296, L296, INDEX('Route Data'!$G$7:$G$8,E296),C296, INDEX('Route Data'!$F$7:$F$8,E296), INDEX('Route Data'!$O$7:$O$8,E296), INDEX('Route Data'!$H$7:$H$18,E296))</f>
        <v>1</v>
      </c>
      <c r="O296" s="5" t="str">
        <f>IF(F296&gt;=1,IF(M296&lt;=N296,"STRIKE","pass"),IF(M296&lt;=INDEX('Route Data'!$R$7:$R$8,E296),"NO PASS","pass"))</f>
        <v>STRIKE</v>
      </c>
      <c r="P296" s="5">
        <f>IF(F296&gt;=1,IF(M296&lt;=N296,1,0),IF(M296&lt;=INDEX('Route Data'!$R$7:$R$8,E296),-1,0))</f>
        <v>1</v>
      </c>
    </row>
    <row r="297" spans="1:16">
      <c r="A297" s="5">
        <v>287</v>
      </c>
      <c r="B297" s="12">
        <v>20.14</v>
      </c>
      <c r="C297" s="12">
        <f t="shared" si="4"/>
        <v>1.68</v>
      </c>
      <c r="D297" s="8">
        <v>6.5823614597320557E-2</v>
      </c>
      <c r="E297" s="5">
        <f>MATCH(D297,'Route Data'!$C$7:$C$8,1)</f>
        <v>2</v>
      </c>
      <c r="F297" s="5">
        <f>INDEX('Route Data'!$D$7:$D$8,E297)</f>
        <v>1</v>
      </c>
      <c r="G297" s="5" t="str">
        <f>INDEX('Route Data'!$A$7:$A$8,E297)</f>
        <v>u18</v>
      </c>
      <c r="H297" s="5">
        <f>EnergyCoeff(INDEX('Route Data'!$K$7:$K$8,E297),INDEX('Route Data'!$L$7:$L$8,E297)*2*PI()/60,INDEX('Route Data'!$F$7:$F$8,E297))</f>
        <v>0.19430699130049439</v>
      </c>
      <c r="I297" s="5">
        <f>DischargeCoeff(INDEX('Route Data'!$I$7:$I$8,E297), INDEX('Route Data'!$L$7:$L$8,E297)*2*PI()/60, INDEX('Route Data'!$F$7:$F$8,E297))</f>
        <v>0.15939200179827354</v>
      </c>
      <c r="J297" s="8">
        <f>FlowAngleRel(INDEX('Route Data'!$J$7:$J$8,E297)*INDEX('Route Data'!$I$7:$I$8,E297), INDEX('Route Data'!$L$7:$L$8,E297)*2*PI()/60, INDEX('Route Data'!$F$7:$F$8,E297),INDEX('Route Data'!$O$7:$O$8,E297), INDEX('Route Data'!$P$7:$P$8,E297),INDEX('Route Data'!$M$7:$M$8,E297))</f>
        <v>1.130811765868994</v>
      </c>
      <c r="K297" s="8">
        <f>FlowAngleAbsT(INDEX('Route Data'!$K$7:$K$8,E297), INDEX('Route Data'!$I$7:$I$8,E297), INDEX('Route Data'!$I$7:$I$8,E297)*INDEX('Route Data'!$J$7:$J$8,E297), INDEX('Route Data'!$L$7:$L$8,E297)*2*PI()/60, INDEX('Route Data'!$F$7:$F$8,E297),INDEX('Route Data'!$O$7:$O$8,E297), INDEX('Route Data'!$P$7:$P$8,E297), INDEX('Route Data'!$H$7:$H$8,E297), INDEX('Route Data'!$Q$7:$Q$8,E297), INDEX('Route Data'!$M$7:$M$8,E297))</f>
        <v>0.51617226640175828</v>
      </c>
      <c r="L297" s="5">
        <f>INDEX('Route Data'!$N$7:$N$8,E297)</f>
        <v>0.4</v>
      </c>
      <c r="M297" s="8">
        <v>0.47472530603408813</v>
      </c>
      <c r="N297" s="8">
        <f>ProbStrikeFrancis(K297, I297, L297, INDEX('Route Data'!$G$7:$G$8,E297),C297, INDEX('Route Data'!$F$7:$F$8,E297), INDEX('Route Data'!$O$7:$O$8,E297), INDEX('Route Data'!$H$7:$H$18,E297))</f>
        <v>1</v>
      </c>
      <c r="O297" s="5" t="str">
        <f>IF(F297&gt;=1,IF(M297&lt;=N297,"STRIKE","pass"),IF(M297&lt;=INDEX('Route Data'!$R$7:$R$8,E297),"NO PASS","pass"))</f>
        <v>STRIKE</v>
      </c>
      <c r="P297" s="5">
        <f>IF(F297&gt;=1,IF(M297&lt;=N297,1,0),IF(M297&lt;=INDEX('Route Data'!$R$7:$R$8,E297),-1,0))</f>
        <v>1</v>
      </c>
    </row>
    <row r="298" spans="1:16">
      <c r="A298" s="5">
        <v>288</v>
      </c>
      <c r="B298" s="12">
        <v>25</v>
      </c>
      <c r="C298" s="12">
        <f t="shared" si="4"/>
        <v>2.08</v>
      </c>
      <c r="D298" s="8">
        <v>0.60652637481689453</v>
      </c>
      <c r="E298" s="5">
        <f>MATCH(D298,'Route Data'!$C$7:$C$8,1)</f>
        <v>2</v>
      </c>
      <c r="F298" s="5">
        <f>INDEX('Route Data'!$D$7:$D$8,E298)</f>
        <v>1</v>
      </c>
      <c r="G298" s="5" t="str">
        <f>INDEX('Route Data'!$A$7:$A$8,E298)</f>
        <v>u18</v>
      </c>
      <c r="H298" s="5">
        <f>EnergyCoeff(INDEX('Route Data'!$K$7:$K$8,E298),INDEX('Route Data'!$L$7:$L$8,E298)*2*PI()/60,INDEX('Route Data'!$F$7:$F$8,E298))</f>
        <v>0.19430699130049439</v>
      </c>
      <c r="I298" s="5">
        <f>DischargeCoeff(INDEX('Route Data'!$I$7:$I$8,E298), INDEX('Route Data'!$L$7:$L$8,E298)*2*PI()/60, INDEX('Route Data'!$F$7:$F$8,E298))</f>
        <v>0.15939200179827354</v>
      </c>
      <c r="J298" s="8">
        <f>FlowAngleRel(INDEX('Route Data'!$J$7:$J$8,E298)*INDEX('Route Data'!$I$7:$I$8,E298), INDEX('Route Data'!$L$7:$L$8,E298)*2*PI()/60, INDEX('Route Data'!$F$7:$F$8,E298),INDEX('Route Data'!$O$7:$O$8,E298), INDEX('Route Data'!$P$7:$P$8,E298),INDEX('Route Data'!$M$7:$M$8,E298))</f>
        <v>1.130811765868994</v>
      </c>
      <c r="K298" s="8">
        <f>FlowAngleAbsT(INDEX('Route Data'!$K$7:$K$8,E298), INDEX('Route Data'!$I$7:$I$8,E298), INDEX('Route Data'!$I$7:$I$8,E298)*INDEX('Route Data'!$J$7:$J$8,E298), INDEX('Route Data'!$L$7:$L$8,E298)*2*PI()/60, INDEX('Route Data'!$F$7:$F$8,E298),INDEX('Route Data'!$O$7:$O$8,E298), INDEX('Route Data'!$P$7:$P$8,E298), INDEX('Route Data'!$H$7:$H$8,E298), INDEX('Route Data'!$Q$7:$Q$8,E298), INDEX('Route Data'!$M$7:$M$8,E298))</f>
        <v>0.51617226640175828</v>
      </c>
      <c r="L298" s="5">
        <f>INDEX('Route Data'!$N$7:$N$8,E298)</f>
        <v>0.4</v>
      </c>
      <c r="M298" s="8">
        <v>0.9900202751159668</v>
      </c>
      <c r="N298" s="8">
        <f>ProbStrikeFrancis(K298, I298, L298, INDEX('Route Data'!$G$7:$G$8,E298),C298, INDEX('Route Data'!$F$7:$F$8,E298), INDEX('Route Data'!$O$7:$O$8,E298), INDEX('Route Data'!$H$7:$H$18,E298))</f>
        <v>1</v>
      </c>
      <c r="O298" s="5" t="str">
        <f>IF(F298&gt;=1,IF(M298&lt;=N298,"STRIKE","pass"),IF(M298&lt;=INDEX('Route Data'!$R$7:$R$8,E298),"NO PASS","pass"))</f>
        <v>STRIKE</v>
      </c>
      <c r="P298" s="5">
        <f>IF(F298&gt;=1,IF(M298&lt;=N298,1,0),IF(M298&lt;=INDEX('Route Data'!$R$7:$R$8,E298),-1,0))</f>
        <v>1</v>
      </c>
    </row>
    <row r="299" spans="1:16">
      <c r="A299" s="5">
        <v>289</v>
      </c>
      <c r="B299" s="12">
        <v>18.440000000000001</v>
      </c>
      <c r="C299" s="12">
        <f t="shared" si="4"/>
        <v>1.54</v>
      </c>
      <c r="D299" s="8">
        <v>0.98441809415817261</v>
      </c>
      <c r="E299" s="5">
        <f>MATCH(D299,'Route Data'!$C$7:$C$8,1)</f>
        <v>2</v>
      </c>
      <c r="F299" s="5">
        <f>INDEX('Route Data'!$D$7:$D$8,E299)</f>
        <v>1</v>
      </c>
      <c r="G299" s="5" t="str">
        <f>INDEX('Route Data'!$A$7:$A$8,E299)</f>
        <v>u18</v>
      </c>
      <c r="H299" s="5">
        <f>EnergyCoeff(INDEX('Route Data'!$K$7:$K$8,E299),INDEX('Route Data'!$L$7:$L$8,E299)*2*PI()/60,INDEX('Route Data'!$F$7:$F$8,E299))</f>
        <v>0.19430699130049439</v>
      </c>
      <c r="I299" s="5">
        <f>DischargeCoeff(INDEX('Route Data'!$I$7:$I$8,E299), INDEX('Route Data'!$L$7:$L$8,E299)*2*PI()/60, INDEX('Route Data'!$F$7:$F$8,E299))</f>
        <v>0.15939200179827354</v>
      </c>
      <c r="J299" s="8">
        <f>FlowAngleRel(INDEX('Route Data'!$J$7:$J$8,E299)*INDEX('Route Data'!$I$7:$I$8,E299), INDEX('Route Data'!$L$7:$L$8,E299)*2*PI()/60, INDEX('Route Data'!$F$7:$F$8,E299),INDEX('Route Data'!$O$7:$O$8,E299), INDEX('Route Data'!$P$7:$P$8,E299),INDEX('Route Data'!$M$7:$M$8,E299))</f>
        <v>1.130811765868994</v>
      </c>
      <c r="K299" s="8">
        <f>FlowAngleAbsT(INDEX('Route Data'!$K$7:$K$8,E299), INDEX('Route Data'!$I$7:$I$8,E299), INDEX('Route Data'!$I$7:$I$8,E299)*INDEX('Route Data'!$J$7:$J$8,E299), INDEX('Route Data'!$L$7:$L$8,E299)*2*PI()/60, INDEX('Route Data'!$F$7:$F$8,E299),INDEX('Route Data'!$O$7:$O$8,E299), INDEX('Route Data'!$P$7:$P$8,E299), INDEX('Route Data'!$H$7:$H$8,E299), INDEX('Route Data'!$Q$7:$Q$8,E299), INDEX('Route Data'!$M$7:$M$8,E299))</f>
        <v>0.51617226640175828</v>
      </c>
      <c r="L299" s="5">
        <f>INDEX('Route Data'!$N$7:$N$8,E299)</f>
        <v>0.4</v>
      </c>
      <c r="M299" s="8">
        <v>0.97529381513595581</v>
      </c>
      <c r="N299" s="8">
        <f>ProbStrikeFrancis(K299, I299, L299, INDEX('Route Data'!$G$7:$G$8,E299),C299, INDEX('Route Data'!$F$7:$F$8,E299), INDEX('Route Data'!$O$7:$O$8,E299), INDEX('Route Data'!$H$7:$H$18,E299))</f>
        <v>1</v>
      </c>
      <c r="O299" s="5" t="str">
        <f>IF(F299&gt;=1,IF(M299&lt;=N299,"STRIKE","pass"),IF(M299&lt;=INDEX('Route Data'!$R$7:$R$8,E299),"NO PASS","pass"))</f>
        <v>STRIKE</v>
      </c>
      <c r="P299" s="5">
        <f>IF(F299&gt;=1,IF(M299&lt;=N299,1,0),IF(M299&lt;=INDEX('Route Data'!$R$7:$R$8,E299),-1,0))</f>
        <v>1</v>
      </c>
    </row>
    <row r="300" spans="1:16">
      <c r="A300" s="5">
        <v>290</v>
      </c>
      <c r="B300" s="12">
        <v>24.27</v>
      </c>
      <c r="C300" s="12">
        <f t="shared" si="4"/>
        <v>2.02</v>
      </c>
      <c r="D300" s="8">
        <v>0.58516371250152588</v>
      </c>
      <c r="E300" s="5">
        <f>MATCH(D300,'Route Data'!$C$7:$C$8,1)</f>
        <v>2</v>
      </c>
      <c r="F300" s="5">
        <f>INDEX('Route Data'!$D$7:$D$8,E300)</f>
        <v>1</v>
      </c>
      <c r="G300" s="5" t="str">
        <f>INDEX('Route Data'!$A$7:$A$8,E300)</f>
        <v>u18</v>
      </c>
      <c r="H300" s="5">
        <f>EnergyCoeff(INDEX('Route Data'!$K$7:$K$8,E300),INDEX('Route Data'!$L$7:$L$8,E300)*2*PI()/60,INDEX('Route Data'!$F$7:$F$8,E300))</f>
        <v>0.19430699130049439</v>
      </c>
      <c r="I300" s="5">
        <f>DischargeCoeff(INDEX('Route Data'!$I$7:$I$8,E300), INDEX('Route Data'!$L$7:$L$8,E300)*2*PI()/60, INDEX('Route Data'!$F$7:$F$8,E300))</f>
        <v>0.15939200179827354</v>
      </c>
      <c r="J300" s="8">
        <f>FlowAngleRel(INDEX('Route Data'!$J$7:$J$8,E300)*INDEX('Route Data'!$I$7:$I$8,E300), INDEX('Route Data'!$L$7:$L$8,E300)*2*PI()/60, INDEX('Route Data'!$F$7:$F$8,E300),INDEX('Route Data'!$O$7:$O$8,E300), INDEX('Route Data'!$P$7:$P$8,E300),INDEX('Route Data'!$M$7:$M$8,E300))</f>
        <v>1.130811765868994</v>
      </c>
      <c r="K300" s="8">
        <f>FlowAngleAbsT(INDEX('Route Data'!$K$7:$K$8,E300), INDEX('Route Data'!$I$7:$I$8,E300), INDEX('Route Data'!$I$7:$I$8,E300)*INDEX('Route Data'!$J$7:$J$8,E300), INDEX('Route Data'!$L$7:$L$8,E300)*2*PI()/60, INDEX('Route Data'!$F$7:$F$8,E300),INDEX('Route Data'!$O$7:$O$8,E300), INDEX('Route Data'!$P$7:$P$8,E300), INDEX('Route Data'!$H$7:$H$8,E300), INDEX('Route Data'!$Q$7:$Q$8,E300), INDEX('Route Data'!$M$7:$M$8,E300))</f>
        <v>0.51617226640175828</v>
      </c>
      <c r="L300" s="5">
        <f>INDEX('Route Data'!$N$7:$N$8,E300)</f>
        <v>0.4</v>
      </c>
      <c r="M300" s="8">
        <v>0.28505241870880127</v>
      </c>
      <c r="N300" s="8">
        <f>ProbStrikeFrancis(K300, I300, L300, INDEX('Route Data'!$G$7:$G$8,E300),C300, INDEX('Route Data'!$F$7:$F$8,E300), INDEX('Route Data'!$O$7:$O$8,E300), INDEX('Route Data'!$H$7:$H$18,E300))</f>
        <v>1</v>
      </c>
      <c r="O300" s="5" t="str">
        <f>IF(F300&gt;=1,IF(M300&lt;=N300,"STRIKE","pass"),IF(M300&lt;=INDEX('Route Data'!$R$7:$R$8,E300),"NO PASS","pass"))</f>
        <v>STRIKE</v>
      </c>
      <c r="P300" s="5">
        <f>IF(F300&gt;=1,IF(M300&lt;=N300,1,0),IF(M300&lt;=INDEX('Route Data'!$R$7:$R$8,E300),-1,0))</f>
        <v>1</v>
      </c>
    </row>
    <row r="301" spans="1:16">
      <c r="A301" s="5">
        <v>291</v>
      </c>
      <c r="B301" s="12">
        <v>25.59</v>
      </c>
      <c r="C301" s="12">
        <f t="shared" si="4"/>
        <v>2.13</v>
      </c>
      <c r="D301" s="8">
        <v>4.8506081104278564E-2</v>
      </c>
      <c r="E301" s="5">
        <f>MATCH(D301,'Route Data'!$C$7:$C$8,1)</f>
        <v>2</v>
      </c>
      <c r="F301" s="5">
        <f>INDEX('Route Data'!$D$7:$D$8,E301)</f>
        <v>1</v>
      </c>
      <c r="G301" s="5" t="str">
        <f>INDEX('Route Data'!$A$7:$A$8,E301)</f>
        <v>u18</v>
      </c>
      <c r="H301" s="5">
        <f>EnergyCoeff(INDEX('Route Data'!$K$7:$K$8,E301),INDEX('Route Data'!$L$7:$L$8,E301)*2*PI()/60,INDEX('Route Data'!$F$7:$F$8,E301))</f>
        <v>0.19430699130049439</v>
      </c>
      <c r="I301" s="5">
        <f>DischargeCoeff(INDEX('Route Data'!$I$7:$I$8,E301), INDEX('Route Data'!$L$7:$L$8,E301)*2*PI()/60, INDEX('Route Data'!$F$7:$F$8,E301))</f>
        <v>0.15939200179827354</v>
      </c>
      <c r="J301" s="8">
        <f>FlowAngleRel(INDEX('Route Data'!$J$7:$J$8,E301)*INDEX('Route Data'!$I$7:$I$8,E301), INDEX('Route Data'!$L$7:$L$8,E301)*2*PI()/60, INDEX('Route Data'!$F$7:$F$8,E301),INDEX('Route Data'!$O$7:$O$8,E301), INDEX('Route Data'!$P$7:$P$8,E301),INDEX('Route Data'!$M$7:$M$8,E301))</f>
        <v>1.130811765868994</v>
      </c>
      <c r="K301" s="8">
        <f>FlowAngleAbsT(INDEX('Route Data'!$K$7:$K$8,E301), INDEX('Route Data'!$I$7:$I$8,E301), INDEX('Route Data'!$I$7:$I$8,E301)*INDEX('Route Data'!$J$7:$J$8,E301), INDEX('Route Data'!$L$7:$L$8,E301)*2*PI()/60, INDEX('Route Data'!$F$7:$F$8,E301),INDEX('Route Data'!$O$7:$O$8,E301), INDEX('Route Data'!$P$7:$P$8,E301), INDEX('Route Data'!$H$7:$H$8,E301), INDEX('Route Data'!$Q$7:$Q$8,E301), INDEX('Route Data'!$M$7:$M$8,E301))</f>
        <v>0.51617226640175828</v>
      </c>
      <c r="L301" s="5">
        <f>INDEX('Route Data'!$N$7:$N$8,E301)</f>
        <v>0.4</v>
      </c>
      <c r="M301" s="8">
        <v>9.0197384357452393E-2</v>
      </c>
      <c r="N301" s="8">
        <f>ProbStrikeFrancis(K301, I301, L301, INDEX('Route Data'!$G$7:$G$8,E301),C301, INDEX('Route Data'!$F$7:$F$8,E301), INDEX('Route Data'!$O$7:$O$8,E301), INDEX('Route Data'!$H$7:$H$18,E301))</f>
        <v>1</v>
      </c>
      <c r="O301" s="5" t="str">
        <f>IF(F301&gt;=1,IF(M301&lt;=N301,"STRIKE","pass"),IF(M301&lt;=INDEX('Route Data'!$R$7:$R$8,E301),"NO PASS","pass"))</f>
        <v>STRIKE</v>
      </c>
      <c r="P301" s="5">
        <f>IF(F301&gt;=1,IF(M301&lt;=N301,1,0),IF(M301&lt;=INDEX('Route Data'!$R$7:$R$8,E301),-1,0))</f>
        <v>1</v>
      </c>
    </row>
    <row r="302" spans="1:16">
      <c r="A302" s="5">
        <v>292</v>
      </c>
      <c r="B302" s="12">
        <v>19.989999999999998</v>
      </c>
      <c r="C302" s="12">
        <f t="shared" si="4"/>
        <v>1.67</v>
      </c>
      <c r="D302" s="8">
        <v>0.39289975166320801</v>
      </c>
      <c r="E302" s="5">
        <f>MATCH(D302,'Route Data'!$C$7:$C$8,1)</f>
        <v>2</v>
      </c>
      <c r="F302" s="5">
        <f>INDEX('Route Data'!$D$7:$D$8,E302)</f>
        <v>1</v>
      </c>
      <c r="G302" s="5" t="str">
        <f>INDEX('Route Data'!$A$7:$A$8,E302)</f>
        <v>u18</v>
      </c>
      <c r="H302" s="5">
        <f>EnergyCoeff(INDEX('Route Data'!$K$7:$K$8,E302),INDEX('Route Data'!$L$7:$L$8,E302)*2*PI()/60,INDEX('Route Data'!$F$7:$F$8,E302))</f>
        <v>0.19430699130049439</v>
      </c>
      <c r="I302" s="5">
        <f>DischargeCoeff(INDEX('Route Data'!$I$7:$I$8,E302), INDEX('Route Data'!$L$7:$L$8,E302)*2*PI()/60, INDEX('Route Data'!$F$7:$F$8,E302))</f>
        <v>0.15939200179827354</v>
      </c>
      <c r="J302" s="8">
        <f>FlowAngleRel(INDEX('Route Data'!$J$7:$J$8,E302)*INDEX('Route Data'!$I$7:$I$8,E302), INDEX('Route Data'!$L$7:$L$8,E302)*2*PI()/60, INDEX('Route Data'!$F$7:$F$8,E302),INDEX('Route Data'!$O$7:$O$8,E302), INDEX('Route Data'!$P$7:$P$8,E302),INDEX('Route Data'!$M$7:$M$8,E302))</f>
        <v>1.130811765868994</v>
      </c>
      <c r="K302" s="8">
        <f>FlowAngleAbsT(INDEX('Route Data'!$K$7:$K$8,E302), INDEX('Route Data'!$I$7:$I$8,E302), INDEX('Route Data'!$I$7:$I$8,E302)*INDEX('Route Data'!$J$7:$J$8,E302), INDEX('Route Data'!$L$7:$L$8,E302)*2*PI()/60, INDEX('Route Data'!$F$7:$F$8,E302),INDEX('Route Data'!$O$7:$O$8,E302), INDEX('Route Data'!$P$7:$P$8,E302), INDEX('Route Data'!$H$7:$H$8,E302), INDEX('Route Data'!$Q$7:$Q$8,E302), INDEX('Route Data'!$M$7:$M$8,E302))</f>
        <v>0.51617226640175828</v>
      </c>
      <c r="L302" s="5">
        <f>INDEX('Route Data'!$N$7:$N$8,E302)</f>
        <v>0.4</v>
      </c>
      <c r="M302" s="8">
        <v>0.14360404014587402</v>
      </c>
      <c r="N302" s="8">
        <f>ProbStrikeFrancis(K302, I302, L302, INDEX('Route Data'!$G$7:$G$8,E302),C302, INDEX('Route Data'!$F$7:$F$8,E302), INDEX('Route Data'!$O$7:$O$8,E302), INDEX('Route Data'!$H$7:$H$18,E302))</f>
        <v>1</v>
      </c>
      <c r="O302" s="5" t="str">
        <f>IF(F302&gt;=1,IF(M302&lt;=N302,"STRIKE","pass"),IF(M302&lt;=INDEX('Route Data'!$R$7:$R$8,E302),"NO PASS","pass"))</f>
        <v>STRIKE</v>
      </c>
      <c r="P302" s="5">
        <f>IF(F302&gt;=1,IF(M302&lt;=N302,1,0),IF(M302&lt;=INDEX('Route Data'!$R$7:$R$8,E302),-1,0))</f>
        <v>1</v>
      </c>
    </row>
    <row r="303" spans="1:16">
      <c r="A303" s="5">
        <v>293</v>
      </c>
      <c r="B303" s="12">
        <v>21.41</v>
      </c>
      <c r="C303" s="12">
        <f t="shared" si="4"/>
        <v>1.78</v>
      </c>
      <c r="D303" s="8">
        <v>0.62529796361923218</v>
      </c>
      <c r="E303" s="5">
        <f>MATCH(D303,'Route Data'!$C$7:$C$8,1)</f>
        <v>2</v>
      </c>
      <c r="F303" s="5">
        <f>INDEX('Route Data'!$D$7:$D$8,E303)</f>
        <v>1</v>
      </c>
      <c r="G303" s="5" t="str">
        <f>INDEX('Route Data'!$A$7:$A$8,E303)</f>
        <v>u18</v>
      </c>
      <c r="H303" s="5">
        <f>EnergyCoeff(INDEX('Route Data'!$K$7:$K$8,E303),INDEX('Route Data'!$L$7:$L$8,E303)*2*PI()/60,INDEX('Route Data'!$F$7:$F$8,E303))</f>
        <v>0.19430699130049439</v>
      </c>
      <c r="I303" s="5">
        <f>DischargeCoeff(INDEX('Route Data'!$I$7:$I$8,E303), INDEX('Route Data'!$L$7:$L$8,E303)*2*PI()/60, INDEX('Route Data'!$F$7:$F$8,E303))</f>
        <v>0.15939200179827354</v>
      </c>
      <c r="J303" s="8">
        <f>FlowAngleRel(INDEX('Route Data'!$J$7:$J$8,E303)*INDEX('Route Data'!$I$7:$I$8,E303), INDEX('Route Data'!$L$7:$L$8,E303)*2*PI()/60, INDEX('Route Data'!$F$7:$F$8,E303),INDEX('Route Data'!$O$7:$O$8,E303), INDEX('Route Data'!$P$7:$P$8,E303),INDEX('Route Data'!$M$7:$M$8,E303))</f>
        <v>1.130811765868994</v>
      </c>
      <c r="K303" s="8">
        <f>FlowAngleAbsT(INDEX('Route Data'!$K$7:$K$8,E303), INDEX('Route Data'!$I$7:$I$8,E303), INDEX('Route Data'!$I$7:$I$8,E303)*INDEX('Route Data'!$J$7:$J$8,E303), INDEX('Route Data'!$L$7:$L$8,E303)*2*PI()/60, INDEX('Route Data'!$F$7:$F$8,E303),INDEX('Route Data'!$O$7:$O$8,E303), INDEX('Route Data'!$P$7:$P$8,E303), INDEX('Route Data'!$H$7:$H$8,E303), INDEX('Route Data'!$Q$7:$Q$8,E303), INDEX('Route Data'!$M$7:$M$8,E303))</f>
        <v>0.51617226640175828</v>
      </c>
      <c r="L303" s="5">
        <f>INDEX('Route Data'!$N$7:$N$8,E303)</f>
        <v>0.4</v>
      </c>
      <c r="M303" s="8">
        <v>0.98338407278060913</v>
      </c>
      <c r="N303" s="8">
        <f>ProbStrikeFrancis(K303, I303, L303, INDEX('Route Data'!$G$7:$G$8,E303),C303, INDEX('Route Data'!$F$7:$F$8,E303), INDEX('Route Data'!$O$7:$O$8,E303), INDEX('Route Data'!$H$7:$H$18,E303))</f>
        <v>1</v>
      </c>
      <c r="O303" s="5" t="str">
        <f>IF(F303&gt;=1,IF(M303&lt;=N303,"STRIKE","pass"),IF(M303&lt;=INDEX('Route Data'!$R$7:$R$8,E303),"NO PASS","pass"))</f>
        <v>STRIKE</v>
      </c>
      <c r="P303" s="5">
        <f>IF(F303&gt;=1,IF(M303&lt;=N303,1,0),IF(M303&lt;=INDEX('Route Data'!$R$7:$R$8,E303),-1,0))</f>
        <v>1</v>
      </c>
    </row>
    <row r="304" spans="1:16">
      <c r="A304" s="5">
        <v>294</v>
      </c>
      <c r="B304" s="12">
        <v>19.46</v>
      </c>
      <c r="C304" s="12">
        <f t="shared" si="4"/>
        <v>1.62</v>
      </c>
      <c r="D304" s="8">
        <v>0.39694488048553467</v>
      </c>
      <c r="E304" s="5">
        <f>MATCH(D304,'Route Data'!$C$7:$C$8,1)</f>
        <v>2</v>
      </c>
      <c r="F304" s="5">
        <f>INDEX('Route Data'!$D$7:$D$8,E304)</f>
        <v>1</v>
      </c>
      <c r="G304" s="5" t="str">
        <f>INDEX('Route Data'!$A$7:$A$8,E304)</f>
        <v>u18</v>
      </c>
      <c r="H304" s="5">
        <f>EnergyCoeff(INDEX('Route Data'!$K$7:$K$8,E304),INDEX('Route Data'!$L$7:$L$8,E304)*2*PI()/60,INDEX('Route Data'!$F$7:$F$8,E304))</f>
        <v>0.19430699130049439</v>
      </c>
      <c r="I304" s="5">
        <f>DischargeCoeff(INDEX('Route Data'!$I$7:$I$8,E304), INDEX('Route Data'!$L$7:$L$8,E304)*2*PI()/60, INDEX('Route Data'!$F$7:$F$8,E304))</f>
        <v>0.15939200179827354</v>
      </c>
      <c r="J304" s="8">
        <f>FlowAngleRel(INDEX('Route Data'!$J$7:$J$8,E304)*INDEX('Route Data'!$I$7:$I$8,E304), INDEX('Route Data'!$L$7:$L$8,E304)*2*PI()/60, INDEX('Route Data'!$F$7:$F$8,E304),INDEX('Route Data'!$O$7:$O$8,E304), INDEX('Route Data'!$P$7:$P$8,E304),INDEX('Route Data'!$M$7:$M$8,E304))</f>
        <v>1.130811765868994</v>
      </c>
      <c r="K304" s="8">
        <f>FlowAngleAbsT(INDEX('Route Data'!$K$7:$K$8,E304), INDEX('Route Data'!$I$7:$I$8,E304), INDEX('Route Data'!$I$7:$I$8,E304)*INDEX('Route Data'!$J$7:$J$8,E304), INDEX('Route Data'!$L$7:$L$8,E304)*2*PI()/60, INDEX('Route Data'!$F$7:$F$8,E304),INDEX('Route Data'!$O$7:$O$8,E304), INDEX('Route Data'!$P$7:$P$8,E304), INDEX('Route Data'!$H$7:$H$8,E304), INDEX('Route Data'!$Q$7:$Q$8,E304), INDEX('Route Data'!$M$7:$M$8,E304))</f>
        <v>0.51617226640175828</v>
      </c>
      <c r="L304" s="5">
        <f>INDEX('Route Data'!$N$7:$N$8,E304)</f>
        <v>0.4</v>
      </c>
      <c r="M304" s="8">
        <v>0.46404397487640381</v>
      </c>
      <c r="N304" s="8">
        <f>ProbStrikeFrancis(K304, I304, L304, INDEX('Route Data'!$G$7:$G$8,E304),C304, INDEX('Route Data'!$F$7:$F$8,E304), INDEX('Route Data'!$O$7:$O$8,E304), INDEX('Route Data'!$H$7:$H$18,E304))</f>
        <v>1</v>
      </c>
      <c r="O304" s="5" t="str">
        <f>IF(F304&gt;=1,IF(M304&lt;=N304,"STRIKE","pass"),IF(M304&lt;=INDEX('Route Data'!$R$7:$R$8,E304),"NO PASS","pass"))</f>
        <v>STRIKE</v>
      </c>
      <c r="P304" s="5">
        <f>IF(F304&gt;=1,IF(M304&lt;=N304,1,0),IF(M304&lt;=INDEX('Route Data'!$R$7:$R$8,E304),-1,0))</f>
        <v>1</v>
      </c>
    </row>
    <row r="305" spans="1:16">
      <c r="A305" s="5">
        <v>295</v>
      </c>
      <c r="B305" s="12">
        <v>24.8</v>
      </c>
      <c r="C305" s="12">
        <f t="shared" si="4"/>
        <v>2.0699999999999998</v>
      </c>
      <c r="D305" s="8">
        <v>0.3475833535194397</v>
      </c>
      <c r="E305" s="5">
        <f>MATCH(D305,'Route Data'!$C$7:$C$8,1)</f>
        <v>2</v>
      </c>
      <c r="F305" s="5">
        <f>INDEX('Route Data'!$D$7:$D$8,E305)</f>
        <v>1</v>
      </c>
      <c r="G305" s="5" t="str">
        <f>INDEX('Route Data'!$A$7:$A$8,E305)</f>
        <v>u18</v>
      </c>
      <c r="H305" s="5">
        <f>EnergyCoeff(INDEX('Route Data'!$K$7:$K$8,E305),INDEX('Route Data'!$L$7:$L$8,E305)*2*PI()/60,INDEX('Route Data'!$F$7:$F$8,E305))</f>
        <v>0.19430699130049439</v>
      </c>
      <c r="I305" s="5">
        <f>DischargeCoeff(INDEX('Route Data'!$I$7:$I$8,E305), INDEX('Route Data'!$L$7:$L$8,E305)*2*PI()/60, INDEX('Route Data'!$F$7:$F$8,E305))</f>
        <v>0.15939200179827354</v>
      </c>
      <c r="J305" s="8">
        <f>FlowAngleRel(INDEX('Route Data'!$J$7:$J$8,E305)*INDEX('Route Data'!$I$7:$I$8,E305), INDEX('Route Data'!$L$7:$L$8,E305)*2*PI()/60, INDEX('Route Data'!$F$7:$F$8,E305),INDEX('Route Data'!$O$7:$O$8,E305), INDEX('Route Data'!$P$7:$P$8,E305),INDEX('Route Data'!$M$7:$M$8,E305))</f>
        <v>1.130811765868994</v>
      </c>
      <c r="K305" s="8">
        <f>FlowAngleAbsT(INDEX('Route Data'!$K$7:$K$8,E305), INDEX('Route Data'!$I$7:$I$8,E305), INDEX('Route Data'!$I$7:$I$8,E305)*INDEX('Route Data'!$J$7:$J$8,E305), INDEX('Route Data'!$L$7:$L$8,E305)*2*PI()/60, INDEX('Route Data'!$F$7:$F$8,E305),INDEX('Route Data'!$O$7:$O$8,E305), INDEX('Route Data'!$P$7:$P$8,E305), INDEX('Route Data'!$H$7:$H$8,E305), INDEX('Route Data'!$Q$7:$Q$8,E305), INDEX('Route Data'!$M$7:$M$8,E305))</f>
        <v>0.51617226640175828</v>
      </c>
      <c r="L305" s="5">
        <f>INDEX('Route Data'!$N$7:$N$8,E305)</f>
        <v>0.4</v>
      </c>
      <c r="M305" s="8">
        <v>2.2064268589019775E-2</v>
      </c>
      <c r="N305" s="8">
        <f>ProbStrikeFrancis(K305, I305, L305, INDEX('Route Data'!$G$7:$G$8,E305),C305, INDEX('Route Data'!$F$7:$F$8,E305), INDEX('Route Data'!$O$7:$O$8,E305), INDEX('Route Data'!$H$7:$H$18,E305))</f>
        <v>1</v>
      </c>
      <c r="O305" s="5" t="str">
        <f>IF(F305&gt;=1,IF(M305&lt;=N305,"STRIKE","pass"),IF(M305&lt;=INDEX('Route Data'!$R$7:$R$8,E305),"NO PASS","pass"))</f>
        <v>STRIKE</v>
      </c>
      <c r="P305" s="5">
        <f>IF(F305&gt;=1,IF(M305&lt;=N305,1,0),IF(M305&lt;=INDEX('Route Data'!$R$7:$R$8,E305),-1,0))</f>
        <v>1</v>
      </c>
    </row>
    <row r="306" spans="1:16">
      <c r="A306" s="5">
        <v>296</v>
      </c>
      <c r="B306" s="12">
        <v>23.92</v>
      </c>
      <c r="C306" s="12">
        <f t="shared" si="4"/>
        <v>1.99</v>
      </c>
      <c r="D306" s="8">
        <v>0.23008871078491211</v>
      </c>
      <c r="E306" s="5">
        <f>MATCH(D306,'Route Data'!$C$7:$C$8,1)</f>
        <v>2</v>
      </c>
      <c r="F306" s="5">
        <f>INDEX('Route Data'!$D$7:$D$8,E306)</f>
        <v>1</v>
      </c>
      <c r="G306" s="5" t="str">
        <f>INDEX('Route Data'!$A$7:$A$8,E306)</f>
        <v>u18</v>
      </c>
      <c r="H306" s="5">
        <f>EnergyCoeff(INDEX('Route Data'!$K$7:$K$8,E306),INDEX('Route Data'!$L$7:$L$8,E306)*2*PI()/60,INDEX('Route Data'!$F$7:$F$8,E306))</f>
        <v>0.19430699130049439</v>
      </c>
      <c r="I306" s="5">
        <f>DischargeCoeff(INDEX('Route Data'!$I$7:$I$8,E306), INDEX('Route Data'!$L$7:$L$8,E306)*2*PI()/60, INDEX('Route Data'!$F$7:$F$8,E306))</f>
        <v>0.15939200179827354</v>
      </c>
      <c r="J306" s="8">
        <f>FlowAngleRel(INDEX('Route Data'!$J$7:$J$8,E306)*INDEX('Route Data'!$I$7:$I$8,E306), INDEX('Route Data'!$L$7:$L$8,E306)*2*PI()/60, INDEX('Route Data'!$F$7:$F$8,E306),INDEX('Route Data'!$O$7:$O$8,E306), INDEX('Route Data'!$P$7:$P$8,E306),INDEX('Route Data'!$M$7:$M$8,E306))</f>
        <v>1.130811765868994</v>
      </c>
      <c r="K306" s="8">
        <f>FlowAngleAbsT(INDEX('Route Data'!$K$7:$K$8,E306), INDEX('Route Data'!$I$7:$I$8,E306), INDEX('Route Data'!$I$7:$I$8,E306)*INDEX('Route Data'!$J$7:$J$8,E306), INDEX('Route Data'!$L$7:$L$8,E306)*2*PI()/60, INDEX('Route Data'!$F$7:$F$8,E306),INDEX('Route Data'!$O$7:$O$8,E306), INDEX('Route Data'!$P$7:$P$8,E306), INDEX('Route Data'!$H$7:$H$8,E306), INDEX('Route Data'!$Q$7:$Q$8,E306), INDEX('Route Data'!$M$7:$M$8,E306))</f>
        <v>0.51617226640175828</v>
      </c>
      <c r="L306" s="5">
        <f>INDEX('Route Data'!$N$7:$N$8,E306)</f>
        <v>0.4</v>
      </c>
      <c r="M306" s="8">
        <v>0.61358261108398438</v>
      </c>
      <c r="N306" s="8">
        <f>ProbStrikeFrancis(K306, I306, L306, INDEX('Route Data'!$G$7:$G$8,E306),C306, INDEX('Route Data'!$F$7:$F$8,E306), INDEX('Route Data'!$O$7:$O$8,E306), INDEX('Route Data'!$H$7:$H$18,E306))</f>
        <v>1</v>
      </c>
      <c r="O306" s="5" t="str">
        <f>IF(F306&gt;=1,IF(M306&lt;=N306,"STRIKE","pass"),IF(M306&lt;=INDEX('Route Data'!$R$7:$R$8,E306),"NO PASS","pass"))</f>
        <v>STRIKE</v>
      </c>
      <c r="P306" s="5">
        <f>IF(F306&gt;=1,IF(M306&lt;=N306,1,0),IF(M306&lt;=INDEX('Route Data'!$R$7:$R$8,E306),-1,0))</f>
        <v>1</v>
      </c>
    </row>
    <row r="307" spans="1:16">
      <c r="A307" s="5">
        <v>297</v>
      </c>
      <c r="B307" s="12">
        <v>24.02</v>
      </c>
      <c r="C307" s="12">
        <f t="shared" si="4"/>
        <v>2</v>
      </c>
      <c r="D307" s="8">
        <v>0.58257263898849487</v>
      </c>
      <c r="E307" s="5">
        <f>MATCH(D307,'Route Data'!$C$7:$C$8,1)</f>
        <v>2</v>
      </c>
      <c r="F307" s="5">
        <f>INDEX('Route Data'!$D$7:$D$8,E307)</f>
        <v>1</v>
      </c>
      <c r="G307" s="5" t="str">
        <f>INDEX('Route Data'!$A$7:$A$8,E307)</f>
        <v>u18</v>
      </c>
      <c r="H307" s="5">
        <f>EnergyCoeff(INDEX('Route Data'!$K$7:$K$8,E307),INDEX('Route Data'!$L$7:$L$8,E307)*2*PI()/60,INDEX('Route Data'!$F$7:$F$8,E307))</f>
        <v>0.19430699130049439</v>
      </c>
      <c r="I307" s="5">
        <f>DischargeCoeff(INDEX('Route Data'!$I$7:$I$8,E307), INDEX('Route Data'!$L$7:$L$8,E307)*2*PI()/60, INDEX('Route Data'!$F$7:$F$8,E307))</f>
        <v>0.15939200179827354</v>
      </c>
      <c r="J307" s="8">
        <f>FlowAngleRel(INDEX('Route Data'!$J$7:$J$8,E307)*INDEX('Route Data'!$I$7:$I$8,E307), INDEX('Route Data'!$L$7:$L$8,E307)*2*PI()/60, INDEX('Route Data'!$F$7:$F$8,E307),INDEX('Route Data'!$O$7:$O$8,E307), INDEX('Route Data'!$P$7:$P$8,E307),INDEX('Route Data'!$M$7:$M$8,E307))</f>
        <v>1.130811765868994</v>
      </c>
      <c r="K307" s="8">
        <f>FlowAngleAbsT(INDEX('Route Data'!$K$7:$K$8,E307), INDEX('Route Data'!$I$7:$I$8,E307), INDEX('Route Data'!$I$7:$I$8,E307)*INDEX('Route Data'!$J$7:$J$8,E307), INDEX('Route Data'!$L$7:$L$8,E307)*2*PI()/60, INDEX('Route Data'!$F$7:$F$8,E307),INDEX('Route Data'!$O$7:$O$8,E307), INDEX('Route Data'!$P$7:$P$8,E307), INDEX('Route Data'!$H$7:$H$8,E307), INDEX('Route Data'!$Q$7:$Q$8,E307), INDEX('Route Data'!$M$7:$M$8,E307))</f>
        <v>0.51617226640175828</v>
      </c>
      <c r="L307" s="5">
        <f>INDEX('Route Data'!$N$7:$N$8,E307)</f>
        <v>0.4</v>
      </c>
      <c r="M307" s="8">
        <v>0.57344835996627808</v>
      </c>
      <c r="N307" s="8">
        <f>ProbStrikeFrancis(K307, I307, L307, INDEX('Route Data'!$G$7:$G$8,E307),C307, INDEX('Route Data'!$F$7:$F$8,E307), INDEX('Route Data'!$O$7:$O$8,E307), INDEX('Route Data'!$H$7:$H$18,E307))</f>
        <v>1</v>
      </c>
      <c r="O307" s="5" t="str">
        <f>IF(F307&gt;=1,IF(M307&lt;=N307,"STRIKE","pass"),IF(M307&lt;=INDEX('Route Data'!$R$7:$R$8,E307),"NO PASS","pass"))</f>
        <v>STRIKE</v>
      </c>
      <c r="P307" s="5">
        <f>IF(F307&gt;=1,IF(M307&lt;=N307,1,0),IF(M307&lt;=INDEX('Route Data'!$R$7:$R$8,E307),-1,0))</f>
        <v>1</v>
      </c>
    </row>
    <row r="308" spans="1:16">
      <c r="A308" s="5">
        <v>298</v>
      </c>
      <c r="B308" s="12">
        <v>23.74</v>
      </c>
      <c r="C308" s="12">
        <f t="shared" si="4"/>
        <v>1.98</v>
      </c>
      <c r="D308" s="8">
        <v>0.52512085437774658</v>
      </c>
      <c r="E308" s="5">
        <f>MATCH(D308,'Route Data'!$C$7:$C$8,1)</f>
        <v>2</v>
      </c>
      <c r="F308" s="5">
        <f>INDEX('Route Data'!$D$7:$D$8,E308)</f>
        <v>1</v>
      </c>
      <c r="G308" s="5" t="str">
        <f>INDEX('Route Data'!$A$7:$A$8,E308)</f>
        <v>u18</v>
      </c>
      <c r="H308" s="5">
        <f>EnergyCoeff(INDEX('Route Data'!$K$7:$K$8,E308),INDEX('Route Data'!$L$7:$L$8,E308)*2*PI()/60,INDEX('Route Data'!$F$7:$F$8,E308))</f>
        <v>0.19430699130049439</v>
      </c>
      <c r="I308" s="5">
        <f>DischargeCoeff(INDEX('Route Data'!$I$7:$I$8,E308), INDEX('Route Data'!$L$7:$L$8,E308)*2*PI()/60, INDEX('Route Data'!$F$7:$F$8,E308))</f>
        <v>0.15939200179827354</v>
      </c>
      <c r="J308" s="8">
        <f>FlowAngleRel(INDEX('Route Data'!$J$7:$J$8,E308)*INDEX('Route Data'!$I$7:$I$8,E308), INDEX('Route Data'!$L$7:$L$8,E308)*2*PI()/60, INDEX('Route Data'!$F$7:$F$8,E308),INDEX('Route Data'!$O$7:$O$8,E308), INDEX('Route Data'!$P$7:$P$8,E308),INDEX('Route Data'!$M$7:$M$8,E308))</f>
        <v>1.130811765868994</v>
      </c>
      <c r="K308" s="8">
        <f>FlowAngleAbsT(INDEX('Route Data'!$K$7:$K$8,E308), INDEX('Route Data'!$I$7:$I$8,E308), INDEX('Route Data'!$I$7:$I$8,E308)*INDEX('Route Data'!$J$7:$J$8,E308), INDEX('Route Data'!$L$7:$L$8,E308)*2*PI()/60, INDEX('Route Data'!$F$7:$F$8,E308),INDEX('Route Data'!$O$7:$O$8,E308), INDEX('Route Data'!$P$7:$P$8,E308), INDEX('Route Data'!$H$7:$H$8,E308), INDEX('Route Data'!$Q$7:$Q$8,E308), INDEX('Route Data'!$M$7:$M$8,E308))</f>
        <v>0.51617226640175828</v>
      </c>
      <c r="L308" s="5">
        <f>INDEX('Route Data'!$N$7:$N$8,E308)</f>
        <v>0.4</v>
      </c>
      <c r="M308" s="8">
        <v>0.22500956058502197</v>
      </c>
      <c r="N308" s="8">
        <f>ProbStrikeFrancis(K308, I308, L308, INDEX('Route Data'!$G$7:$G$8,E308),C308, INDEX('Route Data'!$F$7:$F$8,E308), INDEX('Route Data'!$O$7:$O$8,E308), INDEX('Route Data'!$H$7:$H$18,E308))</f>
        <v>1</v>
      </c>
      <c r="O308" s="5" t="str">
        <f>IF(F308&gt;=1,IF(M308&lt;=N308,"STRIKE","pass"),IF(M308&lt;=INDEX('Route Data'!$R$7:$R$8,E308),"NO PASS","pass"))</f>
        <v>STRIKE</v>
      </c>
      <c r="P308" s="5">
        <f>IF(F308&gt;=1,IF(M308&lt;=N308,1,0),IF(M308&lt;=INDEX('Route Data'!$R$7:$R$8,E308),-1,0))</f>
        <v>1</v>
      </c>
    </row>
    <row r="309" spans="1:16">
      <c r="A309" s="5">
        <v>299</v>
      </c>
      <c r="B309" s="12">
        <v>24.62</v>
      </c>
      <c r="C309" s="12">
        <f t="shared" si="4"/>
        <v>2.0499999999999998</v>
      </c>
      <c r="D309" s="8">
        <v>0.96305543184280396</v>
      </c>
      <c r="E309" s="5">
        <f>MATCH(D309,'Route Data'!$C$7:$C$8,1)</f>
        <v>2</v>
      </c>
      <c r="F309" s="5">
        <f>INDEX('Route Data'!$D$7:$D$8,E309)</f>
        <v>1</v>
      </c>
      <c r="G309" s="5" t="str">
        <f>INDEX('Route Data'!$A$7:$A$8,E309)</f>
        <v>u18</v>
      </c>
      <c r="H309" s="5">
        <f>EnergyCoeff(INDEX('Route Data'!$K$7:$K$8,E309),INDEX('Route Data'!$L$7:$L$8,E309)*2*PI()/60,INDEX('Route Data'!$F$7:$F$8,E309))</f>
        <v>0.19430699130049439</v>
      </c>
      <c r="I309" s="5">
        <f>DischargeCoeff(INDEX('Route Data'!$I$7:$I$8,E309), INDEX('Route Data'!$L$7:$L$8,E309)*2*PI()/60, INDEX('Route Data'!$F$7:$F$8,E309))</f>
        <v>0.15939200179827354</v>
      </c>
      <c r="J309" s="8">
        <f>FlowAngleRel(INDEX('Route Data'!$J$7:$J$8,E309)*INDEX('Route Data'!$I$7:$I$8,E309), INDEX('Route Data'!$L$7:$L$8,E309)*2*PI()/60, INDEX('Route Data'!$F$7:$F$8,E309),INDEX('Route Data'!$O$7:$O$8,E309), INDEX('Route Data'!$P$7:$P$8,E309),INDEX('Route Data'!$M$7:$M$8,E309))</f>
        <v>1.130811765868994</v>
      </c>
      <c r="K309" s="8">
        <f>FlowAngleAbsT(INDEX('Route Data'!$K$7:$K$8,E309), INDEX('Route Data'!$I$7:$I$8,E309), INDEX('Route Data'!$I$7:$I$8,E309)*INDEX('Route Data'!$J$7:$J$8,E309), INDEX('Route Data'!$L$7:$L$8,E309)*2*PI()/60, INDEX('Route Data'!$F$7:$F$8,E309),INDEX('Route Data'!$O$7:$O$8,E309), INDEX('Route Data'!$P$7:$P$8,E309), INDEX('Route Data'!$H$7:$H$8,E309), INDEX('Route Data'!$Q$7:$Q$8,E309), INDEX('Route Data'!$M$7:$M$8,E309))</f>
        <v>0.51617226640175828</v>
      </c>
      <c r="L309" s="5">
        <f>INDEX('Route Data'!$N$7:$N$8,E309)</f>
        <v>0.4</v>
      </c>
      <c r="M309" s="8">
        <v>4.7467350959777832E-3</v>
      </c>
      <c r="N309" s="8">
        <f>ProbStrikeFrancis(K309, I309, L309, INDEX('Route Data'!$G$7:$G$8,E309),C309, INDEX('Route Data'!$F$7:$F$8,E309), INDEX('Route Data'!$O$7:$O$8,E309), INDEX('Route Data'!$H$7:$H$18,E309))</f>
        <v>1</v>
      </c>
      <c r="O309" s="5" t="str">
        <f>IF(F309&gt;=1,IF(M309&lt;=N309,"STRIKE","pass"),IF(M309&lt;=INDEX('Route Data'!$R$7:$R$8,E309),"NO PASS","pass"))</f>
        <v>STRIKE</v>
      </c>
      <c r="P309" s="5">
        <f>IF(F309&gt;=1,IF(M309&lt;=N309,1,0),IF(M309&lt;=INDEX('Route Data'!$R$7:$R$8,E309),-1,0))</f>
        <v>1</v>
      </c>
    </row>
    <row r="310" spans="1:16">
      <c r="A310" s="5">
        <v>300</v>
      </c>
      <c r="B310" s="12">
        <v>22.2</v>
      </c>
      <c r="C310" s="12">
        <f t="shared" si="4"/>
        <v>1.85</v>
      </c>
      <c r="D310" s="8">
        <v>0.64925169944763184</v>
      </c>
      <c r="E310" s="5">
        <f>MATCH(D310,'Route Data'!$C$7:$C$8,1)</f>
        <v>2</v>
      </c>
      <c r="F310" s="5">
        <f>INDEX('Route Data'!$D$7:$D$8,E310)</f>
        <v>1</v>
      </c>
      <c r="G310" s="5" t="str">
        <f>INDEX('Route Data'!$A$7:$A$8,E310)</f>
        <v>u18</v>
      </c>
      <c r="H310" s="5">
        <f>EnergyCoeff(INDEX('Route Data'!$K$7:$K$8,E310),INDEX('Route Data'!$L$7:$L$8,E310)*2*PI()/60,INDEX('Route Data'!$F$7:$F$8,E310))</f>
        <v>0.19430699130049439</v>
      </c>
      <c r="I310" s="5">
        <f>DischargeCoeff(INDEX('Route Data'!$I$7:$I$8,E310), INDEX('Route Data'!$L$7:$L$8,E310)*2*PI()/60, INDEX('Route Data'!$F$7:$F$8,E310))</f>
        <v>0.15939200179827354</v>
      </c>
      <c r="J310" s="8">
        <f>FlowAngleRel(INDEX('Route Data'!$J$7:$J$8,E310)*INDEX('Route Data'!$I$7:$I$8,E310), INDEX('Route Data'!$L$7:$L$8,E310)*2*PI()/60, INDEX('Route Data'!$F$7:$F$8,E310),INDEX('Route Data'!$O$7:$O$8,E310), INDEX('Route Data'!$P$7:$P$8,E310),INDEX('Route Data'!$M$7:$M$8,E310))</f>
        <v>1.130811765868994</v>
      </c>
      <c r="K310" s="8">
        <f>FlowAngleAbsT(INDEX('Route Data'!$K$7:$K$8,E310), INDEX('Route Data'!$I$7:$I$8,E310), INDEX('Route Data'!$I$7:$I$8,E310)*INDEX('Route Data'!$J$7:$J$8,E310), INDEX('Route Data'!$L$7:$L$8,E310)*2*PI()/60, INDEX('Route Data'!$F$7:$F$8,E310),INDEX('Route Data'!$O$7:$O$8,E310), INDEX('Route Data'!$P$7:$P$8,E310), INDEX('Route Data'!$H$7:$H$8,E310), INDEX('Route Data'!$Q$7:$Q$8,E310), INDEX('Route Data'!$M$7:$M$8,E310))</f>
        <v>0.51617226640175828</v>
      </c>
      <c r="L310" s="5">
        <f>INDEX('Route Data'!$N$7:$N$8,E310)</f>
        <v>0.4</v>
      </c>
      <c r="M310" s="8">
        <v>0.39995598793029785</v>
      </c>
      <c r="N310" s="8">
        <f>ProbStrikeFrancis(K310, I310, L310, INDEX('Route Data'!$G$7:$G$8,E310),C310, INDEX('Route Data'!$F$7:$F$8,E310), INDEX('Route Data'!$O$7:$O$8,E310), INDEX('Route Data'!$H$7:$H$18,E310))</f>
        <v>1</v>
      </c>
      <c r="O310" s="5" t="str">
        <f>IF(F310&gt;=1,IF(M310&lt;=N310,"STRIKE","pass"),IF(M310&lt;=INDEX('Route Data'!$R$7:$R$8,E310),"NO PASS","pass"))</f>
        <v>STRIKE</v>
      </c>
      <c r="P310" s="5">
        <f>IF(F310&gt;=1,IF(M310&lt;=N310,1,0),IF(M310&lt;=INDEX('Route Data'!$R$7:$R$8,E310),-1,0))</f>
        <v>1</v>
      </c>
    </row>
    <row r="311" spans="1:16">
      <c r="A311" s="5">
        <v>301</v>
      </c>
      <c r="B311" s="12">
        <v>21.12</v>
      </c>
      <c r="C311" s="12">
        <f t="shared" si="4"/>
        <v>1.76</v>
      </c>
      <c r="D311" s="8">
        <v>0.85624212026596069</v>
      </c>
      <c r="E311" s="5">
        <f>MATCH(D311,'Route Data'!$C$7:$C$8,1)</f>
        <v>2</v>
      </c>
      <c r="F311" s="5">
        <f>INDEX('Route Data'!$D$7:$D$8,E311)</f>
        <v>1</v>
      </c>
      <c r="G311" s="5" t="str">
        <f>INDEX('Route Data'!$A$7:$A$8,E311)</f>
        <v>u18</v>
      </c>
      <c r="H311" s="5">
        <f>EnergyCoeff(INDEX('Route Data'!$K$7:$K$8,E311),INDEX('Route Data'!$L$7:$L$8,E311)*2*PI()/60,INDEX('Route Data'!$F$7:$F$8,E311))</f>
        <v>0.19430699130049439</v>
      </c>
      <c r="I311" s="5">
        <f>DischargeCoeff(INDEX('Route Data'!$I$7:$I$8,E311), INDEX('Route Data'!$L$7:$L$8,E311)*2*PI()/60, INDEX('Route Data'!$F$7:$F$8,E311))</f>
        <v>0.15939200179827354</v>
      </c>
      <c r="J311" s="8">
        <f>FlowAngleRel(INDEX('Route Data'!$J$7:$J$8,E311)*INDEX('Route Data'!$I$7:$I$8,E311), INDEX('Route Data'!$L$7:$L$8,E311)*2*PI()/60, INDEX('Route Data'!$F$7:$F$8,E311),INDEX('Route Data'!$O$7:$O$8,E311), INDEX('Route Data'!$P$7:$P$8,E311),INDEX('Route Data'!$M$7:$M$8,E311))</f>
        <v>1.130811765868994</v>
      </c>
      <c r="K311" s="8">
        <f>FlowAngleAbsT(INDEX('Route Data'!$K$7:$K$8,E311), INDEX('Route Data'!$I$7:$I$8,E311), INDEX('Route Data'!$I$7:$I$8,E311)*INDEX('Route Data'!$J$7:$J$8,E311), INDEX('Route Data'!$L$7:$L$8,E311)*2*PI()/60, INDEX('Route Data'!$F$7:$F$8,E311),INDEX('Route Data'!$O$7:$O$8,E311), INDEX('Route Data'!$P$7:$P$8,E311), INDEX('Route Data'!$H$7:$H$8,E311), INDEX('Route Data'!$Q$7:$Q$8,E311), INDEX('Route Data'!$M$7:$M$8,E311))</f>
        <v>0.51617226640175828</v>
      </c>
      <c r="L311" s="5">
        <f>INDEX('Route Data'!$N$7:$N$8,E311)</f>
        <v>0.4</v>
      </c>
      <c r="M311" s="8">
        <v>0.21432822942733765</v>
      </c>
      <c r="N311" s="8">
        <f>ProbStrikeFrancis(K311, I311, L311, INDEX('Route Data'!$G$7:$G$8,E311),C311, INDEX('Route Data'!$F$7:$F$8,E311), INDEX('Route Data'!$O$7:$O$8,E311), INDEX('Route Data'!$H$7:$H$18,E311))</f>
        <v>1</v>
      </c>
      <c r="O311" s="5" t="str">
        <f>IF(F311&gt;=1,IF(M311&lt;=N311,"STRIKE","pass"),IF(M311&lt;=INDEX('Route Data'!$R$7:$R$8,E311),"NO PASS","pass"))</f>
        <v>STRIKE</v>
      </c>
      <c r="P311" s="5">
        <f>IF(F311&gt;=1,IF(M311&lt;=N311,1,0),IF(M311&lt;=INDEX('Route Data'!$R$7:$R$8,E311),-1,0))</f>
        <v>1</v>
      </c>
    </row>
    <row r="312" spans="1:16">
      <c r="A312" s="5">
        <v>302</v>
      </c>
      <c r="B312" s="12">
        <v>22.24</v>
      </c>
      <c r="C312" s="12">
        <f t="shared" si="4"/>
        <v>1.85</v>
      </c>
      <c r="D312" s="8">
        <v>0.96969163417816162</v>
      </c>
      <c r="E312" s="5">
        <f>MATCH(D312,'Route Data'!$C$7:$C$8,1)</f>
        <v>2</v>
      </c>
      <c r="F312" s="5">
        <f>INDEX('Route Data'!$D$7:$D$8,E312)</f>
        <v>1</v>
      </c>
      <c r="G312" s="5" t="str">
        <f>INDEX('Route Data'!$A$7:$A$8,E312)</f>
        <v>u18</v>
      </c>
      <c r="H312" s="5">
        <f>EnergyCoeff(INDEX('Route Data'!$K$7:$K$8,E312),INDEX('Route Data'!$L$7:$L$8,E312)*2*PI()/60,INDEX('Route Data'!$F$7:$F$8,E312))</f>
        <v>0.19430699130049439</v>
      </c>
      <c r="I312" s="5">
        <f>DischargeCoeff(INDEX('Route Data'!$I$7:$I$8,E312), INDEX('Route Data'!$L$7:$L$8,E312)*2*PI()/60, INDEX('Route Data'!$F$7:$F$8,E312))</f>
        <v>0.15939200179827354</v>
      </c>
      <c r="J312" s="8">
        <f>FlowAngleRel(INDEX('Route Data'!$J$7:$J$8,E312)*INDEX('Route Data'!$I$7:$I$8,E312), INDEX('Route Data'!$L$7:$L$8,E312)*2*PI()/60, INDEX('Route Data'!$F$7:$F$8,E312),INDEX('Route Data'!$O$7:$O$8,E312), INDEX('Route Data'!$P$7:$P$8,E312),INDEX('Route Data'!$M$7:$M$8,E312))</f>
        <v>1.130811765868994</v>
      </c>
      <c r="K312" s="8">
        <f>FlowAngleAbsT(INDEX('Route Data'!$K$7:$K$8,E312), INDEX('Route Data'!$I$7:$I$8,E312), INDEX('Route Data'!$I$7:$I$8,E312)*INDEX('Route Data'!$J$7:$J$8,E312), INDEX('Route Data'!$L$7:$L$8,E312)*2*PI()/60, INDEX('Route Data'!$F$7:$F$8,E312),INDEX('Route Data'!$O$7:$O$8,E312), INDEX('Route Data'!$P$7:$P$8,E312), INDEX('Route Data'!$H$7:$H$8,E312), INDEX('Route Data'!$Q$7:$Q$8,E312), INDEX('Route Data'!$M$7:$M$8,E312))</f>
        <v>0.51617226640175828</v>
      </c>
      <c r="L312" s="5">
        <f>INDEX('Route Data'!$N$7:$N$8,E312)</f>
        <v>0.4</v>
      </c>
      <c r="M312" s="8">
        <v>3.6790728569030762E-2</v>
      </c>
      <c r="N312" s="8">
        <f>ProbStrikeFrancis(K312, I312, L312, INDEX('Route Data'!$G$7:$G$8,E312),C312, INDEX('Route Data'!$F$7:$F$8,E312), INDEX('Route Data'!$O$7:$O$8,E312), INDEX('Route Data'!$H$7:$H$18,E312))</f>
        <v>1</v>
      </c>
      <c r="O312" s="5" t="str">
        <f>IF(F312&gt;=1,IF(M312&lt;=N312,"STRIKE","pass"),IF(M312&lt;=INDEX('Route Data'!$R$7:$R$8,E312),"NO PASS","pass"))</f>
        <v>STRIKE</v>
      </c>
      <c r="P312" s="5">
        <f>IF(F312&gt;=1,IF(M312&lt;=N312,1,0),IF(M312&lt;=INDEX('Route Data'!$R$7:$R$8,E312),-1,0))</f>
        <v>1</v>
      </c>
    </row>
    <row r="313" spans="1:16">
      <c r="A313" s="5">
        <v>303</v>
      </c>
      <c r="B313" s="12">
        <v>17.64</v>
      </c>
      <c r="C313" s="12">
        <f t="shared" si="4"/>
        <v>1.47</v>
      </c>
      <c r="D313" s="8">
        <v>0.89492231607437134</v>
      </c>
      <c r="E313" s="5">
        <f>MATCH(D313,'Route Data'!$C$7:$C$8,1)</f>
        <v>2</v>
      </c>
      <c r="F313" s="5">
        <f>INDEX('Route Data'!$D$7:$D$8,E313)</f>
        <v>1</v>
      </c>
      <c r="G313" s="5" t="str">
        <f>INDEX('Route Data'!$A$7:$A$8,E313)</f>
        <v>u18</v>
      </c>
      <c r="H313" s="5">
        <f>EnergyCoeff(INDEX('Route Data'!$K$7:$K$8,E313),INDEX('Route Data'!$L$7:$L$8,E313)*2*PI()/60,INDEX('Route Data'!$F$7:$F$8,E313))</f>
        <v>0.19430699130049439</v>
      </c>
      <c r="I313" s="5">
        <f>DischargeCoeff(INDEX('Route Data'!$I$7:$I$8,E313), INDEX('Route Data'!$L$7:$L$8,E313)*2*PI()/60, INDEX('Route Data'!$F$7:$F$8,E313))</f>
        <v>0.15939200179827354</v>
      </c>
      <c r="J313" s="8">
        <f>FlowAngleRel(INDEX('Route Data'!$J$7:$J$8,E313)*INDEX('Route Data'!$I$7:$I$8,E313), INDEX('Route Data'!$L$7:$L$8,E313)*2*PI()/60, INDEX('Route Data'!$F$7:$F$8,E313),INDEX('Route Data'!$O$7:$O$8,E313), INDEX('Route Data'!$P$7:$P$8,E313),INDEX('Route Data'!$M$7:$M$8,E313))</f>
        <v>1.130811765868994</v>
      </c>
      <c r="K313" s="8">
        <f>FlowAngleAbsT(INDEX('Route Data'!$K$7:$K$8,E313), INDEX('Route Data'!$I$7:$I$8,E313), INDEX('Route Data'!$I$7:$I$8,E313)*INDEX('Route Data'!$J$7:$J$8,E313), INDEX('Route Data'!$L$7:$L$8,E313)*2*PI()/60, INDEX('Route Data'!$F$7:$F$8,E313),INDEX('Route Data'!$O$7:$O$8,E313), INDEX('Route Data'!$P$7:$P$8,E313), INDEX('Route Data'!$H$7:$H$8,E313), INDEX('Route Data'!$Q$7:$Q$8,E313), INDEX('Route Data'!$M$7:$M$8,E313))</f>
        <v>0.51617226640175828</v>
      </c>
      <c r="L313" s="5">
        <f>INDEX('Route Data'!$N$7:$N$8,E313)</f>
        <v>0.4</v>
      </c>
      <c r="M313" s="8">
        <v>0.30382400751113892</v>
      </c>
      <c r="N313" s="8">
        <f>ProbStrikeFrancis(K313, I313, L313, INDEX('Route Data'!$G$7:$G$8,E313),C313, INDEX('Route Data'!$F$7:$F$8,E313), INDEX('Route Data'!$O$7:$O$8,E313), INDEX('Route Data'!$H$7:$H$18,E313))</f>
        <v>1</v>
      </c>
      <c r="O313" s="5" t="str">
        <f>IF(F313&gt;=1,IF(M313&lt;=N313,"STRIKE","pass"),IF(M313&lt;=INDEX('Route Data'!$R$7:$R$8,E313),"NO PASS","pass"))</f>
        <v>STRIKE</v>
      </c>
      <c r="P313" s="5">
        <f>IF(F313&gt;=1,IF(M313&lt;=N313,1,0),IF(M313&lt;=INDEX('Route Data'!$R$7:$R$8,E313),-1,0))</f>
        <v>1</v>
      </c>
    </row>
    <row r="314" spans="1:16">
      <c r="A314" s="5">
        <v>304</v>
      </c>
      <c r="B314" s="12">
        <v>23.01</v>
      </c>
      <c r="C314" s="12">
        <f t="shared" si="4"/>
        <v>1.92</v>
      </c>
      <c r="D314" s="8">
        <v>0.11923027038574219</v>
      </c>
      <c r="E314" s="5">
        <f>MATCH(D314,'Route Data'!$C$7:$C$8,1)</f>
        <v>2</v>
      </c>
      <c r="F314" s="5">
        <f>INDEX('Route Data'!$D$7:$D$8,E314)</f>
        <v>1</v>
      </c>
      <c r="G314" s="5" t="str">
        <f>INDEX('Route Data'!$A$7:$A$8,E314)</f>
        <v>u18</v>
      </c>
      <c r="H314" s="5">
        <f>EnergyCoeff(INDEX('Route Data'!$K$7:$K$8,E314),INDEX('Route Data'!$L$7:$L$8,E314)*2*PI()/60,INDEX('Route Data'!$F$7:$F$8,E314))</f>
        <v>0.19430699130049439</v>
      </c>
      <c r="I314" s="5">
        <f>DischargeCoeff(INDEX('Route Data'!$I$7:$I$8,E314), INDEX('Route Data'!$L$7:$L$8,E314)*2*PI()/60, INDEX('Route Data'!$F$7:$F$8,E314))</f>
        <v>0.15939200179827354</v>
      </c>
      <c r="J314" s="8">
        <f>FlowAngleRel(INDEX('Route Data'!$J$7:$J$8,E314)*INDEX('Route Data'!$I$7:$I$8,E314), INDEX('Route Data'!$L$7:$L$8,E314)*2*PI()/60, INDEX('Route Data'!$F$7:$F$8,E314),INDEX('Route Data'!$O$7:$O$8,E314), INDEX('Route Data'!$P$7:$P$8,E314),INDEX('Route Data'!$M$7:$M$8,E314))</f>
        <v>1.130811765868994</v>
      </c>
      <c r="K314" s="8">
        <f>FlowAngleAbsT(INDEX('Route Data'!$K$7:$K$8,E314), INDEX('Route Data'!$I$7:$I$8,E314), INDEX('Route Data'!$I$7:$I$8,E314)*INDEX('Route Data'!$J$7:$J$8,E314), INDEX('Route Data'!$L$7:$L$8,E314)*2*PI()/60, INDEX('Route Data'!$F$7:$F$8,E314),INDEX('Route Data'!$O$7:$O$8,E314), INDEX('Route Data'!$P$7:$P$8,E314), INDEX('Route Data'!$H$7:$H$8,E314), INDEX('Route Data'!$Q$7:$Q$8,E314), INDEX('Route Data'!$M$7:$M$8,E314))</f>
        <v>0.51617226640175828</v>
      </c>
      <c r="L314" s="5">
        <f>INDEX('Route Data'!$N$7:$N$8,E314)</f>
        <v>0.4</v>
      </c>
      <c r="M314" s="8">
        <v>0.50272417068481445</v>
      </c>
      <c r="N314" s="8">
        <f>ProbStrikeFrancis(K314, I314, L314, INDEX('Route Data'!$G$7:$G$8,E314),C314, INDEX('Route Data'!$F$7:$F$8,E314), INDEX('Route Data'!$O$7:$O$8,E314), INDEX('Route Data'!$H$7:$H$18,E314))</f>
        <v>1</v>
      </c>
      <c r="O314" s="5" t="str">
        <f>IF(F314&gt;=1,IF(M314&lt;=N314,"STRIKE","pass"),IF(M314&lt;=INDEX('Route Data'!$R$7:$R$8,E314),"NO PASS","pass"))</f>
        <v>STRIKE</v>
      </c>
      <c r="P314" s="5">
        <f>IF(F314&gt;=1,IF(M314&lt;=N314,1,0),IF(M314&lt;=INDEX('Route Data'!$R$7:$R$8,E314),-1,0))</f>
        <v>1</v>
      </c>
    </row>
    <row r="315" spans="1:16">
      <c r="A315" s="5">
        <v>305</v>
      </c>
      <c r="B315" s="12">
        <v>20.75</v>
      </c>
      <c r="C315" s="12">
        <f t="shared" si="4"/>
        <v>1.73</v>
      </c>
      <c r="D315" s="8">
        <v>0.44630640745162964</v>
      </c>
      <c r="E315" s="5">
        <f>MATCH(D315,'Route Data'!$C$7:$C$8,1)</f>
        <v>2</v>
      </c>
      <c r="F315" s="5">
        <f>INDEX('Route Data'!$D$7:$D$8,E315)</f>
        <v>1</v>
      </c>
      <c r="G315" s="5" t="str">
        <f>INDEX('Route Data'!$A$7:$A$8,E315)</f>
        <v>u18</v>
      </c>
      <c r="H315" s="5">
        <f>EnergyCoeff(INDEX('Route Data'!$K$7:$K$8,E315),INDEX('Route Data'!$L$7:$L$8,E315)*2*PI()/60,INDEX('Route Data'!$F$7:$F$8,E315))</f>
        <v>0.19430699130049439</v>
      </c>
      <c r="I315" s="5">
        <f>DischargeCoeff(INDEX('Route Data'!$I$7:$I$8,E315), INDEX('Route Data'!$L$7:$L$8,E315)*2*PI()/60, INDEX('Route Data'!$F$7:$F$8,E315))</f>
        <v>0.15939200179827354</v>
      </c>
      <c r="J315" s="8">
        <f>FlowAngleRel(INDEX('Route Data'!$J$7:$J$8,E315)*INDEX('Route Data'!$I$7:$I$8,E315), INDEX('Route Data'!$L$7:$L$8,E315)*2*PI()/60, INDEX('Route Data'!$F$7:$F$8,E315),INDEX('Route Data'!$O$7:$O$8,E315), INDEX('Route Data'!$P$7:$P$8,E315),INDEX('Route Data'!$M$7:$M$8,E315))</f>
        <v>1.130811765868994</v>
      </c>
      <c r="K315" s="8">
        <f>FlowAngleAbsT(INDEX('Route Data'!$K$7:$K$8,E315), INDEX('Route Data'!$I$7:$I$8,E315), INDEX('Route Data'!$I$7:$I$8,E315)*INDEX('Route Data'!$J$7:$J$8,E315), INDEX('Route Data'!$L$7:$L$8,E315)*2*PI()/60, INDEX('Route Data'!$F$7:$F$8,E315),INDEX('Route Data'!$O$7:$O$8,E315), INDEX('Route Data'!$P$7:$P$8,E315), INDEX('Route Data'!$H$7:$H$8,E315), INDEX('Route Data'!$Q$7:$Q$8,E315), INDEX('Route Data'!$M$7:$M$8,E315))</f>
        <v>0.51617226640175828</v>
      </c>
      <c r="L315" s="5">
        <f>INDEX('Route Data'!$N$7:$N$8,E315)</f>
        <v>0.4</v>
      </c>
      <c r="M315" s="8">
        <v>0.17160290479660034</v>
      </c>
      <c r="N315" s="8">
        <f>ProbStrikeFrancis(K315, I315, L315, INDEX('Route Data'!$G$7:$G$8,E315),C315, INDEX('Route Data'!$F$7:$F$8,E315), INDEX('Route Data'!$O$7:$O$8,E315), INDEX('Route Data'!$H$7:$H$18,E315))</f>
        <v>1</v>
      </c>
      <c r="O315" s="5" t="str">
        <f>IF(F315&gt;=1,IF(M315&lt;=N315,"STRIKE","pass"),IF(M315&lt;=INDEX('Route Data'!$R$7:$R$8,E315),"NO PASS","pass"))</f>
        <v>STRIKE</v>
      </c>
      <c r="P315" s="5">
        <f>IF(F315&gt;=1,IF(M315&lt;=N315,1,0),IF(M315&lt;=INDEX('Route Data'!$R$7:$R$8,E315),-1,0))</f>
        <v>1</v>
      </c>
    </row>
    <row r="316" spans="1:16">
      <c r="A316" s="5">
        <v>306</v>
      </c>
      <c r="B316" s="12">
        <v>22.26</v>
      </c>
      <c r="C316" s="12">
        <f t="shared" si="4"/>
        <v>1.86</v>
      </c>
      <c r="D316" s="8">
        <v>0.46507799625396729</v>
      </c>
      <c r="E316" s="5">
        <f>MATCH(D316,'Route Data'!$C$7:$C$8,1)</f>
        <v>2</v>
      </c>
      <c r="F316" s="5">
        <f>INDEX('Route Data'!$D$7:$D$8,E316)</f>
        <v>1</v>
      </c>
      <c r="G316" s="5" t="str">
        <f>INDEX('Route Data'!$A$7:$A$8,E316)</f>
        <v>u18</v>
      </c>
      <c r="H316" s="5">
        <f>EnergyCoeff(INDEX('Route Data'!$K$7:$K$8,E316),INDEX('Route Data'!$L$7:$L$8,E316)*2*PI()/60,INDEX('Route Data'!$F$7:$F$8,E316))</f>
        <v>0.19430699130049439</v>
      </c>
      <c r="I316" s="5">
        <f>DischargeCoeff(INDEX('Route Data'!$I$7:$I$8,E316), INDEX('Route Data'!$L$7:$L$8,E316)*2*PI()/60, INDEX('Route Data'!$F$7:$F$8,E316))</f>
        <v>0.15939200179827354</v>
      </c>
      <c r="J316" s="8">
        <f>FlowAngleRel(INDEX('Route Data'!$J$7:$J$8,E316)*INDEX('Route Data'!$I$7:$I$8,E316), INDEX('Route Data'!$L$7:$L$8,E316)*2*PI()/60, INDEX('Route Data'!$F$7:$F$8,E316),INDEX('Route Data'!$O$7:$O$8,E316), INDEX('Route Data'!$P$7:$P$8,E316),INDEX('Route Data'!$M$7:$M$8,E316))</f>
        <v>1.130811765868994</v>
      </c>
      <c r="K316" s="8">
        <f>FlowAngleAbsT(INDEX('Route Data'!$K$7:$K$8,E316), INDEX('Route Data'!$I$7:$I$8,E316), INDEX('Route Data'!$I$7:$I$8,E316)*INDEX('Route Data'!$J$7:$J$8,E316), INDEX('Route Data'!$L$7:$L$8,E316)*2*PI()/60, INDEX('Route Data'!$F$7:$F$8,E316),INDEX('Route Data'!$O$7:$O$8,E316), INDEX('Route Data'!$P$7:$P$8,E316), INDEX('Route Data'!$H$7:$H$8,E316), INDEX('Route Data'!$Q$7:$Q$8,E316), INDEX('Route Data'!$M$7:$M$8,E316))</f>
        <v>0.51617226640175828</v>
      </c>
      <c r="L316" s="5">
        <f>INDEX('Route Data'!$N$7:$N$8,E316)</f>
        <v>0.4</v>
      </c>
      <c r="M316" s="8">
        <v>0.16496670246124268</v>
      </c>
      <c r="N316" s="8">
        <f>ProbStrikeFrancis(K316, I316, L316, INDEX('Route Data'!$G$7:$G$8,E316),C316, INDEX('Route Data'!$F$7:$F$8,E316), INDEX('Route Data'!$O$7:$O$8,E316), INDEX('Route Data'!$H$7:$H$18,E316))</f>
        <v>1</v>
      </c>
      <c r="O316" s="5" t="str">
        <f>IF(F316&gt;=1,IF(M316&lt;=N316,"STRIKE","pass"),IF(M316&lt;=INDEX('Route Data'!$R$7:$R$8,E316),"NO PASS","pass"))</f>
        <v>STRIKE</v>
      </c>
      <c r="P316" s="5">
        <f>IF(F316&gt;=1,IF(M316&lt;=N316,1,0),IF(M316&lt;=INDEX('Route Data'!$R$7:$R$8,E316),-1,0))</f>
        <v>1</v>
      </c>
    </row>
    <row r="317" spans="1:16">
      <c r="A317" s="5">
        <v>307</v>
      </c>
      <c r="B317" s="12">
        <v>22.81</v>
      </c>
      <c r="C317" s="12">
        <f t="shared" si="4"/>
        <v>1.9</v>
      </c>
      <c r="D317" s="8">
        <v>0.87760478258132935</v>
      </c>
      <c r="E317" s="5">
        <f>MATCH(D317,'Route Data'!$C$7:$C$8,1)</f>
        <v>2</v>
      </c>
      <c r="F317" s="5">
        <f>INDEX('Route Data'!$D$7:$D$8,E317)</f>
        <v>1</v>
      </c>
      <c r="G317" s="5" t="str">
        <f>INDEX('Route Data'!$A$7:$A$8,E317)</f>
        <v>u18</v>
      </c>
      <c r="H317" s="5">
        <f>EnergyCoeff(INDEX('Route Data'!$K$7:$K$8,E317),INDEX('Route Data'!$L$7:$L$8,E317)*2*PI()/60,INDEX('Route Data'!$F$7:$F$8,E317))</f>
        <v>0.19430699130049439</v>
      </c>
      <c r="I317" s="5">
        <f>DischargeCoeff(INDEX('Route Data'!$I$7:$I$8,E317), INDEX('Route Data'!$L$7:$L$8,E317)*2*PI()/60, INDEX('Route Data'!$F$7:$F$8,E317))</f>
        <v>0.15939200179827354</v>
      </c>
      <c r="J317" s="8">
        <f>FlowAngleRel(INDEX('Route Data'!$J$7:$J$8,E317)*INDEX('Route Data'!$I$7:$I$8,E317), INDEX('Route Data'!$L$7:$L$8,E317)*2*PI()/60, INDEX('Route Data'!$F$7:$F$8,E317),INDEX('Route Data'!$O$7:$O$8,E317), INDEX('Route Data'!$P$7:$P$8,E317),INDEX('Route Data'!$M$7:$M$8,E317))</f>
        <v>1.130811765868994</v>
      </c>
      <c r="K317" s="8">
        <f>FlowAngleAbsT(INDEX('Route Data'!$K$7:$K$8,E317), INDEX('Route Data'!$I$7:$I$8,E317), INDEX('Route Data'!$I$7:$I$8,E317)*INDEX('Route Data'!$J$7:$J$8,E317), INDEX('Route Data'!$L$7:$L$8,E317)*2*PI()/60, INDEX('Route Data'!$F$7:$F$8,E317),INDEX('Route Data'!$O$7:$O$8,E317), INDEX('Route Data'!$P$7:$P$8,E317), INDEX('Route Data'!$H$7:$H$8,E317), INDEX('Route Data'!$Q$7:$Q$8,E317), INDEX('Route Data'!$M$7:$M$8,E317))</f>
        <v>0.51617226640175828</v>
      </c>
      <c r="L317" s="5">
        <f>INDEX('Route Data'!$N$7:$N$8,E317)</f>
        <v>0.4</v>
      </c>
      <c r="M317" s="8">
        <v>0.91929608583450317</v>
      </c>
      <c r="N317" s="8">
        <f>ProbStrikeFrancis(K317, I317, L317, INDEX('Route Data'!$G$7:$G$8,E317),C317, INDEX('Route Data'!$F$7:$F$8,E317), INDEX('Route Data'!$O$7:$O$8,E317), INDEX('Route Data'!$H$7:$H$18,E317))</f>
        <v>1</v>
      </c>
      <c r="O317" s="5" t="str">
        <f>IF(F317&gt;=1,IF(M317&lt;=N317,"STRIKE","pass"),IF(M317&lt;=INDEX('Route Data'!$R$7:$R$8,E317),"NO PASS","pass"))</f>
        <v>STRIKE</v>
      </c>
      <c r="P317" s="5">
        <f>IF(F317&gt;=1,IF(M317&lt;=N317,1,0),IF(M317&lt;=INDEX('Route Data'!$R$7:$R$8,E317),-1,0))</f>
        <v>1</v>
      </c>
    </row>
    <row r="318" spans="1:16">
      <c r="A318" s="5">
        <v>308</v>
      </c>
      <c r="B318" s="12">
        <v>23.24</v>
      </c>
      <c r="C318" s="12">
        <f t="shared" si="4"/>
        <v>1.94</v>
      </c>
      <c r="D318" s="8">
        <v>0.90560364723205566</v>
      </c>
      <c r="E318" s="5">
        <f>MATCH(D318,'Route Data'!$C$7:$C$8,1)</f>
        <v>2</v>
      </c>
      <c r="F318" s="5">
        <f>INDEX('Route Data'!$D$7:$D$8,E318)</f>
        <v>1</v>
      </c>
      <c r="G318" s="5" t="str">
        <f>INDEX('Route Data'!$A$7:$A$8,E318)</f>
        <v>u18</v>
      </c>
      <c r="H318" s="5">
        <f>EnergyCoeff(INDEX('Route Data'!$K$7:$K$8,E318),INDEX('Route Data'!$L$7:$L$8,E318)*2*PI()/60,INDEX('Route Data'!$F$7:$F$8,E318))</f>
        <v>0.19430699130049439</v>
      </c>
      <c r="I318" s="5">
        <f>DischargeCoeff(INDEX('Route Data'!$I$7:$I$8,E318), INDEX('Route Data'!$L$7:$L$8,E318)*2*PI()/60, INDEX('Route Data'!$F$7:$F$8,E318))</f>
        <v>0.15939200179827354</v>
      </c>
      <c r="J318" s="8">
        <f>FlowAngleRel(INDEX('Route Data'!$J$7:$J$8,E318)*INDEX('Route Data'!$I$7:$I$8,E318), INDEX('Route Data'!$L$7:$L$8,E318)*2*PI()/60, INDEX('Route Data'!$F$7:$F$8,E318),INDEX('Route Data'!$O$7:$O$8,E318), INDEX('Route Data'!$P$7:$P$8,E318),INDEX('Route Data'!$M$7:$M$8,E318))</f>
        <v>1.130811765868994</v>
      </c>
      <c r="K318" s="8">
        <f>FlowAngleAbsT(INDEX('Route Data'!$K$7:$K$8,E318), INDEX('Route Data'!$I$7:$I$8,E318), INDEX('Route Data'!$I$7:$I$8,E318)*INDEX('Route Data'!$J$7:$J$8,E318), INDEX('Route Data'!$L$7:$L$8,E318)*2*PI()/60, INDEX('Route Data'!$F$7:$F$8,E318),INDEX('Route Data'!$O$7:$O$8,E318), INDEX('Route Data'!$P$7:$P$8,E318), INDEX('Route Data'!$H$7:$H$8,E318), INDEX('Route Data'!$Q$7:$Q$8,E318), INDEX('Route Data'!$M$7:$M$8,E318))</f>
        <v>0.51617226640175828</v>
      </c>
      <c r="L318" s="5">
        <f>INDEX('Route Data'!$N$7:$N$8,E318)</f>
        <v>0.4</v>
      </c>
      <c r="M318" s="8">
        <v>0.92188715934753418</v>
      </c>
      <c r="N318" s="8">
        <f>ProbStrikeFrancis(K318, I318, L318, INDEX('Route Data'!$G$7:$G$8,E318),C318, INDEX('Route Data'!$F$7:$F$8,E318), INDEX('Route Data'!$O$7:$O$8,E318), INDEX('Route Data'!$H$7:$H$18,E318))</f>
        <v>1</v>
      </c>
      <c r="O318" s="5" t="str">
        <f>IF(F318&gt;=1,IF(M318&lt;=N318,"STRIKE","pass"),IF(M318&lt;=INDEX('Route Data'!$R$7:$R$8,E318),"NO PASS","pass"))</f>
        <v>STRIKE</v>
      </c>
      <c r="P318" s="5">
        <f>IF(F318&gt;=1,IF(M318&lt;=N318,1,0),IF(M318&lt;=INDEX('Route Data'!$R$7:$R$8,E318),-1,0))</f>
        <v>1</v>
      </c>
    </row>
    <row r="319" spans="1:16">
      <c r="A319" s="5">
        <v>309</v>
      </c>
      <c r="B319" s="12">
        <v>21.98</v>
      </c>
      <c r="C319" s="12">
        <f t="shared" si="4"/>
        <v>1.83</v>
      </c>
      <c r="D319" s="8">
        <v>8.7186276912689209E-2</v>
      </c>
      <c r="E319" s="5">
        <f>MATCH(D319,'Route Data'!$C$7:$C$8,1)</f>
        <v>2</v>
      </c>
      <c r="F319" s="5">
        <f>INDEX('Route Data'!$D$7:$D$8,E319)</f>
        <v>1</v>
      </c>
      <c r="G319" s="5" t="str">
        <f>INDEX('Route Data'!$A$7:$A$8,E319)</f>
        <v>u18</v>
      </c>
      <c r="H319" s="5">
        <f>EnergyCoeff(INDEX('Route Data'!$K$7:$K$8,E319),INDEX('Route Data'!$L$7:$L$8,E319)*2*PI()/60,INDEX('Route Data'!$F$7:$F$8,E319))</f>
        <v>0.19430699130049439</v>
      </c>
      <c r="I319" s="5">
        <f>DischargeCoeff(INDEX('Route Data'!$I$7:$I$8,E319), INDEX('Route Data'!$L$7:$L$8,E319)*2*PI()/60, INDEX('Route Data'!$F$7:$F$8,E319))</f>
        <v>0.15939200179827354</v>
      </c>
      <c r="J319" s="8">
        <f>FlowAngleRel(INDEX('Route Data'!$J$7:$J$8,E319)*INDEX('Route Data'!$I$7:$I$8,E319), INDEX('Route Data'!$L$7:$L$8,E319)*2*PI()/60, INDEX('Route Data'!$F$7:$F$8,E319),INDEX('Route Data'!$O$7:$O$8,E319), INDEX('Route Data'!$P$7:$P$8,E319),INDEX('Route Data'!$M$7:$M$8,E319))</f>
        <v>1.130811765868994</v>
      </c>
      <c r="K319" s="8">
        <f>FlowAngleAbsT(INDEX('Route Data'!$K$7:$K$8,E319), INDEX('Route Data'!$I$7:$I$8,E319), INDEX('Route Data'!$I$7:$I$8,E319)*INDEX('Route Data'!$J$7:$J$8,E319), INDEX('Route Data'!$L$7:$L$8,E319)*2*PI()/60, INDEX('Route Data'!$F$7:$F$8,E319),INDEX('Route Data'!$O$7:$O$8,E319), INDEX('Route Data'!$P$7:$P$8,E319), INDEX('Route Data'!$H$7:$H$8,E319), INDEX('Route Data'!$Q$7:$Q$8,E319), INDEX('Route Data'!$M$7:$M$8,E319))</f>
        <v>0.51617226640175828</v>
      </c>
      <c r="L319" s="5">
        <f>INDEX('Route Data'!$N$7:$N$8,E319)</f>
        <v>0.4</v>
      </c>
      <c r="M319" s="8">
        <v>0.44527238607406616</v>
      </c>
      <c r="N319" s="8">
        <f>ProbStrikeFrancis(K319, I319, L319, INDEX('Route Data'!$G$7:$G$8,E319),C319, INDEX('Route Data'!$F$7:$F$8,E319), INDEX('Route Data'!$O$7:$O$8,E319), INDEX('Route Data'!$H$7:$H$18,E319))</f>
        <v>1</v>
      </c>
      <c r="O319" s="5" t="str">
        <f>IF(F319&gt;=1,IF(M319&lt;=N319,"STRIKE","pass"),IF(M319&lt;=INDEX('Route Data'!$R$7:$R$8,E319),"NO PASS","pass"))</f>
        <v>STRIKE</v>
      </c>
      <c r="P319" s="5">
        <f>IF(F319&gt;=1,IF(M319&lt;=N319,1,0),IF(M319&lt;=INDEX('Route Data'!$R$7:$R$8,E319),-1,0))</f>
        <v>1</v>
      </c>
    </row>
    <row r="320" spans="1:16">
      <c r="A320" s="5">
        <v>310</v>
      </c>
      <c r="B320" s="12">
        <v>26.91</v>
      </c>
      <c r="C320" s="12">
        <f t="shared" si="4"/>
        <v>2.2400000000000002</v>
      </c>
      <c r="D320" s="8">
        <v>0.54243838787078857</v>
      </c>
      <c r="E320" s="5">
        <f>MATCH(D320,'Route Data'!$C$7:$C$8,1)</f>
        <v>2</v>
      </c>
      <c r="F320" s="5">
        <f>INDEX('Route Data'!$D$7:$D$8,E320)</f>
        <v>1</v>
      </c>
      <c r="G320" s="5" t="str">
        <f>INDEX('Route Data'!$A$7:$A$8,E320)</f>
        <v>u18</v>
      </c>
      <c r="H320" s="5">
        <f>EnergyCoeff(INDEX('Route Data'!$K$7:$K$8,E320),INDEX('Route Data'!$L$7:$L$8,E320)*2*PI()/60,INDEX('Route Data'!$F$7:$F$8,E320))</f>
        <v>0.19430699130049439</v>
      </c>
      <c r="I320" s="5">
        <f>DischargeCoeff(INDEX('Route Data'!$I$7:$I$8,E320), INDEX('Route Data'!$L$7:$L$8,E320)*2*PI()/60, INDEX('Route Data'!$F$7:$F$8,E320))</f>
        <v>0.15939200179827354</v>
      </c>
      <c r="J320" s="8">
        <f>FlowAngleRel(INDEX('Route Data'!$J$7:$J$8,E320)*INDEX('Route Data'!$I$7:$I$8,E320), INDEX('Route Data'!$L$7:$L$8,E320)*2*PI()/60, INDEX('Route Data'!$F$7:$F$8,E320),INDEX('Route Data'!$O$7:$O$8,E320), INDEX('Route Data'!$P$7:$P$8,E320),INDEX('Route Data'!$M$7:$M$8,E320))</f>
        <v>1.130811765868994</v>
      </c>
      <c r="K320" s="8">
        <f>FlowAngleAbsT(INDEX('Route Data'!$K$7:$K$8,E320), INDEX('Route Data'!$I$7:$I$8,E320), INDEX('Route Data'!$I$7:$I$8,E320)*INDEX('Route Data'!$J$7:$J$8,E320), INDEX('Route Data'!$L$7:$L$8,E320)*2*PI()/60, INDEX('Route Data'!$F$7:$F$8,E320),INDEX('Route Data'!$O$7:$O$8,E320), INDEX('Route Data'!$P$7:$P$8,E320), INDEX('Route Data'!$H$7:$H$8,E320), INDEX('Route Data'!$Q$7:$Q$8,E320), INDEX('Route Data'!$M$7:$M$8,E320))</f>
        <v>0.51617226640175828</v>
      </c>
      <c r="L320" s="5">
        <f>INDEX('Route Data'!$N$7:$N$8,E320)</f>
        <v>0.4</v>
      </c>
      <c r="M320" s="8">
        <v>0.60953748226165771</v>
      </c>
      <c r="N320" s="8">
        <f>ProbStrikeFrancis(K320, I320, L320, INDEX('Route Data'!$G$7:$G$8,E320),C320, INDEX('Route Data'!$F$7:$F$8,E320), INDEX('Route Data'!$O$7:$O$8,E320), INDEX('Route Data'!$H$7:$H$18,E320))</f>
        <v>1</v>
      </c>
      <c r="O320" s="5" t="str">
        <f>IF(F320&gt;=1,IF(M320&lt;=N320,"STRIKE","pass"),IF(M320&lt;=INDEX('Route Data'!$R$7:$R$8,E320),"NO PASS","pass"))</f>
        <v>STRIKE</v>
      </c>
      <c r="P320" s="5">
        <f>IF(F320&gt;=1,IF(M320&lt;=N320,1,0),IF(M320&lt;=INDEX('Route Data'!$R$7:$R$8,E320),-1,0))</f>
        <v>1</v>
      </c>
    </row>
    <row r="321" spans="1:16">
      <c r="A321" s="5">
        <v>311</v>
      </c>
      <c r="B321" s="12">
        <v>22.28</v>
      </c>
      <c r="C321" s="12">
        <f t="shared" si="4"/>
        <v>1.86</v>
      </c>
      <c r="D321" s="8">
        <v>0.17668205499649048</v>
      </c>
      <c r="E321" s="5">
        <f>MATCH(D321,'Route Data'!$C$7:$C$8,1)</f>
        <v>2</v>
      </c>
      <c r="F321" s="5">
        <f>INDEX('Route Data'!$D$7:$D$8,E321)</f>
        <v>1</v>
      </c>
      <c r="G321" s="5" t="str">
        <f>INDEX('Route Data'!$A$7:$A$8,E321)</f>
        <v>u18</v>
      </c>
      <c r="H321" s="5">
        <f>EnergyCoeff(INDEX('Route Data'!$K$7:$K$8,E321),INDEX('Route Data'!$L$7:$L$8,E321)*2*PI()/60,INDEX('Route Data'!$F$7:$F$8,E321))</f>
        <v>0.19430699130049439</v>
      </c>
      <c r="I321" s="5">
        <f>DischargeCoeff(INDEX('Route Data'!$I$7:$I$8,E321), INDEX('Route Data'!$L$7:$L$8,E321)*2*PI()/60, INDEX('Route Data'!$F$7:$F$8,E321))</f>
        <v>0.15939200179827354</v>
      </c>
      <c r="J321" s="8">
        <f>FlowAngleRel(INDEX('Route Data'!$J$7:$J$8,E321)*INDEX('Route Data'!$I$7:$I$8,E321), INDEX('Route Data'!$L$7:$L$8,E321)*2*PI()/60, INDEX('Route Data'!$F$7:$F$8,E321),INDEX('Route Data'!$O$7:$O$8,E321), INDEX('Route Data'!$P$7:$P$8,E321),INDEX('Route Data'!$M$7:$M$8,E321))</f>
        <v>1.130811765868994</v>
      </c>
      <c r="K321" s="8">
        <f>FlowAngleAbsT(INDEX('Route Data'!$K$7:$K$8,E321), INDEX('Route Data'!$I$7:$I$8,E321), INDEX('Route Data'!$I$7:$I$8,E321)*INDEX('Route Data'!$J$7:$J$8,E321), INDEX('Route Data'!$L$7:$L$8,E321)*2*PI()/60, INDEX('Route Data'!$F$7:$F$8,E321),INDEX('Route Data'!$O$7:$O$8,E321), INDEX('Route Data'!$P$7:$P$8,E321), INDEX('Route Data'!$H$7:$H$8,E321), INDEX('Route Data'!$Q$7:$Q$8,E321), INDEX('Route Data'!$M$7:$M$8,E321))</f>
        <v>0.51617226640175828</v>
      </c>
      <c r="L321" s="5">
        <f>INDEX('Route Data'!$N$7:$N$8,E321)</f>
        <v>0.4</v>
      </c>
      <c r="M321" s="8">
        <v>0.85116297006607056</v>
      </c>
      <c r="N321" s="8">
        <f>ProbStrikeFrancis(K321, I321, L321, INDEX('Route Data'!$G$7:$G$8,E321),C321, INDEX('Route Data'!$F$7:$F$8,E321), INDEX('Route Data'!$O$7:$O$8,E321), INDEX('Route Data'!$H$7:$H$18,E321))</f>
        <v>1</v>
      </c>
      <c r="O321" s="5" t="str">
        <f>IF(F321&gt;=1,IF(M321&lt;=N321,"STRIKE","pass"),IF(M321&lt;=INDEX('Route Data'!$R$7:$R$8,E321),"NO PASS","pass"))</f>
        <v>STRIKE</v>
      </c>
      <c r="P321" s="5">
        <f>IF(F321&gt;=1,IF(M321&lt;=N321,1,0),IF(M321&lt;=INDEX('Route Data'!$R$7:$R$8,E321),-1,0))</f>
        <v>1</v>
      </c>
    </row>
    <row r="322" spans="1:16">
      <c r="A322" s="5">
        <v>312</v>
      </c>
      <c r="B322" s="12">
        <v>17.97</v>
      </c>
      <c r="C322" s="12">
        <f t="shared" si="4"/>
        <v>1.5</v>
      </c>
      <c r="D322" s="8">
        <v>0.74279260635375977</v>
      </c>
      <c r="E322" s="5">
        <f>MATCH(D322,'Route Data'!$C$7:$C$8,1)</f>
        <v>2</v>
      </c>
      <c r="F322" s="5">
        <f>INDEX('Route Data'!$D$7:$D$8,E322)</f>
        <v>1</v>
      </c>
      <c r="G322" s="5" t="str">
        <f>INDEX('Route Data'!$A$7:$A$8,E322)</f>
        <v>u18</v>
      </c>
      <c r="H322" s="5">
        <f>EnergyCoeff(INDEX('Route Data'!$K$7:$K$8,E322),INDEX('Route Data'!$L$7:$L$8,E322)*2*PI()/60,INDEX('Route Data'!$F$7:$F$8,E322))</f>
        <v>0.19430699130049439</v>
      </c>
      <c r="I322" s="5">
        <f>DischargeCoeff(INDEX('Route Data'!$I$7:$I$8,E322), INDEX('Route Data'!$L$7:$L$8,E322)*2*PI()/60, INDEX('Route Data'!$F$7:$F$8,E322))</f>
        <v>0.15939200179827354</v>
      </c>
      <c r="J322" s="8">
        <f>FlowAngleRel(INDEX('Route Data'!$J$7:$J$8,E322)*INDEX('Route Data'!$I$7:$I$8,E322), INDEX('Route Data'!$L$7:$L$8,E322)*2*PI()/60, INDEX('Route Data'!$F$7:$F$8,E322),INDEX('Route Data'!$O$7:$O$8,E322), INDEX('Route Data'!$P$7:$P$8,E322),INDEX('Route Data'!$M$7:$M$8,E322))</f>
        <v>1.130811765868994</v>
      </c>
      <c r="K322" s="8">
        <f>FlowAngleAbsT(INDEX('Route Data'!$K$7:$K$8,E322), INDEX('Route Data'!$I$7:$I$8,E322), INDEX('Route Data'!$I$7:$I$8,E322)*INDEX('Route Data'!$J$7:$J$8,E322), INDEX('Route Data'!$L$7:$L$8,E322)*2*PI()/60, INDEX('Route Data'!$F$7:$F$8,E322),INDEX('Route Data'!$O$7:$O$8,E322), INDEX('Route Data'!$P$7:$P$8,E322), INDEX('Route Data'!$H$7:$H$8,E322), INDEX('Route Data'!$Q$7:$Q$8,E322), INDEX('Route Data'!$M$7:$M$8,E322))</f>
        <v>0.51617226640175828</v>
      </c>
      <c r="L322" s="5">
        <f>INDEX('Route Data'!$N$7:$N$8,E322)</f>
        <v>0.4</v>
      </c>
      <c r="M322" s="8">
        <v>0.39186573028564453</v>
      </c>
      <c r="N322" s="8">
        <f>ProbStrikeFrancis(K322, I322, L322, INDEX('Route Data'!$G$7:$G$8,E322),C322, INDEX('Route Data'!$F$7:$F$8,E322), INDEX('Route Data'!$O$7:$O$8,E322), INDEX('Route Data'!$H$7:$H$18,E322))</f>
        <v>1</v>
      </c>
      <c r="O322" s="5" t="str">
        <f>IF(F322&gt;=1,IF(M322&lt;=N322,"STRIKE","pass"),IF(M322&lt;=INDEX('Route Data'!$R$7:$R$8,E322),"NO PASS","pass"))</f>
        <v>STRIKE</v>
      </c>
      <c r="P322" s="5">
        <f>IF(F322&gt;=1,IF(M322&lt;=N322,1,0),IF(M322&lt;=INDEX('Route Data'!$R$7:$R$8,E322),-1,0))</f>
        <v>1</v>
      </c>
    </row>
    <row r="323" spans="1:16">
      <c r="A323" s="5">
        <v>313</v>
      </c>
      <c r="B323" s="12">
        <v>24.7</v>
      </c>
      <c r="C323" s="12">
        <f t="shared" si="4"/>
        <v>2.06</v>
      </c>
      <c r="D323" s="8">
        <v>4.4460952281951904E-2</v>
      </c>
      <c r="E323" s="5">
        <f>MATCH(D323,'Route Data'!$C$7:$C$8,1)</f>
        <v>2</v>
      </c>
      <c r="F323" s="5">
        <f>INDEX('Route Data'!$D$7:$D$8,E323)</f>
        <v>1</v>
      </c>
      <c r="G323" s="5" t="str">
        <f>INDEX('Route Data'!$A$7:$A$8,E323)</f>
        <v>u18</v>
      </c>
      <c r="H323" s="5">
        <f>EnergyCoeff(INDEX('Route Data'!$K$7:$K$8,E323),INDEX('Route Data'!$L$7:$L$8,E323)*2*PI()/60,INDEX('Route Data'!$F$7:$F$8,E323))</f>
        <v>0.19430699130049439</v>
      </c>
      <c r="I323" s="5">
        <f>DischargeCoeff(INDEX('Route Data'!$I$7:$I$8,E323), INDEX('Route Data'!$L$7:$L$8,E323)*2*PI()/60, INDEX('Route Data'!$F$7:$F$8,E323))</f>
        <v>0.15939200179827354</v>
      </c>
      <c r="J323" s="8">
        <f>FlowAngleRel(INDEX('Route Data'!$J$7:$J$8,E323)*INDEX('Route Data'!$I$7:$I$8,E323), INDEX('Route Data'!$L$7:$L$8,E323)*2*PI()/60, INDEX('Route Data'!$F$7:$F$8,E323),INDEX('Route Data'!$O$7:$O$8,E323), INDEX('Route Data'!$P$7:$P$8,E323),INDEX('Route Data'!$M$7:$M$8,E323))</f>
        <v>1.130811765868994</v>
      </c>
      <c r="K323" s="8">
        <f>FlowAngleAbsT(INDEX('Route Data'!$K$7:$K$8,E323), INDEX('Route Data'!$I$7:$I$8,E323), INDEX('Route Data'!$I$7:$I$8,E323)*INDEX('Route Data'!$J$7:$J$8,E323), INDEX('Route Data'!$L$7:$L$8,E323)*2*PI()/60, INDEX('Route Data'!$F$7:$F$8,E323),INDEX('Route Data'!$O$7:$O$8,E323), INDEX('Route Data'!$P$7:$P$8,E323), INDEX('Route Data'!$H$7:$H$8,E323), INDEX('Route Data'!$Q$7:$Q$8,E323), INDEX('Route Data'!$M$7:$M$8,E323))</f>
        <v>0.51617226640175828</v>
      </c>
      <c r="L323" s="5">
        <f>INDEX('Route Data'!$N$7:$N$8,E323)</f>
        <v>0.4</v>
      </c>
      <c r="M323" s="8">
        <v>0.76975744962692261</v>
      </c>
      <c r="N323" s="8">
        <f>ProbStrikeFrancis(K323, I323, L323, INDEX('Route Data'!$G$7:$G$8,E323),C323, INDEX('Route Data'!$F$7:$F$8,E323), INDEX('Route Data'!$O$7:$O$8,E323), INDEX('Route Data'!$H$7:$H$18,E323))</f>
        <v>1</v>
      </c>
      <c r="O323" s="5" t="str">
        <f>IF(F323&gt;=1,IF(M323&lt;=N323,"STRIKE","pass"),IF(M323&lt;=INDEX('Route Data'!$R$7:$R$8,E323),"NO PASS","pass"))</f>
        <v>STRIKE</v>
      </c>
      <c r="P323" s="5">
        <f>IF(F323&gt;=1,IF(M323&lt;=N323,1,0),IF(M323&lt;=INDEX('Route Data'!$R$7:$R$8,E323),-1,0))</f>
        <v>1</v>
      </c>
    </row>
    <row r="324" spans="1:16">
      <c r="A324" s="5">
        <v>314</v>
      </c>
      <c r="B324" s="12">
        <v>23.92</v>
      </c>
      <c r="C324" s="12">
        <f t="shared" si="4"/>
        <v>1.99</v>
      </c>
      <c r="D324" s="8">
        <v>0.67061436176300049</v>
      </c>
      <c r="E324" s="5">
        <f>MATCH(D324,'Route Data'!$C$7:$C$8,1)</f>
        <v>2</v>
      </c>
      <c r="F324" s="5">
        <f>INDEX('Route Data'!$D$7:$D$8,E324)</f>
        <v>1</v>
      </c>
      <c r="G324" s="5" t="str">
        <f>INDEX('Route Data'!$A$7:$A$8,E324)</f>
        <v>u18</v>
      </c>
      <c r="H324" s="5">
        <f>EnergyCoeff(INDEX('Route Data'!$K$7:$K$8,E324),INDEX('Route Data'!$L$7:$L$8,E324)*2*PI()/60,INDEX('Route Data'!$F$7:$F$8,E324))</f>
        <v>0.19430699130049439</v>
      </c>
      <c r="I324" s="5">
        <f>DischargeCoeff(INDEX('Route Data'!$I$7:$I$8,E324), INDEX('Route Data'!$L$7:$L$8,E324)*2*PI()/60, INDEX('Route Data'!$F$7:$F$8,E324))</f>
        <v>0.15939200179827354</v>
      </c>
      <c r="J324" s="8">
        <f>FlowAngleRel(INDEX('Route Data'!$J$7:$J$8,E324)*INDEX('Route Data'!$I$7:$I$8,E324), INDEX('Route Data'!$L$7:$L$8,E324)*2*PI()/60, INDEX('Route Data'!$F$7:$F$8,E324),INDEX('Route Data'!$O$7:$O$8,E324), INDEX('Route Data'!$P$7:$P$8,E324),INDEX('Route Data'!$M$7:$M$8,E324))</f>
        <v>1.130811765868994</v>
      </c>
      <c r="K324" s="8">
        <f>FlowAngleAbsT(INDEX('Route Data'!$K$7:$K$8,E324), INDEX('Route Data'!$I$7:$I$8,E324), INDEX('Route Data'!$I$7:$I$8,E324)*INDEX('Route Data'!$J$7:$J$8,E324), INDEX('Route Data'!$L$7:$L$8,E324)*2*PI()/60, INDEX('Route Data'!$F$7:$F$8,E324),INDEX('Route Data'!$O$7:$O$8,E324), INDEX('Route Data'!$P$7:$P$8,E324), INDEX('Route Data'!$H$7:$H$8,E324), INDEX('Route Data'!$Q$7:$Q$8,E324), INDEX('Route Data'!$M$7:$M$8,E324))</f>
        <v>0.51617226640175828</v>
      </c>
      <c r="L324" s="5">
        <f>INDEX('Route Data'!$N$7:$N$8,E324)</f>
        <v>0.4</v>
      </c>
      <c r="M324" s="8">
        <v>0.37050306797027588</v>
      </c>
      <c r="N324" s="8">
        <f>ProbStrikeFrancis(K324, I324, L324, INDEX('Route Data'!$G$7:$G$8,E324),C324, INDEX('Route Data'!$F$7:$F$8,E324), INDEX('Route Data'!$O$7:$O$8,E324), INDEX('Route Data'!$H$7:$H$18,E324))</f>
        <v>1</v>
      </c>
      <c r="O324" s="5" t="str">
        <f>IF(F324&gt;=1,IF(M324&lt;=N324,"STRIKE","pass"),IF(M324&lt;=INDEX('Route Data'!$R$7:$R$8,E324),"NO PASS","pass"))</f>
        <v>STRIKE</v>
      </c>
      <c r="P324" s="5">
        <f>IF(F324&gt;=1,IF(M324&lt;=N324,1,0),IF(M324&lt;=INDEX('Route Data'!$R$7:$R$8,E324),-1,0))</f>
        <v>1</v>
      </c>
    </row>
    <row r="325" spans="1:16">
      <c r="A325" s="5">
        <v>315</v>
      </c>
      <c r="B325" s="12">
        <v>22.15</v>
      </c>
      <c r="C325" s="12">
        <f t="shared" si="4"/>
        <v>1.85</v>
      </c>
      <c r="D325" s="8">
        <v>0.79215413331985474</v>
      </c>
      <c r="E325" s="5">
        <f>MATCH(D325,'Route Data'!$C$7:$C$8,1)</f>
        <v>2</v>
      </c>
      <c r="F325" s="5">
        <f>INDEX('Route Data'!$D$7:$D$8,E325)</f>
        <v>1</v>
      </c>
      <c r="G325" s="5" t="str">
        <f>INDEX('Route Data'!$A$7:$A$8,E325)</f>
        <v>u18</v>
      </c>
      <c r="H325" s="5">
        <f>EnergyCoeff(INDEX('Route Data'!$K$7:$K$8,E325),INDEX('Route Data'!$L$7:$L$8,E325)*2*PI()/60,INDEX('Route Data'!$F$7:$F$8,E325))</f>
        <v>0.19430699130049439</v>
      </c>
      <c r="I325" s="5">
        <f>DischargeCoeff(INDEX('Route Data'!$I$7:$I$8,E325), INDEX('Route Data'!$L$7:$L$8,E325)*2*PI()/60, INDEX('Route Data'!$F$7:$F$8,E325))</f>
        <v>0.15939200179827354</v>
      </c>
      <c r="J325" s="8">
        <f>FlowAngleRel(INDEX('Route Data'!$J$7:$J$8,E325)*INDEX('Route Data'!$I$7:$I$8,E325), INDEX('Route Data'!$L$7:$L$8,E325)*2*PI()/60, INDEX('Route Data'!$F$7:$F$8,E325),INDEX('Route Data'!$O$7:$O$8,E325), INDEX('Route Data'!$P$7:$P$8,E325),INDEX('Route Data'!$M$7:$M$8,E325))</f>
        <v>1.130811765868994</v>
      </c>
      <c r="K325" s="8">
        <f>FlowAngleAbsT(INDEX('Route Data'!$K$7:$K$8,E325), INDEX('Route Data'!$I$7:$I$8,E325), INDEX('Route Data'!$I$7:$I$8,E325)*INDEX('Route Data'!$J$7:$J$8,E325), INDEX('Route Data'!$L$7:$L$8,E325)*2*PI()/60, INDEX('Route Data'!$F$7:$F$8,E325),INDEX('Route Data'!$O$7:$O$8,E325), INDEX('Route Data'!$P$7:$P$8,E325), INDEX('Route Data'!$H$7:$H$8,E325), INDEX('Route Data'!$Q$7:$Q$8,E325), INDEX('Route Data'!$M$7:$M$8,E325))</f>
        <v>0.51617226640175828</v>
      </c>
      <c r="L325" s="5">
        <f>INDEX('Route Data'!$N$7:$N$8,E325)</f>
        <v>0.4</v>
      </c>
      <c r="M325" s="8">
        <v>0.83384543657302856</v>
      </c>
      <c r="N325" s="8">
        <f>ProbStrikeFrancis(K325, I325, L325, INDEX('Route Data'!$G$7:$G$8,E325),C325, INDEX('Route Data'!$F$7:$F$8,E325), INDEX('Route Data'!$O$7:$O$8,E325), INDEX('Route Data'!$H$7:$H$18,E325))</f>
        <v>1</v>
      </c>
      <c r="O325" s="5" t="str">
        <f>IF(F325&gt;=1,IF(M325&lt;=N325,"STRIKE","pass"),IF(M325&lt;=INDEX('Route Data'!$R$7:$R$8,E325),"NO PASS","pass"))</f>
        <v>STRIKE</v>
      </c>
      <c r="P325" s="5">
        <f>IF(F325&gt;=1,IF(M325&lt;=N325,1,0),IF(M325&lt;=INDEX('Route Data'!$R$7:$R$8,E325),-1,0))</f>
        <v>1</v>
      </c>
    </row>
    <row r="326" spans="1:16">
      <c r="A326" s="5">
        <v>316</v>
      </c>
      <c r="B326" s="12">
        <v>25.79</v>
      </c>
      <c r="C326" s="12">
        <f t="shared" si="4"/>
        <v>2.15</v>
      </c>
      <c r="D326" s="8">
        <v>0.16195559501647949</v>
      </c>
      <c r="E326" s="5">
        <f>MATCH(D326,'Route Data'!$C$7:$C$8,1)</f>
        <v>2</v>
      </c>
      <c r="F326" s="5">
        <f>INDEX('Route Data'!$D$7:$D$8,E326)</f>
        <v>1</v>
      </c>
      <c r="G326" s="5" t="str">
        <f>INDEX('Route Data'!$A$7:$A$8,E326)</f>
        <v>u18</v>
      </c>
      <c r="H326" s="5">
        <f>EnergyCoeff(INDEX('Route Data'!$K$7:$K$8,E326),INDEX('Route Data'!$L$7:$L$8,E326)*2*PI()/60,INDEX('Route Data'!$F$7:$F$8,E326))</f>
        <v>0.19430699130049439</v>
      </c>
      <c r="I326" s="5">
        <f>DischargeCoeff(INDEX('Route Data'!$I$7:$I$8,E326), INDEX('Route Data'!$L$7:$L$8,E326)*2*PI()/60, INDEX('Route Data'!$F$7:$F$8,E326))</f>
        <v>0.15939200179827354</v>
      </c>
      <c r="J326" s="8">
        <f>FlowAngleRel(INDEX('Route Data'!$J$7:$J$8,E326)*INDEX('Route Data'!$I$7:$I$8,E326), INDEX('Route Data'!$L$7:$L$8,E326)*2*PI()/60, INDEX('Route Data'!$F$7:$F$8,E326),INDEX('Route Data'!$O$7:$O$8,E326), INDEX('Route Data'!$P$7:$P$8,E326),INDEX('Route Data'!$M$7:$M$8,E326))</f>
        <v>1.130811765868994</v>
      </c>
      <c r="K326" s="8">
        <f>FlowAngleAbsT(INDEX('Route Data'!$K$7:$K$8,E326), INDEX('Route Data'!$I$7:$I$8,E326), INDEX('Route Data'!$I$7:$I$8,E326)*INDEX('Route Data'!$J$7:$J$8,E326), INDEX('Route Data'!$L$7:$L$8,E326)*2*PI()/60, INDEX('Route Data'!$F$7:$F$8,E326),INDEX('Route Data'!$O$7:$O$8,E326), INDEX('Route Data'!$P$7:$P$8,E326), INDEX('Route Data'!$H$7:$H$8,E326), INDEX('Route Data'!$Q$7:$Q$8,E326), INDEX('Route Data'!$M$7:$M$8,E326))</f>
        <v>0.51617226640175828</v>
      </c>
      <c r="L326" s="5">
        <f>INDEX('Route Data'!$N$7:$N$8,E326)</f>
        <v>0.4</v>
      </c>
      <c r="M326" s="8">
        <v>0.17823910713195801</v>
      </c>
      <c r="N326" s="8">
        <f>ProbStrikeFrancis(K326, I326, L326, INDEX('Route Data'!$G$7:$G$8,E326),C326, INDEX('Route Data'!$F$7:$F$8,E326), INDEX('Route Data'!$O$7:$O$8,E326), INDEX('Route Data'!$H$7:$H$18,E326))</f>
        <v>1</v>
      </c>
      <c r="O326" s="5" t="str">
        <f>IF(F326&gt;=1,IF(M326&lt;=N326,"STRIKE","pass"),IF(M326&lt;=INDEX('Route Data'!$R$7:$R$8,E326),"NO PASS","pass"))</f>
        <v>STRIKE</v>
      </c>
      <c r="P326" s="5">
        <f>IF(F326&gt;=1,IF(M326&lt;=N326,1,0),IF(M326&lt;=INDEX('Route Data'!$R$7:$R$8,E326),-1,0))</f>
        <v>1</v>
      </c>
    </row>
    <row r="327" spans="1:16">
      <c r="A327" s="5">
        <v>317</v>
      </c>
      <c r="B327" s="12">
        <v>27.29</v>
      </c>
      <c r="C327" s="12">
        <f t="shared" si="4"/>
        <v>2.27</v>
      </c>
      <c r="D327" s="8">
        <v>0.31813043355941772</v>
      </c>
      <c r="E327" s="5">
        <f>MATCH(D327,'Route Data'!$C$7:$C$8,1)</f>
        <v>2</v>
      </c>
      <c r="F327" s="5">
        <f>INDEX('Route Data'!$D$7:$D$8,E327)</f>
        <v>1</v>
      </c>
      <c r="G327" s="5" t="str">
        <f>INDEX('Route Data'!$A$7:$A$8,E327)</f>
        <v>u18</v>
      </c>
      <c r="H327" s="5">
        <f>EnergyCoeff(INDEX('Route Data'!$K$7:$K$8,E327),INDEX('Route Data'!$L$7:$L$8,E327)*2*PI()/60,INDEX('Route Data'!$F$7:$F$8,E327))</f>
        <v>0.19430699130049439</v>
      </c>
      <c r="I327" s="5">
        <f>DischargeCoeff(INDEX('Route Data'!$I$7:$I$8,E327), INDEX('Route Data'!$L$7:$L$8,E327)*2*PI()/60, INDEX('Route Data'!$F$7:$F$8,E327))</f>
        <v>0.15939200179827354</v>
      </c>
      <c r="J327" s="8">
        <f>FlowAngleRel(INDEX('Route Data'!$J$7:$J$8,E327)*INDEX('Route Data'!$I$7:$I$8,E327), INDEX('Route Data'!$L$7:$L$8,E327)*2*PI()/60, INDEX('Route Data'!$F$7:$F$8,E327),INDEX('Route Data'!$O$7:$O$8,E327), INDEX('Route Data'!$P$7:$P$8,E327),INDEX('Route Data'!$M$7:$M$8,E327))</f>
        <v>1.130811765868994</v>
      </c>
      <c r="K327" s="8">
        <f>FlowAngleAbsT(INDEX('Route Data'!$K$7:$K$8,E327), INDEX('Route Data'!$I$7:$I$8,E327), INDEX('Route Data'!$I$7:$I$8,E327)*INDEX('Route Data'!$J$7:$J$8,E327), INDEX('Route Data'!$L$7:$L$8,E327)*2*PI()/60, INDEX('Route Data'!$F$7:$F$8,E327),INDEX('Route Data'!$O$7:$O$8,E327), INDEX('Route Data'!$P$7:$P$8,E327), INDEX('Route Data'!$H$7:$H$8,E327), INDEX('Route Data'!$Q$7:$Q$8,E327), INDEX('Route Data'!$M$7:$M$8,E327))</f>
        <v>0.51617226640175828</v>
      </c>
      <c r="L327" s="5">
        <f>INDEX('Route Data'!$N$7:$N$8,E327)</f>
        <v>0.4</v>
      </c>
      <c r="M327" s="8">
        <v>0.41063731908798218</v>
      </c>
      <c r="N327" s="8">
        <f>ProbStrikeFrancis(K327, I327, L327, INDEX('Route Data'!$G$7:$G$8,E327),C327, INDEX('Route Data'!$F$7:$F$8,E327), INDEX('Route Data'!$O$7:$O$8,E327), INDEX('Route Data'!$H$7:$H$18,E327))</f>
        <v>1</v>
      </c>
      <c r="O327" s="5" t="str">
        <f>IF(F327&gt;=1,IF(M327&lt;=N327,"STRIKE","pass"),IF(M327&lt;=INDEX('Route Data'!$R$7:$R$8,E327),"NO PASS","pass"))</f>
        <v>STRIKE</v>
      </c>
      <c r="P327" s="5">
        <f>IF(F327&gt;=1,IF(M327&lt;=N327,1,0),IF(M327&lt;=INDEX('Route Data'!$R$7:$R$8,E327),-1,0))</f>
        <v>1</v>
      </c>
    </row>
    <row r="328" spans="1:16">
      <c r="A328" s="5">
        <v>318</v>
      </c>
      <c r="B328" s="12">
        <v>24.64</v>
      </c>
      <c r="C328" s="12">
        <f t="shared" si="4"/>
        <v>2.0499999999999998</v>
      </c>
      <c r="D328" s="8">
        <v>0.11518514156341553</v>
      </c>
      <c r="E328" s="5">
        <f>MATCH(D328,'Route Data'!$C$7:$C$8,1)</f>
        <v>2</v>
      </c>
      <c r="F328" s="5">
        <f>INDEX('Route Data'!$D$7:$D$8,E328)</f>
        <v>1</v>
      </c>
      <c r="G328" s="5" t="str">
        <f>INDEX('Route Data'!$A$7:$A$8,E328)</f>
        <v>u18</v>
      </c>
      <c r="H328" s="5">
        <f>EnergyCoeff(INDEX('Route Data'!$K$7:$K$8,E328),INDEX('Route Data'!$L$7:$L$8,E328)*2*PI()/60,INDEX('Route Data'!$F$7:$F$8,E328))</f>
        <v>0.19430699130049439</v>
      </c>
      <c r="I328" s="5">
        <f>DischargeCoeff(INDEX('Route Data'!$I$7:$I$8,E328), INDEX('Route Data'!$L$7:$L$8,E328)*2*PI()/60, INDEX('Route Data'!$F$7:$F$8,E328))</f>
        <v>0.15939200179827354</v>
      </c>
      <c r="J328" s="8">
        <f>FlowAngleRel(INDEX('Route Data'!$J$7:$J$8,E328)*INDEX('Route Data'!$I$7:$I$8,E328), INDEX('Route Data'!$L$7:$L$8,E328)*2*PI()/60, INDEX('Route Data'!$F$7:$F$8,E328),INDEX('Route Data'!$O$7:$O$8,E328), INDEX('Route Data'!$P$7:$P$8,E328),INDEX('Route Data'!$M$7:$M$8,E328))</f>
        <v>1.130811765868994</v>
      </c>
      <c r="K328" s="8">
        <f>FlowAngleAbsT(INDEX('Route Data'!$K$7:$K$8,E328), INDEX('Route Data'!$I$7:$I$8,E328), INDEX('Route Data'!$I$7:$I$8,E328)*INDEX('Route Data'!$J$7:$J$8,E328), INDEX('Route Data'!$L$7:$L$8,E328)*2*PI()/60, INDEX('Route Data'!$F$7:$F$8,E328),INDEX('Route Data'!$O$7:$O$8,E328), INDEX('Route Data'!$P$7:$P$8,E328), INDEX('Route Data'!$H$7:$H$8,E328), INDEX('Route Data'!$Q$7:$Q$8,E328), INDEX('Route Data'!$M$7:$M$8,E328))</f>
        <v>0.51617226640175828</v>
      </c>
      <c r="L328" s="5">
        <f>INDEX('Route Data'!$N$7:$N$8,E328)</f>
        <v>0.4</v>
      </c>
      <c r="M328" s="8">
        <v>0.18228423595428467</v>
      </c>
      <c r="N328" s="8">
        <f>ProbStrikeFrancis(K328, I328, L328, INDEX('Route Data'!$G$7:$G$8,E328),C328, INDEX('Route Data'!$F$7:$F$8,E328), INDEX('Route Data'!$O$7:$O$8,E328), INDEX('Route Data'!$H$7:$H$18,E328))</f>
        <v>1</v>
      </c>
      <c r="O328" s="5" t="str">
        <f>IF(F328&gt;=1,IF(M328&lt;=N328,"STRIKE","pass"),IF(M328&lt;=INDEX('Route Data'!$R$7:$R$8,E328),"NO PASS","pass"))</f>
        <v>STRIKE</v>
      </c>
      <c r="P328" s="5">
        <f>IF(F328&gt;=1,IF(M328&lt;=N328,1,0),IF(M328&lt;=INDEX('Route Data'!$R$7:$R$8,E328),-1,0))</f>
        <v>1</v>
      </c>
    </row>
    <row r="329" spans="1:16">
      <c r="A329" s="5">
        <v>319</v>
      </c>
      <c r="B329" s="12">
        <v>16.670000000000002</v>
      </c>
      <c r="C329" s="12">
        <f t="shared" si="4"/>
        <v>1.39</v>
      </c>
      <c r="D329" s="8">
        <v>0.72402101755142212</v>
      </c>
      <c r="E329" s="5">
        <f>MATCH(D329,'Route Data'!$C$7:$C$8,1)</f>
        <v>2</v>
      </c>
      <c r="F329" s="5">
        <f>INDEX('Route Data'!$D$7:$D$8,E329)</f>
        <v>1</v>
      </c>
      <c r="G329" s="5" t="str">
        <f>INDEX('Route Data'!$A$7:$A$8,E329)</f>
        <v>u18</v>
      </c>
      <c r="H329" s="5">
        <f>EnergyCoeff(INDEX('Route Data'!$K$7:$K$8,E329),INDEX('Route Data'!$L$7:$L$8,E329)*2*PI()/60,INDEX('Route Data'!$F$7:$F$8,E329))</f>
        <v>0.19430699130049439</v>
      </c>
      <c r="I329" s="5">
        <f>DischargeCoeff(INDEX('Route Data'!$I$7:$I$8,E329), INDEX('Route Data'!$L$7:$L$8,E329)*2*PI()/60, INDEX('Route Data'!$F$7:$F$8,E329))</f>
        <v>0.15939200179827354</v>
      </c>
      <c r="J329" s="8">
        <f>FlowAngleRel(INDEX('Route Data'!$J$7:$J$8,E329)*INDEX('Route Data'!$I$7:$I$8,E329), INDEX('Route Data'!$L$7:$L$8,E329)*2*PI()/60, INDEX('Route Data'!$F$7:$F$8,E329),INDEX('Route Data'!$O$7:$O$8,E329), INDEX('Route Data'!$P$7:$P$8,E329),INDEX('Route Data'!$M$7:$M$8,E329))</f>
        <v>1.130811765868994</v>
      </c>
      <c r="K329" s="8">
        <f>FlowAngleAbsT(INDEX('Route Data'!$K$7:$K$8,E329), INDEX('Route Data'!$I$7:$I$8,E329), INDEX('Route Data'!$I$7:$I$8,E329)*INDEX('Route Data'!$J$7:$J$8,E329), INDEX('Route Data'!$L$7:$L$8,E329)*2*PI()/60, INDEX('Route Data'!$F$7:$F$8,E329),INDEX('Route Data'!$O$7:$O$8,E329), INDEX('Route Data'!$P$7:$P$8,E329), INDEX('Route Data'!$H$7:$H$8,E329), INDEX('Route Data'!$Q$7:$Q$8,E329), INDEX('Route Data'!$M$7:$M$8,E329))</f>
        <v>0.51617226640175828</v>
      </c>
      <c r="L329" s="5">
        <f>INDEX('Route Data'!$N$7:$N$8,E329)</f>
        <v>0.4</v>
      </c>
      <c r="M329" s="8">
        <v>0.1329227089881897</v>
      </c>
      <c r="N329" s="8">
        <f>ProbStrikeFrancis(K329, I329, L329, INDEX('Route Data'!$G$7:$G$8,E329),C329, INDEX('Route Data'!$F$7:$F$8,E329), INDEX('Route Data'!$O$7:$O$8,E329), INDEX('Route Data'!$H$7:$H$18,E329))</f>
        <v>1</v>
      </c>
      <c r="O329" s="5" t="str">
        <f>IF(F329&gt;=1,IF(M329&lt;=N329,"STRIKE","pass"),IF(M329&lt;=INDEX('Route Data'!$R$7:$R$8,E329),"NO PASS","pass"))</f>
        <v>STRIKE</v>
      </c>
      <c r="P329" s="5">
        <f>IF(F329&gt;=1,IF(M329&lt;=N329,1,0),IF(M329&lt;=INDEX('Route Data'!$R$7:$R$8,E329),-1,0))</f>
        <v>1</v>
      </c>
    </row>
    <row r="330" spans="1:16">
      <c r="A330" s="5">
        <v>320</v>
      </c>
      <c r="B330" s="12">
        <v>20.12</v>
      </c>
      <c r="C330" s="12">
        <f t="shared" si="4"/>
        <v>1.68</v>
      </c>
      <c r="D330" s="8">
        <v>0.63193416595458984</v>
      </c>
      <c r="E330" s="5">
        <f>MATCH(D330,'Route Data'!$C$7:$C$8,1)</f>
        <v>2</v>
      </c>
      <c r="F330" s="5">
        <f>INDEX('Route Data'!$D$7:$D$8,E330)</f>
        <v>1</v>
      </c>
      <c r="G330" s="5" t="str">
        <f>INDEX('Route Data'!$A$7:$A$8,E330)</f>
        <v>u18</v>
      </c>
      <c r="H330" s="5">
        <f>EnergyCoeff(INDEX('Route Data'!$K$7:$K$8,E330),INDEX('Route Data'!$L$7:$L$8,E330)*2*PI()/60,INDEX('Route Data'!$F$7:$F$8,E330))</f>
        <v>0.19430699130049439</v>
      </c>
      <c r="I330" s="5">
        <f>DischargeCoeff(INDEX('Route Data'!$I$7:$I$8,E330), INDEX('Route Data'!$L$7:$L$8,E330)*2*PI()/60, INDEX('Route Data'!$F$7:$F$8,E330))</f>
        <v>0.15939200179827354</v>
      </c>
      <c r="J330" s="8">
        <f>FlowAngleRel(INDEX('Route Data'!$J$7:$J$8,E330)*INDEX('Route Data'!$I$7:$I$8,E330), INDEX('Route Data'!$L$7:$L$8,E330)*2*PI()/60, INDEX('Route Data'!$F$7:$F$8,E330),INDEX('Route Data'!$O$7:$O$8,E330), INDEX('Route Data'!$P$7:$P$8,E330),INDEX('Route Data'!$M$7:$M$8,E330))</f>
        <v>1.130811765868994</v>
      </c>
      <c r="K330" s="8">
        <f>FlowAngleAbsT(INDEX('Route Data'!$K$7:$K$8,E330), INDEX('Route Data'!$I$7:$I$8,E330), INDEX('Route Data'!$I$7:$I$8,E330)*INDEX('Route Data'!$J$7:$J$8,E330), INDEX('Route Data'!$L$7:$L$8,E330)*2*PI()/60, INDEX('Route Data'!$F$7:$F$8,E330),INDEX('Route Data'!$O$7:$O$8,E330), INDEX('Route Data'!$P$7:$P$8,E330), INDEX('Route Data'!$H$7:$H$8,E330), INDEX('Route Data'!$Q$7:$Q$8,E330), INDEX('Route Data'!$M$7:$M$8,E330))</f>
        <v>0.51617226640175828</v>
      </c>
      <c r="L330" s="5">
        <f>INDEX('Route Data'!$N$7:$N$8,E330)</f>
        <v>0.4</v>
      </c>
      <c r="M330" s="8">
        <v>1.5428066253662109E-2</v>
      </c>
      <c r="N330" s="8">
        <f>ProbStrikeFrancis(K330, I330, L330, INDEX('Route Data'!$G$7:$G$8,E330),C330, INDEX('Route Data'!$F$7:$F$8,E330), INDEX('Route Data'!$O$7:$O$8,E330), INDEX('Route Data'!$H$7:$H$18,E330))</f>
        <v>1</v>
      </c>
      <c r="O330" s="5" t="str">
        <f>IF(F330&gt;=1,IF(M330&lt;=N330,"STRIKE","pass"),IF(M330&lt;=INDEX('Route Data'!$R$7:$R$8,E330),"NO PASS","pass"))</f>
        <v>STRIKE</v>
      </c>
      <c r="P330" s="5">
        <f>IF(F330&gt;=1,IF(M330&lt;=N330,1,0),IF(M330&lt;=INDEX('Route Data'!$R$7:$R$8,E330),-1,0))</f>
        <v>1</v>
      </c>
    </row>
    <row r="331" spans="1:16">
      <c r="A331" s="5">
        <v>321</v>
      </c>
      <c r="B331" s="12">
        <v>26.37</v>
      </c>
      <c r="C331" s="12">
        <f t="shared" ref="C331:C394" si="5">ROUND(B331/12,2)</f>
        <v>2.2000000000000002</v>
      </c>
      <c r="D331" s="8">
        <v>0.64261549711227417</v>
      </c>
      <c r="E331" s="5">
        <f>MATCH(D331,'Route Data'!$C$7:$C$8,1)</f>
        <v>2</v>
      </c>
      <c r="F331" s="5">
        <f>INDEX('Route Data'!$D$7:$D$8,E331)</f>
        <v>1</v>
      </c>
      <c r="G331" s="5" t="str">
        <f>INDEX('Route Data'!$A$7:$A$8,E331)</f>
        <v>u18</v>
      </c>
      <c r="H331" s="5">
        <f>EnergyCoeff(INDEX('Route Data'!$K$7:$K$8,E331),INDEX('Route Data'!$L$7:$L$8,E331)*2*PI()/60,INDEX('Route Data'!$F$7:$F$8,E331))</f>
        <v>0.19430699130049439</v>
      </c>
      <c r="I331" s="5">
        <f>DischargeCoeff(INDEX('Route Data'!$I$7:$I$8,E331), INDEX('Route Data'!$L$7:$L$8,E331)*2*PI()/60, INDEX('Route Data'!$F$7:$F$8,E331))</f>
        <v>0.15939200179827354</v>
      </c>
      <c r="J331" s="8">
        <f>FlowAngleRel(INDEX('Route Data'!$J$7:$J$8,E331)*INDEX('Route Data'!$I$7:$I$8,E331), INDEX('Route Data'!$L$7:$L$8,E331)*2*PI()/60, INDEX('Route Data'!$F$7:$F$8,E331),INDEX('Route Data'!$O$7:$O$8,E331), INDEX('Route Data'!$P$7:$P$8,E331),INDEX('Route Data'!$M$7:$M$8,E331))</f>
        <v>1.130811765868994</v>
      </c>
      <c r="K331" s="8">
        <f>FlowAngleAbsT(INDEX('Route Data'!$K$7:$K$8,E331), INDEX('Route Data'!$I$7:$I$8,E331), INDEX('Route Data'!$I$7:$I$8,E331)*INDEX('Route Data'!$J$7:$J$8,E331), INDEX('Route Data'!$L$7:$L$8,E331)*2*PI()/60, INDEX('Route Data'!$F$7:$F$8,E331),INDEX('Route Data'!$O$7:$O$8,E331), INDEX('Route Data'!$P$7:$P$8,E331), INDEX('Route Data'!$H$7:$H$8,E331), INDEX('Route Data'!$Q$7:$Q$8,E331), INDEX('Route Data'!$M$7:$M$8,E331))</f>
        <v>0.51617226640175828</v>
      </c>
      <c r="L331" s="5">
        <f>INDEX('Route Data'!$N$7:$N$8,E331)</f>
        <v>0.4</v>
      </c>
      <c r="M331" s="8">
        <v>0.36791199445724487</v>
      </c>
      <c r="N331" s="8">
        <f>ProbStrikeFrancis(K331, I331, L331, INDEX('Route Data'!$G$7:$G$8,E331),C331, INDEX('Route Data'!$F$7:$F$8,E331), INDEX('Route Data'!$O$7:$O$8,E331), INDEX('Route Data'!$H$7:$H$18,E331))</f>
        <v>1</v>
      </c>
      <c r="O331" s="5" t="str">
        <f>IF(F331&gt;=1,IF(M331&lt;=N331,"STRIKE","pass"),IF(M331&lt;=INDEX('Route Data'!$R$7:$R$8,E331),"NO PASS","pass"))</f>
        <v>STRIKE</v>
      </c>
      <c r="P331" s="5">
        <f>IF(F331&gt;=1,IF(M331&lt;=N331,1,0),IF(M331&lt;=INDEX('Route Data'!$R$7:$R$8,E331),-1,0))</f>
        <v>1</v>
      </c>
    </row>
    <row r="332" spans="1:16">
      <c r="A332" s="5">
        <v>322</v>
      </c>
      <c r="B332" s="12">
        <v>26.26</v>
      </c>
      <c r="C332" s="12">
        <f t="shared" si="5"/>
        <v>2.19</v>
      </c>
      <c r="D332" s="8">
        <v>0.61057150363922119</v>
      </c>
      <c r="E332" s="5">
        <f>MATCH(D332,'Route Data'!$C$7:$C$8,1)</f>
        <v>2</v>
      </c>
      <c r="F332" s="5">
        <f>INDEX('Route Data'!$D$7:$D$8,E332)</f>
        <v>1</v>
      </c>
      <c r="G332" s="5" t="str">
        <f>INDEX('Route Data'!$A$7:$A$8,E332)</f>
        <v>u18</v>
      </c>
      <c r="H332" s="5">
        <f>EnergyCoeff(INDEX('Route Data'!$K$7:$K$8,E332),INDEX('Route Data'!$L$7:$L$8,E332)*2*PI()/60,INDEX('Route Data'!$F$7:$F$8,E332))</f>
        <v>0.19430699130049439</v>
      </c>
      <c r="I332" s="5">
        <f>DischargeCoeff(INDEX('Route Data'!$I$7:$I$8,E332), INDEX('Route Data'!$L$7:$L$8,E332)*2*PI()/60, INDEX('Route Data'!$F$7:$F$8,E332))</f>
        <v>0.15939200179827354</v>
      </c>
      <c r="J332" s="8">
        <f>FlowAngleRel(INDEX('Route Data'!$J$7:$J$8,E332)*INDEX('Route Data'!$I$7:$I$8,E332), INDEX('Route Data'!$L$7:$L$8,E332)*2*PI()/60, INDEX('Route Data'!$F$7:$F$8,E332),INDEX('Route Data'!$O$7:$O$8,E332), INDEX('Route Data'!$P$7:$P$8,E332),INDEX('Route Data'!$M$7:$M$8,E332))</f>
        <v>1.130811765868994</v>
      </c>
      <c r="K332" s="8">
        <f>FlowAngleAbsT(INDEX('Route Data'!$K$7:$K$8,E332), INDEX('Route Data'!$I$7:$I$8,E332), INDEX('Route Data'!$I$7:$I$8,E332)*INDEX('Route Data'!$J$7:$J$8,E332), INDEX('Route Data'!$L$7:$L$8,E332)*2*PI()/60, INDEX('Route Data'!$F$7:$F$8,E332),INDEX('Route Data'!$O$7:$O$8,E332), INDEX('Route Data'!$P$7:$P$8,E332), INDEX('Route Data'!$H$7:$H$8,E332), INDEX('Route Data'!$Q$7:$Q$8,E332), INDEX('Route Data'!$M$7:$M$8,E332))</f>
        <v>0.51617226640175828</v>
      </c>
      <c r="L332" s="5">
        <f>INDEX('Route Data'!$N$7:$N$8,E332)</f>
        <v>0.4</v>
      </c>
      <c r="M332" s="8">
        <v>0.31046020984649658</v>
      </c>
      <c r="N332" s="8">
        <f>ProbStrikeFrancis(K332, I332, L332, INDEX('Route Data'!$G$7:$G$8,E332),C332, INDEX('Route Data'!$F$7:$F$8,E332), INDEX('Route Data'!$O$7:$O$8,E332), INDEX('Route Data'!$H$7:$H$18,E332))</f>
        <v>1</v>
      </c>
      <c r="O332" s="5" t="str">
        <f>IF(F332&gt;=1,IF(M332&lt;=N332,"STRIKE","pass"),IF(M332&lt;=INDEX('Route Data'!$R$7:$R$8,E332),"NO PASS","pass"))</f>
        <v>STRIKE</v>
      </c>
      <c r="P332" s="5">
        <f>IF(F332&gt;=1,IF(M332&lt;=N332,1,0),IF(M332&lt;=INDEX('Route Data'!$R$7:$R$8,E332),-1,0))</f>
        <v>1</v>
      </c>
    </row>
    <row r="333" spans="1:16">
      <c r="A333" s="5">
        <v>323</v>
      </c>
      <c r="B333" s="12">
        <v>23.58</v>
      </c>
      <c r="C333" s="12">
        <f t="shared" si="5"/>
        <v>1.97</v>
      </c>
      <c r="D333" s="8">
        <v>0.70670348405838013</v>
      </c>
      <c r="E333" s="5">
        <f>MATCH(D333,'Route Data'!$C$7:$C$8,1)</f>
        <v>2</v>
      </c>
      <c r="F333" s="5">
        <f>INDEX('Route Data'!$D$7:$D$8,E333)</f>
        <v>1</v>
      </c>
      <c r="G333" s="5" t="str">
        <f>INDEX('Route Data'!$A$7:$A$8,E333)</f>
        <v>u18</v>
      </c>
      <c r="H333" s="5">
        <f>EnergyCoeff(INDEX('Route Data'!$K$7:$K$8,E333),INDEX('Route Data'!$L$7:$L$8,E333)*2*PI()/60,INDEX('Route Data'!$F$7:$F$8,E333))</f>
        <v>0.19430699130049439</v>
      </c>
      <c r="I333" s="5">
        <f>DischargeCoeff(INDEX('Route Data'!$I$7:$I$8,E333), INDEX('Route Data'!$L$7:$L$8,E333)*2*PI()/60, INDEX('Route Data'!$F$7:$F$8,E333))</f>
        <v>0.15939200179827354</v>
      </c>
      <c r="J333" s="8">
        <f>FlowAngleRel(INDEX('Route Data'!$J$7:$J$8,E333)*INDEX('Route Data'!$I$7:$I$8,E333), INDEX('Route Data'!$L$7:$L$8,E333)*2*PI()/60, INDEX('Route Data'!$F$7:$F$8,E333),INDEX('Route Data'!$O$7:$O$8,E333), INDEX('Route Data'!$P$7:$P$8,E333),INDEX('Route Data'!$M$7:$M$8,E333))</f>
        <v>1.130811765868994</v>
      </c>
      <c r="K333" s="8">
        <f>FlowAngleAbsT(INDEX('Route Data'!$K$7:$K$8,E333), INDEX('Route Data'!$I$7:$I$8,E333), INDEX('Route Data'!$I$7:$I$8,E333)*INDEX('Route Data'!$J$7:$J$8,E333), INDEX('Route Data'!$L$7:$L$8,E333)*2*PI()/60, INDEX('Route Data'!$F$7:$F$8,E333),INDEX('Route Data'!$O$7:$O$8,E333), INDEX('Route Data'!$P$7:$P$8,E333), INDEX('Route Data'!$H$7:$H$8,E333), INDEX('Route Data'!$Q$7:$Q$8,E333), INDEX('Route Data'!$M$7:$M$8,E333))</f>
        <v>0.51617226640175828</v>
      </c>
      <c r="L333" s="5">
        <f>INDEX('Route Data'!$N$7:$N$8,E333)</f>
        <v>0.4</v>
      </c>
      <c r="M333" s="8">
        <v>0.74839478731155396</v>
      </c>
      <c r="N333" s="8">
        <f>ProbStrikeFrancis(K333, I333, L333, INDEX('Route Data'!$G$7:$G$8,E333),C333, INDEX('Route Data'!$F$7:$F$8,E333), INDEX('Route Data'!$O$7:$O$8,E333), INDEX('Route Data'!$H$7:$H$18,E333))</f>
        <v>1</v>
      </c>
      <c r="O333" s="5" t="str">
        <f>IF(F333&gt;=1,IF(M333&lt;=N333,"STRIKE","pass"),IF(M333&lt;=INDEX('Route Data'!$R$7:$R$8,E333),"NO PASS","pass"))</f>
        <v>STRIKE</v>
      </c>
      <c r="P333" s="5">
        <f>IF(F333&gt;=1,IF(M333&lt;=N333,1,0),IF(M333&lt;=INDEX('Route Data'!$R$7:$R$8,E333),-1,0))</f>
        <v>1</v>
      </c>
    </row>
    <row r="334" spans="1:16">
      <c r="A334" s="5">
        <v>324</v>
      </c>
      <c r="B334" s="12">
        <v>21.49</v>
      </c>
      <c r="C334" s="12">
        <f t="shared" si="5"/>
        <v>1.79</v>
      </c>
      <c r="D334" s="8">
        <v>0.41830754280090332</v>
      </c>
      <c r="E334" s="5">
        <f>MATCH(D334,'Route Data'!$C$7:$C$8,1)</f>
        <v>2</v>
      </c>
      <c r="F334" s="5">
        <f>INDEX('Route Data'!$D$7:$D$8,E334)</f>
        <v>1</v>
      </c>
      <c r="G334" s="5" t="str">
        <f>INDEX('Route Data'!$A$7:$A$8,E334)</f>
        <v>u18</v>
      </c>
      <c r="H334" s="5">
        <f>EnergyCoeff(INDEX('Route Data'!$K$7:$K$8,E334),INDEX('Route Data'!$L$7:$L$8,E334)*2*PI()/60,INDEX('Route Data'!$F$7:$F$8,E334))</f>
        <v>0.19430699130049439</v>
      </c>
      <c r="I334" s="5">
        <f>DischargeCoeff(INDEX('Route Data'!$I$7:$I$8,E334), INDEX('Route Data'!$L$7:$L$8,E334)*2*PI()/60, INDEX('Route Data'!$F$7:$F$8,E334))</f>
        <v>0.15939200179827354</v>
      </c>
      <c r="J334" s="8">
        <f>FlowAngleRel(INDEX('Route Data'!$J$7:$J$8,E334)*INDEX('Route Data'!$I$7:$I$8,E334), INDEX('Route Data'!$L$7:$L$8,E334)*2*PI()/60, INDEX('Route Data'!$F$7:$F$8,E334),INDEX('Route Data'!$O$7:$O$8,E334), INDEX('Route Data'!$P$7:$P$8,E334),INDEX('Route Data'!$M$7:$M$8,E334))</f>
        <v>1.130811765868994</v>
      </c>
      <c r="K334" s="8">
        <f>FlowAngleAbsT(INDEX('Route Data'!$K$7:$K$8,E334), INDEX('Route Data'!$I$7:$I$8,E334), INDEX('Route Data'!$I$7:$I$8,E334)*INDEX('Route Data'!$J$7:$J$8,E334), INDEX('Route Data'!$L$7:$L$8,E334)*2*PI()/60, INDEX('Route Data'!$F$7:$F$8,E334),INDEX('Route Data'!$O$7:$O$8,E334), INDEX('Route Data'!$P$7:$P$8,E334), INDEX('Route Data'!$H$7:$H$8,E334), INDEX('Route Data'!$Q$7:$Q$8,E334), INDEX('Route Data'!$M$7:$M$8,E334))</f>
        <v>0.51617226640175828</v>
      </c>
      <c r="L334" s="5">
        <f>INDEX('Route Data'!$N$7:$N$8,E334)</f>
        <v>0.4</v>
      </c>
      <c r="M334" s="8">
        <v>0.43459105491638184</v>
      </c>
      <c r="N334" s="8">
        <f>ProbStrikeFrancis(K334, I334, L334, INDEX('Route Data'!$G$7:$G$8,E334),C334, INDEX('Route Data'!$F$7:$F$8,E334), INDEX('Route Data'!$O$7:$O$8,E334), INDEX('Route Data'!$H$7:$H$18,E334))</f>
        <v>1</v>
      </c>
      <c r="O334" s="5" t="str">
        <f>IF(F334&gt;=1,IF(M334&lt;=N334,"STRIKE","pass"),IF(M334&lt;=INDEX('Route Data'!$R$7:$R$8,E334),"NO PASS","pass"))</f>
        <v>STRIKE</v>
      </c>
      <c r="P334" s="5">
        <f>IF(F334&gt;=1,IF(M334&lt;=N334,1,0),IF(M334&lt;=INDEX('Route Data'!$R$7:$R$8,E334),-1,0))</f>
        <v>1</v>
      </c>
    </row>
    <row r="335" spans="1:16">
      <c r="A335" s="5">
        <v>325</v>
      </c>
      <c r="B335" s="12">
        <v>26.52</v>
      </c>
      <c r="C335" s="12">
        <f t="shared" si="5"/>
        <v>2.21</v>
      </c>
      <c r="D335" s="8">
        <v>0.28349536657333374</v>
      </c>
      <c r="E335" s="5">
        <f>MATCH(D335,'Route Data'!$C$7:$C$8,1)</f>
        <v>2</v>
      </c>
      <c r="F335" s="5">
        <f>INDEX('Route Data'!$D$7:$D$8,E335)</f>
        <v>1</v>
      </c>
      <c r="G335" s="5" t="str">
        <f>INDEX('Route Data'!$A$7:$A$8,E335)</f>
        <v>u18</v>
      </c>
      <c r="H335" s="5">
        <f>EnergyCoeff(INDEX('Route Data'!$K$7:$K$8,E335),INDEX('Route Data'!$L$7:$L$8,E335)*2*PI()/60,INDEX('Route Data'!$F$7:$F$8,E335))</f>
        <v>0.19430699130049439</v>
      </c>
      <c r="I335" s="5">
        <f>DischargeCoeff(INDEX('Route Data'!$I$7:$I$8,E335), INDEX('Route Data'!$L$7:$L$8,E335)*2*PI()/60, INDEX('Route Data'!$F$7:$F$8,E335))</f>
        <v>0.15939200179827354</v>
      </c>
      <c r="J335" s="8">
        <f>FlowAngleRel(INDEX('Route Data'!$J$7:$J$8,E335)*INDEX('Route Data'!$I$7:$I$8,E335), INDEX('Route Data'!$L$7:$L$8,E335)*2*PI()/60, INDEX('Route Data'!$F$7:$F$8,E335),INDEX('Route Data'!$O$7:$O$8,E335), INDEX('Route Data'!$P$7:$P$8,E335),INDEX('Route Data'!$M$7:$M$8,E335))</f>
        <v>1.130811765868994</v>
      </c>
      <c r="K335" s="8">
        <f>FlowAngleAbsT(INDEX('Route Data'!$K$7:$K$8,E335), INDEX('Route Data'!$I$7:$I$8,E335), INDEX('Route Data'!$I$7:$I$8,E335)*INDEX('Route Data'!$J$7:$J$8,E335), INDEX('Route Data'!$L$7:$L$8,E335)*2*PI()/60, INDEX('Route Data'!$F$7:$F$8,E335),INDEX('Route Data'!$O$7:$O$8,E335), INDEX('Route Data'!$P$7:$P$8,E335), INDEX('Route Data'!$H$7:$H$8,E335), INDEX('Route Data'!$Q$7:$Q$8,E335), INDEX('Route Data'!$M$7:$M$8,E335))</f>
        <v>0.51617226640175828</v>
      </c>
      <c r="L335" s="5">
        <f>INDEX('Route Data'!$N$7:$N$8,E335)</f>
        <v>0.4</v>
      </c>
      <c r="M335" s="8">
        <v>0.64158147573471069</v>
      </c>
      <c r="N335" s="8">
        <f>ProbStrikeFrancis(K335, I335, L335, INDEX('Route Data'!$G$7:$G$8,E335),C335, INDEX('Route Data'!$F$7:$F$8,E335), INDEX('Route Data'!$O$7:$O$8,E335), INDEX('Route Data'!$H$7:$H$18,E335))</f>
        <v>1</v>
      </c>
      <c r="O335" s="5" t="str">
        <f>IF(F335&gt;=1,IF(M335&lt;=N335,"STRIKE","pass"),IF(M335&lt;=INDEX('Route Data'!$R$7:$R$8,E335),"NO PASS","pass"))</f>
        <v>STRIKE</v>
      </c>
      <c r="P335" s="5">
        <f>IF(F335&gt;=1,IF(M335&lt;=N335,1,0),IF(M335&lt;=INDEX('Route Data'!$R$7:$R$8,E335),-1,0))</f>
        <v>1</v>
      </c>
    </row>
    <row r="336" spans="1:16">
      <c r="A336" s="5">
        <v>326</v>
      </c>
      <c r="B336" s="12">
        <v>21.1</v>
      </c>
      <c r="C336" s="12">
        <f t="shared" si="5"/>
        <v>1.76</v>
      </c>
      <c r="D336" s="8">
        <v>0.42235267162322998</v>
      </c>
      <c r="E336" s="5">
        <f>MATCH(D336,'Route Data'!$C$7:$C$8,1)</f>
        <v>2</v>
      </c>
      <c r="F336" s="5">
        <f>INDEX('Route Data'!$D$7:$D$8,E336)</f>
        <v>1</v>
      </c>
      <c r="G336" s="5" t="str">
        <f>INDEX('Route Data'!$A$7:$A$8,E336)</f>
        <v>u18</v>
      </c>
      <c r="H336" s="5">
        <f>EnergyCoeff(INDEX('Route Data'!$K$7:$K$8,E336),INDEX('Route Data'!$L$7:$L$8,E336)*2*PI()/60,INDEX('Route Data'!$F$7:$F$8,E336))</f>
        <v>0.19430699130049439</v>
      </c>
      <c r="I336" s="5">
        <f>DischargeCoeff(INDEX('Route Data'!$I$7:$I$8,E336), INDEX('Route Data'!$L$7:$L$8,E336)*2*PI()/60, INDEX('Route Data'!$F$7:$F$8,E336))</f>
        <v>0.15939200179827354</v>
      </c>
      <c r="J336" s="8">
        <f>FlowAngleRel(INDEX('Route Data'!$J$7:$J$8,E336)*INDEX('Route Data'!$I$7:$I$8,E336), INDEX('Route Data'!$L$7:$L$8,E336)*2*PI()/60, INDEX('Route Data'!$F$7:$F$8,E336),INDEX('Route Data'!$O$7:$O$8,E336), INDEX('Route Data'!$P$7:$P$8,E336),INDEX('Route Data'!$M$7:$M$8,E336))</f>
        <v>1.130811765868994</v>
      </c>
      <c r="K336" s="8">
        <f>FlowAngleAbsT(INDEX('Route Data'!$K$7:$K$8,E336), INDEX('Route Data'!$I$7:$I$8,E336), INDEX('Route Data'!$I$7:$I$8,E336)*INDEX('Route Data'!$J$7:$J$8,E336), INDEX('Route Data'!$L$7:$L$8,E336)*2*PI()/60, INDEX('Route Data'!$F$7:$F$8,E336),INDEX('Route Data'!$O$7:$O$8,E336), INDEX('Route Data'!$P$7:$P$8,E336), INDEX('Route Data'!$H$7:$H$8,E336), INDEX('Route Data'!$Q$7:$Q$8,E336), INDEX('Route Data'!$M$7:$M$8,E336))</f>
        <v>0.51617226640175828</v>
      </c>
      <c r="L336" s="5">
        <f>INDEX('Route Data'!$N$7:$N$8,E336)</f>
        <v>0.4</v>
      </c>
      <c r="M336" s="8">
        <v>0.75503098964691162</v>
      </c>
      <c r="N336" s="8">
        <f>ProbStrikeFrancis(K336, I336, L336, INDEX('Route Data'!$G$7:$G$8,E336),C336, INDEX('Route Data'!$F$7:$F$8,E336), INDEX('Route Data'!$O$7:$O$8,E336), INDEX('Route Data'!$H$7:$H$18,E336))</f>
        <v>1</v>
      </c>
      <c r="O336" s="5" t="str">
        <f>IF(F336&gt;=1,IF(M336&lt;=N336,"STRIKE","pass"),IF(M336&lt;=INDEX('Route Data'!$R$7:$R$8,E336),"NO PASS","pass"))</f>
        <v>STRIKE</v>
      </c>
      <c r="P336" s="5">
        <f>IF(F336&gt;=1,IF(M336&lt;=N336,1,0),IF(M336&lt;=INDEX('Route Data'!$R$7:$R$8,E336),-1,0))</f>
        <v>1</v>
      </c>
    </row>
    <row r="337" spans="1:16">
      <c r="A337" s="5">
        <v>327</v>
      </c>
      <c r="B337" s="12">
        <v>23.02</v>
      </c>
      <c r="C337" s="12">
        <f t="shared" si="5"/>
        <v>1.92</v>
      </c>
      <c r="D337" s="8">
        <v>5.7807564735412598E-3</v>
      </c>
      <c r="E337" s="5">
        <f>MATCH(D337,'Route Data'!$C$7:$C$8,1)</f>
        <v>2</v>
      </c>
      <c r="F337" s="5">
        <f>INDEX('Route Data'!$D$7:$D$8,E337)</f>
        <v>1</v>
      </c>
      <c r="G337" s="5" t="str">
        <f>INDEX('Route Data'!$A$7:$A$8,E337)</f>
        <v>u18</v>
      </c>
      <c r="H337" s="5">
        <f>EnergyCoeff(INDEX('Route Data'!$K$7:$K$8,E337),INDEX('Route Data'!$L$7:$L$8,E337)*2*PI()/60,INDEX('Route Data'!$F$7:$F$8,E337))</f>
        <v>0.19430699130049439</v>
      </c>
      <c r="I337" s="5">
        <f>DischargeCoeff(INDEX('Route Data'!$I$7:$I$8,E337), INDEX('Route Data'!$L$7:$L$8,E337)*2*PI()/60, INDEX('Route Data'!$F$7:$F$8,E337))</f>
        <v>0.15939200179827354</v>
      </c>
      <c r="J337" s="8">
        <f>FlowAngleRel(INDEX('Route Data'!$J$7:$J$8,E337)*INDEX('Route Data'!$I$7:$I$8,E337), INDEX('Route Data'!$L$7:$L$8,E337)*2*PI()/60, INDEX('Route Data'!$F$7:$F$8,E337),INDEX('Route Data'!$O$7:$O$8,E337), INDEX('Route Data'!$P$7:$P$8,E337),INDEX('Route Data'!$M$7:$M$8,E337))</f>
        <v>1.130811765868994</v>
      </c>
      <c r="K337" s="8">
        <f>FlowAngleAbsT(INDEX('Route Data'!$K$7:$K$8,E337), INDEX('Route Data'!$I$7:$I$8,E337), INDEX('Route Data'!$I$7:$I$8,E337)*INDEX('Route Data'!$J$7:$J$8,E337), INDEX('Route Data'!$L$7:$L$8,E337)*2*PI()/60, INDEX('Route Data'!$F$7:$F$8,E337),INDEX('Route Data'!$O$7:$O$8,E337), INDEX('Route Data'!$P$7:$P$8,E337), INDEX('Route Data'!$H$7:$H$8,E337), INDEX('Route Data'!$Q$7:$Q$8,E337), INDEX('Route Data'!$M$7:$M$8,E337))</f>
        <v>0.51617226640175828</v>
      </c>
      <c r="L337" s="5">
        <f>INDEX('Route Data'!$N$7:$N$8,E337)</f>
        <v>0.4</v>
      </c>
      <c r="M337" s="8">
        <v>0.68026167154312134</v>
      </c>
      <c r="N337" s="8">
        <f>ProbStrikeFrancis(K337, I337, L337, INDEX('Route Data'!$G$7:$G$8,E337),C337, INDEX('Route Data'!$F$7:$F$8,E337), INDEX('Route Data'!$O$7:$O$8,E337), INDEX('Route Data'!$H$7:$H$18,E337))</f>
        <v>1</v>
      </c>
      <c r="O337" s="5" t="str">
        <f>IF(F337&gt;=1,IF(M337&lt;=N337,"STRIKE","pass"),IF(M337&lt;=INDEX('Route Data'!$R$7:$R$8,E337),"NO PASS","pass"))</f>
        <v>STRIKE</v>
      </c>
      <c r="P337" s="5">
        <f>IF(F337&gt;=1,IF(M337&lt;=N337,1,0),IF(M337&lt;=INDEX('Route Data'!$R$7:$R$8,E337),-1,0))</f>
        <v>1</v>
      </c>
    </row>
    <row r="338" spans="1:16">
      <c r="A338" s="5">
        <v>328</v>
      </c>
      <c r="B338" s="12">
        <v>25.68</v>
      </c>
      <c r="C338" s="12">
        <f t="shared" si="5"/>
        <v>2.14</v>
      </c>
      <c r="D338" s="8">
        <v>0.52107572555541992</v>
      </c>
      <c r="E338" s="5">
        <f>MATCH(D338,'Route Data'!$C$7:$C$8,1)</f>
        <v>2</v>
      </c>
      <c r="F338" s="5">
        <f>INDEX('Route Data'!$D$7:$D$8,E338)</f>
        <v>1</v>
      </c>
      <c r="G338" s="5" t="str">
        <f>INDEX('Route Data'!$A$7:$A$8,E338)</f>
        <v>u18</v>
      </c>
      <c r="H338" s="5">
        <f>EnergyCoeff(INDEX('Route Data'!$K$7:$K$8,E338),INDEX('Route Data'!$L$7:$L$8,E338)*2*PI()/60,INDEX('Route Data'!$F$7:$F$8,E338))</f>
        <v>0.19430699130049439</v>
      </c>
      <c r="I338" s="5">
        <f>DischargeCoeff(INDEX('Route Data'!$I$7:$I$8,E338), INDEX('Route Data'!$L$7:$L$8,E338)*2*PI()/60, INDEX('Route Data'!$F$7:$F$8,E338))</f>
        <v>0.15939200179827354</v>
      </c>
      <c r="J338" s="8">
        <f>FlowAngleRel(INDEX('Route Data'!$J$7:$J$8,E338)*INDEX('Route Data'!$I$7:$I$8,E338), INDEX('Route Data'!$L$7:$L$8,E338)*2*PI()/60, INDEX('Route Data'!$F$7:$F$8,E338),INDEX('Route Data'!$O$7:$O$8,E338), INDEX('Route Data'!$P$7:$P$8,E338),INDEX('Route Data'!$M$7:$M$8,E338))</f>
        <v>1.130811765868994</v>
      </c>
      <c r="K338" s="8">
        <f>FlowAngleAbsT(INDEX('Route Data'!$K$7:$K$8,E338), INDEX('Route Data'!$I$7:$I$8,E338), INDEX('Route Data'!$I$7:$I$8,E338)*INDEX('Route Data'!$J$7:$J$8,E338), INDEX('Route Data'!$L$7:$L$8,E338)*2*PI()/60, INDEX('Route Data'!$F$7:$F$8,E338),INDEX('Route Data'!$O$7:$O$8,E338), INDEX('Route Data'!$P$7:$P$8,E338), INDEX('Route Data'!$H$7:$H$8,E338), INDEX('Route Data'!$Q$7:$Q$8,E338), INDEX('Route Data'!$M$7:$M$8,E338))</f>
        <v>0.51617226640175828</v>
      </c>
      <c r="L338" s="5">
        <f>INDEX('Route Data'!$N$7:$N$8,E338)</f>
        <v>0.4</v>
      </c>
      <c r="M338" s="8">
        <v>0.90456962585449219</v>
      </c>
      <c r="N338" s="8">
        <f>ProbStrikeFrancis(K338, I338, L338, INDEX('Route Data'!$G$7:$G$8,E338),C338, INDEX('Route Data'!$F$7:$F$8,E338), INDEX('Route Data'!$O$7:$O$8,E338), INDEX('Route Data'!$H$7:$H$18,E338))</f>
        <v>1</v>
      </c>
      <c r="O338" s="5" t="str">
        <f>IF(F338&gt;=1,IF(M338&lt;=N338,"STRIKE","pass"),IF(M338&lt;=INDEX('Route Data'!$R$7:$R$8,E338),"NO PASS","pass"))</f>
        <v>STRIKE</v>
      </c>
      <c r="P338" s="5">
        <f>IF(F338&gt;=1,IF(M338&lt;=N338,1,0),IF(M338&lt;=INDEX('Route Data'!$R$7:$R$8,E338),-1,0))</f>
        <v>1</v>
      </c>
    </row>
    <row r="339" spans="1:16">
      <c r="A339" s="5">
        <v>329</v>
      </c>
      <c r="B339" s="12">
        <v>22.39</v>
      </c>
      <c r="C339" s="12">
        <f t="shared" si="5"/>
        <v>1.87</v>
      </c>
      <c r="D339" s="8">
        <v>0.24077004194259644</v>
      </c>
      <c r="E339" s="5">
        <f>MATCH(D339,'Route Data'!$C$7:$C$8,1)</f>
        <v>2</v>
      </c>
      <c r="F339" s="5">
        <f>INDEX('Route Data'!$D$7:$D$8,E339)</f>
        <v>1</v>
      </c>
      <c r="G339" s="5" t="str">
        <f>INDEX('Route Data'!$A$7:$A$8,E339)</f>
        <v>u18</v>
      </c>
      <c r="H339" s="5">
        <f>EnergyCoeff(INDEX('Route Data'!$K$7:$K$8,E339),INDEX('Route Data'!$L$7:$L$8,E339)*2*PI()/60,INDEX('Route Data'!$F$7:$F$8,E339))</f>
        <v>0.19430699130049439</v>
      </c>
      <c r="I339" s="5">
        <f>DischargeCoeff(INDEX('Route Data'!$I$7:$I$8,E339), INDEX('Route Data'!$L$7:$L$8,E339)*2*PI()/60, INDEX('Route Data'!$F$7:$F$8,E339))</f>
        <v>0.15939200179827354</v>
      </c>
      <c r="J339" s="8">
        <f>FlowAngleRel(INDEX('Route Data'!$J$7:$J$8,E339)*INDEX('Route Data'!$I$7:$I$8,E339), INDEX('Route Data'!$L$7:$L$8,E339)*2*PI()/60, INDEX('Route Data'!$F$7:$F$8,E339),INDEX('Route Data'!$O$7:$O$8,E339), INDEX('Route Data'!$P$7:$P$8,E339),INDEX('Route Data'!$M$7:$M$8,E339))</f>
        <v>1.130811765868994</v>
      </c>
      <c r="K339" s="8">
        <f>FlowAngleAbsT(INDEX('Route Data'!$K$7:$K$8,E339), INDEX('Route Data'!$I$7:$I$8,E339), INDEX('Route Data'!$I$7:$I$8,E339)*INDEX('Route Data'!$J$7:$J$8,E339), INDEX('Route Data'!$L$7:$L$8,E339)*2*PI()/60, INDEX('Route Data'!$F$7:$F$8,E339),INDEX('Route Data'!$O$7:$O$8,E339), INDEX('Route Data'!$P$7:$P$8,E339), INDEX('Route Data'!$H$7:$H$8,E339), INDEX('Route Data'!$Q$7:$Q$8,E339), INDEX('Route Data'!$M$7:$M$8,E339))</f>
        <v>0.51617226640175828</v>
      </c>
      <c r="L339" s="5">
        <f>INDEX('Route Data'!$N$7:$N$8,E339)</f>
        <v>0.4</v>
      </c>
      <c r="M339" s="8">
        <v>0.23164576292037964</v>
      </c>
      <c r="N339" s="8">
        <f>ProbStrikeFrancis(K339, I339, L339, INDEX('Route Data'!$G$7:$G$8,E339),C339, INDEX('Route Data'!$F$7:$F$8,E339), INDEX('Route Data'!$O$7:$O$8,E339), INDEX('Route Data'!$H$7:$H$18,E339))</f>
        <v>1</v>
      </c>
      <c r="O339" s="5" t="str">
        <f>IF(F339&gt;=1,IF(M339&lt;=N339,"STRIKE","pass"),IF(M339&lt;=INDEX('Route Data'!$R$7:$R$8,E339),"NO PASS","pass"))</f>
        <v>STRIKE</v>
      </c>
      <c r="P339" s="5">
        <f>IF(F339&gt;=1,IF(M339&lt;=N339,1,0),IF(M339&lt;=INDEX('Route Data'!$R$7:$R$8,E339),-1,0))</f>
        <v>1</v>
      </c>
    </row>
    <row r="340" spans="1:16">
      <c r="A340" s="5">
        <v>330</v>
      </c>
      <c r="B340" s="12">
        <v>25.4</v>
      </c>
      <c r="C340" s="12">
        <f t="shared" si="5"/>
        <v>2.12</v>
      </c>
      <c r="D340" s="8">
        <v>0.55052864551544189</v>
      </c>
      <c r="E340" s="5">
        <f>MATCH(D340,'Route Data'!$C$7:$C$8,1)</f>
        <v>2</v>
      </c>
      <c r="F340" s="5">
        <f>INDEX('Route Data'!$D$7:$D$8,E340)</f>
        <v>1</v>
      </c>
      <c r="G340" s="5" t="str">
        <f>INDEX('Route Data'!$A$7:$A$8,E340)</f>
        <v>u18</v>
      </c>
      <c r="H340" s="5">
        <f>EnergyCoeff(INDEX('Route Data'!$K$7:$K$8,E340),INDEX('Route Data'!$L$7:$L$8,E340)*2*PI()/60,INDEX('Route Data'!$F$7:$F$8,E340))</f>
        <v>0.19430699130049439</v>
      </c>
      <c r="I340" s="5">
        <f>DischargeCoeff(INDEX('Route Data'!$I$7:$I$8,E340), INDEX('Route Data'!$L$7:$L$8,E340)*2*PI()/60, INDEX('Route Data'!$F$7:$F$8,E340))</f>
        <v>0.15939200179827354</v>
      </c>
      <c r="J340" s="8">
        <f>FlowAngleRel(INDEX('Route Data'!$J$7:$J$8,E340)*INDEX('Route Data'!$I$7:$I$8,E340), INDEX('Route Data'!$L$7:$L$8,E340)*2*PI()/60, INDEX('Route Data'!$F$7:$F$8,E340),INDEX('Route Data'!$O$7:$O$8,E340), INDEX('Route Data'!$P$7:$P$8,E340),INDEX('Route Data'!$M$7:$M$8,E340))</f>
        <v>1.130811765868994</v>
      </c>
      <c r="K340" s="8">
        <f>FlowAngleAbsT(INDEX('Route Data'!$K$7:$K$8,E340), INDEX('Route Data'!$I$7:$I$8,E340), INDEX('Route Data'!$I$7:$I$8,E340)*INDEX('Route Data'!$J$7:$J$8,E340), INDEX('Route Data'!$L$7:$L$8,E340)*2*PI()/60, INDEX('Route Data'!$F$7:$F$8,E340),INDEX('Route Data'!$O$7:$O$8,E340), INDEX('Route Data'!$P$7:$P$8,E340), INDEX('Route Data'!$H$7:$H$8,E340), INDEX('Route Data'!$Q$7:$Q$8,E340), INDEX('Route Data'!$M$7:$M$8,E340))</f>
        <v>0.51617226640175828</v>
      </c>
      <c r="L340" s="5">
        <f>INDEX('Route Data'!$N$7:$N$8,E340)</f>
        <v>0.4</v>
      </c>
      <c r="M340" s="8">
        <v>0.25041735172271729</v>
      </c>
      <c r="N340" s="8">
        <f>ProbStrikeFrancis(K340, I340, L340, INDEX('Route Data'!$G$7:$G$8,E340),C340, INDEX('Route Data'!$F$7:$F$8,E340), INDEX('Route Data'!$O$7:$O$8,E340), INDEX('Route Data'!$H$7:$H$18,E340))</f>
        <v>1</v>
      </c>
      <c r="O340" s="5" t="str">
        <f>IF(F340&gt;=1,IF(M340&lt;=N340,"STRIKE","pass"),IF(M340&lt;=INDEX('Route Data'!$R$7:$R$8,E340),"NO PASS","pass"))</f>
        <v>STRIKE</v>
      </c>
      <c r="P340" s="5">
        <f>IF(F340&gt;=1,IF(M340&lt;=N340,1,0),IF(M340&lt;=INDEX('Route Data'!$R$7:$R$8,E340),-1,0))</f>
        <v>1</v>
      </c>
    </row>
    <row r="341" spans="1:16">
      <c r="A341" s="5">
        <v>331</v>
      </c>
      <c r="B341" s="12">
        <v>22.89</v>
      </c>
      <c r="C341" s="12">
        <f t="shared" si="5"/>
        <v>1.91</v>
      </c>
      <c r="D341" s="8">
        <v>0.62125283479690552</v>
      </c>
      <c r="E341" s="5">
        <f>MATCH(D341,'Route Data'!$C$7:$C$8,1)</f>
        <v>2</v>
      </c>
      <c r="F341" s="5">
        <f>INDEX('Route Data'!$D$7:$D$8,E341)</f>
        <v>1</v>
      </c>
      <c r="G341" s="5" t="str">
        <f>INDEX('Route Data'!$A$7:$A$8,E341)</f>
        <v>u18</v>
      </c>
      <c r="H341" s="5">
        <f>EnergyCoeff(INDEX('Route Data'!$K$7:$K$8,E341),INDEX('Route Data'!$L$7:$L$8,E341)*2*PI()/60,INDEX('Route Data'!$F$7:$F$8,E341))</f>
        <v>0.19430699130049439</v>
      </c>
      <c r="I341" s="5">
        <f>DischargeCoeff(INDEX('Route Data'!$I$7:$I$8,E341), INDEX('Route Data'!$L$7:$L$8,E341)*2*PI()/60, INDEX('Route Data'!$F$7:$F$8,E341))</f>
        <v>0.15939200179827354</v>
      </c>
      <c r="J341" s="8">
        <f>FlowAngleRel(INDEX('Route Data'!$J$7:$J$8,E341)*INDEX('Route Data'!$I$7:$I$8,E341), INDEX('Route Data'!$L$7:$L$8,E341)*2*PI()/60, INDEX('Route Data'!$F$7:$F$8,E341),INDEX('Route Data'!$O$7:$O$8,E341), INDEX('Route Data'!$P$7:$P$8,E341),INDEX('Route Data'!$M$7:$M$8,E341))</f>
        <v>1.130811765868994</v>
      </c>
      <c r="K341" s="8">
        <f>FlowAngleAbsT(INDEX('Route Data'!$K$7:$K$8,E341), INDEX('Route Data'!$I$7:$I$8,E341), INDEX('Route Data'!$I$7:$I$8,E341)*INDEX('Route Data'!$J$7:$J$8,E341), INDEX('Route Data'!$L$7:$L$8,E341)*2*PI()/60, INDEX('Route Data'!$F$7:$F$8,E341),INDEX('Route Data'!$O$7:$O$8,E341), INDEX('Route Data'!$P$7:$P$8,E341), INDEX('Route Data'!$H$7:$H$8,E341), INDEX('Route Data'!$Q$7:$Q$8,E341), INDEX('Route Data'!$M$7:$M$8,E341))</f>
        <v>0.51617226640175828</v>
      </c>
      <c r="L341" s="5">
        <f>INDEX('Route Data'!$N$7:$N$8,E341)</f>
        <v>0.4</v>
      </c>
      <c r="M341" s="8">
        <v>0.66294413805007935</v>
      </c>
      <c r="N341" s="8">
        <f>ProbStrikeFrancis(K341, I341, L341, INDEX('Route Data'!$G$7:$G$8,E341),C341, INDEX('Route Data'!$F$7:$F$8,E341), INDEX('Route Data'!$O$7:$O$8,E341), INDEX('Route Data'!$H$7:$H$18,E341))</f>
        <v>1</v>
      </c>
      <c r="O341" s="5" t="str">
        <f>IF(F341&gt;=1,IF(M341&lt;=N341,"STRIKE","pass"),IF(M341&lt;=INDEX('Route Data'!$R$7:$R$8,E341),"NO PASS","pass"))</f>
        <v>STRIKE</v>
      </c>
      <c r="P341" s="5">
        <f>IF(F341&gt;=1,IF(M341&lt;=N341,1,0),IF(M341&lt;=INDEX('Route Data'!$R$7:$R$8,E341),-1,0))</f>
        <v>1</v>
      </c>
    </row>
    <row r="342" spans="1:16">
      <c r="A342" s="5">
        <v>332</v>
      </c>
      <c r="B342" s="12">
        <v>23.52</v>
      </c>
      <c r="C342" s="12">
        <f t="shared" si="5"/>
        <v>1.96</v>
      </c>
      <c r="D342" s="8">
        <v>0.67465949058532715</v>
      </c>
      <c r="E342" s="5">
        <f>MATCH(D342,'Route Data'!$C$7:$C$8,1)</f>
        <v>2</v>
      </c>
      <c r="F342" s="5">
        <f>INDEX('Route Data'!$D$7:$D$8,E342)</f>
        <v>1</v>
      </c>
      <c r="G342" s="5" t="str">
        <f>INDEX('Route Data'!$A$7:$A$8,E342)</f>
        <v>u18</v>
      </c>
      <c r="H342" s="5">
        <f>EnergyCoeff(INDEX('Route Data'!$K$7:$K$8,E342),INDEX('Route Data'!$L$7:$L$8,E342)*2*PI()/60,INDEX('Route Data'!$F$7:$F$8,E342))</f>
        <v>0.19430699130049439</v>
      </c>
      <c r="I342" s="5">
        <f>DischargeCoeff(INDEX('Route Data'!$I$7:$I$8,E342), INDEX('Route Data'!$L$7:$L$8,E342)*2*PI()/60, INDEX('Route Data'!$F$7:$F$8,E342))</f>
        <v>0.15939200179827354</v>
      </c>
      <c r="J342" s="8">
        <f>FlowAngleRel(INDEX('Route Data'!$J$7:$J$8,E342)*INDEX('Route Data'!$I$7:$I$8,E342), INDEX('Route Data'!$L$7:$L$8,E342)*2*PI()/60, INDEX('Route Data'!$F$7:$F$8,E342),INDEX('Route Data'!$O$7:$O$8,E342), INDEX('Route Data'!$P$7:$P$8,E342),INDEX('Route Data'!$M$7:$M$8,E342))</f>
        <v>1.130811765868994</v>
      </c>
      <c r="K342" s="8">
        <f>FlowAngleAbsT(INDEX('Route Data'!$K$7:$K$8,E342), INDEX('Route Data'!$I$7:$I$8,E342), INDEX('Route Data'!$I$7:$I$8,E342)*INDEX('Route Data'!$J$7:$J$8,E342), INDEX('Route Data'!$L$7:$L$8,E342)*2*PI()/60, INDEX('Route Data'!$F$7:$F$8,E342),INDEX('Route Data'!$O$7:$O$8,E342), INDEX('Route Data'!$P$7:$P$8,E342), INDEX('Route Data'!$H$7:$H$8,E342), INDEX('Route Data'!$Q$7:$Q$8,E342), INDEX('Route Data'!$M$7:$M$8,E342))</f>
        <v>0.51617226640175828</v>
      </c>
      <c r="L342" s="5">
        <f>INDEX('Route Data'!$N$7:$N$8,E342)</f>
        <v>0.4</v>
      </c>
      <c r="M342" s="8">
        <v>0.83188843727111816</v>
      </c>
      <c r="N342" s="8">
        <f>ProbStrikeFrancis(K342, I342, L342, INDEX('Route Data'!$G$7:$G$8,E342),C342, INDEX('Route Data'!$F$7:$F$8,E342), INDEX('Route Data'!$O$7:$O$8,E342), INDEX('Route Data'!$H$7:$H$18,E342))</f>
        <v>1</v>
      </c>
      <c r="O342" s="5" t="str">
        <f>IF(F342&gt;=1,IF(M342&lt;=N342,"STRIKE","pass"),IF(M342&lt;=INDEX('Route Data'!$R$7:$R$8,E342),"NO PASS","pass"))</f>
        <v>STRIKE</v>
      </c>
      <c r="P342" s="5">
        <f>IF(F342&gt;=1,IF(M342&lt;=N342,1,0),IF(M342&lt;=INDEX('Route Data'!$R$7:$R$8,E342),-1,0))</f>
        <v>1</v>
      </c>
    </row>
    <row r="343" spans="1:16">
      <c r="A343" s="5">
        <v>333</v>
      </c>
      <c r="B343" s="12">
        <v>19.04</v>
      </c>
      <c r="C343" s="12">
        <f t="shared" si="5"/>
        <v>1.59</v>
      </c>
      <c r="D343" s="8">
        <v>0.51443952322006226</v>
      </c>
      <c r="E343" s="5">
        <f>MATCH(D343,'Route Data'!$C$7:$C$8,1)</f>
        <v>2</v>
      </c>
      <c r="F343" s="5">
        <f>INDEX('Route Data'!$D$7:$D$8,E343)</f>
        <v>1</v>
      </c>
      <c r="G343" s="5" t="str">
        <f>INDEX('Route Data'!$A$7:$A$8,E343)</f>
        <v>u18</v>
      </c>
      <c r="H343" s="5">
        <f>EnergyCoeff(INDEX('Route Data'!$K$7:$K$8,E343),INDEX('Route Data'!$L$7:$L$8,E343)*2*PI()/60,INDEX('Route Data'!$F$7:$F$8,E343))</f>
        <v>0.19430699130049439</v>
      </c>
      <c r="I343" s="5">
        <f>DischargeCoeff(INDEX('Route Data'!$I$7:$I$8,E343), INDEX('Route Data'!$L$7:$L$8,E343)*2*PI()/60, INDEX('Route Data'!$F$7:$F$8,E343))</f>
        <v>0.15939200179827354</v>
      </c>
      <c r="J343" s="8">
        <f>FlowAngleRel(INDEX('Route Data'!$J$7:$J$8,E343)*INDEX('Route Data'!$I$7:$I$8,E343), INDEX('Route Data'!$L$7:$L$8,E343)*2*PI()/60, INDEX('Route Data'!$F$7:$F$8,E343),INDEX('Route Data'!$O$7:$O$8,E343), INDEX('Route Data'!$P$7:$P$8,E343),INDEX('Route Data'!$M$7:$M$8,E343))</f>
        <v>1.130811765868994</v>
      </c>
      <c r="K343" s="8">
        <f>FlowAngleAbsT(INDEX('Route Data'!$K$7:$K$8,E343), INDEX('Route Data'!$I$7:$I$8,E343), INDEX('Route Data'!$I$7:$I$8,E343)*INDEX('Route Data'!$J$7:$J$8,E343), INDEX('Route Data'!$L$7:$L$8,E343)*2*PI()/60, INDEX('Route Data'!$F$7:$F$8,E343),INDEX('Route Data'!$O$7:$O$8,E343), INDEX('Route Data'!$P$7:$P$8,E343), INDEX('Route Data'!$H$7:$H$8,E343), INDEX('Route Data'!$Q$7:$Q$8,E343), INDEX('Route Data'!$M$7:$M$8,E343))</f>
        <v>0.51617226640175828</v>
      </c>
      <c r="L343" s="5">
        <f>INDEX('Route Data'!$N$7:$N$8,E343)</f>
        <v>0.4</v>
      </c>
      <c r="M343" s="8">
        <v>1.3471066951751709E-2</v>
      </c>
      <c r="N343" s="8">
        <f>ProbStrikeFrancis(K343, I343, L343, INDEX('Route Data'!$G$7:$G$8,E343),C343, INDEX('Route Data'!$F$7:$F$8,E343), INDEX('Route Data'!$O$7:$O$8,E343), INDEX('Route Data'!$H$7:$H$18,E343))</f>
        <v>1</v>
      </c>
      <c r="O343" s="5" t="str">
        <f>IF(F343&gt;=1,IF(M343&lt;=N343,"STRIKE","pass"),IF(M343&lt;=INDEX('Route Data'!$R$7:$R$8,E343),"NO PASS","pass"))</f>
        <v>STRIKE</v>
      </c>
      <c r="P343" s="5">
        <f>IF(F343&gt;=1,IF(M343&lt;=N343,1,0),IF(M343&lt;=INDEX('Route Data'!$R$7:$R$8,E343),-1,0))</f>
        <v>1</v>
      </c>
    </row>
    <row r="344" spans="1:16">
      <c r="A344" s="5">
        <v>334</v>
      </c>
      <c r="B344" s="12">
        <v>26.57</v>
      </c>
      <c r="C344" s="12">
        <f t="shared" si="5"/>
        <v>2.21</v>
      </c>
      <c r="D344" s="8">
        <v>0.99509942531585693</v>
      </c>
      <c r="E344" s="5">
        <f>MATCH(D344,'Route Data'!$C$7:$C$8,1)</f>
        <v>2</v>
      </c>
      <c r="F344" s="5">
        <f>INDEX('Route Data'!$D$7:$D$8,E344)</f>
        <v>1</v>
      </c>
      <c r="G344" s="5" t="str">
        <f>INDEX('Route Data'!$A$7:$A$8,E344)</f>
        <v>u18</v>
      </c>
      <c r="H344" s="5">
        <f>EnergyCoeff(INDEX('Route Data'!$K$7:$K$8,E344),INDEX('Route Data'!$L$7:$L$8,E344)*2*PI()/60,INDEX('Route Data'!$F$7:$F$8,E344))</f>
        <v>0.19430699130049439</v>
      </c>
      <c r="I344" s="5">
        <f>DischargeCoeff(INDEX('Route Data'!$I$7:$I$8,E344), INDEX('Route Data'!$L$7:$L$8,E344)*2*PI()/60, INDEX('Route Data'!$F$7:$F$8,E344))</f>
        <v>0.15939200179827354</v>
      </c>
      <c r="J344" s="8">
        <f>FlowAngleRel(INDEX('Route Data'!$J$7:$J$8,E344)*INDEX('Route Data'!$I$7:$I$8,E344), INDEX('Route Data'!$L$7:$L$8,E344)*2*PI()/60, INDEX('Route Data'!$F$7:$F$8,E344),INDEX('Route Data'!$O$7:$O$8,E344), INDEX('Route Data'!$P$7:$P$8,E344),INDEX('Route Data'!$M$7:$M$8,E344))</f>
        <v>1.130811765868994</v>
      </c>
      <c r="K344" s="8">
        <f>FlowAngleAbsT(INDEX('Route Data'!$K$7:$K$8,E344), INDEX('Route Data'!$I$7:$I$8,E344), INDEX('Route Data'!$I$7:$I$8,E344)*INDEX('Route Data'!$J$7:$J$8,E344), INDEX('Route Data'!$L$7:$L$8,E344)*2*PI()/60, INDEX('Route Data'!$F$7:$F$8,E344),INDEX('Route Data'!$O$7:$O$8,E344), INDEX('Route Data'!$P$7:$P$8,E344), INDEX('Route Data'!$H$7:$H$8,E344), INDEX('Route Data'!$Q$7:$Q$8,E344), INDEX('Route Data'!$M$7:$M$8,E344))</f>
        <v>0.51617226640175828</v>
      </c>
      <c r="L344" s="5">
        <f>INDEX('Route Data'!$N$7:$N$8,E344)</f>
        <v>0.4</v>
      </c>
      <c r="M344" s="8">
        <v>0.46872317790985107</v>
      </c>
      <c r="N344" s="8">
        <f>ProbStrikeFrancis(K344, I344, L344, INDEX('Route Data'!$G$7:$G$8,E344),C344, INDEX('Route Data'!$F$7:$F$8,E344), INDEX('Route Data'!$O$7:$O$8,E344), INDEX('Route Data'!$H$7:$H$18,E344))</f>
        <v>1</v>
      </c>
      <c r="O344" s="5" t="str">
        <f>IF(F344&gt;=1,IF(M344&lt;=N344,"STRIKE","pass"),IF(M344&lt;=INDEX('Route Data'!$R$7:$R$8,E344),"NO PASS","pass"))</f>
        <v>STRIKE</v>
      </c>
      <c r="P344" s="5">
        <f>IF(F344&gt;=1,IF(M344&lt;=N344,1,0),IF(M344&lt;=INDEX('Route Data'!$R$7:$R$8,E344),-1,0))</f>
        <v>1</v>
      </c>
    </row>
    <row r="345" spans="1:16">
      <c r="A345" s="5">
        <v>335</v>
      </c>
      <c r="B345" s="12">
        <v>25.77</v>
      </c>
      <c r="C345" s="12">
        <f t="shared" si="5"/>
        <v>2.15</v>
      </c>
      <c r="D345" s="8">
        <v>0.5531197190284729</v>
      </c>
      <c r="E345" s="5">
        <f>MATCH(D345,'Route Data'!$C$7:$C$8,1)</f>
        <v>2</v>
      </c>
      <c r="F345" s="5">
        <f>INDEX('Route Data'!$D$7:$D$8,E345)</f>
        <v>1</v>
      </c>
      <c r="G345" s="5" t="str">
        <f>INDEX('Route Data'!$A$7:$A$8,E345)</f>
        <v>u18</v>
      </c>
      <c r="H345" s="5">
        <f>EnergyCoeff(INDEX('Route Data'!$K$7:$K$8,E345),INDEX('Route Data'!$L$7:$L$8,E345)*2*PI()/60,INDEX('Route Data'!$F$7:$F$8,E345))</f>
        <v>0.19430699130049439</v>
      </c>
      <c r="I345" s="5">
        <f>DischargeCoeff(INDEX('Route Data'!$I$7:$I$8,E345), INDEX('Route Data'!$L$7:$L$8,E345)*2*PI()/60, INDEX('Route Data'!$F$7:$F$8,E345))</f>
        <v>0.15939200179827354</v>
      </c>
      <c r="J345" s="8">
        <f>FlowAngleRel(INDEX('Route Data'!$J$7:$J$8,E345)*INDEX('Route Data'!$I$7:$I$8,E345), INDEX('Route Data'!$L$7:$L$8,E345)*2*PI()/60, INDEX('Route Data'!$F$7:$F$8,E345),INDEX('Route Data'!$O$7:$O$8,E345), INDEX('Route Data'!$P$7:$P$8,E345),INDEX('Route Data'!$M$7:$M$8,E345))</f>
        <v>1.130811765868994</v>
      </c>
      <c r="K345" s="8">
        <f>FlowAngleAbsT(INDEX('Route Data'!$K$7:$K$8,E345), INDEX('Route Data'!$I$7:$I$8,E345), INDEX('Route Data'!$I$7:$I$8,E345)*INDEX('Route Data'!$J$7:$J$8,E345), INDEX('Route Data'!$L$7:$L$8,E345)*2*PI()/60, INDEX('Route Data'!$F$7:$F$8,E345),INDEX('Route Data'!$O$7:$O$8,E345), INDEX('Route Data'!$P$7:$P$8,E345), INDEX('Route Data'!$H$7:$H$8,E345), INDEX('Route Data'!$Q$7:$Q$8,E345), INDEX('Route Data'!$M$7:$M$8,E345))</f>
        <v>0.51617226640175828</v>
      </c>
      <c r="L345" s="5">
        <f>INDEX('Route Data'!$N$7:$N$8,E345)</f>
        <v>0.4</v>
      </c>
      <c r="M345" s="8">
        <v>0.10296684503555298</v>
      </c>
      <c r="N345" s="8">
        <f>ProbStrikeFrancis(K345, I345, L345, INDEX('Route Data'!$G$7:$G$8,E345),C345, INDEX('Route Data'!$F$7:$F$8,E345), INDEX('Route Data'!$O$7:$O$8,E345), INDEX('Route Data'!$H$7:$H$18,E345))</f>
        <v>1</v>
      </c>
      <c r="O345" s="5" t="str">
        <f>IF(F345&gt;=1,IF(M345&lt;=N345,"STRIKE","pass"),IF(M345&lt;=INDEX('Route Data'!$R$7:$R$8,E345),"NO PASS","pass"))</f>
        <v>STRIKE</v>
      </c>
      <c r="P345" s="5">
        <f>IF(F345&gt;=1,IF(M345&lt;=N345,1,0),IF(M345&lt;=INDEX('Route Data'!$R$7:$R$8,E345),-1,0))</f>
        <v>1</v>
      </c>
    </row>
    <row r="346" spans="1:16">
      <c r="A346" s="5">
        <v>336</v>
      </c>
      <c r="B346" s="12">
        <v>24.43</v>
      </c>
      <c r="C346" s="12">
        <f t="shared" si="5"/>
        <v>2.04</v>
      </c>
      <c r="D346" s="8">
        <v>0.1446380615234375</v>
      </c>
      <c r="E346" s="5">
        <f>MATCH(D346,'Route Data'!$C$7:$C$8,1)</f>
        <v>2</v>
      </c>
      <c r="F346" s="5">
        <f>INDEX('Route Data'!$D$7:$D$8,E346)</f>
        <v>1</v>
      </c>
      <c r="G346" s="5" t="str">
        <f>INDEX('Route Data'!$A$7:$A$8,E346)</f>
        <v>u18</v>
      </c>
      <c r="H346" s="5">
        <f>EnergyCoeff(INDEX('Route Data'!$K$7:$K$8,E346),INDEX('Route Data'!$L$7:$L$8,E346)*2*PI()/60,INDEX('Route Data'!$F$7:$F$8,E346))</f>
        <v>0.19430699130049439</v>
      </c>
      <c r="I346" s="5">
        <f>DischargeCoeff(INDEX('Route Data'!$I$7:$I$8,E346), INDEX('Route Data'!$L$7:$L$8,E346)*2*PI()/60, INDEX('Route Data'!$F$7:$F$8,E346))</f>
        <v>0.15939200179827354</v>
      </c>
      <c r="J346" s="8">
        <f>FlowAngleRel(INDEX('Route Data'!$J$7:$J$8,E346)*INDEX('Route Data'!$I$7:$I$8,E346), INDEX('Route Data'!$L$7:$L$8,E346)*2*PI()/60, INDEX('Route Data'!$F$7:$F$8,E346),INDEX('Route Data'!$O$7:$O$8,E346), INDEX('Route Data'!$P$7:$P$8,E346),INDEX('Route Data'!$M$7:$M$8,E346))</f>
        <v>1.130811765868994</v>
      </c>
      <c r="K346" s="8">
        <f>FlowAngleAbsT(INDEX('Route Data'!$K$7:$K$8,E346), INDEX('Route Data'!$I$7:$I$8,E346), INDEX('Route Data'!$I$7:$I$8,E346)*INDEX('Route Data'!$J$7:$J$8,E346), INDEX('Route Data'!$L$7:$L$8,E346)*2*PI()/60, INDEX('Route Data'!$F$7:$F$8,E346),INDEX('Route Data'!$O$7:$O$8,E346), INDEX('Route Data'!$P$7:$P$8,E346), INDEX('Route Data'!$H$7:$H$8,E346), INDEX('Route Data'!$Q$7:$Q$8,E346), INDEX('Route Data'!$M$7:$M$8,E346))</f>
        <v>0.51617226640175828</v>
      </c>
      <c r="L346" s="5">
        <f>INDEX('Route Data'!$N$7:$N$8,E346)</f>
        <v>0.4</v>
      </c>
      <c r="M346" s="8">
        <v>0.66907739639282227</v>
      </c>
      <c r="N346" s="8">
        <f>ProbStrikeFrancis(K346, I346, L346, INDEX('Route Data'!$G$7:$G$8,E346),C346, INDEX('Route Data'!$F$7:$F$8,E346), INDEX('Route Data'!$O$7:$O$8,E346), INDEX('Route Data'!$H$7:$H$18,E346))</f>
        <v>1</v>
      </c>
      <c r="O346" s="5" t="str">
        <f>IF(F346&gt;=1,IF(M346&lt;=N346,"STRIKE","pass"),IF(M346&lt;=INDEX('Route Data'!$R$7:$R$8,E346),"NO PASS","pass"))</f>
        <v>STRIKE</v>
      </c>
      <c r="P346" s="5">
        <f>IF(F346&gt;=1,IF(M346&lt;=N346,1,0),IF(M346&lt;=INDEX('Route Data'!$R$7:$R$8,E346),-1,0))</f>
        <v>1</v>
      </c>
    </row>
    <row r="347" spans="1:16">
      <c r="A347" s="5">
        <v>337</v>
      </c>
      <c r="B347" s="12">
        <v>18.36</v>
      </c>
      <c r="C347" s="12">
        <f t="shared" si="5"/>
        <v>1.53</v>
      </c>
      <c r="D347" s="8">
        <v>0.8389245867729187</v>
      </c>
      <c r="E347" s="5">
        <f>MATCH(D347,'Route Data'!$C$7:$C$8,1)</f>
        <v>2</v>
      </c>
      <c r="F347" s="5">
        <f>INDEX('Route Data'!$D$7:$D$8,E347)</f>
        <v>1</v>
      </c>
      <c r="G347" s="5" t="str">
        <f>INDEX('Route Data'!$A$7:$A$8,E347)</f>
        <v>u18</v>
      </c>
      <c r="H347" s="5">
        <f>EnergyCoeff(INDEX('Route Data'!$K$7:$K$8,E347),INDEX('Route Data'!$L$7:$L$8,E347)*2*PI()/60,INDEX('Route Data'!$F$7:$F$8,E347))</f>
        <v>0.19430699130049439</v>
      </c>
      <c r="I347" s="5">
        <f>DischargeCoeff(INDEX('Route Data'!$I$7:$I$8,E347), INDEX('Route Data'!$L$7:$L$8,E347)*2*PI()/60, INDEX('Route Data'!$F$7:$F$8,E347))</f>
        <v>0.15939200179827354</v>
      </c>
      <c r="J347" s="8">
        <f>FlowAngleRel(INDEX('Route Data'!$J$7:$J$8,E347)*INDEX('Route Data'!$I$7:$I$8,E347), INDEX('Route Data'!$L$7:$L$8,E347)*2*PI()/60, INDEX('Route Data'!$F$7:$F$8,E347),INDEX('Route Data'!$O$7:$O$8,E347), INDEX('Route Data'!$P$7:$P$8,E347),INDEX('Route Data'!$M$7:$M$8,E347))</f>
        <v>1.130811765868994</v>
      </c>
      <c r="K347" s="8">
        <f>FlowAngleAbsT(INDEX('Route Data'!$K$7:$K$8,E347), INDEX('Route Data'!$I$7:$I$8,E347), INDEX('Route Data'!$I$7:$I$8,E347)*INDEX('Route Data'!$J$7:$J$8,E347), INDEX('Route Data'!$L$7:$L$8,E347)*2*PI()/60, INDEX('Route Data'!$F$7:$F$8,E347),INDEX('Route Data'!$O$7:$O$8,E347), INDEX('Route Data'!$P$7:$P$8,E347), INDEX('Route Data'!$H$7:$H$8,E347), INDEX('Route Data'!$Q$7:$Q$8,E347), INDEX('Route Data'!$M$7:$M$8,E347))</f>
        <v>0.51617226640175828</v>
      </c>
      <c r="L347" s="5">
        <f>INDEX('Route Data'!$N$7:$N$8,E347)</f>
        <v>0.4</v>
      </c>
      <c r="M347" s="8">
        <v>0.9707457423210144</v>
      </c>
      <c r="N347" s="8">
        <f>ProbStrikeFrancis(K347, I347, L347, INDEX('Route Data'!$G$7:$G$8,E347),C347, INDEX('Route Data'!$F$7:$F$8,E347), INDEX('Route Data'!$O$7:$O$8,E347), INDEX('Route Data'!$H$7:$H$18,E347))</f>
        <v>1</v>
      </c>
      <c r="O347" s="5" t="str">
        <f>IF(F347&gt;=1,IF(M347&lt;=N347,"STRIKE","pass"),IF(M347&lt;=INDEX('Route Data'!$R$7:$R$8,E347),"NO PASS","pass"))</f>
        <v>STRIKE</v>
      </c>
      <c r="P347" s="5">
        <f>IF(F347&gt;=1,IF(M347&lt;=N347,1,0),IF(M347&lt;=INDEX('Route Data'!$R$7:$R$8,E347),-1,0))</f>
        <v>1</v>
      </c>
    </row>
    <row r="348" spans="1:16">
      <c r="A348" s="5">
        <v>338</v>
      </c>
      <c r="B348" s="12">
        <v>16.93</v>
      </c>
      <c r="C348" s="12">
        <f t="shared" si="5"/>
        <v>1.41</v>
      </c>
      <c r="D348" s="8">
        <v>0.7560650110244751</v>
      </c>
      <c r="E348" s="5">
        <f>MATCH(D348,'Route Data'!$C$7:$C$8,1)</f>
        <v>2</v>
      </c>
      <c r="F348" s="5">
        <f>INDEX('Route Data'!$D$7:$D$8,E348)</f>
        <v>1</v>
      </c>
      <c r="G348" s="5" t="str">
        <f>INDEX('Route Data'!$A$7:$A$8,E348)</f>
        <v>u18</v>
      </c>
      <c r="H348" s="5">
        <f>EnergyCoeff(INDEX('Route Data'!$K$7:$K$8,E348),INDEX('Route Data'!$L$7:$L$8,E348)*2*PI()/60,INDEX('Route Data'!$F$7:$F$8,E348))</f>
        <v>0.19430699130049439</v>
      </c>
      <c r="I348" s="5">
        <f>DischargeCoeff(INDEX('Route Data'!$I$7:$I$8,E348), INDEX('Route Data'!$L$7:$L$8,E348)*2*PI()/60, INDEX('Route Data'!$F$7:$F$8,E348))</f>
        <v>0.15939200179827354</v>
      </c>
      <c r="J348" s="8">
        <f>FlowAngleRel(INDEX('Route Data'!$J$7:$J$8,E348)*INDEX('Route Data'!$I$7:$I$8,E348), INDEX('Route Data'!$L$7:$L$8,E348)*2*PI()/60, INDEX('Route Data'!$F$7:$F$8,E348),INDEX('Route Data'!$O$7:$O$8,E348), INDEX('Route Data'!$P$7:$P$8,E348),INDEX('Route Data'!$M$7:$M$8,E348))</f>
        <v>1.130811765868994</v>
      </c>
      <c r="K348" s="8">
        <f>FlowAngleAbsT(INDEX('Route Data'!$K$7:$K$8,E348), INDEX('Route Data'!$I$7:$I$8,E348), INDEX('Route Data'!$I$7:$I$8,E348)*INDEX('Route Data'!$J$7:$J$8,E348), INDEX('Route Data'!$L$7:$L$8,E348)*2*PI()/60, INDEX('Route Data'!$F$7:$F$8,E348),INDEX('Route Data'!$O$7:$O$8,E348), INDEX('Route Data'!$P$7:$P$8,E348), INDEX('Route Data'!$H$7:$H$8,E348), INDEX('Route Data'!$Q$7:$Q$8,E348), INDEX('Route Data'!$M$7:$M$8,E348))</f>
        <v>0.51617226640175828</v>
      </c>
      <c r="L348" s="5">
        <f>INDEX('Route Data'!$N$7:$N$8,E348)</f>
        <v>0.4</v>
      </c>
      <c r="M348" s="8">
        <v>0.59689915180206299</v>
      </c>
      <c r="N348" s="8">
        <f>ProbStrikeFrancis(K348, I348, L348, INDEX('Route Data'!$G$7:$G$8,E348),C348, INDEX('Route Data'!$F$7:$F$8,E348), INDEX('Route Data'!$O$7:$O$8,E348), INDEX('Route Data'!$H$7:$H$18,E348))</f>
        <v>1</v>
      </c>
      <c r="O348" s="5" t="str">
        <f>IF(F348&gt;=1,IF(M348&lt;=N348,"STRIKE","pass"),IF(M348&lt;=INDEX('Route Data'!$R$7:$R$8,E348),"NO PASS","pass"))</f>
        <v>STRIKE</v>
      </c>
      <c r="P348" s="5">
        <f>IF(F348&gt;=1,IF(M348&lt;=N348,1,0),IF(M348&lt;=INDEX('Route Data'!$R$7:$R$8,E348),-1,0))</f>
        <v>1</v>
      </c>
    </row>
    <row r="349" spans="1:16">
      <c r="A349" s="5">
        <v>339</v>
      </c>
      <c r="B349" s="12">
        <v>22.22</v>
      </c>
      <c r="C349" s="12">
        <f t="shared" si="5"/>
        <v>1.85</v>
      </c>
      <c r="D349" s="8">
        <v>0.53580218553543091</v>
      </c>
      <c r="E349" s="5">
        <f>MATCH(D349,'Route Data'!$C$7:$C$8,1)</f>
        <v>2</v>
      </c>
      <c r="F349" s="5">
        <f>INDEX('Route Data'!$D$7:$D$8,E349)</f>
        <v>1</v>
      </c>
      <c r="G349" s="5" t="str">
        <f>INDEX('Route Data'!$A$7:$A$8,E349)</f>
        <v>u18</v>
      </c>
      <c r="H349" s="5">
        <f>EnergyCoeff(INDEX('Route Data'!$K$7:$K$8,E349),INDEX('Route Data'!$L$7:$L$8,E349)*2*PI()/60,INDEX('Route Data'!$F$7:$F$8,E349))</f>
        <v>0.19430699130049439</v>
      </c>
      <c r="I349" s="5">
        <f>DischargeCoeff(INDEX('Route Data'!$I$7:$I$8,E349), INDEX('Route Data'!$L$7:$L$8,E349)*2*PI()/60, INDEX('Route Data'!$F$7:$F$8,E349))</f>
        <v>0.15939200179827354</v>
      </c>
      <c r="J349" s="8">
        <f>FlowAngleRel(INDEX('Route Data'!$J$7:$J$8,E349)*INDEX('Route Data'!$I$7:$I$8,E349), INDEX('Route Data'!$L$7:$L$8,E349)*2*PI()/60, INDEX('Route Data'!$F$7:$F$8,E349),INDEX('Route Data'!$O$7:$O$8,E349), INDEX('Route Data'!$P$7:$P$8,E349),INDEX('Route Data'!$M$7:$M$8,E349))</f>
        <v>1.130811765868994</v>
      </c>
      <c r="K349" s="8">
        <f>FlowAngleAbsT(INDEX('Route Data'!$K$7:$K$8,E349), INDEX('Route Data'!$I$7:$I$8,E349), INDEX('Route Data'!$I$7:$I$8,E349)*INDEX('Route Data'!$J$7:$J$8,E349), INDEX('Route Data'!$L$7:$L$8,E349)*2*PI()/60, INDEX('Route Data'!$F$7:$F$8,E349),INDEX('Route Data'!$O$7:$O$8,E349), INDEX('Route Data'!$P$7:$P$8,E349), INDEX('Route Data'!$H$7:$H$8,E349), INDEX('Route Data'!$Q$7:$Q$8,E349), INDEX('Route Data'!$M$7:$M$8,E349))</f>
        <v>0.51617226640175828</v>
      </c>
      <c r="L349" s="5">
        <f>INDEX('Route Data'!$N$7:$N$8,E349)</f>
        <v>0.4</v>
      </c>
      <c r="M349" s="8">
        <v>0.71843892335891724</v>
      </c>
      <c r="N349" s="8">
        <f>ProbStrikeFrancis(K349, I349, L349, INDEX('Route Data'!$G$7:$G$8,E349),C349, INDEX('Route Data'!$F$7:$F$8,E349), INDEX('Route Data'!$O$7:$O$8,E349), INDEX('Route Data'!$H$7:$H$18,E349))</f>
        <v>1</v>
      </c>
      <c r="O349" s="5" t="str">
        <f>IF(F349&gt;=1,IF(M349&lt;=N349,"STRIKE","pass"),IF(M349&lt;=INDEX('Route Data'!$R$7:$R$8,E349),"NO PASS","pass"))</f>
        <v>STRIKE</v>
      </c>
      <c r="P349" s="5">
        <f>IF(F349&gt;=1,IF(M349&lt;=N349,1,0),IF(M349&lt;=INDEX('Route Data'!$R$7:$R$8,E349),-1,0))</f>
        <v>1</v>
      </c>
    </row>
    <row r="350" spans="1:16">
      <c r="A350" s="5">
        <v>340</v>
      </c>
      <c r="B350" s="12">
        <v>26.33</v>
      </c>
      <c r="C350" s="12">
        <f t="shared" si="5"/>
        <v>2.19</v>
      </c>
      <c r="D350" s="8">
        <v>0.93101143836975098</v>
      </c>
      <c r="E350" s="5">
        <f>MATCH(D350,'Route Data'!$C$7:$C$8,1)</f>
        <v>2</v>
      </c>
      <c r="F350" s="5">
        <f>INDEX('Route Data'!$D$7:$D$8,E350)</f>
        <v>1</v>
      </c>
      <c r="G350" s="5" t="str">
        <f>INDEX('Route Data'!$A$7:$A$8,E350)</f>
        <v>u18</v>
      </c>
      <c r="H350" s="5">
        <f>EnergyCoeff(INDEX('Route Data'!$K$7:$K$8,E350),INDEX('Route Data'!$L$7:$L$8,E350)*2*PI()/60,INDEX('Route Data'!$F$7:$F$8,E350))</f>
        <v>0.19430699130049439</v>
      </c>
      <c r="I350" s="5">
        <f>DischargeCoeff(INDEX('Route Data'!$I$7:$I$8,E350), INDEX('Route Data'!$L$7:$L$8,E350)*2*PI()/60, INDEX('Route Data'!$F$7:$F$8,E350))</f>
        <v>0.15939200179827354</v>
      </c>
      <c r="J350" s="8">
        <f>FlowAngleRel(INDEX('Route Data'!$J$7:$J$8,E350)*INDEX('Route Data'!$I$7:$I$8,E350), INDEX('Route Data'!$L$7:$L$8,E350)*2*PI()/60, INDEX('Route Data'!$F$7:$F$8,E350),INDEX('Route Data'!$O$7:$O$8,E350), INDEX('Route Data'!$P$7:$P$8,E350),INDEX('Route Data'!$M$7:$M$8,E350))</f>
        <v>1.130811765868994</v>
      </c>
      <c r="K350" s="8">
        <f>FlowAngleAbsT(INDEX('Route Data'!$K$7:$K$8,E350), INDEX('Route Data'!$I$7:$I$8,E350), INDEX('Route Data'!$I$7:$I$8,E350)*INDEX('Route Data'!$J$7:$J$8,E350), INDEX('Route Data'!$L$7:$L$8,E350)*2*PI()/60, INDEX('Route Data'!$F$7:$F$8,E350),INDEX('Route Data'!$O$7:$O$8,E350), INDEX('Route Data'!$P$7:$P$8,E350), INDEX('Route Data'!$H$7:$H$8,E350), INDEX('Route Data'!$Q$7:$Q$8,E350), INDEX('Route Data'!$M$7:$M$8,E350))</f>
        <v>0.51617226640175828</v>
      </c>
      <c r="L350" s="5">
        <f>INDEX('Route Data'!$N$7:$N$8,E350)</f>
        <v>0.4</v>
      </c>
      <c r="M350" s="8">
        <v>8.8240385055541992E-2</v>
      </c>
      <c r="N350" s="8">
        <f>ProbStrikeFrancis(K350, I350, L350, INDEX('Route Data'!$G$7:$G$8,E350),C350, INDEX('Route Data'!$F$7:$F$8,E350), INDEX('Route Data'!$O$7:$O$8,E350), INDEX('Route Data'!$H$7:$H$18,E350))</f>
        <v>1</v>
      </c>
      <c r="O350" s="5" t="str">
        <f>IF(F350&gt;=1,IF(M350&lt;=N350,"STRIKE","pass"),IF(M350&lt;=INDEX('Route Data'!$R$7:$R$8,E350),"NO PASS","pass"))</f>
        <v>STRIKE</v>
      </c>
      <c r="P350" s="5">
        <f>IF(F350&gt;=1,IF(M350&lt;=N350,1,0),IF(M350&lt;=INDEX('Route Data'!$R$7:$R$8,E350),-1,0))</f>
        <v>1</v>
      </c>
    </row>
    <row r="351" spans="1:16">
      <c r="A351" s="5">
        <v>341</v>
      </c>
      <c r="B351" s="12">
        <v>21.37</v>
      </c>
      <c r="C351" s="12">
        <f t="shared" si="5"/>
        <v>1.78</v>
      </c>
      <c r="D351" s="8">
        <v>0.74538367986679077</v>
      </c>
      <c r="E351" s="5">
        <f>MATCH(D351,'Route Data'!$C$7:$C$8,1)</f>
        <v>2</v>
      </c>
      <c r="F351" s="5">
        <f>INDEX('Route Data'!$D$7:$D$8,E351)</f>
        <v>1</v>
      </c>
      <c r="G351" s="5" t="str">
        <f>INDEX('Route Data'!$A$7:$A$8,E351)</f>
        <v>u18</v>
      </c>
      <c r="H351" s="5">
        <f>EnergyCoeff(INDEX('Route Data'!$K$7:$K$8,E351),INDEX('Route Data'!$L$7:$L$8,E351)*2*PI()/60,INDEX('Route Data'!$F$7:$F$8,E351))</f>
        <v>0.19430699130049439</v>
      </c>
      <c r="I351" s="5">
        <f>DischargeCoeff(INDEX('Route Data'!$I$7:$I$8,E351), INDEX('Route Data'!$L$7:$L$8,E351)*2*PI()/60, INDEX('Route Data'!$F$7:$F$8,E351))</f>
        <v>0.15939200179827354</v>
      </c>
      <c r="J351" s="8">
        <f>FlowAngleRel(INDEX('Route Data'!$J$7:$J$8,E351)*INDEX('Route Data'!$I$7:$I$8,E351), INDEX('Route Data'!$L$7:$L$8,E351)*2*PI()/60, INDEX('Route Data'!$F$7:$F$8,E351),INDEX('Route Data'!$O$7:$O$8,E351), INDEX('Route Data'!$P$7:$P$8,E351),INDEX('Route Data'!$M$7:$M$8,E351))</f>
        <v>1.130811765868994</v>
      </c>
      <c r="K351" s="8">
        <f>FlowAngleAbsT(INDEX('Route Data'!$K$7:$K$8,E351), INDEX('Route Data'!$I$7:$I$8,E351), INDEX('Route Data'!$I$7:$I$8,E351)*INDEX('Route Data'!$J$7:$J$8,E351), INDEX('Route Data'!$L$7:$L$8,E351)*2*PI()/60, INDEX('Route Data'!$F$7:$F$8,E351),INDEX('Route Data'!$O$7:$O$8,E351), INDEX('Route Data'!$P$7:$P$8,E351), INDEX('Route Data'!$H$7:$H$8,E351), INDEX('Route Data'!$Q$7:$Q$8,E351), INDEX('Route Data'!$M$7:$M$8,E351))</f>
        <v>0.51617226640175828</v>
      </c>
      <c r="L351" s="5">
        <f>INDEX('Route Data'!$N$7:$N$8,E351)</f>
        <v>0.4</v>
      </c>
      <c r="M351" s="8">
        <v>0.24441522359848022</v>
      </c>
      <c r="N351" s="8">
        <f>ProbStrikeFrancis(K351, I351, L351, INDEX('Route Data'!$G$7:$G$8,E351),C351, INDEX('Route Data'!$F$7:$F$8,E351), INDEX('Route Data'!$O$7:$O$8,E351), INDEX('Route Data'!$H$7:$H$18,E351))</f>
        <v>1</v>
      </c>
      <c r="O351" s="5" t="str">
        <f>IF(F351&gt;=1,IF(M351&lt;=N351,"STRIKE","pass"),IF(M351&lt;=INDEX('Route Data'!$R$7:$R$8,E351),"NO PASS","pass"))</f>
        <v>STRIKE</v>
      </c>
      <c r="P351" s="5">
        <f>IF(F351&gt;=1,IF(M351&lt;=N351,1,0),IF(M351&lt;=INDEX('Route Data'!$R$7:$R$8,E351),-1,0))</f>
        <v>1</v>
      </c>
    </row>
    <row r="352" spans="1:16">
      <c r="A352" s="5">
        <v>342</v>
      </c>
      <c r="B352" s="12">
        <v>22.27</v>
      </c>
      <c r="C352" s="12">
        <f t="shared" si="5"/>
        <v>1.86</v>
      </c>
      <c r="D352" s="8">
        <v>0.56784617900848389</v>
      </c>
      <c r="E352" s="5">
        <f>MATCH(D352,'Route Data'!$C$7:$C$8,1)</f>
        <v>2</v>
      </c>
      <c r="F352" s="5">
        <f>INDEX('Route Data'!$D$7:$D$8,E352)</f>
        <v>1</v>
      </c>
      <c r="G352" s="5" t="str">
        <f>INDEX('Route Data'!$A$7:$A$8,E352)</f>
        <v>u18</v>
      </c>
      <c r="H352" s="5">
        <f>EnergyCoeff(INDEX('Route Data'!$K$7:$K$8,E352),INDEX('Route Data'!$L$7:$L$8,E352)*2*PI()/60,INDEX('Route Data'!$F$7:$F$8,E352))</f>
        <v>0.19430699130049439</v>
      </c>
      <c r="I352" s="5">
        <f>DischargeCoeff(INDEX('Route Data'!$I$7:$I$8,E352), INDEX('Route Data'!$L$7:$L$8,E352)*2*PI()/60, INDEX('Route Data'!$F$7:$F$8,E352))</f>
        <v>0.15939200179827354</v>
      </c>
      <c r="J352" s="8">
        <f>FlowAngleRel(INDEX('Route Data'!$J$7:$J$8,E352)*INDEX('Route Data'!$I$7:$I$8,E352), INDEX('Route Data'!$L$7:$L$8,E352)*2*PI()/60, INDEX('Route Data'!$F$7:$F$8,E352),INDEX('Route Data'!$O$7:$O$8,E352), INDEX('Route Data'!$P$7:$P$8,E352),INDEX('Route Data'!$M$7:$M$8,E352))</f>
        <v>1.130811765868994</v>
      </c>
      <c r="K352" s="8">
        <f>FlowAngleAbsT(INDEX('Route Data'!$K$7:$K$8,E352), INDEX('Route Data'!$I$7:$I$8,E352), INDEX('Route Data'!$I$7:$I$8,E352)*INDEX('Route Data'!$J$7:$J$8,E352), INDEX('Route Data'!$L$7:$L$8,E352)*2*PI()/60, INDEX('Route Data'!$F$7:$F$8,E352),INDEX('Route Data'!$O$7:$O$8,E352), INDEX('Route Data'!$P$7:$P$8,E352), INDEX('Route Data'!$H$7:$H$8,E352), INDEX('Route Data'!$Q$7:$Q$8,E352), INDEX('Route Data'!$M$7:$M$8,E352))</f>
        <v>0.51617226640175828</v>
      </c>
      <c r="L352" s="5">
        <f>INDEX('Route Data'!$N$7:$N$8,E352)</f>
        <v>0.4</v>
      </c>
      <c r="M352" s="8">
        <v>4.1469931602478027E-2</v>
      </c>
      <c r="N352" s="8">
        <f>ProbStrikeFrancis(K352, I352, L352, INDEX('Route Data'!$G$7:$G$8,E352),C352, INDEX('Route Data'!$F$7:$F$8,E352), INDEX('Route Data'!$O$7:$O$8,E352), INDEX('Route Data'!$H$7:$H$18,E352))</f>
        <v>1</v>
      </c>
      <c r="O352" s="5" t="str">
        <f>IF(F352&gt;=1,IF(M352&lt;=N352,"STRIKE","pass"),IF(M352&lt;=INDEX('Route Data'!$R$7:$R$8,E352),"NO PASS","pass"))</f>
        <v>STRIKE</v>
      </c>
      <c r="P352" s="5">
        <f>IF(F352&gt;=1,IF(M352&lt;=N352,1,0),IF(M352&lt;=INDEX('Route Data'!$R$7:$R$8,E352),-1,0))</f>
        <v>1</v>
      </c>
    </row>
    <row r="353" spans="1:16">
      <c r="A353" s="5">
        <v>343</v>
      </c>
      <c r="B353" s="12">
        <v>21.68</v>
      </c>
      <c r="C353" s="12">
        <f t="shared" si="5"/>
        <v>1.81</v>
      </c>
      <c r="D353" s="8">
        <v>0.83487945795059204</v>
      </c>
      <c r="E353" s="5">
        <f>MATCH(D353,'Route Data'!$C$7:$C$8,1)</f>
        <v>2</v>
      </c>
      <c r="F353" s="5">
        <f>INDEX('Route Data'!$D$7:$D$8,E353)</f>
        <v>1</v>
      </c>
      <c r="G353" s="5" t="str">
        <f>INDEX('Route Data'!$A$7:$A$8,E353)</f>
        <v>u18</v>
      </c>
      <c r="H353" s="5">
        <f>EnergyCoeff(INDEX('Route Data'!$K$7:$K$8,E353),INDEX('Route Data'!$L$7:$L$8,E353)*2*PI()/60,INDEX('Route Data'!$F$7:$F$8,E353))</f>
        <v>0.19430699130049439</v>
      </c>
      <c r="I353" s="5">
        <f>DischargeCoeff(INDEX('Route Data'!$I$7:$I$8,E353), INDEX('Route Data'!$L$7:$L$8,E353)*2*PI()/60, INDEX('Route Data'!$F$7:$F$8,E353))</f>
        <v>0.15939200179827354</v>
      </c>
      <c r="J353" s="8">
        <f>FlowAngleRel(INDEX('Route Data'!$J$7:$J$8,E353)*INDEX('Route Data'!$I$7:$I$8,E353), INDEX('Route Data'!$L$7:$L$8,E353)*2*PI()/60, INDEX('Route Data'!$F$7:$F$8,E353),INDEX('Route Data'!$O$7:$O$8,E353), INDEX('Route Data'!$P$7:$P$8,E353),INDEX('Route Data'!$M$7:$M$8,E353))</f>
        <v>1.130811765868994</v>
      </c>
      <c r="K353" s="8">
        <f>FlowAngleAbsT(INDEX('Route Data'!$K$7:$K$8,E353), INDEX('Route Data'!$I$7:$I$8,E353), INDEX('Route Data'!$I$7:$I$8,E353)*INDEX('Route Data'!$J$7:$J$8,E353), INDEX('Route Data'!$L$7:$L$8,E353)*2*PI()/60, INDEX('Route Data'!$F$7:$F$8,E353),INDEX('Route Data'!$O$7:$O$8,E353), INDEX('Route Data'!$P$7:$P$8,E353), INDEX('Route Data'!$H$7:$H$8,E353), INDEX('Route Data'!$Q$7:$Q$8,E353), INDEX('Route Data'!$M$7:$M$8,E353))</f>
        <v>0.51617226640175828</v>
      </c>
      <c r="L353" s="5">
        <f>INDEX('Route Data'!$N$7:$N$8,E353)</f>
        <v>0.4</v>
      </c>
      <c r="M353" s="8">
        <v>0.65030580759048462</v>
      </c>
      <c r="N353" s="8">
        <f>ProbStrikeFrancis(K353, I353, L353, INDEX('Route Data'!$G$7:$G$8,E353),C353, INDEX('Route Data'!$F$7:$F$8,E353), INDEX('Route Data'!$O$7:$O$8,E353), INDEX('Route Data'!$H$7:$H$18,E353))</f>
        <v>1</v>
      </c>
      <c r="O353" s="5" t="str">
        <f>IF(F353&gt;=1,IF(M353&lt;=N353,"STRIKE","pass"),IF(M353&lt;=INDEX('Route Data'!$R$7:$R$8,E353),"NO PASS","pass"))</f>
        <v>STRIKE</v>
      </c>
      <c r="P353" s="5">
        <f>IF(F353&gt;=1,IF(M353&lt;=N353,1,0),IF(M353&lt;=INDEX('Route Data'!$R$7:$R$8,E353),-1,0))</f>
        <v>1</v>
      </c>
    </row>
    <row r="354" spans="1:16">
      <c r="A354" s="5">
        <v>344</v>
      </c>
      <c r="B354" s="12">
        <v>23.45</v>
      </c>
      <c r="C354" s="12">
        <f t="shared" si="5"/>
        <v>1.95</v>
      </c>
      <c r="D354" s="8">
        <v>3.3779621124267578E-2</v>
      </c>
      <c r="E354" s="5">
        <f>MATCH(D354,'Route Data'!$C$7:$C$8,1)</f>
        <v>2</v>
      </c>
      <c r="F354" s="5">
        <f>INDEX('Route Data'!$D$7:$D$8,E354)</f>
        <v>1</v>
      </c>
      <c r="G354" s="5" t="str">
        <f>INDEX('Route Data'!$A$7:$A$8,E354)</f>
        <v>u18</v>
      </c>
      <c r="H354" s="5">
        <f>EnergyCoeff(INDEX('Route Data'!$K$7:$K$8,E354),INDEX('Route Data'!$L$7:$L$8,E354)*2*PI()/60,INDEX('Route Data'!$F$7:$F$8,E354))</f>
        <v>0.19430699130049439</v>
      </c>
      <c r="I354" s="5">
        <f>DischargeCoeff(INDEX('Route Data'!$I$7:$I$8,E354), INDEX('Route Data'!$L$7:$L$8,E354)*2*PI()/60, INDEX('Route Data'!$F$7:$F$8,E354))</f>
        <v>0.15939200179827354</v>
      </c>
      <c r="J354" s="8">
        <f>FlowAngleRel(INDEX('Route Data'!$J$7:$J$8,E354)*INDEX('Route Data'!$I$7:$I$8,E354), INDEX('Route Data'!$L$7:$L$8,E354)*2*PI()/60, INDEX('Route Data'!$F$7:$F$8,E354),INDEX('Route Data'!$O$7:$O$8,E354), INDEX('Route Data'!$P$7:$P$8,E354),INDEX('Route Data'!$M$7:$M$8,E354))</f>
        <v>1.130811765868994</v>
      </c>
      <c r="K354" s="8">
        <f>FlowAngleAbsT(INDEX('Route Data'!$K$7:$K$8,E354), INDEX('Route Data'!$I$7:$I$8,E354), INDEX('Route Data'!$I$7:$I$8,E354)*INDEX('Route Data'!$J$7:$J$8,E354), INDEX('Route Data'!$L$7:$L$8,E354)*2*PI()/60, INDEX('Route Data'!$F$7:$F$8,E354),INDEX('Route Data'!$O$7:$O$8,E354), INDEX('Route Data'!$P$7:$P$8,E354), INDEX('Route Data'!$H$7:$H$8,E354), INDEX('Route Data'!$Q$7:$Q$8,E354), INDEX('Route Data'!$M$7:$M$8,E354))</f>
        <v>0.51617226640175828</v>
      </c>
      <c r="L354" s="5">
        <f>INDEX('Route Data'!$N$7:$N$8,E354)</f>
        <v>0.4</v>
      </c>
      <c r="M354" s="8">
        <v>0.55821895599365234</v>
      </c>
      <c r="N354" s="8">
        <f>ProbStrikeFrancis(K354, I354, L354, INDEX('Route Data'!$G$7:$G$8,E354),C354, INDEX('Route Data'!$F$7:$F$8,E354), INDEX('Route Data'!$O$7:$O$8,E354), INDEX('Route Data'!$H$7:$H$18,E354))</f>
        <v>1</v>
      </c>
      <c r="O354" s="5" t="str">
        <f>IF(F354&gt;=1,IF(M354&lt;=N354,"STRIKE","pass"),IF(M354&lt;=INDEX('Route Data'!$R$7:$R$8,E354),"NO PASS","pass"))</f>
        <v>STRIKE</v>
      </c>
      <c r="P354" s="5">
        <f>IF(F354&gt;=1,IF(M354&lt;=N354,1,0),IF(M354&lt;=INDEX('Route Data'!$R$7:$R$8,E354),-1,0))</f>
        <v>1</v>
      </c>
    </row>
    <row r="355" spans="1:16">
      <c r="A355" s="5">
        <v>345</v>
      </c>
      <c r="B355" s="12">
        <v>23.98</v>
      </c>
      <c r="C355" s="12">
        <f t="shared" si="5"/>
        <v>2</v>
      </c>
      <c r="D355" s="8">
        <v>0.70265835523605347</v>
      </c>
      <c r="E355" s="5">
        <f>MATCH(D355,'Route Data'!$C$7:$C$8,1)</f>
        <v>2</v>
      </c>
      <c r="F355" s="5">
        <f>INDEX('Route Data'!$D$7:$D$8,E355)</f>
        <v>1</v>
      </c>
      <c r="G355" s="5" t="str">
        <f>INDEX('Route Data'!$A$7:$A$8,E355)</f>
        <v>u18</v>
      </c>
      <c r="H355" s="5">
        <f>EnergyCoeff(INDEX('Route Data'!$K$7:$K$8,E355),INDEX('Route Data'!$L$7:$L$8,E355)*2*PI()/60,INDEX('Route Data'!$F$7:$F$8,E355))</f>
        <v>0.19430699130049439</v>
      </c>
      <c r="I355" s="5">
        <f>DischargeCoeff(INDEX('Route Data'!$I$7:$I$8,E355), INDEX('Route Data'!$L$7:$L$8,E355)*2*PI()/60, INDEX('Route Data'!$F$7:$F$8,E355))</f>
        <v>0.15939200179827354</v>
      </c>
      <c r="J355" s="8">
        <f>FlowAngleRel(INDEX('Route Data'!$J$7:$J$8,E355)*INDEX('Route Data'!$I$7:$I$8,E355), INDEX('Route Data'!$L$7:$L$8,E355)*2*PI()/60, INDEX('Route Data'!$F$7:$F$8,E355),INDEX('Route Data'!$O$7:$O$8,E355), INDEX('Route Data'!$P$7:$P$8,E355),INDEX('Route Data'!$M$7:$M$8,E355))</f>
        <v>1.130811765868994</v>
      </c>
      <c r="K355" s="8">
        <f>FlowAngleAbsT(INDEX('Route Data'!$K$7:$K$8,E355), INDEX('Route Data'!$I$7:$I$8,E355), INDEX('Route Data'!$I$7:$I$8,E355)*INDEX('Route Data'!$J$7:$J$8,E355), INDEX('Route Data'!$L$7:$L$8,E355)*2*PI()/60, INDEX('Route Data'!$F$7:$F$8,E355),INDEX('Route Data'!$O$7:$O$8,E355), INDEX('Route Data'!$P$7:$P$8,E355), INDEX('Route Data'!$H$7:$H$8,E355), INDEX('Route Data'!$Q$7:$Q$8,E355), INDEX('Route Data'!$M$7:$M$8,E355))</f>
        <v>0.51617226640175828</v>
      </c>
      <c r="L355" s="5">
        <f>INDEX('Route Data'!$N$7:$N$8,E355)</f>
        <v>0.4</v>
      </c>
      <c r="M355" s="8">
        <v>0.56890028715133667</v>
      </c>
      <c r="N355" s="8">
        <f>ProbStrikeFrancis(K355, I355, L355, INDEX('Route Data'!$G$7:$G$8,E355),C355, INDEX('Route Data'!$F$7:$F$8,E355), INDEX('Route Data'!$O$7:$O$8,E355), INDEX('Route Data'!$H$7:$H$18,E355))</f>
        <v>1</v>
      </c>
      <c r="O355" s="5" t="str">
        <f>IF(F355&gt;=1,IF(M355&lt;=N355,"STRIKE","pass"),IF(M355&lt;=INDEX('Route Data'!$R$7:$R$8,E355),"NO PASS","pass"))</f>
        <v>STRIKE</v>
      </c>
      <c r="P355" s="5">
        <f>IF(F355&gt;=1,IF(M355&lt;=N355,1,0),IF(M355&lt;=INDEX('Route Data'!$R$7:$R$8,E355),-1,0))</f>
        <v>1</v>
      </c>
    </row>
    <row r="356" spans="1:16">
      <c r="A356" s="5">
        <v>346</v>
      </c>
      <c r="B356" s="12">
        <v>28.7</v>
      </c>
      <c r="C356" s="12">
        <f t="shared" si="5"/>
        <v>2.39</v>
      </c>
      <c r="D356" s="8">
        <v>0.6960221529006958</v>
      </c>
      <c r="E356" s="5">
        <f>MATCH(D356,'Route Data'!$C$7:$C$8,1)</f>
        <v>2</v>
      </c>
      <c r="F356" s="5">
        <f>INDEX('Route Data'!$D$7:$D$8,E356)</f>
        <v>1</v>
      </c>
      <c r="G356" s="5" t="str">
        <f>INDEX('Route Data'!$A$7:$A$8,E356)</f>
        <v>u18</v>
      </c>
      <c r="H356" s="5">
        <f>EnergyCoeff(INDEX('Route Data'!$K$7:$K$8,E356),INDEX('Route Data'!$L$7:$L$8,E356)*2*PI()/60,INDEX('Route Data'!$F$7:$F$8,E356))</f>
        <v>0.19430699130049439</v>
      </c>
      <c r="I356" s="5">
        <f>DischargeCoeff(INDEX('Route Data'!$I$7:$I$8,E356), INDEX('Route Data'!$L$7:$L$8,E356)*2*PI()/60, INDEX('Route Data'!$F$7:$F$8,E356))</f>
        <v>0.15939200179827354</v>
      </c>
      <c r="J356" s="8">
        <f>FlowAngleRel(INDEX('Route Data'!$J$7:$J$8,E356)*INDEX('Route Data'!$I$7:$I$8,E356), INDEX('Route Data'!$L$7:$L$8,E356)*2*PI()/60, INDEX('Route Data'!$F$7:$F$8,E356),INDEX('Route Data'!$O$7:$O$8,E356), INDEX('Route Data'!$P$7:$P$8,E356),INDEX('Route Data'!$M$7:$M$8,E356))</f>
        <v>1.130811765868994</v>
      </c>
      <c r="K356" s="8">
        <f>FlowAngleAbsT(INDEX('Route Data'!$K$7:$K$8,E356), INDEX('Route Data'!$I$7:$I$8,E356), INDEX('Route Data'!$I$7:$I$8,E356)*INDEX('Route Data'!$J$7:$J$8,E356), INDEX('Route Data'!$L$7:$L$8,E356)*2*PI()/60, INDEX('Route Data'!$F$7:$F$8,E356),INDEX('Route Data'!$O$7:$O$8,E356), INDEX('Route Data'!$P$7:$P$8,E356), INDEX('Route Data'!$H$7:$H$8,E356), INDEX('Route Data'!$Q$7:$Q$8,E356), INDEX('Route Data'!$M$7:$M$8,E356))</f>
        <v>0.51617226640175828</v>
      </c>
      <c r="L356" s="5">
        <f>INDEX('Route Data'!$N$7:$N$8,E356)</f>
        <v>0.4</v>
      </c>
      <c r="M356" s="8">
        <v>0.53685629367828369</v>
      </c>
      <c r="N356" s="8">
        <f>ProbStrikeFrancis(K356, I356, L356, INDEX('Route Data'!$G$7:$G$8,E356),C356, INDEX('Route Data'!$F$7:$F$8,E356), INDEX('Route Data'!$O$7:$O$8,E356), INDEX('Route Data'!$H$7:$H$18,E356))</f>
        <v>1</v>
      </c>
      <c r="O356" s="5" t="str">
        <f>IF(F356&gt;=1,IF(M356&lt;=N356,"STRIKE","pass"),IF(M356&lt;=INDEX('Route Data'!$R$7:$R$8,E356),"NO PASS","pass"))</f>
        <v>STRIKE</v>
      </c>
      <c r="P356" s="5">
        <f>IF(F356&gt;=1,IF(M356&lt;=N356,1,0),IF(M356&lt;=INDEX('Route Data'!$R$7:$R$8,E356),-1,0))</f>
        <v>1</v>
      </c>
    </row>
    <row r="357" spans="1:16">
      <c r="A357" s="5">
        <v>347</v>
      </c>
      <c r="B357" s="12">
        <v>21.55</v>
      </c>
      <c r="C357" s="12">
        <f t="shared" si="5"/>
        <v>1.8</v>
      </c>
      <c r="D357" s="8">
        <v>0.4503515362739563</v>
      </c>
      <c r="E357" s="5">
        <f>MATCH(D357,'Route Data'!$C$7:$C$8,1)</f>
        <v>2</v>
      </c>
      <c r="F357" s="5">
        <f>INDEX('Route Data'!$D$7:$D$8,E357)</f>
        <v>1</v>
      </c>
      <c r="G357" s="5" t="str">
        <f>INDEX('Route Data'!$A$7:$A$8,E357)</f>
        <v>u18</v>
      </c>
      <c r="H357" s="5">
        <f>EnergyCoeff(INDEX('Route Data'!$K$7:$K$8,E357),INDEX('Route Data'!$L$7:$L$8,E357)*2*PI()/60,INDEX('Route Data'!$F$7:$F$8,E357))</f>
        <v>0.19430699130049439</v>
      </c>
      <c r="I357" s="5">
        <f>DischargeCoeff(INDEX('Route Data'!$I$7:$I$8,E357), INDEX('Route Data'!$L$7:$L$8,E357)*2*PI()/60, INDEX('Route Data'!$F$7:$F$8,E357))</f>
        <v>0.15939200179827354</v>
      </c>
      <c r="J357" s="8">
        <f>FlowAngleRel(INDEX('Route Data'!$J$7:$J$8,E357)*INDEX('Route Data'!$I$7:$I$8,E357), INDEX('Route Data'!$L$7:$L$8,E357)*2*PI()/60, INDEX('Route Data'!$F$7:$F$8,E357),INDEX('Route Data'!$O$7:$O$8,E357), INDEX('Route Data'!$P$7:$P$8,E357),INDEX('Route Data'!$M$7:$M$8,E357))</f>
        <v>1.130811765868994</v>
      </c>
      <c r="K357" s="8">
        <f>FlowAngleAbsT(INDEX('Route Data'!$K$7:$K$8,E357), INDEX('Route Data'!$I$7:$I$8,E357), INDEX('Route Data'!$I$7:$I$8,E357)*INDEX('Route Data'!$J$7:$J$8,E357), INDEX('Route Data'!$L$7:$L$8,E357)*2*PI()/60, INDEX('Route Data'!$F$7:$F$8,E357),INDEX('Route Data'!$O$7:$O$8,E357), INDEX('Route Data'!$P$7:$P$8,E357), INDEX('Route Data'!$H$7:$H$8,E357), INDEX('Route Data'!$Q$7:$Q$8,E357), INDEX('Route Data'!$M$7:$M$8,E357))</f>
        <v>0.51617226640175828</v>
      </c>
      <c r="L357" s="5">
        <f>INDEX('Route Data'!$N$7:$N$8,E357)</f>
        <v>0.4</v>
      </c>
      <c r="M357" s="8">
        <v>0.63298827409744263</v>
      </c>
      <c r="N357" s="8">
        <f>ProbStrikeFrancis(K357, I357, L357, INDEX('Route Data'!$G$7:$G$8,E357),C357, INDEX('Route Data'!$F$7:$F$8,E357), INDEX('Route Data'!$O$7:$O$8,E357), INDEX('Route Data'!$H$7:$H$18,E357))</f>
        <v>1</v>
      </c>
      <c r="O357" s="5" t="str">
        <f>IF(F357&gt;=1,IF(M357&lt;=N357,"STRIKE","pass"),IF(M357&lt;=INDEX('Route Data'!$R$7:$R$8,E357),"NO PASS","pass"))</f>
        <v>STRIKE</v>
      </c>
      <c r="P357" s="5">
        <f>IF(F357&gt;=1,IF(M357&lt;=N357,1,0),IF(M357&lt;=INDEX('Route Data'!$R$7:$R$8,E357),-1,0))</f>
        <v>1</v>
      </c>
    </row>
    <row r="358" spans="1:16">
      <c r="A358" s="5">
        <v>348</v>
      </c>
      <c r="B358" s="12">
        <v>21.77</v>
      </c>
      <c r="C358" s="12">
        <f t="shared" si="5"/>
        <v>1.81</v>
      </c>
      <c r="D358" s="8">
        <v>0.1873633861541748</v>
      </c>
      <c r="E358" s="5">
        <f>MATCH(D358,'Route Data'!$C$7:$C$8,1)</f>
        <v>2</v>
      </c>
      <c r="F358" s="5">
        <f>INDEX('Route Data'!$D$7:$D$8,E358)</f>
        <v>1</v>
      </c>
      <c r="G358" s="5" t="str">
        <f>INDEX('Route Data'!$A$7:$A$8,E358)</f>
        <v>u18</v>
      </c>
      <c r="H358" s="5">
        <f>EnergyCoeff(INDEX('Route Data'!$K$7:$K$8,E358),INDEX('Route Data'!$L$7:$L$8,E358)*2*PI()/60,INDEX('Route Data'!$F$7:$F$8,E358))</f>
        <v>0.19430699130049439</v>
      </c>
      <c r="I358" s="5">
        <f>DischargeCoeff(INDEX('Route Data'!$I$7:$I$8,E358), INDEX('Route Data'!$L$7:$L$8,E358)*2*PI()/60, INDEX('Route Data'!$F$7:$F$8,E358))</f>
        <v>0.15939200179827354</v>
      </c>
      <c r="J358" s="8">
        <f>FlowAngleRel(INDEX('Route Data'!$J$7:$J$8,E358)*INDEX('Route Data'!$I$7:$I$8,E358), INDEX('Route Data'!$L$7:$L$8,E358)*2*PI()/60, INDEX('Route Data'!$F$7:$F$8,E358),INDEX('Route Data'!$O$7:$O$8,E358), INDEX('Route Data'!$P$7:$P$8,E358),INDEX('Route Data'!$M$7:$M$8,E358))</f>
        <v>1.130811765868994</v>
      </c>
      <c r="K358" s="8">
        <f>FlowAngleAbsT(INDEX('Route Data'!$K$7:$K$8,E358), INDEX('Route Data'!$I$7:$I$8,E358), INDEX('Route Data'!$I$7:$I$8,E358)*INDEX('Route Data'!$J$7:$J$8,E358), INDEX('Route Data'!$L$7:$L$8,E358)*2*PI()/60, INDEX('Route Data'!$F$7:$F$8,E358),INDEX('Route Data'!$O$7:$O$8,E358), INDEX('Route Data'!$P$7:$P$8,E358), INDEX('Route Data'!$H$7:$H$8,E358), INDEX('Route Data'!$Q$7:$Q$8,E358), INDEX('Route Data'!$M$7:$M$8,E358))</f>
        <v>0.51617226640175828</v>
      </c>
      <c r="L358" s="5">
        <f>INDEX('Route Data'!$N$7:$N$8,E358)</f>
        <v>0.4</v>
      </c>
      <c r="M358" s="8">
        <v>0.34459233283996582</v>
      </c>
      <c r="N358" s="8">
        <f>ProbStrikeFrancis(K358, I358, L358, INDEX('Route Data'!$G$7:$G$8,E358),C358, INDEX('Route Data'!$F$7:$F$8,E358), INDEX('Route Data'!$O$7:$O$8,E358), INDEX('Route Data'!$H$7:$H$18,E358))</f>
        <v>1</v>
      </c>
      <c r="O358" s="5" t="str">
        <f>IF(F358&gt;=1,IF(M358&lt;=N358,"STRIKE","pass"),IF(M358&lt;=INDEX('Route Data'!$R$7:$R$8,E358),"NO PASS","pass"))</f>
        <v>STRIKE</v>
      </c>
      <c r="P358" s="5">
        <f>IF(F358&gt;=1,IF(M358&lt;=N358,1,0),IF(M358&lt;=INDEX('Route Data'!$R$7:$R$8,E358),-1,0))</f>
        <v>1</v>
      </c>
    </row>
    <row r="359" spans="1:16">
      <c r="A359" s="5">
        <v>349</v>
      </c>
      <c r="B359" s="12">
        <v>23.19</v>
      </c>
      <c r="C359" s="12">
        <f t="shared" si="5"/>
        <v>1.93</v>
      </c>
      <c r="D359" s="8">
        <v>0.71074861288070679</v>
      </c>
      <c r="E359" s="5">
        <f>MATCH(D359,'Route Data'!$C$7:$C$8,1)</f>
        <v>2</v>
      </c>
      <c r="F359" s="5">
        <f>INDEX('Route Data'!$D$7:$D$8,E359)</f>
        <v>1</v>
      </c>
      <c r="G359" s="5" t="str">
        <f>INDEX('Route Data'!$A$7:$A$8,E359)</f>
        <v>u18</v>
      </c>
      <c r="H359" s="5">
        <f>EnergyCoeff(INDEX('Route Data'!$K$7:$K$8,E359),INDEX('Route Data'!$L$7:$L$8,E359)*2*PI()/60,INDEX('Route Data'!$F$7:$F$8,E359))</f>
        <v>0.19430699130049439</v>
      </c>
      <c r="I359" s="5">
        <f>DischargeCoeff(INDEX('Route Data'!$I$7:$I$8,E359), INDEX('Route Data'!$L$7:$L$8,E359)*2*PI()/60, INDEX('Route Data'!$F$7:$F$8,E359))</f>
        <v>0.15939200179827354</v>
      </c>
      <c r="J359" s="8">
        <f>FlowAngleRel(INDEX('Route Data'!$J$7:$J$8,E359)*INDEX('Route Data'!$I$7:$I$8,E359), INDEX('Route Data'!$L$7:$L$8,E359)*2*PI()/60, INDEX('Route Data'!$F$7:$F$8,E359),INDEX('Route Data'!$O$7:$O$8,E359), INDEX('Route Data'!$P$7:$P$8,E359),INDEX('Route Data'!$M$7:$M$8,E359))</f>
        <v>1.130811765868994</v>
      </c>
      <c r="K359" s="8">
        <f>FlowAngleAbsT(INDEX('Route Data'!$K$7:$K$8,E359), INDEX('Route Data'!$I$7:$I$8,E359), INDEX('Route Data'!$I$7:$I$8,E359)*INDEX('Route Data'!$J$7:$J$8,E359), INDEX('Route Data'!$L$7:$L$8,E359)*2*PI()/60, INDEX('Route Data'!$F$7:$F$8,E359),INDEX('Route Data'!$O$7:$O$8,E359), INDEX('Route Data'!$P$7:$P$8,E359), INDEX('Route Data'!$H$7:$H$8,E359), INDEX('Route Data'!$Q$7:$Q$8,E359), INDEX('Route Data'!$M$7:$M$8,E359))</f>
        <v>0.51617226640175828</v>
      </c>
      <c r="L359" s="5">
        <f>INDEX('Route Data'!$N$7:$N$8,E359)</f>
        <v>0.4</v>
      </c>
      <c r="M359" s="8">
        <v>0.20978015661239624</v>
      </c>
      <c r="N359" s="8">
        <f>ProbStrikeFrancis(K359, I359, L359, INDEX('Route Data'!$G$7:$G$8,E359),C359, INDEX('Route Data'!$F$7:$F$8,E359), INDEX('Route Data'!$O$7:$O$8,E359), INDEX('Route Data'!$H$7:$H$18,E359))</f>
        <v>1</v>
      </c>
      <c r="O359" s="5" t="str">
        <f>IF(F359&gt;=1,IF(M359&lt;=N359,"STRIKE","pass"),IF(M359&lt;=INDEX('Route Data'!$R$7:$R$8,E359),"NO PASS","pass"))</f>
        <v>STRIKE</v>
      </c>
      <c r="P359" s="5">
        <f>IF(F359&gt;=1,IF(M359&lt;=N359,1,0),IF(M359&lt;=INDEX('Route Data'!$R$7:$R$8,E359),-1,0))</f>
        <v>1</v>
      </c>
    </row>
    <row r="360" spans="1:16">
      <c r="A360" s="5">
        <v>350</v>
      </c>
      <c r="B360" s="12">
        <v>24.91</v>
      </c>
      <c r="C360" s="12">
        <f t="shared" si="5"/>
        <v>2.08</v>
      </c>
      <c r="D360" s="8">
        <v>0.14059293270111084</v>
      </c>
      <c r="E360" s="5">
        <f>MATCH(D360,'Route Data'!$C$7:$C$8,1)</f>
        <v>2</v>
      </c>
      <c r="F360" s="5">
        <f>INDEX('Route Data'!$D$7:$D$8,E360)</f>
        <v>1</v>
      </c>
      <c r="G360" s="5" t="str">
        <f>INDEX('Route Data'!$A$7:$A$8,E360)</f>
        <v>u18</v>
      </c>
      <c r="H360" s="5">
        <f>EnergyCoeff(INDEX('Route Data'!$K$7:$K$8,E360),INDEX('Route Data'!$L$7:$L$8,E360)*2*PI()/60,INDEX('Route Data'!$F$7:$F$8,E360))</f>
        <v>0.19430699130049439</v>
      </c>
      <c r="I360" s="5">
        <f>DischargeCoeff(INDEX('Route Data'!$I$7:$I$8,E360), INDEX('Route Data'!$L$7:$L$8,E360)*2*PI()/60, INDEX('Route Data'!$F$7:$F$8,E360))</f>
        <v>0.15939200179827354</v>
      </c>
      <c r="J360" s="8">
        <f>FlowAngleRel(INDEX('Route Data'!$J$7:$J$8,E360)*INDEX('Route Data'!$I$7:$I$8,E360), INDEX('Route Data'!$L$7:$L$8,E360)*2*PI()/60, INDEX('Route Data'!$F$7:$F$8,E360),INDEX('Route Data'!$O$7:$O$8,E360), INDEX('Route Data'!$P$7:$P$8,E360),INDEX('Route Data'!$M$7:$M$8,E360))</f>
        <v>1.130811765868994</v>
      </c>
      <c r="K360" s="8">
        <f>FlowAngleAbsT(INDEX('Route Data'!$K$7:$K$8,E360), INDEX('Route Data'!$I$7:$I$8,E360), INDEX('Route Data'!$I$7:$I$8,E360)*INDEX('Route Data'!$J$7:$J$8,E360), INDEX('Route Data'!$L$7:$L$8,E360)*2*PI()/60, INDEX('Route Data'!$F$7:$F$8,E360),INDEX('Route Data'!$O$7:$O$8,E360), INDEX('Route Data'!$P$7:$P$8,E360), INDEX('Route Data'!$H$7:$H$8,E360), INDEX('Route Data'!$Q$7:$Q$8,E360), INDEX('Route Data'!$M$7:$M$8,E360))</f>
        <v>0.51617226640175828</v>
      </c>
      <c r="L360" s="5">
        <f>INDEX('Route Data'!$N$7:$N$8,E360)</f>
        <v>0.4</v>
      </c>
      <c r="M360" s="8">
        <v>0.34863746166229248</v>
      </c>
      <c r="N360" s="8">
        <f>ProbStrikeFrancis(K360, I360, L360, INDEX('Route Data'!$G$7:$G$8,E360),C360, INDEX('Route Data'!$F$7:$F$8,E360), INDEX('Route Data'!$O$7:$O$8,E360), INDEX('Route Data'!$H$7:$H$18,E360))</f>
        <v>1</v>
      </c>
      <c r="O360" s="5" t="str">
        <f>IF(F360&gt;=1,IF(M360&lt;=N360,"STRIKE","pass"),IF(M360&lt;=INDEX('Route Data'!$R$7:$R$8,E360),"NO PASS","pass"))</f>
        <v>STRIKE</v>
      </c>
      <c r="P360" s="5">
        <f>IF(F360&gt;=1,IF(M360&lt;=N360,1,0),IF(M360&lt;=INDEX('Route Data'!$R$7:$R$8,E360),-1,0))</f>
        <v>1</v>
      </c>
    </row>
    <row r="361" spans="1:16">
      <c r="A361" s="5">
        <v>351</v>
      </c>
      <c r="B361" s="12">
        <v>23.94</v>
      </c>
      <c r="C361" s="12">
        <f t="shared" si="5"/>
        <v>2</v>
      </c>
      <c r="D361" s="8">
        <v>0.38221842050552368</v>
      </c>
      <c r="E361" s="5">
        <f>MATCH(D361,'Route Data'!$C$7:$C$8,1)</f>
        <v>2</v>
      </c>
      <c r="F361" s="5">
        <f>INDEX('Route Data'!$D$7:$D$8,E361)</f>
        <v>1</v>
      </c>
      <c r="G361" s="5" t="str">
        <f>INDEX('Route Data'!$A$7:$A$8,E361)</f>
        <v>u18</v>
      </c>
      <c r="H361" s="5">
        <f>EnergyCoeff(INDEX('Route Data'!$K$7:$K$8,E361),INDEX('Route Data'!$L$7:$L$8,E361)*2*PI()/60,INDEX('Route Data'!$F$7:$F$8,E361))</f>
        <v>0.19430699130049439</v>
      </c>
      <c r="I361" s="5">
        <f>DischargeCoeff(INDEX('Route Data'!$I$7:$I$8,E361), INDEX('Route Data'!$L$7:$L$8,E361)*2*PI()/60, INDEX('Route Data'!$F$7:$F$8,E361))</f>
        <v>0.15939200179827354</v>
      </c>
      <c r="J361" s="8">
        <f>FlowAngleRel(INDEX('Route Data'!$J$7:$J$8,E361)*INDEX('Route Data'!$I$7:$I$8,E361), INDEX('Route Data'!$L$7:$L$8,E361)*2*PI()/60, INDEX('Route Data'!$F$7:$F$8,E361),INDEX('Route Data'!$O$7:$O$8,E361), INDEX('Route Data'!$P$7:$P$8,E361),INDEX('Route Data'!$M$7:$M$8,E361))</f>
        <v>1.130811765868994</v>
      </c>
      <c r="K361" s="8">
        <f>FlowAngleAbsT(INDEX('Route Data'!$K$7:$K$8,E361), INDEX('Route Data'!$I$7:$I$8,E361), INDEX('Route Data'!$I$7:$I$8,E361)*INDEX('Route Data'!$J$7:$J$8,E361), INDEX('Route Data'!$L$7:$L$8,E361)*2*PI()/60, INDEX('Route Data'!$F$7:$F$8,E361),INDEX('Route Data'!$O$7:$O$8,E361), INDEX('Route Data'!$P$7:$P$8,E361), INDEX('Route Data'!$H$7:$H$8,E361), INDEX('Route Data'!$Q$7:$Q$8,E361), INDEX('Route Data'!$M$7:$M$8,E361))</f>
        <v>0.51617226640175828</v>
      </c>
      <c r="L361" s="5">
        <f>INDEX('Route Data'!$N$7:$N$8,E361)</f>
        <v>0.4</v>
      </c>
      <c r="M361" s="8">
        <v>0.93206554651260376</v>
      </c>
      <c r="N361" s="8">
        <f>ProbStrikeFrancis(K361, I361, L361, INDEX('Route Data'!$G$7:$G$8,E361),C361, INDEX('Route Data'!$F$7:$F$8,E361), INDEX('Route Data'!$O$7:$O$8,E361), INDEX('Route Data'!$H$7:$H$18,E361))</f>
        <v>1</v>
      </c>
      <c r="O361" s="5" t="str">
        <f>IF(F361&gt;=1,IF(M361&lt;=N361,"STRIKE","pass"),IF(M361&lt;=INDEX('Route Data'!$R$7:$R$8,E361),"NO PASS","pass"))</f>
        <v>STRIKE</v>
      </c>
      <c r="P361" s="5">
        <f>IF(F361&gt;=1,IF(M361&lt;=N361,1,0),IF(M361&lt;=INDEX('Route Data'!$R$7:$R$8,E361),-1,0))</f>
        <v>1</v>
      </c>
    </row>
    <row r="362" spans="1:16">
      <c r="A362" s="5">
        <v>352</v>
      </c>
      <c r="B362" s="12">
        <v>20.37</v>
      </c>
      <c r="C362" s="12">
        <f t="shared" si="5"/>
        <v>1.7</v>
      </c>
      <c r="D362" s="8">
        <v>0.65734195709228516</v>
      </c>
      <c r="E362" s="5">
        <f>MATCH(D362,'Route Data'!$C$7:$C$8,1)</f>
        <v>2</v>
      </c>
      <c r="F362" s="5">
        <f>INDEX('Route Data'!$D$7:$D$8,E362)</f>
        <v>1</v>
      </c>
      <c r="G362" s="5" t="str">
        <f>INDEX('Route Data'!$A$7:$A$8,E362)</f>
        <v>u18</v>
      </c>
      <c r="H362" s="5">
        <f>EnergyCoeff(INDEX('Route Data'!$K$7:$K$8,E362),INDEX('Route Data'!$L$7:$L$8,E362)*2*PI()/60,INDEX('Route Data'!$F$7:$F$8,E362))</f>
        <v>0.19430699130049439</v>
      </c>
      <c r="I362" s="5">
        <f>DischargeCoeff(INDEX('Route Data'!$I$7:$I$8,E362), INDEX('Route Data'!$L$7:$L$8,E362)*2*PI()/60, INDEX('Route Data'!$F$7:$F$8,E362))</f>
        <v>0.15939200179827354</v>
      </c>
      <c r="J362" s="8">
        <f>FlowAngleRel(INDEX('Route Data'!$J$7:$J$8,E362)*INDEX('Route Data'!$I$7:$I$8,E362), INDEX('Route Data'!$L$7:$L$8,E362)*2*PI()/60, INDEX('Route Data'!$F$7:$F$8,E362),INDEX('Route Data'!$O$7:$O$8,E362), INDEX('Route Data'!$P$7:$P$8,E362),INDEX('Route Data'!$M$7:$M$8,E362))</f>
        <v>1.130811765868994</v>
      </c>
      <c r="K362" s="8">
        <f>FlowAngleAbsT(INDEX('Route Data'!$K$7:$K$8,E362), INDEX('Route Data'!$I$7:$I$8,E362), INDEX('Route Data'!$I$7:$I$8,E362)*INDEX('Route Data'!$J$7:$J$8,E362), INDEX('Route Data'!$L$7:$L$8,E362)*2*PI()/60, INDEX('Route Data'!$F$7:$F$8,E362),INDEX('Route Data'!$O$7:$O$8,E362), INDEX('Route Data'!$P$7:$P$8,E362), INDEX('Route Data'!$H$7:$H$8,E362), INDEX('Route Data'!$Q$7:$Q$8,E362), INDEX('Route Data'!$M$7:$M$8,E362))</f>
        <v>0.51617226640175828</v>
      </c>
      <c r="L362" s="5">
        <f>INDEX('Route Data'!$N$7:$N$8,E362)</f>
        <v>0.4</v>
      </c>
      <c r="M362" s="8">
        <v>0.44736051559448242</v>
      </c>
      <c r="N362" s="8">
        <f>ProbStrikeFrancis(K362, I362, L362, INDEX('Route Data'!$G$7:$G$8,E362),C362, INDEX('Route Data'!$F$7:$F$8,E362), INDEX('Route Data'!$O$7:$O$8,E362), INDEX('Route Data'!$H$7:$H$18,E362))</f>
        <v>1</v>
      </c>
      <c r="O362" s="5" t="str">
        <f>IF(F362&gt;=1,IF(M362&lt;=N362,"STRIKE","pass"),IF(M362&lt;=INDEX('Route Data'!$R$7:$R$8,E362),"NO PASS","pass"))</f>
        <v>STRIKE</v>
      </c>
      <c r="P362" s="5">
        <f>IF(F362&gt;=1,IF(M362&lt;=N362,1,0),IF(M362&lt;=INDEX('Route Data'!$R$7:$R$8,E362),-1,0))</f>
        <v>1</v>
      </c>
    </row>
    <row r="363" spans="1:16">
      <c r="A363" s="5">
        <v>353</v>
      </c>
      <c r="B363" s="12">
        <v>22.85</v>
      </c>
      <c r="C363" s="12">
        <f t="shared" si="5"/>
        <v>1.9</v>
      </c>
      <c r="D363" s="8">
        <v>0.30081290006637573</v>
      </c>
      <c r="E363" s="5">
        <f>MATCH(D363,'Route Data'!$C$7:$C$8,1)</f>
        <v>2</v>
      </c>
      <c r="F363" s="5">
        <f>INDEX('Route Data'!$D$7:$D$8,E363)</f>
        <v>1</v>
      </c>
      <c r="G363" s="5" t="str">
        <f>INDEX('Route Data'!$A$7:$A$8,E363)</f>
        <v>u18</v>
      </c>
      <c r="H363" s="5">
        <f>EnergyCoeff(INDEX('Route Data'!$K$7:$K$8,E363),INDEX('Route Data'!$L$7:$L$8,E363)*2*PI()/60,INDEX('Route Data'!$F$7:$F$8,E363))</f>
        <v>0.19430699130049439</v>
      </c>
      <c r="I363" s="5">
        <f>DischargeCoeff(INDEX('Route Data'!$I$7:$I$8,E363), INDEX('Route Data'!$L$7:$L$8,E363)*2*PI()/60, INDEX('Route Data'!$F$7:$F$8,E363))</f>
        <v>0.15939200179827354</v>
      </c>
      <c r="J363" s="8">
        <f>FlowAngleRel(INDEX('Route Data'!$J$7:$J$8,E363)*INDEX('Route Data'!$I$7:$I$8,E363), INDEX('Route Data'!$L$7:$L$8,E363)*2*PI()/60, INDEX('Route Data'!$F$7:$F$8,E363),INDEX('Route Data'!$O$7:$O$8,E363), INDEX('Route Data'!$P$7:$P$8,E363),INDEX('Route Data'!$M$7:$M$8,E363))</f>
        <v>1.130811765868994</v>
      </c>
      <c r="K363" s="8">
        <f>FlowAngleAbsT(INDEX('Route Data'!$K$7:$K$8,E363), INDEX('Route Data'!$I$7:$I$8,E363), INDEX('Route Data'!$I$7:$I$8,E363)*INDEX('Route Data'!$J$7:$J$8,E363), INDEX('Route Data'!$L$7:$L$8,E363)*2*PI()/60, INDEX('Route Data'!$F$7:$F$8,E363),INDEX('Route Data'!$O$7:$O$8,E363), INDEX('Route Data'!$P$7:$P$8,E363), INDEX('Route Data'!$H$7:$H$8,E363), INDEX('Route Data'!$Q$7:$Q$8,E363), INDEX('Route Data'!$M$7:$M$8,E363))</f>
        <v>0.51617226640175828</v>
      </c>
      <c r="L363" s="5">
        <f>INDEX('Route Data'!$N$7:$N$8,E363)</f>
        <v>0.4</v>
      </c>
      <c r="M363" s="8">
        <v>0.16705483198165894</v>
      </c>
      <c r="N363" s="8">
        <f>ProbStrikeFrancis(K363, I363, L363, INDEX('Route Data'!$G$7:$G$8,E363),C363, INDEX('Route Data'!$F$7:$F$8,E363), INDEX('Route Data'!$O$7:$O$8,E363), INDEX('Route Data'!$H$7:$H$18,E363))</f>
        <v>1</v>
      </c>
      <c r="O363" s="5" t="str">
        <f>IF(F363&gt;=1,IF(M363&lt;=N363,"STRIKE","pass"),IF(M363&lt;=INDEX('Route Data'!$R$7:$R$8,E363),"NO PASS","pass"))</f>
        <v>STRIKE</v>
      </c>
      <c r="P363" s="5">
        <f>IF(F363&gt;=1,IF(M363&lt;=N363,1,0),IF(M363&lt;=INDEX('Route Data'!$R$7:$R$8,E363),-1,0))</f>
        <v>1</v>
      </c>
    </row>
    <row r="364" spans="1:16">
      <c r="A364" s="5">
        <v>354</v>
      </c>
      <c r="B364" s="12">
        <v>26.73</v>
      </c>
      <c r="C364" s="12">
        <f t="shared" si="5"/>
        <v>2.23</v>
      </c>
      <c r="D364" s="8">
        <v>0.6359792947769165</v>
      </c>
      <c r="E364" s="5">
        <f>MATCH(D364,'Route Data'!$C$7:$C$8,1)</f>
        <v>2</v>
      </c>
      <c r="F364" s="5">
        <f>INDEX('Route Data'!$D$7:$D$8,E364)</f>
        <v>1</v>
      </c>
      <c r="G364" s="5" t="str">
        <f>INDEX('Route Data'!$A$7:$A$8,E364)</f>
        <v>u18</v>
      </c>
      <c r="H364" s="5">
        <f>EnergyCoeff(INDEX('Route Data'!$K$7:$K$8,E364),INDEX('Route Data'!$L$7:$L$8,E364)*2*PI()/60,INDEX('Route Data'!$F$7:$F$8,E364))</f>
        <v>0.19430699130049439</v>
      </c>
      <c r="I364" s="5">
        <f>DischargeCoeff(INDEX('Route Data'!$I$7:$I$8,E364), INDEX('Route Data'!$L$7:$L$8,E364)*2*PI()/60, INDEX('Route Data'!$F$7:$F$8,E364))</f>
        <v>0.15939200179827354</v>
      </c>
      <c r="J364" s="8">
        <f>FlowAngleRel(INDEX('Route Data'!$J$7:$J$8,E364)*INDEX('Route Data'!$I$7:$I$8,E364), INDEX('Route Data'!$L$7:$L$8,E364)*2*PI()/60, INDEX('Route Data'!$F$7:$F$8,E364),INDEX('Route Data'!$O$7:$O$8,E364), INDEX('Route Data'!$P$7:$P$8,E364),INDEX('Route Data'!$M$7:$M$8,E364))</f>
        <v>1.130811765868994</v>
      </c>
      <c r="K364" s="8">
        <f>FlowAngleAbsT(INDEX('Route Data'!$K$7:$K$8,E364), INDEX('Route Data'!$I$7:$I$8,E364), INDEX('Route Data'!$I$7:$I$8,E364)*INDEX('Route Data'!$J$7:$J$8,E364), INDEX('Route Data'!$L$7:$L$8,E364)*2*PI()/60, INDEX('Route Data'!$F$7:$F$8,E364),INDEX('Route Data'!$O$7:$O$8,E364), INDEX('Route Data'!$P$7:$P$8,E364), INDEX('Route Data'!$H$7:$H$8,E364), INDEX('Route Data'!$Q$7:$Q$8,E364), INDEX('Route Data'!$M$7:$M$8,E364))</f>
        <v>0.51617226640175828</v>
      </c>
      <c r="L364" s="5">
        <f>INDEX('Route Data'!$N$7:$N$8,E364)</f>
        <v>0.4</v>
      </c>
      <c r="M364" s="8">
        <v>0.47681343555450439</v>
      </c>
      <c r="N364" s="8">
        <f>ProbStrikeFrancis(K364, I364, L364, INDEX('Route Data'!$G$7:$G$8,E364),C364, INDEX('Route Data'!$F$7:$F$8,E364), INDEX('Route Data'!$O$7:$O$8,E364), INDEX('Route Data'!$H$7:$H$18,E364))</f>
        <v>1</v>
      </c>
      <c r="O364" s="5" t="str">
        <f>IF(F364&gt;=1,IF(M364&lt;=N364,"STRIKE","pass"),IF(M364&lt;=INDEX('Route Data'!$R$7:$R$8,E364),"NO PASS","pass"))</f>
        <v>STRIKE</v>
      </c>
      <c r="P364" s="5">
        <f>IF(F364&gt;=1,IF(M364&lt;=N364,1,0),IF(M364&lt;=INDEX('Route Data'!$R$7:$R$8,E364),-1,0))</f>
        <v>1</v>
      </c>
    </row>
    <row r="365" spans="1:16">
      <c r="A365" s="5">
        <v>355</v>
      </c>
      <c r="B365" s="12">
        <v>20.83</v>
      </c>
      <c r="C365" s="12">
        <f t="shared" si="5"/>
        <v>1.74</v>
      </c>
      <c r="D365" s="8">
        <v>0.36490088701248169</v>
      </c>
      <c r="E365" s="5">
        <f>MATCH(D365,'Route Data'!$C$7:$C$8,1)</f>
        <v>2</v>
      </c>
      <c r="F365" s="5">
        <f>INDEX('Route Data'!$D$7:$D$8,E365)</f>
        <v>1</v>
      </c>
      <c r="G365" s="5" t="str">
        <f>INDEX('Route Data'!$A$7:$A$8,E365)</f>
        <v>u18</v>
      </c>
      <c r="H365" s="5">
        <f>EnergyCoeff(INDEX('Route Data'!$K$7:$K$8,E365),INDEX('Route Data'!$L$7:$L$8,E365)*2*PI()/60,INDEX('Route Data'!$F$7:$F$8,E365))</f>
        <v>0.19430699130049439</v>
      </c>
      <c r="I365" s="5">
        <f>DischargeCoeff(INDEX('Route Data'!$I$7:$I$8,E365), INDEX('Route Data'!$L$7:$L$8,E365)*2*PI()/60, INDEX('Route Data'!$F$7:$F$8,E365))</f>
        <v>0.15939200179827354</v>
      </c>
      <c r="J365" s="8">
        <f>FlowAngleRel(INDEX('Route Data'!$J$7:$J$8,E365)*INDEX('Route Data'!$I$7:$I$8,E365), INDEX('Route Data'!$L$7:$L$8,E365)*2*PI()/60, INDEX('Route Data'!$F$7:$F$8,E365),INDEX('Route Data'!$O$7:$O$8,E365), INDEX('Route Data'!$P$7:$P$8,E365),INDEX('Route Data'!$M$7:$M$8,E365))</f>
        <v>1.130811765868994</v>
      </c>
      <c r="K365" s="8">
        <f>FlowAngleAbsT(INDEX('Route Data'!$K$7:$K$8,E365), INDEX('Route Data'!$I$7:$I$8,E365), INDEX('Route Data'!$I$7:$I$8,E365)*INDEX('Route Data'!$J$7:$J$8,E365), INDEX('Route Data'!$L$7:$L$8,E365)*2*PI()/60, INDEX('Route Data'!$F$7:$F$8,E365),INDEX('Route Data'!$O$7:$O$8,E365), INDEX('Route Data'!$P$7:$P$8,E365), INDEX('Route Data'!$H$7:$H$8,E365), INDEX('Route Data'!$Q$7:$Q$8,E365), INDEX('Route Data'!$M$7:$M$8,E365))</f>
        <v>0.51617226640175828</v>
      </c>
      <c r="L365" s="5">
        <f>INDEX('Route Data'!$N$7:$N$8,E365)</f>
        <v>0.4</v>
      </c>
      <c r="M365" s="8">
        <v>0.54753762483596802</v>
      </c>
      <c r="N365" s="8">
        <f>ProbStrikeFrancis(K365, I365, L365, INDEX('Route Data'!$G$7:$G$8,E365),C365, INDEX('Route Data'!$F$7:$F$8,E365), INDEX('Route Data'!$O$7:$O$8,E365), INDEX('Route Data'!$H$7:$H$18,E365))</f>
        <v>1</v>
      </c>
      <c r="O365" s="5" t="str">
        <f>IF(F365&gt;=1,IF(M365&lt;=N365,"STRIKE","pass"),IF(M365&lt;=INDEX('Route Data'!$R$7:$R$8,E365),"NO PASS","pass"))</f>
        <v>STRIKE</v>
      </c>
      <c r="P365" s="5">
        <f>IF(F365&gt;=1,IF(M365&lt;=N365,1,0),IF(M365&lt;=INDEX('Route Data'!$R$7:$R$8,E365),-1,0))</f>
        <v>1</v>
      </c>
    </row>
    <row r="366" spans="1:16">
      <c r="A366" s="5">
        <v>356</v>
      </c>
      <c r="B366" s="12">
        <v>23.81</v>
      </c>
      <c r="C366" s="12">
        <f t="shared" si="5"/>
        <v>1.98</v>
      </c>
      <c r="D366" s="8">
        <v>0.44371533393859863</v>
      </c>
      <c r="E366" s="5">
        <f>MATCH(D366,'Route Data'!$C$7:$C$8,1)</f>
        <v>2</v>
      </c>
      <c r="F366" s="5">
        <f>INDEX('Route Data'!$D$7:$D$8,E366)</f>
        <v>1</v>
      </c>
      <c r="G366" s="5" t="str">
        <f>INDEX('Route Data'!$A$7:$A$8,E366)</f>
        <v>u18</v>
      </c>
      <c r="H366" s="5">
        <f>EnergyCoeff(INDEX('Route Data'!$K$7:$K$8,E366),INDEX('Route Data'!$L$7:$L$8,E366)*2*PI()/60,INDEX('Route Data'!$F$7:$F$8,E366))</f>
        <v>0.19430699130049439</v>
      </c>
      <c r="I366" s="5">
        <f>DischargeCoeff(INDEX('Route Data'!$I$7:$I$8,E366), INDEX('Route Data'!$L$7:$L$8,E366)*2*PI()/60, INDEX('Route Data'!$F$7:$F$8,E366))</f>
        <v>0.15939200179827354</v>
      </c>
      <c r="J366" s="8">
        <f>FlowAngleRel(INDEX('Route Data'!$J$7:$J$8,E366)*INDEX('Route Data'!$I$7:$I$8,E366), INDEX('Route Data'!$L$7:$L$8,E366)*2*PI()/60, INDEX('Route Data'!$F$7:$F$8,E366),INDEX('Route Data'!$O$7:$O$8,E366), INDEX('Route Data'!$P$7:$P$8,E366),INDEX('Route Data'!$M$7:$M$8,E366))</f>
        <v>1.130811765868994</v>
      </c>
      <c r="K366" s="8">
        <f>FlowAngleAbsT(INDEX('Route Data'!$K$7:$K$8,E366), INDEX('Route Data'!$I$7:$I$8,E366), INDEX('Route Data'!$I$7:$I$8,E366)*INDEX('Route Data'!$J$7:$J$8,E366), INDEX('Route Data'!$L$7:$L$8,E366)*2*PI()/60, INDEX('Route Data'!$F$7:$F$8,E366),INDEX('Route Data'!$O$7:$O$8,E366), INDEX('Route Data'!$P$7:$P$8,E366), INDEX('Route Data'!$H$7:$H$8,E366), INDEX('Route Data'!$Q$7:$Q$8,E366), INDEX('Route Data'!$M$7:$M$8,E366))</f>
        <v>0.51617226640175828</v>
      </c>
      <c r="L366" s="5">
        <f>INDEX('Route Data'!$N$7:$N$8,E366)</f>
        <v>0.4</v>
      </c>
      <c r="M366" s="8">
        <v>0.60094428062438965</v>
      </c>
      <c r="N366" s="8">
        <f>ProbStrikeFrancis(K366, I366, L366, INDEX('Route Data'!$G$7:$G$8,E366),C366, INDEX('Route Data'!$F$7:$F$8,E366), INDEX('Route Data'!$O$7:$O$8,E366), INDEX('Route Data'!$H$7:$H$18,E366))</f>
        <v>1</v>
      </c>
      <c r="O366" s="5" t="str">
        <f>IF(F366&gt;=1,IF(M366&lt;=N366,"STRIKE","pass"),IF(M366&lt;=INDEX('Route Data'!$R$7:$R$8,E366),"NO PASS","pass"))</f>
        <v>STRIKE</v>
      </c>
      <c r="P366" s="5">
        <f>IF(F366&gt;=1,IF(M366&lt;=N366,1,0),IF(M366&lt;=INDEX('Route Data'!$R$7:$R$8,E366),-1,0))</f>
        <v>1</v>
      </c>
    </row>
    <row r="367" spans="1:16">
      <c r="A367" s="5">
        <v>357</v>
      </c>
      <c r="B367" s="12">
        <v>22.92</v>
      </c>
      <c r="C367" s="12">
        <f t="shared" si="5"/>
        <v>1.91</v>
      </c>
      <c r="D367" s="8">
        <v>0.9416927695274353</v>
      </c>
      <c r="E367" s="5">
        <f>MATCH(D367,'Route Data'!$C$7:$C$8,1)</f>
        <v>2</v>
      </c>
      <c r="F367" s="5">
        <f>INDEX('Route Data'!$D$7:$D$8,E367)</f>
        <v>1</v>
      </c>
      <c r="G367" s="5" t="str">
        <f>INDEX('Route Data'!$A$7:$A$8,E367)</f>
        <v>u18</v>
      </c>
      <c r="H367" s="5">
        <f>EnergyCoeff(INDEX('Route Data'!$K$7:$K$8,E367),INDEX('Route Data'!$L$7:$L$8,E367)*2*PI()/60,INDEX('Route Data'!$F$7:$F$8,E367))</f>
        <v>0.19430699130049439</v>
      </c>
      <c r="I367" s="5">
        <f>DischargeCoeff(INDEX('Route Data'!$I$7:$I$8,E367), INDEX('Route Data'!$L$7:$L$8,E367)*2*PI()/60, INDEX('Route Data'!$F$7:$F$8,E367))</f>
        <v>0.15939200179827354</v>
      </c>
      <c r="J367" s="8">
        <f>FlowAngleRel(INDEX('Route Data'!$J$7:$J$8,E367)*INDEX('Route Data'!$I$7:$I$8,E367), INDEX('Route Data'!$L$7:$L$8,E367)*2*PI()/60, INDEX('Route Data'!$F$7:$F$8,E367),INDEX('Route Data'!$O$7:$O$8,E367), INDEX('Route Data'!$P$7:$P$8,E367),INDEX('Route Data'!$M$7:$M$8,E367))</f>
        <v>1.130811765868994</v>
      </c>
      <c r="K367" s="8">
        <f>FlowAngleAbsT(INDEX('Route Data'!$K$7:$K$8,E367), INDEX('Route Data'!$I$7:$I$8,E367), INDEX('Route Data'!$I$7:$I$8,E367)*INDEX('Route Data'!$J$7:$J$8,E367), INDEX('Route Data'!$L$7:$L$8,E367)*2*PI()/60, INDEX('Route Data'!$F$7:$F$8,E367),INDEX('Route Data'!$O$7:$O$8,E367), INDEX('Route Data'!$P$7:$P$8,E367), INDEX('Route Data'!$H$7:$H$8,E367), INDEX('Route Data'!$Q$7:$Q$8,E367), INDEX('Route Data'!$M$7:$M$8,E367))</f>
        <v>0.51617226640175828</v>
      </c>
      <c r="L367" s="5">
        <f>INDEX('Route Data'!$N$7:$N$8,E367)</f>
        <v>0.4</v>
      </c>
      <c r="M367" s="8">
        <v>0.44072431325912476</v>
      </c>
      <c r="N367" s="8">
        <f>ProbStrikeFrancis(K367, I367, L367, INDEX('Route Data'!$G$7:$G$8,E367),C367, INDEX('Route Data'!$F$7:$F$8,E367), INDEX('Route Data'!$O$7:$O$8,E367), INDEX('Route Data'!$H$7:$H$18,E367))</f>
        <v>1</v>
      </c>
      <c r="O367" s="5" t="str">
        <f>IF(F367&gt;=1,IF(M367&lt;=N367,"STRIKE","pass"),IF(M367&lt;=INDEX('Route Data'!$R$7:$R$8,E367),"NO PASS","pass"))</f>
        <v>STRIKE</v>
      </c>
      <c r="P367" s="5">
        <f>IF(F367&gt;=1,IF(M367&lt;=N367,1,0),IF(M367&lt;=INDEX('Route Data'!$R$7:$R$8,E367),-1,0))</f>
        <v>1</v>
      </c>
    </row>
    <row r="368" spans="1:16">
      <c r="A368" s="5">
        <v>358</v>
      </c>
      <c r="B368" s="12">
        <v>23.56</v>
      </c>
      <c r="C368" s="12">
        <f t="shared" si="5"/>
        <v>1.96</v>
      </c>
      <c r="D368" s="8">
        <v>0.71333968639373779</v>
      </c>
      <c r="E368" s="5">
        <f>MATCH(D368,'Route Data'!$C$7:$C$8,1)</f>
        <v>2</v>
      </c>
      <c r="F368" s="5">
        <f>INDEX('Route Data'!$D$7:$D$8,E368)</f>
        <v>1</v>
      </c>
      <c r="G368" s="5" t="str">
        <f>INDEX('Route Data'!$A$7:$A$8,E368)</f>
        <v>u18</v>
      </c>
      <c r="H368" s="5">
        <f>EnergyCoeff(INDEX('Route Data'!$K$7:$K$8,E368),INDEX('Route Data'!$L$7:$L$8,E368)*2*PI()/60,INDEX('Route Data'!$F$7:$F$8,E368))</f>
        <v>0.19430699130049439</v>
      </c>
      <c r="I368" s="5">
        <f>DischargeCoeff(INDEX('Route Data'!$I$7:$I$8,E368), INDEX('Route Data'!$L$7:$L$8,E368)*2*PI()/60, INDEX('Route Data'!$F$7:$F$8,E368))</f>
        <v>0.15939200179827354</v>
      </c>
      <c r="J368" s="8">
        <f>FlowAngleRel(INDEX('Route Data'!$J$7:$J$8,E368)*INDEX('Route Data'!$I$7:$I$8,E368), INDEX('Route Data'!$L$7:$L$8,E368)*2*PI()/60, INDEX('Route Data'!$F$7:$F$8,E368),INDEX('Route Data'!$O$7:$O$8,E368), INDEX('Route Data'!$P$7:$P$8,E368),INDEX('Route Data'!$M$7:$M$8,E368))</f>
        <v>1.130811765868994</v>
      </c>
      <c r="K368" s="8">
        <f>FlowAngleAbsT(INDEX('Route Data'!$K$7:$K$8,E368), INDEX('Route Data'!$I$7:$I$8,E368), INDEX('Route Data'!$I$7:$I$8,E368)*INDEX('Route Data'!$J$7:$J$8,E368), INDEX('Route Data'!$L$7:$L$8,E368)*2*PI()/60, INDEX('Route Data'!$F$7:$F$8,E368),INDEX('Route Data'!$O$7:$O$8,E368), INDEX('Route Data'!$P$7:$P$8,E368), INDEX('Route Data'!$H$7:$H$8,E368), INDEX('Route Data'!$Q$7:$Q$8,E368), INDEX('Route Data'!$M$7:$M$8,E368))</f>
        <v>0.51617226640175828</v>
      </c>
      <c r="L368" s="5">
        <f>INDEX('Route Data'!$N$7:$N$8,E368)</f>
        <v>0.4</v>
      </c>
      <c r="M368" s="8">
        <v>0.92138421535491943</v>
      </c>
      <c r="N368" s="8">
        <f>ProbStrikeFrancis(K368, I368, L368, INDEX('Route Data'!$G$7:$G$8,E368),C368, INDEX('Route Data'!$F$7:$F$8,E368), INDEX('Route Data'!$O$7:$O$8,E368), INDEX('Route Data'!$H$7:$H$18,E368))</f>
        <v>1</v>
      </c>
      <c r="O368" s="5" t="str">
        <f>IF(F368&gt;=1,IF(M368&lt;=N368,"STRIKE","pass"),IF(M368&lt;=INDEX('Route Data'!$R$7:$R$8,E368),"NO PASS","pass"))</f>
        <v>STRIKE</v>
      </c>
      <c r="P368" s="5">
        <f>IF(F368&gt;=1,IF(M368&lt;=N368,1,0),IF(M368&lt;=INDEX('Route Data'!$R$7:$R$8,E368),-1,0))</f>
        <v>1</v>
      </c>
    </row>
    <row r="369" spans="1:16">
      <c r="A369" s="5">
        <v>359</v>
      </c>
      <c r="B369" s="12">
        <v>20.350000000000001</v>
      </c>
      <c r="C369" s="12">
        <f t="shared" si="5"/>
        <v>1.7</v>
      </c>
      <c r="D369" s="8">
        <v>0.66397815942764282</v>
      </c>
      <c r="E369" s="5">
        <f>MATCH(D369,'Route Data'!$C$7:$C$8,1)</f>
        <v>2</v>
      </c>
      <c r="F369" s="5">
        <f>INDEX('Route Data'!$D$7:$D$8,E369)</f>
        <v>1</v>
      </c>
      <c r="G369" s="5" t="str">
        <f>INDEX('Route Data'!$A$7:$A$8,E369)</f>
        <v>u18</v>
      </c>
      <c r="H369" s="5">
        <f>EnergyCoeff(INDEX('Route Data'!$K$7:$K$8,E369),INDEX('Route Data'!$L$7:$L$8,E369)*2*PI()/60,INDEX('Route Data'!$F$7:$F$8,E369))</f>
        <v>0.19430699130049439</v>
      </c>
      <c r="I369" s="5">
        <f>DischargeCoeff(INDEX('Route Data'!$I$7:$I$8,E369), INDEX('Route Data'!$L$7:$L$8,E369)*2*PI()/60, INDEX('Route Data'!$F$7:$F$8,E369))</f>
        <v>0.15939200179827354</v>
      </c>
      <c r="J369" s="8">
        <f>FlowAngleRel(INDEX('Route Data'!$J$7:$J$8,E369)*INDEX('Route Data'!$I$7:$I$8,E369), INDEX('Route Data'!$L$7:$L$8,E369)*2*PI()/60, INDEX('Route Data'!$F$7:$F$8,E369),INDEX('Route Data'!$O$7:$O$8,E369), INDEX('Route Data'!$P$7:$P$8,E369),INDEX('Route Data'!$M$7:$M$8,E369))</f>
        <v>1.130811765868994</v>
      </c>
      <c r="K369" s="8">
        <f>FlowAngleAbsT(INDEX('Route Data'!$K$7:$K$8,E369), INDEX('Route Data'!$I$7:$I$8,E369), INDEX('Route Data'!$I$7:$I$8,E369)*INDEX('Route Data'!$J$7:$J$8,E369), INDEX('Route Data'!$L$7:$L$8,E369)*2*PI()/60, INDEX('Route Data'!$F$7:$F$8,E369),INDEX('Route Data'!$O$7:$O$8,E369), INDEX('Route Data'!$P$7:$P$8,E369), INDEX('Route Data'!$H$7:$H$8,E369), INDEX('Route Data'!$Q$7:$Q$8,E369), INDEX('Route Data'!$M$7:$M$8,E369))</f>
        <v>0.51617226640175828</v>
      </c>
      <c r="L369" s="5">
        <f>INDEX('Route Data'!$N$7:$N$8,E369)</f>
        <v>0.4</v>
      </c>
      <c r="M369" s="8">
        <v>0.4794045090675354</v>
      </c>
      <c r="N369" s="8">
        <f>ProbStrikeFrancis(K369, I369, L369, INDEX('Route Data'!$G$7:$G$8,E369),C369, INDEX('Route Data'!$F$7:$F$8,E369), INDEX('Route Data'!$O$7:$O$8,E369), INDEX('Route Data'!$H$7:$H$18,E369))</f>
        <v>1</v>
      </c>
      <c r="O369" s="5" t="str">
        <f>IF(F369&gt;=1,IF(M369&lt;=N369,"STRIKE","pass"),IF(M369&lt;=INDEX('Route Data'!$R$7:$R$8,E369),"NO PASS","pass"))</f>
        <v>STRIKE</v>
      </c>
      <c r="P369" s="5">
        <f>IF(F369&gt;=1,IF(M369&lt;=N369,1,0),IF(M369&lt;=INDEX('Route Data'!$R$7:$R$8,E369),-1,0))</f>
        <v>1</v>
      </c>
    </row>
    <row r="370" spans="1:16">
      <c r="A370" s="5">
        <v>360</v>
      </c>
      <c r="B370" s="12">
        <v>21.83</v>
      </c>
      <c r="C370" s="12">
        <f t="shared" si="5"/>
        <v>1.82</v>
      </c>
      <c r="D370" s="8">
        <v>0.54648351669311523</v>
      </c>
      <c r="E370" s="5">
        <f>MATCH(D370,'Route Data'!$C$7:$C$8,1)</f>
        <v>2</v>
      </c>
      <c r="F370" s="5">
        <f>INDEX('Route Data'!$D$7:$D$8,E370)</f>
        <v>1</v>
      </c>
      <c r="G370" s="5" t="str">
        <f>INDEX('Route Data'!$A$7:$A$8,E370)</f>
        <v>u18</v>
      </c>
      <c r="H370" s="5">
        <f>EnergyCoeff(INDEX('Route Data'!$K$7:$K$8,E370),INDEX('Route Data'!$L$7:$L$8,E370)*2*PI()/60,INDEX('Route Data'!$F$7:$F$8,E370))</f>
        <v>0.19430699130049439</v>
      </c>
      <c r="I370" s="5">
        <f>DischargeCoeff(INDEX('Route Data'!$I$7:$I$8,E370), INDEX('Route Data'!$L$7:$L$8,E370)*2*PI()/60, INDEX('Route Data'!$F$7:$F$8,E370))</f>
        <v>0.15939200179827354</v>
      </c>
      <c r="J370" s="8">
        <f>FlowAngleRel(INDEX('Route Data'!$J$7:$J$8,E370)*INDEX('Route Data'!$I$7:$I$8,E370), INDEX('Route Data'!$L$7:$L$8,E370)*2*PI()/60, INDEX('Route Data'!$F$7:$F$8,E370),INDEX('Route Data'!$O$7:$O$8,E370), INDEX('Route Data'!$P$7:$P$8,E370),INDEX('Route Data'!$M$7:$M$8,E370))</f>
        <v>1.130811765868994</v>
      </c>
      <c r="K370" s="8">
        <f>FlowAngleAbsT(INDEX('Route Data'!$K$7:$K$8,E370), INDEX('Route Data'!$I$7:$I$8,E370), INDEX('Route Data'!$I$7:$I$8,E370)*INDEX('Route Data'!$J$7:$J$8,E370), INDEX('Route Data'!$L$7:$L$8,E370)*2*PI()/60, INDEX('Route Data'!$F$7:$F$8,E370),INDEX('Route Data'!$O$7:$O$8,E370), INDEX('Route Data'!$P$7:$P$8,E370), INDEX('Route Data'!$H$7:$H$8,E370), INDEX('Route Data'!$Q$7:$Q$8,E370), INDEX('Route Data'!$M$7:$M$8,E370))</f>
        <v>0.51617226640175828</v>
      </c>
      <c r="L370" s="5">
        <f>INDEX('Route Data'!$N$7:$N$8,E370)</f>
        <v>0.4</v>
      </c>
      <c r="M370" s="8">
        <v>7.09228515625E-2</v>
      </c>
      <c r="N370" s="8">
        <f>ProbStrikeFrancis(K370, I370, L370, INDEX('Route Data'!$G$7:$G$8,E370),C370, INDEX('Route Data'!$F$7:$F$8,E370), INDEX('Route Data'!$O$7:$O$8,E370), INDEX('Route Data'!$H$7:$H$18,E370))</f>
        <v>1</v>
      </c>
      <c r="O370" s="5" t="str">
        <f>IF(F370&gt;=1,IF(M370&lt;=N370,"STRIKE","pass"),IF(M370&lt;=INDEX('Route Data'!$R$7:$R$8,E370),"NO PASS","pass"))</f>
        <v>STRIKE</v>
      </c>
      <c r="P370" s="5">
        <f>IF(F370&gt;=1,IF(M370&lt;=N370,1,0),IF(M370&lt;=INDEX('Route Data'!$R$7:$R$8,E370),-1,0))</f>
        <v>1</v>
      </c>
    </row>
    <row r="371" spans="1:16">
      <c r="A371" s="5">
        <v>361</v>
      </c>
      <c r="B371" s="12">
        <v>21.92</v>
      </c>
      <c r="C371" s="12">
        <f t="shared" si="5"/>
        <v>1.83</v>
      </c>
      <c r="D371" s="8">
        <v>0.961284339427948</v>
      </c>
      <c r="E371" s="5">
        <f>MATCH(D371,'Route Data'!$C$7:$C$8,1)</f>
        <v>2</v>
      </c>
      <c r="F371" s="5">
        <f>INDEX('Route Data'!$D$7:$D$8,E371)</f>
        <v>1</v>
      </c>
      <c r="G371" s="5" t="str">
        <f>INDEX('Route Data'!$A$7:$A$8,E371)</f>
        <v>u18</v>
      </c>
      <c r="H371" s="5">
        <f>EnergyCoeff(INDEX('Route Data'!$K$7:$K$8,E371),INDEX('Route Data'!$L$7:$L$8,E371)*2*PI()/60,INDEX('Route Data'!$F$7:$F$8,E371))</f>
        <v>0.19430699130049439</v>
      </c>
      <c r="I371" s="5">
        <f>DischargeCoeff(INDEX('Route Data'!$I$7:$I$8,E371), INDEX('Route Data'!$L$7:$L$8,E371)*2*PI()/60, INDEX('Route Data'!$F$7:$F$8,E371))</f>
        <v>0.15939200179827354</v>
      </c>
      <c r="J371" s="8">
        <f>FlowAngleRel(INDEX('Route Data'!$J$7:$J$8,E371)*INDEX('Route Data'!$I$7:$I$8,E371), INDEX('Route Data'!$L$7:$L$8,E371)*2*PI()/60, INDEX('Route Data'!$F$7:$F$8,E371),INDEX('Route Data'!$O$7:$O$8,E371), INDEX('Route Data'!$P$7:$P$8,E371),INDEX('Route Data'!$M$7:$M$8,E371))</f>
        <v>1.130811765868994</v>
      </c>
      <c r="K371" s="8">
        <f>FlowAngleAbsT(INDEX('Route Data'!$K$7:$K$8,E371), INDEX('Route Data'!$I$7:$I$8,E371), INDEX('Route Data'!$I$7:$I$8,E371)*INDEX('Route Data'!$J$7:$J$8,E371), INDEX('Route Data'!$L$7:$L$8,E371)*2*PI()/60, INDEX('Route Data'!$F$7:$F$8,E371),INDEX('Route Data'!$O$7:$O$8,E371), INDEX('Route Data'!$P$7:$P$8,E371), INDEX('Route Data'!$H$7:$H$8,E371), INDEX('Route Data'!$Q$7:$Q$8,E371), INDEX('Route Data'!$M$7:$M$8,E371))</f>
        <v>0.51617226640175828</v>
      </c>
      <c r="L371" s="5">
        <f>INDEX('Route Data'!$N$7:$N$8,E371)</f>
        <v>0.4</v>
      </c>
      <c r="M371" s="8">
        <v>0.7652093768119812</v>
      </c>
      <c r="N371" s="8">
        <f>ProbStrikeFrancis(K371, I371, L371, INDEX('Route Data'!$G$7:$G$8,E371),C371, INDEX('Route Data'!$F$7:$F$8,E371), INDEX('Route Data'!$O$7:$O$8,E371), INDEX('Route Data'!$H$7:$H$18,E371))</f>
        <v>1</v>
      </c>
      <c r="O371" s="5" t="str">
        <f>IF(F371&gt;=1,IF(M371&lt;=N371,"STRIKE","pass"),IF(M371&lt;=INDEX('Route Data'!$R$7:$R$8,E371),"NO PASS","pass"))</f>
        <v>STRIKE</v>
      </c>
      <c r="P371" s="5">
        <f>IF(F371&gt;=1,IF(M371&lt;=N371,1,0),IF(M371&lt;=INDEX('Route Data'!$R$7:$R$8,E371),-1,0))</f>
        <v>1</v>
      </c>
    </row>
    <row r="372" spans="1:16">
      <c r="A372" s="5">
        <v>362</v>
      </c>
      <c r="B372" s="12">
        <v>21.66</v>
      </c>
      <c r="C372" s="12">
        <f t="shared" si="5"/>
        <v>1.81</v>
      </c>
      <c r="D372" s="8">
        <v>0.90383255481719971</v>
      </c>
      <c r="E372" s="5">
        <f>MATCH(D372,'Route Data'!$C$7:$C$8,1)</f>
        <v>2</v>
      </c>
      <c r="F372" s="5">
        <f>INDEX('Route Data'!$D$7:$D$8,E372)</f>
        <v>1</v>
      </c>
      <c r="G372" s="5" t="str">
        <f>INDEX('Route Data'!$A$7:$A$8,E372)</f>
        <v>u18</v>
      </c>
      <c r="H372" s="5">
        <f>EnergyCoeff(INDEX('Route Data'!$K$7:$K$8,E372),INDEX('Route Data'!$L$7:$L$8,E372)*2*PI()/60,INDEX('Route Data'!$F$7:$F$8,E372))</f>
        <v>0.19430699130049439</v>
      </c>
      <c r="I372" s="5">
        <f>DischargeCoeff(INDEX('Route Data'!$I$7:$I$8,E372), INDEX('Route Data'!$L$7:$L$8,E372)*2*PI()/60, INDEX('Route Data'!$F$7:$F$8,E372))</f>
        <v>0.15939200179827354</v>
      </c>
      <c r="J372" s="8">
        <f>FlowAngleRel(INDEX('Route Data'!$J$7:$J$8,E372)*INDEX('Route Data'!$I$7:$I$8,E372), INDEX('Route Data'!$L$7:$L$8,E372)*2*PI()/60, INDEX('Route Data'!$F$7:$F$8,E372),INDEX('Route Data'!$O$7:$O$8,E372), INDEX('Route Data'!$P$7:$P$8,E372),INDEX('Route Data'!$M$7:$M$8,E372))</f>
        <v>1.130811765868994</v>
      </c>
      <c r="K372" s="8">
        <f>FlowAngleAbsT(INDEX('Route Data'!$K$7:$K$8,E372), INDEX('Route Data'!$I$7:$I$8,E372), INDEX('Route Data'!$I$7:$I$8,E372)*INDEX('Route Data'!$J$7:$J$8,E372), INDEX('Route Data'!$L$7:$L$8,E372)*2*PI()/60, INDEX('Route Data'!$F$7:$F$8,E372),INDEX('Route Data'!$O$7:$O$8,E372), INDEX('Route Data'!$P$7:$P$8,E372), INDEX('Route Data'!$H$7:$H$8,E372), INDEX('Route Data'!$Q$7:$Q$8,E372), INDEX('Route Data'!$M$7:$M$8,E372))</f>
        <v>0.51617226640175828</v>
      </c>
      <c r="L372" s="5">
        <f>INDEX('Route Data'!$N$7:$N$8,E372)</f>
        <v>0.4</v>
      </c>
      <c r="M372" s="8">
        <v>0.6823498010635376</v>
      </c>
      <c r="N372" s="8">
        <f>ProbStrikeFrancis(K372, I372, L372, INDEX('Route Data'!$G$7:$G$8,E372),C372, INDEX('Route Data'!$F$7:$F$8,E372), INDEX('Route Data'!$O$7:$O$8,E372), INDEX('Route Data'!$H$7:$H$18,E372))</f>
        <v>1</v>
      </c>
      <c r="O372" s="5" t="str">
        <f>IF(F372&gt;=1,IF(M372&lt;=N372,"STRIKE","pass"),IF(M372&lt;=INDEX('Route Data'!$R$7:$R$8,E372),"NO PASS","pass"))</f>
        <v>STRIKE</v>
      </c>
      <c r="P372" s="5">
        <f>IF(F372&gt;=1,IF(M372&lt;=N372,1,0),IF(M372&lt;=INDEX('Route Data'!$R$7:$R$8,E372),-1,0))</f>
        <v>1</v>
      </c>
    </row>
    <row r="373" spans="1:16">
      <c r="A373" s="5">
        <v>363</v>
      </c>
      <c r="B373" s="12">
        <v>22.42</v>
      </c>
      <c r="C373" s="12">
        <f t="shared" si="5"/>
        <v>1.87</v>
      </c>
      <c r="D373" s="8">
        <v>0.34176713228225708</v>
      </c>
      <c r="E373" s="5">
        <f>MATCH(D373,'Route Data'!$C$7:$C$8,1)</f>
        <v>2</v>
      </c>
      <c r="F373" s="5">
        <f>INDEX('Route Data'!$D$7:$D$8,E373)</f>
        <v>1</v>
      </c>
      <c r="G373" s="5" t="str">
        <f>INDEX('Route Data'!$A$7:$A$8,E373)</f>
        <v>u18</v>
      </c>
      <c r="H373" s="5">
        <f>EnergyCoeff(INDEX('Route Data'!$K$7:$K$8,E373),INDEX('Route Data'!$L$7:$L$8,E373)*2*PI()/60,INDEX('Route Data'!$F$7:$F$8,E373))</f>
        <v>0.19430699130049439</v>
      </c>
      <c r="I373" s="5">
        <f>DischargeCoeff(INDEX('Route Data'!$I$7:$I$8,E373), INDEX('Route Data'!$L$7:$L$8,E373)*2*PI()/60, INDEX('Route Data'!$F$7:$F$8,E373))</f>
        <v>0.15939200179827354</v>
      </c>
      <c r="J373" s="8">
        <f>FlowAngleRel(INDEX('Route Data'!$J$7:$J$8,E373)*INDEX('Route Data'!$I$7:$I$8,E373), INDEX('Route Data'!$L$7:$L$8,E373)*2*PI()/60, INDEX('Route Data'!$F$7:$F$8,E373),INDEX('Route Data'!$O$7:$O$8,E373), INDEX('Route Data'!$P$7:$P$8,E373),INDEX('Route Data'!$M$7:$M$8,E373))</f>
        <v>1.130811765868994</v>
      </c>
      <c r="K373" s="8">
        <f>FlowAngleAbsT(INDEX('Route Data'!$K$7:$K$8,E373), INDEX('Route Data'!$I$7:$I$8,E373), INDEX('Route Data'!$I$7:$I$8,E373)*INDEX('Route Data'!$J$7:$J$8,E373), INDEX('Route Data'!$L$7:$L$8,E373)*2*PI()/60, INDEX('Route Data'!$F$7:$F$8,E373),INDEX('Route Data'!$O$7:$O$8,E373), INDEX('Route Data'!$P$7:$P$8,E373), INDEX('Route Data'!$H$7:$H$8,E373), INDEX('Route Data'!$Q$7:$Q$8,E373), INDEX('Route Data'!$M$7:$M$8,E373))</f>
        <v>0.51617226640175828</v>
      </c>
      <c r="L373" s="5">
        <f>INDEX('Route Data'!$N$7:$N$8,E373)</f>
        <v>0.4</v>
      </c>
      <c r="M373" s="8">
        <v>0.46208697557449341</v>
      </c>
      <c r="N373" s="8">
        <f>ProbStrikeFrancis(K373, I373, L373, INDEX('Route Data'!$G$7:$G$8,E373),C373, INDEX('Route Data'!$F$7:$F$8,E373), INDEX('Route Data'!$O$7:$O$8,E373), INDEX('Route Data'!$H$7:$H$18,E373))</f>
        <v>1</v>
      </c>
      <c r="O373" s="5" t="str">
        <f>IF(F373&gt;=1,IF(M373&lt;=N373,"STRIKE","pass"),IF(M373&lt;=INDEX('Route Data'!$R$7:$R$8,E373),"NO PASS","pass"))</f>
        <v>STRIKE</v>
      </c>
      <c r="P373" s="5">
        <f>IF(F373&gt;=1,IF(M373&lt;=N373,1,0),IF(M373&lt;=INDEX('Route Data'!$R$7:$R$8,E373),-1,0))</f>
        <v>1</v>
      </c>
    </row>
    <row r="374" spans="1:16">
      <c r="A374" s="5">
        <v>364</v>
      </c>
      <c r="B374" s="12">
        <v>19.940000000000001</v>
      </c>
      <c r="C374" s="12">
        <f t="shared" si="5"/>
        <v>1.66</v>
      </c>
      <c r="D374" s="8">
        <v>0.76238417625427246</v>
      </c>
      <c r="E374" s="5">
        <f>MATCH(D374,'Route Data'!$C$7:$C$8,1)</f>
        <v>2</v>
      </c>
      <c r="F374" s="5">
        <f>INDEX('Route Data'!$D$7:$D$8,E374)</f>
        <v>1</v>
      </c>
      <c r="G374" s="5" t="str">
        <f>INDEX('Route Data'!$A$7:$A$8,E374)</f>
        <v>u18</v>
      </c>
      <c r="H374" s="5">
        <f>EnergyCoeff(INDEX('Route Data'!$K$7:$K$8,E374),INDEX('Route Data'!$L$7:$L$8,E374)*2*PI()/60,INDEX('Route Data'!$F$7:$F$8,E374))</f>
        <v>0.19430699130049439</v>
      </c>
      <c r="I374" s="5">
        <f>DischargeCoeff(INDEX('Route Data'!$I$7:$I$8,E374), INDEX('Route Data'!$L$7:$L$8,E374)*2*PI()/60, INDEX('Route Data'!$F$7:$F$8,E374))</f>
        <v>0.15939200179827354</v>
      </c>
      <c r="J374" s="8">
        <f>FlowAngleRel(INDEX('Route Data'!$J$7:$J$8,E374)*INDEX('Route Data'!$I$7:$I$8,E374), INDEX('Route Data'!$L$7:$L$8,E374)*2*PI()/60, INDEX('Route Data'!$F$7:$F$8,E374),INDEX('Route Data'!$O$7:$O$8,E374), INDEX('Route Data'!$P$7:$P$8,E374),INDEX('Route Data'!$M$7:$M$8,E374))</f>
        <v>1.130811765868994</v>
      </c>
      <c r="K374" s="8">
        <f>FlowAngleAbsT(INDEX('Route Data'!$K$7:$K$8,E374), INDEX('Route Data'!$I$7:$I$8,E374), INDEX('Route Data'!$I$7:$I$8,E374)*INDEX('Route Data'!$J$7:$J$8,E374), INDEX('Route Data'!$L$7:$L$8,E374)*2*PI()/60, INDEX('Route Data'!$F$7:$F$8,E374),INDEX('Route Data'!$O$7:$O$8,E374), INDEX('Route Data'!$P$7:$P$8,E374), INDEX('Route Data'!$H$7:$H$8,E374), INDEX('Route Data'!$Q$7:$Q$8,E374), INDEX('Route Data'!$M$7:$M$8,E374))</f>
        <v>0.51617226640175828</v>
      </c>
      <c r="L374" s="5">
        <f>INDEX('Route Data'!$N$7:$N$8,E374)</f>
        <v>0.4</v>
      </c>
      <c r="M374" s="8">
        <v>0.85729622840881348</v>
      </c>
      <c r="N374" s="8">
        <f>ProbStrikeFrancis(K374, I374, L374, INDEX('Route Data'!$G$7:$G$8,E374),C374, INDEX('Route Data'!$F$7:$F$8,E374), INDEX('Route Data'!$O$7:$O$8,E374), INDEX('Route Data'!$H$7:$H$18,E374))</f>
        <v>1</v>
      </c>
      <c r="O374" s="5" t="str">
        <f>IF(F374&gt;=1,IF(M374&lt;=N374,"STRIKE","pass"),IF(M374&lt;=INDEX('Route Data'!$R$7:$R$8,E374),"NO PASS","pass"))</f>
        <v>STRIKE</v>
      </c>
      <c r="P374" s="5">
        <f>IF(F374&gt;=1,IF(M374&lt;=N374,1,0),IF(M374&lt;=INDEX('Route Data'!$R$7:$R$8,E374),-1,0))</f>
        <v>1</v>
      </c>
    </row>
    <row r="375" spans="1:16">
      <c r="A375" s="5">
        <v>365</v>
      </c>
      <c r="B375" s="12">
        <v>18.03</v>
      </c>
      <c r="C375" s="12">
        <f t="shared" si="5"/>
        <v>1.5</v>
      </c>
      <c r="D375" s="8">
        <v>0.23495382070541382</v>
      </c>
      <c r="E375" s="5">
        <f>MATCH(D375,'Route Data'!$C$7:$C$8,1)</f>
        <v>2</v>
      </c>
      <c r="F375" s="5">
        <f>INDEX('Route Data'!$D$7:$D$8,E375)</f>
        <v>1</v>
      </c>
      <c r="G375" s="5" t="str">
        <f>INDEX('Route Data'!$A$7:$A$8,E375)</f>
        <v>u18</v>
      </c>
      <c r="H375" s="5">
        <f>EnergyCoeff(INDEX('Route Data'!$K$7:$K$8,E375),INDEX('Route Data'!$L$7:$L$8,E375)*2*PI()/60,INDEX('Route Data'!$F$7:$F$8,E375))</f>
        <v>0.19430699130049439</v>
      </c>
      <c r="I375" s="5">
        <f>DischargeCoeff(INDEX('Route Data'!$I$7:$I$8,E375), INDEX('Route Data'!$L$7:$L$8,E375)*2*PI()/60, INDEX('Route Data'!$F$7:$F$8,E375))</f>
        <v>0.15939200179827354</v>
      </c>
      <c r="J375" s="8">
        <f>FlowAngleRel(INDEX('Route Data'!$J$7:$J$8,E375)*INDEX('Route Data'!$I$7:$I$8,E375), INDEX('Route Data'!$L$7:$L$8,E375)*2*PI()/60, INDEX('Route Data'!$F$7:$F$8,E375),INDEX('Route Data'!$O$7:$O$8,E375), INDEX('Route Data'!$P$7:$P$8,E375),INDEX('Route Data'!$M$7:$M$8,E375))</f>
        <v>1.130811765868994</v>
      </c>
      <c r="K375" s="8">
        <f>FlowAngleAbsT(INDEX('Route Data'!$K$7:$K$8,E375), INDEX('Route Data'!$I$7:$I$8,E375), INDEX('Route Data'!$I$7:$I$8,E375)*INDEX('Route Data'!$J$7:$J$8,E375), INDEX('Route Data'!$L$7:$L$8,E375)*2*PI()/60, INDEX('Route Data'!$F$7:$F$8,E375),INDEX('Route Data'!$O$7:$O$8,E375), INDEX('Route Data'!$P$7:$P$8,E375), INDEX('Route Data'!$H$7:$H$8,E375), INDEX('Route Data'!$Q$7:$Q$8,E375), INDEX('Route Data'!$M$7:$M$8,E375))</f>
        <v>0.51617226640175828</v>
      </c>
      <c r="L375" s="5">
        <f>INDEX('Route Data'!$N$7:$N$8,E375)</f>
        <v>0.4</v>
      </c>
      <c r="M375" s="8">
        <v>0.67166846990585327</v>
      </c>
      <c r="N375" s="8">
        <f>ProbStrikeFrancis(K375, I375, L375, INDEX('Route Data'!$G$7:$G$8,E375),C375, INDEX('Route Data'!$F$7:$F$8,E375), INDEX('Route Data'!$O$7:$O$8,E375), INDEX('Route Data'!$H$7:$H$18,E375))</f>
        <v>1</v>
      </c>
      <c r="O375" s="5" t="str">
        <f>IF(F375&gt;=1,IF(M375&lt;=N375,"STRIKE","pass"),IF(M375&lt;=INDEX('Route Data'!$R$7:$R$8,E375),"NO PASS","pass"))</f>
        <v>STRIKE</v>
      </c>
      <c r="P375" s="5">
        <f>IF(F375&gt;=1,IF(M375&lt;=N375,1,0),IF(M375&lt;=INDEX('Route Data'!$R$7:$R$8,E375),-1,0))</f>
        <v>1</v>
      </c>
    </row>
    <row r="376" spans="1:16">
      <c r="A376" s="5">
        <v>366</v>
      </c>
      <c r="B376" s="12">
        <v>19.989999999999998</v>
      </c>
      <c r="C376" s="12">
        <f t="shared" si="5"/>
        <v>1.67</v>
      </c>
      <c r="D376" s="8">
        <v>0.34840333461761475</v>
      </c>
      <c r="E376" s="5">
        <f>MATCH(D376,'Route Data'!$C$7:$C$8,1)</f>
        <v>2</v>
      </c>
      <c r="F376" s="5">
        <f>INDEX('Route Data'!$D$7:$D$8,E376)</f>
        <v>1</v>
      </c>
      <c r="G376" s="5" t="str">
        <f>INDEX('Route Data'!$A$7:$A$8,E376)</f>
        <v>u18</v>
      </c>
      <c r="H376" s="5">
        <f>EnergyCoeff(INDEX('Route Data'!$K$7:$K$8,E376),INDEX('Route Data'!$L$7:$L$8,E376)*2*PI()/60,INDEX('Route Data'!$F$7:$F$8,E376))</f>
        <v>0.19430699130049439</v>
      </c>
      <c r="I376" s="5">
        <f>DischargeCoeff(INDEX('Route Data'!$I$7:$I$8,E376), INDEX('Route Data'!$L$7:$L$8,E376)*2*PI()/60, INDEX('Route Data'!$F$7:$F$8,E376))</f>
        <v>0.15939200179827354</v>
      </c>
      <c r="J376" s="8">
        <f>FlowAngleRel(INDEX('Route Data'!$J$7:$J$8,E376)*INDEX('Route Data'!$I$7:$I$8,E376), INDEX('Route Data'!$L$7:$L$8,E376)*2*PI()/60, INDEX('Route Data'!$F$7:$F$8,E376),INDEX('Route Data'!$O$7:$O$8,E376), INDEX('Route Data'!$P$7:$P$8,E376),INDEX('Route Data'!$M$7:$M$8,E376))</f>
        <v>1.130811765868994</v>
      </c>
      <c r="K376" s="8">
        <f>FlowAngleAbsT(INDEX('Route Data'!$K$7:$K$8,E376), INDEX('Route Data'!$I$7:$I$8,E376), INDEX('Route Data'!$I$7:$I$8,E376)*INDEX('Route Data'!$J$7:$J$8,E376), INDEX('Route Data'!$L$7:$L$8,E376)*2*PI()/60, INDEX('Route Data'!$F$7:$F$8,E376),INDEX('Route Data'!$O$7:$O$8,E376), INDEX('Route Data'!$P$7:$P$8,E376), INDEX('Route Data'!$H$7:$H$8,E376), INDEX('Route Data'!$Q$7:$Q$8,E376), INDEX('Route Data'!$M$7:$M$8,E376))</f>
        <v>0.51617226640175828</v>
      </c>
      <c r="L376" s="5">
        <f>INDEX('Route Data'!$N$7:$N$8,E376)</f>
        <v>0.4</v>
      </c>
      <c r="M376" s="8">
        <v>0.49413096904754639</v>
      </c>
      <c r="N376" s="8">
        <f>ProbStrikeFrancis(K376, I376, L376, INDEX('Route Data'!$G$7:$G$8,E376),C376, INDEX('Route Data'!$F$7:$F$8,E376), INDEX('Route Data'!$O$7:$O$8,E376), INDEX('Route Data'!$H$7:$H$18,E376))</f>
        <v>1</v>
      </c>
      <c r="O376" s="5" t="str">
        <f>IF(F376&gt;=1,IF(M376&lt;=N376,"STRIKE","pass"),IF(M376&lt;=INDEX('Route Data'!$R$7:$R$8,E376),"NO PASS","pass"))</f>
        <v>STRIKE</v>
      </c>
      <c r="P376" s="5">
        <f>IF(F376&gt;=1,IF(M376&lt;=N376,1,0),IF(M376&lt;=INDEX('Route Data'!$R$7:$R$8,E376),-1,0))</f>
        <v>1</v>
      </c>
    </row>
    <row r="377" spans="1:16">
      <c r="A377" s="5">
        <v>367</v>
      </c>
      <c r="B377" s="12">
        <v>25.03</v>
      </c>
      <c r="C377" s="12">
        <f t="shared" si="5"/>
        <v>2.09</v>
      </c>
      <c r="D377" s="8">
        <v>0.27363401651382446</v>
      </c>
      <c r="E377" s="5">
        <f>MATCH(D377,'Route Data'!$C$7:$C$8,1)</f>
        <v>2</v>
      </c>
      <c r="F377" s="5">
        <f>INDEX('Route Data'!$D$7:$D$8,E377)</f>
        <v>1</v>
      </c>
      <c r="G377" s="5" t="str">
        <f>INDEX('Route Data'!$A$7:$A$8,E377)</f>
        <v>u18</v>
      </c>
      <c r="H377" s="5">
        <f>EnergyCoeff(INDEX('Route Data'!$K$7:$K$8,E377),INDEX('Route Data'!$L$7:$L$8,E377)*2*PI()/60,INDEX('Route Data'!$F$7:$F$8,E377))</f>
        <v>0.19430699130049439</v>
      </c>
      <c r="I377" s="5">
        <f>DischargeCoeff(INDEX('Route Data'!$I$7:$I$8,E377), INDEX('Route Data'!$L$7:$L$8,E377)*2*PI()/60, INDEX('Route Data'!$F$7:$F$8,E377))</f>
        <v>0.15939200179827354</v>
      </c>
      <c r="J377" s="8">
        <f>FlowAngleRel(INDEX('Route Data'!$J$7:$J$8,E377)*INDEX('Route Data'!$I$7:$I$8,E377), INDEX('Route Data'!$L$7:$L$8,E377)*2*PI()/60, INDEX('Route Data'!$F$7:$F$8,E377),INDEX('Route Data'!$O$7:$O$8,E377), INDEX('Route Data'!$P$7:$P$8,E377),INDEX('Route Data'!$M$7:$M$8,E377))</f>
        <v>1.130811765868994</v>
      </c>
      <c r="K377" s="8">
        <f>FlowAngleAbsT(INDEX('Route Data'!$K$7:$K$8,E377), INDEX('Route Data'!$I$7:$I$8,E377), INDEX('Route Data'!$I$7:$I$8,E377)*INDEX('Route Data'!$J$7:$J$8,E377), INDEX('Route Data'!$L$7:$L$8,E377)*2*PI()/60, INDEX('Route Data'!$F$7:$F$8,E377),INDEX('Route Data'!$O$7:$O$8,E377), INDEX('Route Data'!$P$7:$P$8,E377), INDEX('Route Data'!$H$7:$H$8,E377), INDEX('Route Data'!$Q$7:$Q$8,E377), INDEX('Route Data'!$M$7:$M$8,E377))</f>
        <v>0.51617226640175828</v>
      </c>
      <c r="L377" s="5">
        <f>INDEX('Route Data'!$N$7:$N$8,E377)</f>
        <v>0.4</v>
      </c>
      <c r="M377" s="8">
        <v>0.76116424798965454</v>
      </c>
      <c r="N377" s="8">
        <f>ProbStrikeFrancis(K377, I377, L377, INDEX('Route Data'!$G$7:$G$8,E377),C377, INDEX('Route Data'!$F$7:$F$8,E377), INDEX('Route Data'!$O$7:$O$8,E377), INDEX('Route Data'!$H$7:$H$18,E377))</f>
        <v>1</v>
      </c>
      <c r="O377" s="5" t="str">
        <f>IF(F377&gt;=1,IF(M377&lt;=N377,"STRIKE","pass"),IF(M377&lt;=INDEX('Route Data'!$R$7:$R$8,E377),"NO PASS","pass"))</f>
        <v>STRIKE</v>
      </c>
      <c r="P377" s="5">
        <f>IF(F377&gt;=1,IF(M377&lt;=N377,1,0),IF(M377&lt;=INDEX('Route Data'!$R$7:$R$8,E377),-1,0))</f>
        <v>1</v>
      </c>
    </row>
    <row r="378" spans="1:16">
      <c r="A378" s="5">
        <v>368</v>
      </c>
      <c r="B378" s="12">
        <v>17.34</v>
      </c>
      <c r="C378" s="12">
        <f t="shared" si="5"/>
        <v>1.45</v>
      </c>
      <c r="D378" s="8">
        <v>0.49794197082519531</v>
      </c>
      <c r="E378" s="5">
        <f>MATCH(D378,'Route Data'!$C$7:$C$8,1)</f>
        <v>2</v>
      </c>
      <c r="F378" s="5">
        <f>INDEX('Route Data'!$D$7:$D$8,E378)</f>
        <v>1</v>
      </c>
      <c r="G378" s="5" t="str">
        <f>INDEX('Route Data'!$A$7:$A$8,E378)</f>
        <v>u18</v>
      </c>
      <c r="H378" s="5">
        <f>EnergyCoeff(INDEX('Route Data'!$K$7:$K$8,E378),INDEX('Route Data'!$L$7:$L$8,E378)*2*PI()/60,INDEX('Route Data'!$F$7:$F$8,E378))</f>
        <v>0.19430699130049439</v>
      </c>
      <c r="I378" s="5">
        <f>DischargeCoeff(INDEX('Route Data'!$I$7:$I$8,E378), INDEX('Route Data'!$L$7:$L$8,E378)*2*PI()/60, INDEX('Route Data'!$F$7:$F$8,E378))</f>
        <v>0.15939200179827354</v>
      </c>
      <c r="J378" s="8">
        <f>FlowAngleRel(INDEX('Route Data'!$J$7:$J$8,E378)*INDEX('Route Data'!$I$7:$I$8,E378), INDEX('Route Data'!$L$7:$L$8,E378)*2*PI()/60, INDEX('Route Data'!$F$7:$F$8,E378),INDEX('Route Data'!$O$7:$O$8,E378), INDEX('Route Data'!$P$7:$P$8,E378),INDEX('Route Data'!$M$7:$M$8,E378))</f>
        <v>1.130811765868994</v>
      </c>
      <c r="K378" s="8">
        <f>FlowAngleAbsT(INDEX('Route Data'!$K$7:$K$8,E378), INDEX('Route Data'!$I$7:$I$8,E378), INDEX('Route Data'!$I$7:$I$8,E378)*INDEX('Route Data'!$J$7:$J$8,E378), INDEX('Route Data'!$L$7:$L$8,E378)*2*PI()/60, INDEX('Route Data'!$F$7:$F$8,E378),INDEX('Route Data'!$O$7:$O$8,E378), INDEX('Route Data'!$P$7:$P$8,E378), INDEX('Route Data'!$H$7:$H$8,E378), INDEX('Route Data'!$Q$7:$Q$8,E378), INDEX('Route Data'!$M$7:$M$8,E378))</f>
        <v>0.51617226640175828</v>
      </c>
      <c r="L378" s="5">
        <f>INDEX('Route Data'!$N$7:$N$8,E378)</f>
        <v>0.4</v>
      </c>
      <c r="M378" s="8">
        <v>0.96006441116333008</v>
      </c>
      <c r="N378" s="8">
        <f>ProbStrikeFrancis(K378, I378, L378, INDEX('Route Data'!$G$7:$G$8,E378),C378, INDEX('Route Data'!$F$7:$F$8,E378), INDEX('Route Data'!$O$7:$O$8,E378), INDEX('Route Data'!$H$7:$H$18,E378))</f>
        <v>1</v>
      </c>
      <c r="O378" s="5" t="str">
        <f>IF(F378&gt;=1,IF(M378&lt;=N378,"STRIKE","pass"),IF(M378&lt;=INDEX('Route Data'!$R$7:$R$8,E378),"NO PASS","pass"))</f>
        <v>STRIKE</v>
      </c>
      <c r="P378" s="5">
        <f>IF(F378&gt;=1,IF(M378&lt;=N378,1,0),IF(M378&lt;=INDEX('Route Data'!$R$7:$R$8,E378),-1,0))</f>
        <v>1</v>
      </c>
    </row>
    <row r="379" spans="1:16">
      <c r="A379" s="5">
        <v>369</v>
      </c>
      <c r="B379" s="12">
        <v>16.84</v>
      </c>
      <c r="C379" s="12">
        <f t="shared" si="5"/>
        <v>1.4</v>
      </c>
      <c r="D379" s="8">
        <v>0.55943888425827026</v>
      </c>
      <c r="E379" s="5">
        <f>MATCH(D379,'Route Data'!$C$7:$C$8,1)</f>
        <v>2</v>
      </c>
      <c r="F379" s="5">
        <f>INDEX('Route Data'!$D$7:$D$8,E379)</f>
        <v>1</v>
      </c>
      <c r="G379" s="5" t="str">
        <f>INDEX('Route Data'!$A$7:$A$8,E379)</f>
        <v>u18</v>
      </c>
      <c r="H379" s="5">
        <f>EnergyCoeff(INDEX('Route Data'!$K$7:$K$8,E379),INDEX('Route Data'!$L$7:$L$8,E379)*2*PI()/60,INDEX('Route Data'!$F$7:$F$8,E379))</f>
        <v>0.19430699130049439</v>
      </c>
      <c r="I379" s="5">
        <f>DischargeCoeff(INDEX('Route Data'!$I$7:$I$8,E379), INDEX('Route Data'!$L$7:$L$8,E379)*2*PI()/60, INDEX('Route Data'!$F$7:$F$8,E379))</f>
        <v>0.15939200179827354</v>
      </c>
      <c r="J379" s="8">
        <f>FlowAngleRel(INDEX('Route Data'!$J$7:$J$8,E379)*INDEX('Route Data'!$I$7:$I$8,E379), INDEX('Route Data'!$L$7:$L$8,E379)*2*PI()/60, INDEX('Route Data'!$F$7:$F$8,E379),INDEX('Route Data'!$O$7:$O$8,E379), INDEX('Route Data'!$P$7:$P$8,E379),INDEX('Route Data'!$M$7:$M$8,E379))</f>
        <v>1.130811765868994</v>
      </c>
      <c r="K379" s="8">
        <f>FlowAngleAbsT(INDEX('Route Data'!$K$7:$K$8,E379), INDEX('Route Data'!$I$7:$I$8,E379), INDEX('Route Data'!$I$7:$I$8,E379)*INDEX('Route Data'!$J$7:$J$8,E379), INDEX('Route Data'!$L$7:$L$8,E379)*2*PI()/60, INDEX('Route Data'!$F$7:$F$8,E379),INDEX('Route Data'!$O$7:$O$8,E379), INDEX('Route Data'!$P$7:$P$8,E379), INDEX('Route Data'!$H$7:$H$8,E379), INDEX('Route Data'!$Q$7:$Q$8,E379), INDEX('Route Data'!$M$7:$M$8,E379))</f>
        <v>0.51617226640175828</v>
      </c>
      <c r="L379" s="5">
        <f>INDEX('Route Data'!$N$7:$N$8,E379)</f>
        <v>0.4</v>
      </c>
      <c r="M379" s="8">
        <v>0.62894314527511597</v>
      </c>
      <c r="N379" s="8">
        <f>ProbStrikeFrancis(K379, I379, L379, INDEX('Route Data'!$G$7:$G$8,E379),C379, INDEX('Route Data'!$F$7:$F$8,E379), INDEX('Route Data'!$O$7:$O$8,E379), INDEX('Route Data'!$H$7:$H$18,E379))</f>
        <v>1</v>
      </c>
      <c r="O379" s="5" t="str">
        <f>IF(F379&gt;=1,IF(M379&lt;=N379,"STRIKE","pass"),IF(M379&lt;=INDEX('Route Data'!$R$7:$R$8,E379),"NO PASS","pass"))</f>
        <v>STRIKE</v>
      </c>
      <c r="P379" s="5">
        <f>IF(F379&gt;=1,IF(M379&lt;=N379,1,0),IF(M379&lt;=INDEX('Route Data'!$R$7:$R$8,E379),-1,0))</f>
        <v>1</v>
      </c>
    </row>
    <row r="380" spans="1:16">
      <c r="A380" s="5">
        <v>370</v>
      </c>
      <c r="B380" s="12">
        <v>21.17</v>
      </c>
      <c r="C380" s="12">
        <f t="shared" si="5"/>
        <v>1.76</v>
      </c>
      <c r="D380" s="8">
        <v>0.84378969669342041</v>
      </c>
      <c r="E380" s="5">
        <f>MATCH(D380,'Route Data'!$C$7:$C$8,1)</f>
        <v>2</v>
      </c>
      <c r="F380" s="5">
        <f>INDEX('Route Data'!$D$7:$D$8,E380)</f>
        <v>1</v>
      </c>
      <c r="G380" s="5" t="str">
        <f>INDEX('Route Data'!$A$7:$A$8,E380)</f>
        <v>u18</v>
      </c>
      <c r="H380" s="5">
        <f>EnergyCoeff(INDEX('Route Data'!$K$7:$K$8,E380),INDEX('Route Data'!$L$7:$L$8,E380)*2*PI()/60,INDEX('Route Data'!$F$7:$F$8,E380))</f>
        <v>0.19430699130049439</v>
      </c>
      <c r="I380" s="5">
        <f>DischargeCoeff(INDEX('Route Data'!$I$7:$I$8,E380), INDEX('Route Data'!$L$7:$L$8,E380)*2*PI()/60, INDEX('Route Data'!$F$7:$F$8,E380))</f>
        <v>0.15939200179827354</v>
      </c>
      <c r="J380" s="8">
        <f>FlowAngleRel(INDEX('Route Data'!$J$7:$J$8,E380)*INDEX('Route Data'!$I$7:$I$8,E380), INDEX('Route Data'!$L$7:$L$8,E380)*2*PI()/60, INDEX('Route Data'!$F$7:$F$8,E380),INDEX('Route Data'!$O$7:$O$8,E380), INDEX('Route Data'!$P$7:$P$8,E380),INDEX('Route Data'!$M$7:$M$8,E380))</f>
        <v>1.130811765868994</v>
      </c>
      <c r="K380" s="8">
        <f>FlowAngleAbsT(INDEX('Route Data'!$K$7:$K$8,E380), INDEX('Route Data'!$I$7:$I$8,E380), INDEX('Route Data'!$I$7:$I$8,E380)*INDEX('Route Data'!$J$7:$J$8,E380), INDEX('Route Data'!$L$7:$L$8,E380)*2*PI()/60, INDEX('Route Data'!$F$7:$F$8,E380),INDEX('Route Data'!$O$7:$O$8,E380), INDEX('Route Data'!$P$7:$P$8,E380), INDEX('Route Data'!$H$7:$H$8,E380), INDEX('Route Data'!$Q$7:$Q$8,E380), INDEX('Route Data'!$M$7:$M$8,E380))</f>
        <v>0.51617226640175828</v>
      </c>
      <c r="L380" s="5">
        <f>INDEX('Route Data'!$N$7:$N$8,E380)</f>
        <v>0.4</v>
      </c>
      <c r="M380" s="8">
        <v>0.6223069429397583</v>
      </c>
      <c r="N380" s="8">
        <f>ProbStrikeFrancis(K380, I380, L380, INDEX('Route Data'!$G$7:$G$8,E380),C380, INDEX('Route Data'!$F$7:$F$8,E380), INDEX('Route Data'!$O$7:$O$8,E380), INDEX('Route Data'!$H$7:$H$18,E380))</f>
        <v>1</v>
      </c>
      <c r="O380" s="5" t="str">
        <f>IF(F380&gt;=1,IF(M380&lt;=N380,"STRIKE","pass"),IF(M380&lt;=INDEX('Route Data'!$R$7:$R$8,E380),"NO PASS","pass"))</f>
        <v>STRIKE</v>
      </c>
      <c r="P380" s="5">
        <f>IF(F380&gt;=1,IF(M380&lt;=N380,1,0),IF(M380&lt;=INDEX('Route Data'!$R$7:$R$8,E380),-1,0))</f>
        <v>1</v>
      </c>
    </row>
    <row r="381" spans="1:16">
      <c r="A381" s="5">
        <v>371</v>
      </c>
      <c r="B381" s="12">
        <v>23.87</v>
      </c>
      <c r="C381" s="12">
        <f t="shared" si="5"/>
        <v>1.99</v>
      </c>
      <c r="D381" s="8">
        <v>0.25631648302078247</v>
      </c>
      <c r="E381" s="5">
        <f>MATCH(D381,'Route Data'!$C$7:$C$8,1)</f>
        <v>2</v>
      </c>
      <c r="F381" s="5">
        <f>INDEX('Route Data'!$D$7:$D$8,E381)</f>
        <v>1</v>
      </c>
      <c r="G381" s="5" t="str">
        <f>INDEX('Route Data'!$A$7:$A$8,E381)</f>
        <v>u18</v>
      </c>
      <c r="H381" s="5">
        <f>EnergyCoeff(INDEX('Route Data'!$K$7:$K$8,E381),INDEX('Route Data'!$L$7:$L$8,E381)*2*PI()/60,INDEX('Route Data'!$F$7:$F$8,E381))</f>
        <v>0.19430699130049439</v>
      </c>
      <c r="I381" s="5">
        <f>DischargeCoeff(INDEX('Route Data'!$I$7:$I$8,E381), INDEX('Route Data'!$L$7:$L$8,E381)*2*PI()/60, INDEX('Route Data'!$F$7:$F$8,E381))</f>
        <v>0.15939200179827354</v>
      </c>
      <c r="J381" s="8">
        <f>FlowAngleRel(INDEX('Route Data'!$J$7:$J$8,E381)*INDEX('Route Data'!$I$7:$I$8,E381), INDEX('Route Data'!$L$7:$L$8,E381)*2*PI()/60, INDEX('Route Data'!$F$7:$F$8,E381),INDEX('Route Data'!$O$7:$O$8,E381), INDEX('Route Data'!$P$7:$P$8,E381),INDEX('Route Data'!$M$7:$M$8,E381))</f>
        <v>1.130811765868994</v>
      </c>
      <c r="K381" s="8">
        <f>FlowAngleAbsT(INDEX('Route Data'!$K$7:$K$8,E381), INDEX('Route Data'!$I$7:$I$8,E381), INDEX('Route Data'!$I$7:$I$8,E381)*INDEX('Route Data'!$J$7:$J$8,E381), INDEX('Route Data'!$L$7:$L$8,E381)*2*PI()/60, INDEX('Route Data'!$F$7:$F$8,E381),INDEX('Route Data'!$O$7:$O$8,E381), INDEX('Route Data'!$P$7:$P$8,E381), INDEX('Route Data'!$H$7:$H$8,E381), INDEX('Route Data'!$Q$7:$Q$8,E381), INDEX('Route Data'!$M$7:$M$8,E381))</f>
        <v>0.51617226640175828</v>
      </c>
      <c r="L381" s="5">
        <f>INDEX('Route Data'!$N$7:$N$8,E381)</f>
        <v>0.4</v>
      </c>
      <c r="M381" s="8">
        <v>0.3766363263130188</v>
      </c>
      <c r="N381" s="8">
        <f>ProbStrikeFrancis(K381, I381, L381, INDEX('Route Data'!$G$7:$G$8,E381),C381, INDEX('Route Data'!$F$7:$F$8,E381), INDEX('Route Data'!$O$7:$O$8,E381), INDEX('Route Data'!$H$7:$H$18,E381))</f>
        <v>1</v>
      </c>
      <c r="O381" s="5" t="str">
        <f>IF(F381&gt;=1,IF(M381&lt;=N381,"STRIKE","pass"),IF(M381&lt;=INDEX('Route Data'!$R$7:$R$8,E381),"NO PASS","pass"))</f>
        <v>STRIKE</v>
      </c>
      <c r="P381" s="5">
        <f>IF(F381&gt;=1,IF(M381&lt;=N381,1,0),IF(M381&lt;=INDEX('Route Data'!$R$7:$R$8,E381),-1,0))</f>
        <v>1</v>
      </c>
    </row>
    <row r="382" spans="1:16">
      <c r="A382" s="5">
        <v>372</v>
      </c>
      <c r="B382" s="12">
        <v>24.36</v>
      </c>
      <c r="C382" s="12">
        <f t="shared" si="5"/>
        <v>2.0299999999999998</v>
      </c>
      <c r="D382" s="8">
        <v>0.28431534767150879</v>
      </c>
      <c r="E382" s="5">
        <f>MATCH(D382,'Route Data'!$C$7:$C$8,1)</f>
        <v>2</v>
      </c>
      <c r="F382" s="5">
        <f>INDEX('Route Data'!$D$7:$D$8,E382)</f>
        <v>1</v>
      </c>
      <c r="G382" s="5" t="str">
        <f>INDEX('Route Data'!$A$7:$A$8,E382)</f>
        <v>u18</v>
      </c>
      <c r="H382" s="5">
        <f>EnergyCoeff(INDEX('Route Data'!$K$7:$K$8,E382),INDEX('Route Data'!$L$7:$L$8,E382)*2*PI()/60,INDEX('Route Data'!$F$7:$F$8,E382))</f>
        <v>0.19430699130049439</v>
      </c>
      <c r="I382" s="5">
        <f>DischargeCoeff(INDEX('Route Data'!$I$7:$I$8,E382), INDEX('Route Data'!$L$7:$L$8,E382)*2*PI()/60, INDEX('Route Data'!$F$7:$F$8,E382))</f>
        <v>0.15939200179827354</v>
      </c>
      <c r="J382" s="8">
        <f>FlowAngleRel(INDEX('Route Data'!$J$7:$J$8,E382)*INDEX('Route Data'!$I$7:$I$8,E382), INDEX('Route Data'!$L$7:$L$8,E382)*2*PI()/60, INDEX('Route Data'!$F$7:$F$8,E382),INDEX('Route Data'!$O$7:$O$8,E382), INDEX('Route Data'!$P$7:$P$8,E382),INDEX('Route Data'!$M$7:$M$8,E382))</f>
        <v>1.130811765868994</v>
      </c>
      <c r="K382" s="8">
        <f>FlowAngleAbsT(INDEX('Route Data'!$K$7:$K$8,E382), INDEX('Route Data'!$I$7:$I$8,E382), INDEX('Route Data'!$I$7:$I$8,E382)*INDEX('Route Data'!$J$7:$J$8,E382), INDEX('Route Data'!$L$7:$L$8,E382)*2*PI()/60, INDEX('Route Data'!$F$7:$F$8,E382),INDEX('Route Data'!$O$7:$O$8,E382), INDEX('Route Data'!$P$7:$P$8,E382), INDEX('Route Data'!$H$7:$H$8,E382), INDEX('Route Data'!$Q$7:$Q$8,E382), INDEX('Route Data'!$M$7:$M$8,E382))</f>
        <v>0.51617226640175828</v>
      </c>
      <c r="L382" s="5">
        <f>INDEX('Route Data'!$N$7:$N$8,E382)</f>
        <v>0.4</v>
      </c>
      <c r="M382" s="8">
        <v>0.1136481761932373</v>
      </c>
      <c r="N382" s="8">
        <f>ProbStrikeFrancis(K382, I382, L382, INDEX('Route Data'!$G$7:$G$8,E382),C382, INDEX('Route Data'!$F$7:$F$8,E382), INDEX('Route Data'!$O$7:$O$8,E382), INDEX('Route Data'!$H$7:$H$18,E382))</f>
        <v>1</v>
      </c>
      <c r="O382" s="5" t="str">
        <f>IF(F382&gt;=1,IF(M382&lt;=N382,"STRIKE","pass"),IF(M382&lt;=INDEX('Route Data'!$R$7:$R$8,E382),"NO PASS","pass"))</f>
        <v>STRIKE</v>
      </c>
      <c r="P382" s="5">
        <f>IF(F382&gt;=1,IF(M382&lt;=N382,1,0),IF(M382&lt;=INDEX('Route Data'!$R$7:$R$8,E382),-1,0))</f>
        <v>1</v>
      </c>
    </row>
    <row r="383" spans="1:16">
      <c r="A383" s="5">
        <v>373</v>
      </c>
      <c r="B383" s="12">
        <v>22.99</v>
      </c>
      <c r="C383" s="12">
        <f t="shared" si="5"/>
        <v>1.92</v>
      </c>
      <c r="D383" s="8">
        <v>0.46589797735214233</v>
      </c>
      <c r="E383" s="5">
        <f>MATCH(D383,'Route Data'!$C$7:$C$8,1)</f>
        <v>2</v>
      </c>
      <c r="F383" s="5">
        <f>INDEX('Route Data'!$D$7:$D$8,E383)</f>
        <v>1</v>
      </c>
      <c r="G383" s="5" t="str">
        <f>INDEX('Route Data'!$A$7:$A$8,E383)</f>
        <v>u18</v>
      </c>
      <c r="H383" s="5">
        <f>EnergyCoeff(INDEX('Route Data'!$K$7:$K$8,E383),INDEX('Route Data'!$L$7:$L$8,E383)*2*PI()/60,INDEX('Route Data'!$F$7:$F$8,E383))</f>
        <v>0.19430699130049439</v>
      </c>
      <c r="I383" s="5">
        <f>DischargeCoeff(INDEX('Route Data'!$I$7:$I$8,E383), INDEX('Route Data'!$L$7:$L$8,E383)*2*PI()/60, INDEX('Route Data'!$F$7:$F$8,E383))</f>
        <v>0.15939200179827354</v>
      </c>
      <c r="J383" s="8">
        <f>FlowAngleRel(INDEX('Route Data'!$J$7:$J$8,E383)*INDEX('Route Data'!$I$7:$I$8,E383), INDEX('Route Data'!$L$7:$L$8,E383)*2*PI()/60, INDEX('Route Data'!$F$7:$F$8,E383),INDEX('Route Data'!$O$7:$O$8,E383), INDEX('Route Data'!$P$7:$P$8,E383),INDEX('Route Data'!$M$7:$M$8,E383))</f>
        <v>1.130811765868994</v>
      </c>
      <c r="K383" s="8">
        <f>FlowAngleAbsT(INDEX('Route Data'!$K$7:$K$8,E383), INDEX('Route Data'!$I$7:$I$8,E383), INDEX('Route Data'!$I$7:$I$8,E383)*INDEX('Route Data'!$J$7:$J$8,E383), INDEX('Route Data'!$L$7:$L$8,E383)*2*PI()/60, INDEX('Route Data'!$F$7:$F$8,E383),INDEX('Route Data'!$O$7:$O$8,E383), INDEX('Route Data'!$P$7:$P$8,E383), INDEX('Route Data'!$H$7:$H$8,E383), INDEX('Route Data'!$Q$7:$Q$8,E383), INDEX('Route Data'!$M$7:$M$8,E383))</f>
        <v>0.51617226640175828</v>
      </c>
      <c r="L383" s="5">
        <f>INDEX('Route Data'!$N$7:$N$8,E383)</f>
        <v>0.4</v>
      </c>
      <c r="M383" s="8">
        <v>0.63703340291976929</v>
      </c>
      <c r="N383" s="8">
        <f>ProbStrikeFrancis(K383, I383, L383, INDEX('Route Data'!$G$7:$G$8,E383),C383, INDEX('Route Data'!$F$7:$F$8,E383), INDEX('Route Data'!$O$7:$O$8,E383), INDEX('Route Data'!$H$7:$H$18,E383))</f>
        <v>1</v>
      </c>
      <c r="O383" s="5" t="str">
        <f>IF(F383&gt;=1,IF(M383&lt;=N383,"STRIKE","pass"),IF(M383&lt;=INDEX('Route Data'!$R$7:$R$8,E383),"NO PASS","pass"))</f>
        <v>STRIKE</v>
      </c>
      <c r="P383" s="5">
        <f>IF(F383&gt;=1,IF(M383&lt;=N383,1,0),IF(M383&lt;=INDEX('Route Data'!$R$7:$R$8,E383),-1,0))</f>
        <v>1</v>
      </c>
    </row>
    <row r="384" spans="1:16">
      <c r="A384" s="5">
        <v>374</v>
      </c>
      <c r="B384" s="12">
        <v>17.48</v>
      </c>
      <c r="C384" s="12">
        <f t="shared" si="5"/>
        <v>1.46</v>
      </c>
      <c r="D384" s="8">
        <v>0.6555708646774292</v>
      </c>
      <c r="E384" s="5">
        <f>MATCH(D384,'Route Data'!$C$7:$C$8,1)</f>
        <v>2</v>
      </c>
      <c r="F384" s="5">
        <f>INDEX('Route Data'!$D$7:$D$8,E384)</f>
        <v>1</v>
      </c>
      <c r="G384" s="5" t="str">
        <f>INDEX('Route Data'!$A$7:$A$8,E384)</f>
        <v>u18</v>
      </c>
      <c r="H384" s="5">
        <f>EnergyCoeff(INDEX('Route Data'!$K$7:$K$8,E384),INDEX('Route Data'!$L$7:$L$8,E384)*2*PI()/60,INDEX('Route Data'!$F$7:$F$8,E384))</f>
        <v>0.19430699130049439</v>
      </c>
      <c r="I384" s="5">
        <f>DischargeCoeff(INDEX('Route Data'!$I$7:$I$8,E384), INDEX('Route Data'!$L$7:$L$8,E384)*2*PI()/60, INDEX('Route Data'!$F$7:$F$8,E384))</f>
        <v>0.15939200179827354</v>
      </c>
      <c r="J384" s="8">
        <f>FlowAngleRel(INDEX('Route Data'!$J$7:$J$8,E384)*INDEX('Route Data'!$I$7:$I$8,E384), INDEX('Route Data'!$L$7:$L$8,E384)*2*PI()/60, INDEX('Route Data'!$F$7:$F$8,E384),INDEX('Route Data'!$O$7:$O$8,E384), INDEX('Route Data'!$P$7:$P$8,E384),INDEX('Route Data'!$M$7:$M$8,E384))</f>
        <v>1.130811765868994</v>
      </c>
      <c r="K384" s="8">
        <f>FlowAngleAbsT(INDEX('Route Data'!$K$7:$K$8,E384), INDEX('Route Data'!$I$7:$I$8,E384), INDEX('Route Data'!$I$7:$I$8,E384)*INDEX('Route Data'!$J$7:$J$8,E384), INDEX('Route Data'!$L$7:$L$8,E384)*2*PI()/60, INDEX('Route Data'!$F$7:$F$8,E384),INDEX('Route Data'!$O$7:$O$8,E384), INDEX('Route Data'!$P$7:$P$8,E384), INDEX('Route Data'!$H$7:$H$8,E384), INDEX('Route Data'!$Q$7:$Q$8,E384), INDEX('Route Data'!$M$7:$M$8,E384))</f>
        <v>0.51617226640175828</v>
      </c>
      <c r="L384" s="5">
        <f>INDEX('Route Data'!$N$7:$N$8,E384)</f>
        <v>0.4</v>
      </c>
      <c r="M384" s="8">
        <v>6.687772274017334E-2</v>
      </c>
      <c r="N384" s="8">
        <f>ProbStrikeFrancis(K384, I384, L384, INDEX('Route Data'!$G$7:$G$8,E384),C384, INDEX('Route Data'!$F$7:$F$8,E384), INDEX('Route Data'!$O$7:$O$8,E384), INDEX('Route Data'!$H$7:$H$18,E384))</f>
        <v>1</v>
      </c>
      <c r="O384" s="5" t="str">
        <f>IF(F384&gt;=1,IF(M384&lt;=N384,"STRIKE","pass"),IF(M384&lt;=INDEX('Route Data'!$R$7:$R$8,E384),"NO PASS","pass"))</f>
        <v>STRIKE</v>
      </c>
      <c r="P384" s="5">
        <f>IF(F384&gt;=1,IF(M384&lt;=N384,1,0),IF(M384&lt;=INDEX('Route Data'!$R$7:$R$8,E384),-1,0))</f>
        <v>1</v>
      </c>
    </row>
    <row r="385" spans="1:16">
      <c r="A385" s="5">
        <v>375</v>
      </c>
      <c r="B385" s="12">
        <v>21.2</v>
      </c>
      <c r="C385" s="12">
        <f t="shared" si="5"/>
        <v>1.77</v>
      </c>
      <c r="D385" s="8">
        <v>0.5553937554359436</v>
      </c>
      <c r="E385" s="5">
        <f>MATCH(D385,'Route Data'!$C$7:$C$8,1)</f>
        <v>2</v>
      </c>
      <c r="F385" s="5">
        <f>INDEX('Route Data'!$D$7:$D$8,E385)</f>
        <v>1</v>
      </c>
      <c r="G385" s="5" t="str">
        <f>INDEX('Route Data'!$A$7:$A$8,E385)</f>
        <v>u18</v>
      </c>
      <c r="H385" s="5">
        <f>EnergyCoeff(INDEX('Route Data'!$K$7:$K$8,E385),INDEX('Route Data'!$L$7:$L$8,E385)*2*PI()/60,INDEX('Route Data'!$F$7:$F$8,E385))</f>
        <v>0.19430699130049439</v>
      </c>
      <c r="I385" s="5">
        <f>DischargeCoeff(INDEX('Route Data'!$I$7:$I$8,E385), INDEX('Route Data'!$L$7:$L$8,E385)*2*PI()/60, INDEX('Route Data'!$F$7:$F$8,E385))</f>
        <v>0.15939200179827354</v>
      </c>
      <c r="J385" s="8">
        <f>FlowAngleRel(INDEX('Route Data'!$J$7:$J$8,E385)*INDEX('Route Data'!$I$7:$I$8,E385), INDEX('Route Data'!$L$7:$L$8,E385)*2*PI()/60, INDEX('Route Data'!$F$7:$F$8,E385),INDEX('Route Data'!$O$7:$O$8,E385), INDEX('Route Data'!$P$7:$P$8,E385),INDEX('Route Data'!$M$7:$M$8,E385))</f>
        <v>1.130811765868994</v>
      </c>
      <c r="K385" s="8">
        <f>FlowAngleAbsT(INDEX('Route Data'!$K$7:$K$8,E385), INDEX('Route Data'!$I$7:$I$8,E385), INDEX('Route Data'!$I$7:$I$8,E385)*INDEX('Route Data'!$J$7:$J$8,E385), INDEX('Route Data'!$L$7:$L$8,E385)*2*PI()/60, INDEX('Route Data'!$F$7:$F$8,E385),INDEX('Route Data'!$O$7:$O$8,E385), INDEX('Route Data'!$P$7:$P$8,E385), INDEX('Route Data'!$H$7:$H$8,E385), INDEX('Route Data'!$Q$7:$Q$8,E385), INDEX('Route Data'!$M$7:$M$8,E385))</f>
        <v>0.51617226640175828</v>
      </c>
      <c r="L385" s="5">
        <f>INDEX('Route Data'!$N$7:$N$8,E385)</f>
        <v>0.4</v>
      </c>
      <c r="M385" s="8">
        <v>0.30850321054458618</v>
      </c>
      <c r="N385" s="8">
        <f>ProbStrikeFrancis(K385, I385, L385, INDEX('Route Data'!$G$7:$G$8,E385),C385, INDEX('Route Data'!$F$7:$F$8,E385), INDEX('Route Data'!$O$7:$O$8,E385), INDEX('Route Data'!$H$7:$H$18,E385))</f>
        <v>1</v>
      </c>
      <c r="O385" s="5" t="str">
        <f>IF(F385&gt;=1,IF(M385&lt;=N385,"STRIKE","pass"),IF(M385&lt;=INDEX('Route Data'!$R$7:$R$8,E385),"NO PASS","pass"))</f>
        <v>STRIKE</v>
      </c>
      <c r="P385" s="5">
        <f>IF(F385&gt;=1,IF(M385&lt;=N385,1,0),IF(M385&lt;=INDEX('Route Data'!$R$7:$R$8,E385),-1,0))</f>
        <v>1</v>
      </c>
    </row>
    <row r="386" spans="1:16">
      <c r="A386" s="5">
        <v>376</v>
      </c>
      <c r="B386" s="12">
        <v>19.86</v>
      </c>
      <c r="C386" s="12">
        <f t="shared" si="5"/>
        <v>1.66</v>
      </c>
      <c r="D386" s="8">
        <v>0.12150430679321289</v>
      </c>
      <c r="E386" s="5">
        <f>MATCH(D386,'Route Data'!$C$7:$C$8,1)</f>
        <v>2</v>
      </c>
      <c r="F386" s="5">
        <f>INDEX('Route Data'!$D$7:$D$8,E386)</f>
        <v>1</v>
      </c>
      <c r="G386" s="5" t="str">
        <f>INDEX('Route Data'!$A$7:$A$8,E386)</f>
        <v>u18</v>
      </c>
      <c r="H386" s="5">
        <f>EnergyCoeff(INDEX('Route Data'!$K$7:$K$8,E386),INDEX('Route Data'!$L$7:$L$8,E386)*2*PI()/60,INDEX('Route Data'!$F$7:$F$8,E386))</f>
        <v>0.19430699130049439</v>
      </c>
      <c r="I386" s="5">
        <f>DischargeCoeff(INDEX('Route Data'!$I$7:$I$8,E386), INDEX('Route Data'!$L$7:$L$8,E386)*2*PI()/60, INDEX('Route Data'!$F$7:$F$8,E386))</f>
        <v>0.15939200179827354</v>
      </c>
      <c r="J386" s="8">
        <f>FlowAngleRel(INDEX('Route Data'!$J$7:$J$8,E386)*INDEX('Route Data'!$I$7:$I$8,E386), INDEX('Route Data'!$L$7:$L$8,E386)*2*PI()/60, INDEX('Route Data'!$F$7:$F$8,E386),INDEX('Route Data'!$O$7:$O$8,E386), INDEX('Route Data'!$P$7:$P$8,E386),INDEX('Route Data'!$M$7:$M$8,E386))</f>
        <v>1.130811765868994</v>
      </c>
      <c r="K386" s="8">
        <f>FlowAngleAbsT(INDEX('Route Data'!$K$7:$K$8,E386), INDEX('Route Data'!$I$7:$I$8,E386), INDEX('Route Data'!$I$7:$I$8,E386)*INDEX('Route Data'!$J$7:$J$8,E386), INDEX('Route Data'!$L$7:$L$8,E386)*2*PI()/60, INDEX('Route Data'!$F$7:$F$8,E386),INDEX('Route Data'!$O$7:$O$8,E386), INDEX('Route Data'!$P$7:$P$8,E386), INDEX('Route Data'!$H$7:$H$8,E386), INDEX('Route Data'!$Q$7:$Q$8,E386), INDEX('Route Data'!$M$7:$M$8,E386))</f>
        <v>0.51617226640175828</v>
      </c>
      <c r="L386" s="5">
        <f>INDEX('Route Data'!$N$7:$N$8,E386)</f>
        <v>0.4</v>
      </c>
      <c r="M386" s="8">
        <v>0.58362674713134766</v>
      </c>
      <c r="N386" s="8">
        <f>ProbStrikeFrancis(K386, I386, L386, INDEX('Route Data'!$G$7:$G$8,E386),C386, INDEX('Route Data'!$F$7:$F$8,E386), INDEX('Route Data'!$O$7:$O$8,E386), INDEX('Route Data'!$H$7:$H$18,E386))</f>
        <v>1</v>
      </c>
      <c r="O386" s="5" t="str">
        <f>IF(F386&gt;=1,IF(M386&lt;=N386,"STRIKE","pass"),IF(M386&lt;=INDEX('Route Data'!$R$7:$R$8,E386),"NO PASS","pass"))</f>
        <v>STRIKE</v>
      </c>
      <c r="P386" s="5">
        <f>IF(F386&gt;=1,IF(M386&lt;=N386,1,0),IF(M386&lt;=INDEX('Route Data'!$R$7:$R$8,E386),-1,0))</f>
        <v>1</v>
      </c>
    </row>
    <row r="387" spans="1:16">
      <c r="A387" s="5">
        <v>377</v>
      </c>
      <c r="B387" s="12">
        <v>26.38</v>
      </c>
      <c r="C387" s="12">
        <f t="shared" si="5"/>
        <v>2.2000000000000002</v>
      </c>
      <c r="D387" s="8">
        <v>0.42317265272140503</v>
      </c>
      <c r="E387" s="5">
        <f>MATCH(D387,'Route Data'!$C$7:$C$8,1)</f>
        <v>2</v>
      </c>
      <c r="F387" s="5">
        <f>INDEX('Route Data'!$D$7:$D$8,E387)</f>
        <v>1</v>
      </c>
      <c r="G387" s="5" t="str">
        <f>INDEX('Route Data'!$A$7:$A$8,E387)</f>
        <v>u18</v>
      </c>
      <c r="H387" s="5">
        <f>EnergyCoeff(INDEX('Route Data'!$K$7:$K$8,E387),INDEX('Route Data'!$L$7:$L$8,E387)*2*PI()/60,INDEX('Route Data'!$F$7:$F$8,E387))</f>
        <v>0.19430699130049439</v>
      </c>
      <c r="I387" s="5">
        <f>DischargeCoeff(INDEX('Route Data'!$I$7:$I$8,E387), INDEX('Route Data'!$L$7:$L$8,E387)*2*PI()/60, INDEX('Route Data'!$F$7:$F$8,E387))</f>
        <v>0.15939200179827354</v>
      </c>
      <c r="J387" s="8">
        <f>FlowAngleRel(INDEX('Route Data'!$J$7:$J$8,E387)*INDEX('Route Data'!$I$7:$I$8,E387), INDEX('Route Data'!$L$7:$L$8,E387)*2*PI()/60, INDEX('Route Data'!$F$7:$F$8,E387),INDEX('Route Data'!$O$7:$O$8,E387), INDEX('Route Data'!$P$7:$P$8,E387),INDEX('Route Data'!$M$7:$M$8,E387))</f>
        <v>1.130811765868994</v>
      </c>
      <c r="K387" s="8">
        <f>FlowAngleAbsT(INDEX('Route Data'!$K$7:$K$8,E387), INDEX('Route Data'!$I$7:$I$8,E387), INDEX('Route Data'!$I$7:$I$8,E387)*INDEX('Route Data'!$J$7:$J$8,E387), INDEX('Route Data'!$L$7:$L$8,E387)*2*PI()/60, INDEX('Route Data'!$F$7:$F$8,E387),INDEX('Route Data'!$O$7:$O$8,E387), INDEX('Route Data'!$P$7:$P$8,E387), INDEX('Route Data'!$H$7:$H$8,E387), INDEX('Route Data'!$Q$7:$Q$8,E387), INDEX('Route Data'!$M$7:$M$8,E387))</f>
        <v>0.51617226640175828</v>
      </c>
      <c r="L387" s="5">
        <f>INDEX('Route Data'!$N$7:$N$8,E387)</f>
        <v>0.4</v>
      </c>
      <c r="M387" s="8">
        <v>0.22709769010543823</v>
      </c>
      <c r="N387" s="8">
        <f>ProbStrikeFrancis(K387, I387, L387, INDEX('Route Data'!$G$7:$G$8,E387),C387, INDEX('Route Data'!$F$7:$F$8,E387), INDEX('Route Data'!$O$7:$O$8,E387), INDEX('Route Data'!$H$7:$H$18,E387))</f>
        <v>1</v>
      </c>
      <c r="O387" s="5" t="str">
        <f>IF(F387&gt;=1,IF(M387&lt;=N387,"STRIKE","pass"),IF(M387&lt;=INDEX('Route Data'!$R$7:$R$8,E387),"NO PASS","pass"))</f>
        <v>STRIKE</v>
      </c>
      <c r="P387" s="5">
        <f>IF(F387&gt;=1,IF(M387&lt;=N387,1,0),IF(M387&lt;=INDEX('Route Data'!$R$7:$R$8,E387),-1,0))</f>
        <v>1</v>
      </c>
    </row>
    <row r="388" spans="1:16">
      <c r="A388" s="5">
        <v>378</v>
      </c>
      <c r="B388" s="12">
        <v>22.8</v>
      </c>
      <c r="C388" s="12">
        <f t="shared" si="5"/>
        <v>1.9</v>
      </c>
      <c r="D388" s="8">
        <v>0.78374683856964111</v>
      </c>
      <c r="E388" s="5">
        <f>MATCH(D388,'Route Data'!$C$7:$C$8,1)</f>
        <v>2</v>
      </c>
      <c r="F388" s="5">
        <f>INDEX('Route Data'!$D$7:$D$8,E388)</f>
        <v>1</v>
      </c>
      <c r="G388" s="5" t="str">
        <f>INDEX('Route Data'!$A$7:$A$8,E388)</f>
        <v>u18</v>
      </c>
      <c r="H388" s="5">
        <f>EnergyCoeff(INDEX('Route Data'!$K$7:$K$8,E388),INDEX('Route Data'!$L$7:$L$8,E388)*2*PI()/60,INDEX('Route Data'!$F$7:$F$8,E388))</f>
        <v>0.19430699130049439</v>
      </c>
      <c r="I388" s="5">
        <f>DischargeCoeff(INDEX('Route Data'!$I$7:$I$8,E388), INDEX('Route Data'!$L$7:$L$8,E388)*2*PI()/60, INDEX('Route Data'!$F$7:$F$8,E388))</f>
        <v>0.15939200179827354</v>
      </c>
      <c r="J388" s="8">
        <f>FlowAngleRel(INDEX('Route Data'!$J$7:$J$8,E388)*INDEX('Route Data'!$I$7:$I$8,E388), INDEX('Route Data'!$L$7:$L$8,E388)*2*PI()/60, INDEX('Route Data'!$F$7:$F$8,E388),INDEX('Route Data'!$O$7:$O$8,E388), INDEX('Route Data'!$P$7:$P$8,E388),INDEX('Route Data'!$M$7:$M$8,E388))</f>
        <v>1.130811765868994</v>
      </c>
      <c r="K388" s="8">
        <f>FlowAngleAbsT(INDEX('Route Data'!$K$7:$K$8,E388), INDEX('Route Data'!$I$7:$I$8,E388), INDEX('Route Data'!$I$7:$I$8,E388)*INDEX('Route Data'!$J$7:$J$8,E388), INDEX('Route Data'!$L$7:$L$8,E388)*2*PI()/60, INDEX('Route Data'!$F$7:$F$8,E388),INDEX('Route Data'!$O$7:$O$8,E388), INDEX('Route Data'!$P$7:$P$8,E388), INDEX('Route Data'!$H$7:$H$8,E388), INDEX('Route Data'!$Q$7:$Q$8,E388), INDEX('Route Data'!$M$7:$M$8,E388))</f>
        <v>0.51617226640175828</v>
      </c>
      <c r="L388" s="5">
        <f>INDEX('Route Data'!$N$7:$N$8,E388)</f>
        <v>0.4</v>
      </c>
      <c r="M388" s="8">
        <v>0.562264084815979</v>
      </c>
      <c r="N388" s="8">
        <f>ProbStrikeFrancis(K388, I388, L388, INDEX('Route Data'!$G$7:$G$8,E388),C388, INDEX('Route Data'!$F$7:$F$8,E388), INDEX('Route Data'!$O$7:$O$8,E388), INDEX('Route Data'!$H$7:$H$18,E388))</f>
        <v>1</v>
      </c>
      <c r="O388" s="5" t="str">
        <f>IF(F388&gt;=1,IF(M388&lt;=N388,"STRIKE","pass"),IF(M388&lt;=INDEX('Route Data'!$R$7:$R$8,E388),"NO PASS","pass"))</f>
        <v>STRIKE</v>
      </c>
      <c r="P388" s="5">
        <f>IF(F388&gt;=1,IF(M388&lt;=N388,1,0),IF(M388&lt;=INDEX('Route Data'!$R$7:$R$8,E388),-1,0))</f>
        <v>1</v>
      </c>
    </row>
    <row r="389" spans="1:16">
      <c r="A389" s="5">
        <v>379</v>
      </c>
      <c r="B389" s="12">
        <v>23.16</v>
      </c>
      <c r="C389" s="12">
        <f t="shared" si="5"/>
        <v>1.93</v>
      </c>
      <c r="D389" s="8">
        <v>0.17086583375930786</v>
      </c>
      <c r="E389" s="5">
        <f>MATCH(D389,'Route Data'!$C$7:$C$8,1)</f>
        <v>2</v>
      </c>
      <c r="F389" s="5">
        <f>INDEX('Route Data'!$D$7:$D$8,E389)</f>
        <v>1</v>
      </c>
      <c r="G389" s="5" t="str">
        <f>INDEX('Route Data'!$A$7:$A$8,E389)</f>
        <v>u18</v>
      </c>
      <c r="H389" s="5">
        <f>EnergyCoeff(INDEX('Route Data'!$K$7:$K$8,E389),INDEX('Route Data'!$L$7:$L$8,E389)*2*PI()/60,INDEX('Route Data'!$F$7:$F$8,E389))</f>
        <v>0.19430699130049439</v>
      </c>
      <c r="I389" s="5">
        <f>DischargeCoeff(INDEX('Route Data'!$I$7:$I$8,E389), INDEX('Route Data'!$L$7:$L$8,E389)*2*PI()/60, INDEX('Route Data'!$F$7:$F$8,E389))</f>
        <v>0.15939200179827354</v>
      </c>
      <c r="J389" s="8">
        <f>FlowAngleRel(INDEX('Route Data'!$J$7:$J$8,E389)*INDEX('Route Data'!$I$7:$I$8,E389), INDEX('Route Data'!$L$7:$L$8,E389)*2*PI()/60, INDEX('Route Data'!$F$7:$F$8,E389),INDEX('Route Data'!$O$7:$O$8,E389), INDEX('Route Data'!$P$7:$P$8,E389),INDEX('Route Data'!$M$7:$M$8,E389))</f>
        <v>1.130811765868994</v>
      </c>
      <c r="K389" s="8">
        <f>FlowAngleAbsT(INDEX('Route Data'!$K$7:$K$8,E389), INDEX('Route Data'!$I$7:$I$8,E389), INDEX('Route Data'!$I$7:$I$8,E389)*INDEX('Route Data'!$J$7:$J$8,E389), INDEX('Route Data'!$L$7:$L$8,E389)*2*PI()/60, INDEX('Route Data'!$F$7:$F$8,E389),INDEX('Route Data'!$O$7:$O$8,E389), INDEX('Route Data'!$P$7:$P$8,E389), INDEX('Route Data'!$H$7:$H$8,E389), INDEX('Route Data'!$Q$7:$Q$8,E389), INDEX('Route Data'!$M$7:$M$8,E389))</f>
        <v>0.51617226640175828</v>
      </c>
      <c r="L389" s="5">
        <f>INDEX('Route Data'!$N$7:$N$8,E389)</f>
        <v>0.4</v>
      </c>
      <c r="M389" s="8">
        <v>0.29118567705154419</v>
      </c>
      <c r="N389" s="8">
        <f>ProbStrikeFrancis(K389, I389, L389, INDEX('Route Data'!$G$7:$G$8,E389),C389, INDEX('Route Data'!$F$7:$F$8,E389), INDEX('Route Data'!$O$7:$O$8,E389), INDEX('Route Data'!$H$7:$H$18,E389))</f>
        <v>1</v>
      </c>
      <c r="O389" s="5" t="str">
        <f>IF(F389&gt;=1,IF(M389&lt;=N389,"STRIKE","pass"),IF(M389&lt;=INDEX('Route Data'!$R$7:$R$8,E389),"NO PASS","pass"))</f>
        <v>STRIKE</v>
      </c>
      <c r="P389" s="5">
        <f>IF(F389&gt;=1,IF(M389&lt;=N389,1,0),IF(M389&lt;=INDEX('Route Data'!$R$7:$R$8,E389),-1,0))</f>
        <v>1</v>
      </c>
    </row>
    <row r="390" spans="1:16">
      <c r="A390" s="5">
        <v>380</v>
      </c>
      <c r="B390" s="12">
        <v>29.91</v>
      </c>
      <c r="C390" s="12">
        <f t="shared" si="5"/>
        <v>2.4900000000000002</v>
      </c>
      <c r="D390" s="8">
        <v>0.54066729545593262</v>
      </c>
      <c r="E390" s="5">
        <f>MATCH(D390,'Route Data'!$C$7:$C$8,1)</f>
        <v>2</v>
      </c>
      <c r="F390" s="5">
        <f>INDEX('Route Data'!$D$7:$D$8,E390)</f>
        <v>1</v>
      </c>
      <c r="G390" s="5" t="str">
        <f>INDEX('Route Data'!$A$7:$A$8,E390)</f>
        <v>u18</v>
      </c>
      <c r="H390" s="5">
        <f>EnergyCoeff(INDEX('Route Data'!$K$7:$K$8,E390),INDEX('Route Data'!$L$7:$L$8,E390)*2*PI()/60,INDEX('Route Data'!$F$7:$F$8,E390))</f>
        <v>0.19430699130049439</v>
      </c>
      <c r="I390" s="5">
        <f>DischargeCoeff(INDEX('Route Data'!$I$7:$I$8,E390), INDEX('Route Data'!$L$7:$L$8,E390)*2*PI()/60, INDEX('Route Data'!$F$7:$F$8,E390))</f>
        <v>0.15939200179827354</v>
      </c>
      <c r="J390" s="8">
        <f>FlowAngleRel(INDEX('Route Data'!$J$7:$J$8,E390)*INDEX('Route Data'!$I$7:$I$8,E390), INDEX('Route Data'!$L$7:$L$8,E390)*2*PI()/60, INDEX('Route Data'!$F$7:$F$8,E390),INDEX('Route Data'!$O$7:$O$8,E390), INDEX('Route Data'!$P$7:$P$8,E390),INDEX('Route Data'!$M$7:$M$8,E390))</f>
        <v>1.130811765868994</v>
      </c>
      <c r="K390" s="8">
        <f>FlowAngleAbsT(INDEX('Route Data'!$K$7:$K$8,E390), INDEX('Route Data'!$I$7:$I$8,E390), INDEX('Route Data'!$I$7:$I$8,E390)*INDEX('Route Data'!$J$7:$J$8,E390), INDEX('Route Data'!$L$7:$L$8,E390)*2*PI()/60, INDEX('Route Data'!$F$7:$F$8,E390),INDEX('Route Data'!$O$7:$O$8,E390), INDEX('Route Data'!$P$7:$P$8,E390), INDEX('Route Data'!$H$7:$H$8,E390), INDEX('Route Data'!$Q$7:$Q$8,E390), INDEX('Route Data'!$M$7:$M$8,E390))</f>
        <v>0.51617226640175828</v>
      </c>
      <c r="L390" s="5">
        <f>INDEX('Route Data'!$N$7:$N$8,E390)</f>
        <v>0.4</v>
      </c>
      <c r="M390" s="8">
        <v>0.37000012397766113</v>
      </c>
      <c r="N390" s="8">
        <f>ProbStrikeFrancis(K390, I390, L390, INDEX('Route Data'!$G$7:$G$8,E390),C390, INDEX('Route Data'!$F$7:$F$8,E390), INDEX('Route Data'!$O$7:$O$8,E390), INDEX('Route Data'!$H$7:$H$18,E390))</f>
        <v>1</v>
      </c>
      <c r="O390" s="5" t="str">
        <f>IF(F390&gt;=1,IF(M390&lt;=N390,"STRIKE","pass"),IF(M390&lt;=INDEX('Route Data'!$R$7:$R$8,E390),"NO PASS","pass"))</f>
        <v>STRIKE</v>
      </c>
      <c r="P390" s="5">
        <f>IF(F390&gt;=1,IF(M390&lt;=N390,1,0),IF(M390&lt;=INDEX('Route Data'!$R$7:$R$8,E390),-1,0))</f>
        <v>1</v>
      </c>
    </row>
    <row r="391" spans="1:16">
      <c r="A391" s="5">
        <v>381</v>
      </c>
      <c r="B391" s="12">
        <v>22.72</v>
      </c>
      <c r="C391" s="12">
        <f t="shared" si="5"/>
        <v>1.89</v>
      </c>
      <c r="D391" s="8">
        <v>0.43126291036605835</v>
      </c>
      <c r="E391" s="5">
        <f>MATCH(D391,'Route Data'!$C$7:$C$8,1)</f>
        <v>2</v>
      </c>
      <c r="F391" s="5">
        <f>INDEX('Route Data'!$D$7:$D$8,E391)</f>
        <v>1</v>
      </c>
      <c r="G391" s="5" t="str">
        <f>INDEX('Route Data'!$A$7:$A$8,E391)</f>
        <v>u18</v>
      </c>
      <c r="H391" s="5">
        <f>EnergyCoeff(INDEX('Route Data'!$K$7:$K$8,E391),INDEX('Route Data'!$L$7:$L$8,E391)*2*PI()/60,INDEX('Route Data'!$F$7:$F$8,E391))</f>
        <v>0.19430699130049439</v>
      </c>
      <c r="I391" s="5">
        <f>DischargeCoeff(INDEX('Route Data'!$I$7:$I$8,E391), INDEX('Route Data'!$L$7:$L$8,E391)*2*PI()/60, INDEX('Route Data'!$F$7:$F$8,E391))</f>
        <v>0.15939200179827354</v>
      </c>
      <c r="J391" s="8">
        <f>FlowAngleRel(INDEX('Route Data'!$J$7:$J$8,E391)*INDEX('Route Data'!$I$7:$I$8,E391), INDEX('Route Data'!$L$7:$L$8,E391)*2*PI()/60, INDEX('Route Data'!$F$7:$F$8,E391),INDEX('Route Data'!$O$7:$O$8,E391), INDEX('Route Data'!$P$7:$P$8,E391),INDEX('Route Data'!$M$7:$M$8,E391))</f>
        <v>1.130811765868994</v>
      </c>
      <c r="K391" s="8">
        <f>FlowAngleAbsT(INDEX('Route Data'!$K$7:$K$8,E391), INDEX('Route Data'!$I$7:$I$8,E391), INDEX('Route Data'!$I$7:$I$8,E391)*INDEX('Route Data'!$J$7:$J$8,E391), INDEX('Route Data'!$L$7:$L$8,E391)*2*PI()/60, INDEX('Route Data'!$F$7:$F$8,E391),INDEX('Route Data'!$O$7:$O$8,E391), INDEX('Route Data'!$P$7:$P$8,E391), INDEX('Route Data'!$H$7:$H$8,E391), INDEX('Route Data'!$Q$7:$Q$8,E391), INDEX('Route Data'!$M$7:$M$8,E391))</f>
        <v>0.51617226640175828</v>
      </c>
      <c r="L391" s="5">
        <f>INDEX('Route Data'!$N$7:$N$8,E391)</f>
        <v>0.4</v>
      </c>
      <c r="M391" s="8">
        <v>0.8679775595664978</v>
      </c>
      <c r="N391" s="8">
        <f>ProbStrikeFrancis(K391, I391, L391, INDEX('Route Data'!$G$7:$G$8,E391),C391, INDEX('Route Data'!$F$7:$F$8,E391), INDEX('Route Data'!$O$7:$O$8,E391), INDEX('Route Data'!$H$7:$H$18,E391))</f>
        <v>1</v>
      </c>
      <c r="O391" s="5" t="str">
        <f>IF(F391&gt;=1,IF(M391&lt;=N391,"STRIKE","pass"),IF(M391&lt;=INDEX('Route Data'!$R$7:$R$8,E391),"NO PASS","pass"))</f>
        <v>STRIKE</v>
      </c>
      <c r="P391" s="5">
        <f>IF(F391&gt;=1,IF(M391&lt;=N391,1,0),IF(M391&lt;=INDEX('Route Data'!$R$7:$R$8,E391),-1,0))</f>
        <v>1</v>
      </c>
    </row>
    <row r="392" spans="1:16">
      <c r="A392" s="5">
        <v>382</v>
      </c>
      <c r="B392" s="12">
        <v>23.42</v>
      </c>
      <c r="C392" s="12">
        <f t="shared" si="5"/>
        <v>1.95</v>
      </c>
      <c r="D392" s="8">
        <v>0.22831761837005615</v>
      </c>
      <c r="E392" s="5">
        <f>MATCH(D392,'Route Data'!$C$7:$C$8,1)</f>
        <v>2</v>
      </c>
      <c r="F392" s="5">
        <f>INDEX('Route Data'!$D$7:$D$8,E392)</f>
        <v>1</v>
      </c>
      <c r="G392" s="5" t="str">
        <f>INDEX('Route Data'!$A$7:$A$8,E392)</f>
        <v>u18</v>
      </c>
      <c r="H392" s="5">
        <f>EnergyCoeff(INDEX('Route Data'!$K$7:$K$8,E392),INDEX('Route Data'!$L$7:$L$8,E392)*2*PI()/60,INDEX('Route Data'!$F$7:$F$8,E392))</f>
        <v>0.19430699130049439</v>
      </c>
      <c r="I392" s="5">
        <f>DischargeCoeff(INDEX('Route Data'!$I$7:$I$8,E392), INDEX('Route Data'!$L$7:$L$8,E392)*2*PI()/60, INDEX('Route Data'!$F$7:$F$8,E392))</f>
        <v>0.15939200179827354</v>
      </c>
      <c r="J392" s="8">
        <f>FlowAngleRel(INDEX('Route Data'!$J$7:$J$8,E392)*INDEX('Route Data'!$I$7:$I$8,E392), INDEX('Route Data'!$L$7:$L$8,E392)*2*PI()/60, INDEX('Route Data'!$F$7:$F$8,E392),INDEX('Route Data'!$O$7:$O$8,E392), INDEX('Route Data'!$P$7:$P$8,E392),INDEX('Route Data'!$M$7:$M$8,E392))</f>
        <v>1.130811765868994</v>
      </c>
      <c r="K392" s="8">
        <f>FlowAngleAbsT(INDEX('Route Data'!$K$7:$K$8,E392), INDEX('Route Data'!$I$7:$I$8,E392), INDEX('Route Data'!$I$7:$I$8,E392)*INDEX('Route Data'!$J$7:$J$8,E392), INDEX('Route Data'!$L$7:$L$8,E392)*2*PI()/60, INDEX('Route Data'!$F$7:$F$8,E392),INDEX('Route Data'!$O$7:$O$8,E392), INDEX('Route Data'!$P$7:$P$8,E392), INDEX('Route Data'!$H$7:$H$8,E392), INDEX('Route Data'!$Q$7:$Q$8,E392), INDEX('Route Data'!$M$7:$M$8,E392))</f>
        <v>0.51617226640175828</v>
      </c>
      <c r="L392" s="5">
        <f>INDEX('Route Data'!$N$7:$N$8,E392)</f>
        <v>0.4</v>
      </c>
      <c r="M392" s="8">
        <v>0.63962447643280029</v>
      </c>
      <c r="N392" s="8">
        <f>ProbStrikeFrancis(K392, I392, L392, INDEX('Route Data'!$G$7:$G$8,E392),C392, INDEX('Route Data'!$F$7:$F$8,E392), INDEX('Route Data'!$O$7:$O$8,E392), INDEX('Route Data'!$H$7:$H$18,E392))</f>
        <v>1</v>
      </c>
      <c r="O392" s="5" t="str">
        <f>IF(F392&gt;=1,IF(M392&lt;=N392,"STRIKE","pass"),IF(M392&lt;=INDEX('Route Data'!$R$7:$R$8,E392),"NO PASS","pass"))</f>
        <v>STRIKE</v>
      </c>
      <c r="P392" s="5">
        <f>IF(F392&gt;=1,IF(M392&lt;=N392,1,0),IF(M392&lt;=INDEX('Route Data'!$R$7:$R$8,E392),-1,0))</f>
        <v>1</v>
      </c>
    </row>
    <row r="393" spans="1:16">
      <c r="A393" s="5">
        <v>383</v>
      </c>
      <c r="B393" s="12">
        <v>26.31</v>
      </c>
      <c r="C393" s="12">
        <f t="shared" si="5"/>
        <v>2.19</v>
      </c>
      <c r="D393" s="8">
        <v>0.83715349435806274</v>
      </c>
      <c r="E393" s="5">
        <f>MATCH(D393,'Route Data'!$C$7:$C$8,1)</f>
        <v>2</v>
      </c>
      <c r="F393" s="5">
        <f>INDEX('Route Data'!$D$7:$D$8,E393)</f>
        <v>1</v>
      </c>
      <c r="G393" s="5" t="str">
        <f>INDEX('Route Data'!$A$7:$A$8,E393)</f>
        <v>u18</v>
      </c>
      <c r="H393" s="5">
        <f>EnergyCoeff(INDEX('Route Data'!$K$7:$K$8,E393),INDEX('Route Data'!$L$7:$L$8,E393)*2*PI()/60,INDEX('Route Data'!$F$7:$F$8,E393))</f>
        <v>0.19430699130049439</v>
      </c>
      <c r="I393" s="5">
        <f>DischargeCoeff(INDEX('Route Data'!$I$7:$I$8,E393), INDEX('Route Data'!$L$7:$L$8,E393)*2*PI()/60, INDEX('Route Data'!$F$7:$F$8,E393))</f>
        <v>0.15939200179827354</v>
      </c>
      <c r="J393" s="8">
        <f>FlowAngleRel(INDEX('Route Data'!$J$7:$J$8,E393)*INDEX('Route Data'!$I$7:$I$8,E393), INDEX('Route Data'!$L$7:$L$8,E393)*2*PI()/60, INDEX('Route Data'!$F$7:$F$8,E393),INDEX('Route Data'!$O$7:$O$8,E393), INDEX('Route Data'!$P$7:$P$8,E393),INDEX('Route Data'!$M$7:$M$8,E393))</f>
        <v>1.130811765868994</v>
      </c>
      <c r="K393" s="8">
        <f>FlowAngleAbsT(INDEX('Route Data'!$K$7:$K$8,E393), INDEX('Route Data'!$I$7:$I$8,E393), INDEX('Route Data'!$I$7:$I$8,E393)*INDEX('Route Data'!$J$7:$J$8,E393), INDEX('Route Data'!$L$7:$L$8,E393)*2*PI()/60, INDEX('Route Data'!$F$7:$F$8,E393),INDEX('Route Data'!$O$7:$O$8,E393), INDEX('Route Data'!$P$7:$P$8,E393), INDEX('Route Data'!$H$7:$H$8,E393), INDEX('Route Data'!$Q$7:$Q$8,E393), INDEX('Route Data'!$M$7:$M$8,E393))</f>
        <v>0.51617226640175828</v>
      </c>
      <c r="L393" s="5">
        <f>INDEX('Route Data'!$N$7:$N$8,E393)</f>
        <v>0.4</v>
      </c>
      <c r="M393" s="8">
        <v>0.59026294946670532</v>
      </c>
      <c r="N393" s="8">
        <f>ProbStrikeFrancis(K393, I393, L393, INDEX('Route Data'!$G$7:$G$8,E393),C393, INDEX('Route Data'!$F$7:$F$8,E393), INDEX('Route Data'!$O$7:$O$8,E393), INDEX('Route Data'!$H$7:$H$18,E393))</f>
        <v>1</v>
      </c>
      <c r="O393" s="5" t="str">
        <f>IF(F393&gt;=1,IF(M393&lt;=N393,"STRIKE","pass"),IF(M393&lt;=INDEX('Route Data'!$R$7:$R$8,E393),"NO PASS","pass"))</f>
        <v>STRIKE</v>
      </c>
      <c r="P393" s="5">
        <f>IF(F393&gt;=1,IF(M393&lt;=N393,1,0),IF(M393&lt;=INDEX('Route Data'!$R$7:$R$8,E393),-1,0))</f>
        <v>1</v>
      </c>
    </row>
    <row r="394" spans="1:16">
      <c r="A394" s="5">
        <v>384</v>
      </c>
      <c r="B394" s="12">
        <v>18.34</v>
      </c>
      <c r="C394" s="12">
        <f t="shared" si="5"/>
        <v>1.53</v>
      </c>
      <c r="D394" s="8">
        <v>1.0645866394042969E-2</v>
      </c>
      <c r="E394" s="5">
        <f>MATCH(D394,'Route Data'!$C$7:$C$8,1)</f>
        <v>2</v>
      </c>
      <c r="F394" s="5">
        <f>INDEX('Route Data'!$D$7:$D$8,E394)</f>
        <v>1</v>
      </c>
      <c r="G394" s="5" t="str">
        <f>INDEX('Route Data'!$A$7:$A$8,E394)</f>
        <v>u18</v>
      </c>
      <c r="H394" s="5">
        <f>EnergyCoeff(INDEX('Route Data'!$K$7:$K$8,E394),INDEX('Route Data'!$L$7:$L$8,E394)*2*PI()/60,INDEX('Route Data'!$F$7:$F$8,E394))</f>
        <v>0.19430699130049439</v>
      </c>
      <c r="I394" s="5">
        <f>DischargeCoeff(INDEX('Route Data'!$I$7:$I$8,E394), INDEX('Route Data'!$L$7:$L$8,E394)*2*PI()/60, INDEX('Route Data'!$F$7:$F$8,E394))</f>
        <v>0.15939200179827354</v>
      </c>
      <c r="J394" s="8">
        <f>FlowAngleRel(INDEX('Route Data'!$J$7:$J$8,E394)*INDEX('Route Data'!$I$7:$I$8,E394), INDEX('Route Data'!$L$7:$L$8,E394)*2*PI()/60, INDEX('Route Data'!$F$7:$F$8,E394),INDEX('Route Data'!$O$7:$O$8,E394), INDEX('Route Data'!$P$7:$P$8,E394),INDEX('Route Data'!$M$7:$M$8,E394))</f>
        <v>1.130811765868994</v>
      </c>
      <c r="K394" s="8">
        <f>FlowAngleAbsT(INDEX('Route Data'!$K$7:$K$8,E394), INDEX('Route Data'!$I$7:$I$8,E394), INDEX('Route Data'!$I$7:$I$8,E394)*INDEX('Route Data'!$J$7:$J$8,E394), INDEX('Route Data'!$L$7:$L$8,E394)*2*PI()/60, INDEX('Route Data'!$F$7:$F$8,E394),INDEX('Route Data'!$O$7:$O$8,E394), INDEX('Route Data'!$P$7:$P$8,E394), INDEX('Route Data'!$H$7:$H$8,E394), INDEX('Route Data'!$Q$7:$Q$8,E394), INDEX('Route Data'!$M$7:$M$8,E394))</f>
        <v>0.51617226640175828</v>
      </c>
      <c r="L394" s="5">
        <f>INDEX('Route Data'!$N$7:$N$8,E394)</f>
        <v>0.4</v>
      </c>
      <c r="M394" s="8">
        <v>0.47276830673217773</v>
      </c>
      <c r="N394" s="8">
        <f>ProbStrikeFrancis(K394, I394, L394, INDEX('Route Data'!$G$7:$G$8,E394),C394, INDEX('Route Data'!$F$7:$F$8,E394), INDEX('Route Data'!$O$7:$O$8,E394), INDEX('Route Data'!$H$7:$H$18,E394))</f>
        <v>1</v>
      </c>
      <c r="O394" s="5" t="str">
        <f>IF(F394&gt;=1,IF(M394&lt;=N394,"STRIKE","pass"),IF(M394&lt;=INDEX('Route Data'!$R$7:$R$8,E394),"NO PASS","pass"))</f>
        <v>STRIKE</v>
      </c>
      <c r="P394" s="5">
        <f>IF(F394&gt;=1,IF(M394&lt;=N394,1,0),IF(M394&lt;=INDEX('Route Data'!$R$7:$R$8,E394),-1,0))</f>
        <v>1</v>
      </c>
    </row>
    <row r="395" spans="1:16">
      <c r="A395" s="5">
        <v>385</v>
      </c>
      <c r="B395" s="12">
        <v>22.39</v>
      </c>
      <c r="C395" s="12">
        <f t="shared" ref="C395:C458" si="6">ROUND(B395/12,2)</f>
        <v>1.87</v>
      </c>
      <c r="D395" s="8">
        <v>2.1327197551727295E-2</v>
      </c>
      <c r="E395" s="5">
        <f>MATCH(D395,'Route Data'!$C$7:$C$8,1)</f>
        <v>2</v>
      </c>
      <c r="F395" s="5">
        <f>INDEX('Route Data'!$D$7:$D$8,E395)</f>
        <v>1</v>
      </c>
      <c r="G395" s="5" t="str">
        <f>INDEX('Route Data'!$A$7:$A$8,E395)</f>
        <v>u18</v>
      </c>
      <c r="H395" s="5">
        <f>EnergyCoeff(INDEX('Route Data'!$K$7:$K$8,E395),INDEX('Route Data'!$L$7:$L$8,E395)*2*PI()/60,INDEX('Route Data'!$F$7:$F$8,E395))</f>
        <v>0.19430699130049439</v>
      </c>
      <c r="I395" s="5">
        <f>DischargeCoeff(INDEX('Route Data'!$I$7:$I$8,E395), INDEX('Route Data'!$L$7:$L$8,E395)*2*PI()/60, INDEX('Route Data'!$F$7:$F$8,E395))</f>
        <v>0.15939200179827354</v>
      </c>
      <c r="J395" s="8">
        <f>FlowAngleRel(INDEX('Route Data'!$J$7:$J$8,E395)*INDEX('Route Data'!$I$7:$I$8,E395), INDEX('Route Data'!$L$7:$L$8,E395)*2*PI()/60, INDEX('Route Data'!$F$7:$F$8,E395),INDEX('Route Data'!$O$7:$O$8,E395), INDEX('Route Data'!$P$7:$P$8,E395),INDEX('Route Data'!$M$7:$M$8,E395))</f>
        <v>1.130811765868994</v>
      </c>
      <c r="K395" s="8">
        <f>FlowAngleAbsT(INDEX('Route Data'!$K$7:$K$8,E395), INDEX('Route Data'!$I$7:$I$8,E395), INDEX('Route Data'!$I$7:$I$8,E395)*INDEX('Route Data'!$J$7:$J$8,E395), INDEX('Route Data'!$L$7:$L$8,E395)*2*PI()/60, INDEX('Route Data'!$F$7:$F$8,E395),INDEX('Route Data'!$O$7:$O$8,E395), INDEX('Route Data'!$P$7:$P$8,E395), INDEX('Route Data'!$H$7:$H$8,E395), INDEX('Route Data'!$Q$7:$Q$8,E395), INDEX('Route Data'!$M$7:$M$8,E395))</f>
        <v>0.51617226640175828</v>
      </c>
      <c r="L395" s="5">
        <f>INDEX('Route Data'!$N$7:$N$8,E395)</f>
        <v>0.4</v>
      </c>
      <c r="M395" s="8">
        <v>0.8252522349357605</v>
      </c>
      <c r="N395" s="8">
        <f>ProbStrikeFrancis(K395, I395, L395, INDEX('Route Data'!$G$7:$G$8,E395),C395, INDEX('Route Data'!$F$7:$F$8,E395), INDEX('Route Data'!$O$7:$O$8,E395), INDEX('Route Data'!$H$7:$H$18,E395))</f>
        <v>1</v>
      </c>
      <c r="O395" s="5" t="str">
        <f>IF(F395&gt;=1,IF(M395&lt;=N395,"STRIKE","pass"),IF(M395&lt;=INDEX('Route Data'!$R$7:$R$8,E395),"NO PASS","pass"))</f>
        <v>STRIKE</v>
      </c>
      <c r="P395" s="5">
        <f>IF(F395&gt;=1,IF(M395&lt;=N395,1,0),IF(M395&lt;=INDEX('Route Data'!$R$7:$R$8,E395),-1,0))</f>
        <v>1</v>
      </c>
    </row>
    <row r="396" spans="1:16">
      <c r="A396" s="5">
        <v>386</v>
      </c>
      <c r="B396" s="12">
        <v>24.56</v>
      </c>
      <c r="C396" s="12">
        <f t="shared" si="6"/>
        <v>2.0499999999999998</v>
      </c>
      <c r="D396" s="8">
        <v>0.98928320407867432</v>
      </c>
      <c r="E396" s="5">
        <f>MATCH(D396,'Route Data'!$C$7:$C$8,1)</f>
        <v>2</v>
      </c>
      <c r="F396" s="5">
        <f>INDEX('Route Data'!$D$7:$D$8,E396)</f>
        <v>1</v>
      </c>
      <c r="G396" s="5" t="str">
        <f>INDEX('Route Data'!$A$7:$A$8,E396)</f>
        <v>u18</v>
      </c>
      <c r="H396" s="5">
        <f>EnergyCoeff(INDEX('Route Data'!$K$7:$K$8,E396),INDEX('Route Data'!$L$7:$L$8,E396)*2*PI()/60,INDEX('Route Data'!$F$7:$F$8,E396))</f>
        <v>0.19430699130049439</v>
      </c>
      <c r="I396" s="5">
        <f>DischargeCoeff(INDEX('Route Data'!$I$7:$I$8,E396), INDEX('Route Data'!$L$7:$L$8,E396)*2*PI()/60, INDEX('Route Data'!$F$7:$F$8,E396))</f>
        <v>0.15939200179827354</v>
      </c>
      <c r="J396" s="8">
        <f>FlowAngleRel(INDEX('Route Data'!$J$7:$J$8,E396)*INDEX('Route Data'!$I$7:$I$8,E396), INDEX('Route Data'!$L$7:$L$8,E396)*2*PI()/60, INDEX('Route Data'!$F$7:$F$8,E396),INDEX('Route Data'!$O$7:$O$8,E396), INDEX('Route Data'!$P$7:$P$8,E396),INDEX('Route Data'!$M$7:$M$8,E396))</f>
        <v>1.130811765868994</v>
      </c>
      <c r="K396" s="8">
        <f>FlowAngleAbsT(INDEX('Route Data'!$K$7:$K$8,E396), INDEX('Route Data'!$I$7:$I$8,E396), INDEX('Route Data'!$I$7:$I$8,E396)*INDEX('Route Data'!$J$7:$J$8,E396), INDEX('Route Data'!$L$7:$L$8,E396)*2*PI()/60, INDEX('Route Data'!$F$7:$F$8,E396),INDEX('Route Data'!$O$7:$O$8,E396), INDEX('Route Data'!$P$7:$P$8,E396), INDEX('Route Data'!$H$7:$H$8,E396), INDEX('Route Data'!$Q$7:$Q$8,E396), INDEX('Route Data'!$M$7:$M$8,E396))</f>
        <v>0.51617226640175828</v>
      </c>
      <c r="L396" s="5">
        <f>INDEX('Route Data'!$N$7:$N$8,E396)</f>
        <v>0.4</v>
      </c>
      <c r="M396" s="8">
        <v>0.76780045032501221</v>
      </c>
      <c r="N396" s="8">
        <f>ProbStrikeFrancis(K396, I396, L396, INDEX('Route Data'!$G$7:$G$8,E396),C396, INDEX('Route Data'!$F$7:$F$8,E396), INDEX('Route Data'!$O$7:$O$8,E396), INDEX('Route Data'!$H$7:$H$18,E396))</f>
        <v>1</v>
      </c>
      <c r="O396" s="5" t="str">
        <f>IF(F396&gt;=1,IF(M396&lt;=N396,"STRIKE","pass"),IF(M396&lt;=INDEX('Route Data'!$R$7:$R$8,E396),"NO PASS","pass"))</f>
        <v>STRIKE</v>
      </c>
      <c r="P396" s="5">
        <f>IF(F396&gt;=1,IF(M396&lt;=N396,1,0),IF(M396&lt;=INDEX('Route Data'!$R$7:$R$8,E396),-1,0))</f>
        <v>1</v>
      </c>
    </row>
    <row r="397" spans="1:16">
      <c r="A397" s="5">
        <v>387</v>
      </c>
      <c r="B397" s="12">
        <v>22.49</v>
      </c>
      <c r="C397" s="12">
        <f t="shared" si="6"/>
        <v>1.87</v>
      </c>
      <c r="D397" s="8">
        <v>8.5415184497833252E-2</v>
      </c>
      <c r="E397" s="5">
        <f>MATCH(D397,'Route Data'!$C$7:$C$8,1)</f>
        <v>2</v>
      </c>
      <c r="F397" s="5">
        <f>INDEX('Route Data'!$D$7:$D$8,E397)</f>
        <v>1</v>
      </c>
      <c r="G397" s="5" t="str">
        <f>INDEX('Route Data'!$A$7:$A$8,E397)</f>
        <v>u18</v>
      </c>
      <c r="H397" s="5">
        <f>EnergyCoeff(INDEX('Route Data'!$K$7:$K$8,E397),INDEX('Route Data'!$L$7:$L$8,E397)*2*PI()/60,INDEX('Route Data'!$F$7:$F$8,E397))</f>
        <v>0.19430699130049439</v>
      </c>
      <c r="I397" s="5">
        <f>DischargeCoeff(INDEX('Route Data'!$I$7:$I$8,E397), INDEX('Route Data'!$L$7:$L$8,E397)*2*PI()/60, INDEX('Route Data'!$F$7:$F$8,E397))</f>
        <v>0.15939200179827354</v>
      </c>
      <c r="J397" s="8">
        <f>FlowAngleRel(INDEX('Route Data'!$J$7:$J$8,E397)*INDEX('Route Data'!$I$7:$I$8,E397), INDEX('Route Data'!$L$7:$L$8,E397)*2*PI()/60, INDEX('Route Data'!$F$7:$F$8,E397),INDEX('Route Data'!$O$7:$O$8,E397), INDEX('Route Data'!$P$7:$P$8,E397),INDEX('Route Data'!$M$7:$M$8,E397))</f>
        <v>1.130811765868994</v>
      </c>
      <c r="K397" s="8">
        <f>FlowAngleAbsT(INDEX('Route Data'!$K$7:$K$8,E397), INDEX('Route Data'!$I$7:$I$8,E397), INDEX('Route Data'!$I$7:$I$8,E397)*INDEX('Route Data'!$J$7:$J$8,E397), INDEX('Route Data'!$L$7:$L$8,E397)*2*PI()/60, INDEX('Route Data'!$F$7:$F$8,E397),INDEX('Route Data'!$O$7:$O$8,E397), INDEX('Route Data'!$P$7:$P$8,E397), INDEX('Route Data'!$H$7:$H$8,E397), INDEX('Route Data'!$Q$7:$Q$8,E397), INDEX('Route Data'!$M$7:$M$8,E397))</f>
        <v>0.51617226640175828</v>
      </c>
      <c r="L397" s="5">
        <f>INDEX('Route Data'!$N$7:$N$8,E397)</f>
        <v>0.4</v>
      </c>
      <c r="M397" s="8">
        <v>0.20573502779006958</v>
      </c>
      <c r="N397" s="8">
        <f>ProbStrikeFrancis(K397, I397, L397, INDEX('Route Data'!$G$7:$G$8,E397),C397, INDEX('Route Data'!$F$7:$F$8,E397), INDEX('Route Data'!$O$7:$O$8,E397), INDEX('Route Data'!$H$7:$H$18,E397))</f>
        <v>1</v>
      </c>
      <c r="O397" s="5" t="str">
        <f>IF(F397&gt;=1,IF(M397&lt;=N397,"STRIKE","pass"),IF(M397&lt;=INDEX('Route Data'!$R$7:$R$8,E397),"NO PASS","pass"))</f>
        <v>STRIKE</v>
      </c>
      <c r="P397" s="5">
        <f>IF(F397&gt;=1,IF(M397&lt;=N397,1,0),IF(M397&lt;=INDEX('Route Data'!$R$7:$R$8,E397),-1,0))</f>
        <v>1</v>
      </c>
    </row>
    <row r="398" spans="1:16">
      <c r="A398" s="5">
        <v>388</v>
      </c>
      <c r="B398" s="12">
        <v>20.3</v>
      </c>
      <c r="C398" s="12">
        <f t="shared" si="6"/>
        <v>1.69</v>
      </c>
      <c r="D398" s="8">
        <v>0.79701924324035645</v>
      </c>
      <c r="E398" s="5">
        <f>MATCH(D398,'Route Data'!$C$7:$C$8,1)</f>
        <v>2</v>
      </c>
      <c r="F398" s="5">
        <f>INDEX('Route Data'!$D$7:$D$8,E398)</f>
        <v>1</v>
      </c>
      <c r="G398" s="5" t="str">
        <f>INDEX('Route Data'!$A$7:$A$8,E398)</f>
        <v>u18</v>
      </c>
      <c r="H398" s="5">
        <f>EnergyCoeff(INDEX('Route Data'!$K$7:$K$8,E398),INDEX('Route Data'!$L$7:$L$8,E398)*2*PI()/60,INDEX('Route Data'!$F$7:$F$8,E398))</f>
        <v>0.19430699130049439</v>
      </c>
      <c r="I398" s="5">
        <f>DischargeCoeff(INDEX('Route Data'!$I$7:$I$8,E398), INDEX('Route Data'!$L$7:$L$8,E398)*2*PI()/60, INDEX('Route Data'!$F$7:$F$8,E398))</f>
        <v>0.15939200179827354</v>
      </c>
      <c r="J398" s="8">
        <f>FlowAngleRel(INDEX('Route Data'!$J$7:$J$8,E398)*INDEX('Route Data'!$I$7:$I$8,E398), INDEX('Route Data'!$L$7:$L$8,E398)*2*PI()/60, INDEX('Route Data'!$F$7:$F$8,E398),INDEX('Route Data'!$O$7:$O$8,E398), INDEX('Route Data'!$P$7:$P$8,E398),INDEX('Route Data'!$M$7:$M$8,E398))</f>
        <v>1.130811765868994</v>
      </c>
      <c r="K398" s="8">
        <f>FlowAngleAbsT(INDEX('Route Data'!$K$7:$K$8,E398), INDEX('Route Data'!$I$7:$I$8,E398), INDEX('Route Data'!$I$7:$I$8,E398)*INDEX('Route Data'!$J$7:$J$8,E398), INDEX('Route Data'!$L$7:$L$8,E398)*2*PI()/60, INDEX('Route Data'!$F$7:$F$8,E398),INDEX('Route Data'!$O$7:$O$8,E398), INDEX('Route Data'!$P$7:$P$8,E398), INDEX('Route Data'!$H$7:$H$8,E398), INDEX('Route Data'!$Q$7:$Q$8,E398), INDEX('Route Data'!$M$7:$M$8,E398))</f>
        <v>0.51617226640175828</v>
      </c>
      <c r="L398" s="5">
        <f>INDEX('Route Data'!$N$7:$N$8,E398)</f>
        <v>0.4</v>
      </c>
      <c r="M398" s="8">
        <v>0.62635207176208496</v>
      </c>
      <c r="N398" s="8">
        <f>ProbStrikeFrancis(K398, I398, L398, INDEX('Route Data'!$G$7:$G$8,E398),C398, INDEX('Route Data'!$F$7:$F$8,E398), INDEX('Route Data'!$O$7:$O$8,E398), INDEX('Route Data'!$H$7:$H$18,E398))</f>
        <v>1</v>
      </c>
      <c r="O398" s="5" t="str">
        <f>IF(F398&gt;=1,IF(M398&lt;=N398,"STRIKE","pass"),IF(M398&lt;=INDEX('Route Data'!$R$7:$R$8,E398),"NO PASS","pass"))</f>
        <v>STRIKE</v>
      </c>
      <c r="P398" s="5">
        <f>IF(F398&gt;=1,IF(M398&lt;=N398,1,0),IF(M398&lt;=INDEX('Route Data'!$R$7:$R$8,E398),-1,0))</f>
        <v>1</v>
      </c>
    </row>
    <row r="399" spans="1:16">
      <c r="A399" s="5">
        <v>389</v>
      </c>
      <c r="B399" s="12">
        <v>24.71</v>
      </c>
      <c r="C399" s="12">
        <f t="shared" si="6"/>
        <v>2.06</v>
      </c>
      <c r="D399" s="8">
        <v>0.66220706701278687</v>
      </c>
      <c r="E399" s="5">
        <f>MATCH(D399,'Route Data'!$C$7:$C$8,1)</f>
        <v>2</v>
      </c>
      <c r="F399" s="5">
        <f>INDEX('Route Data'!$D$7:$D$8,E399)</f>
        <v>1</v>
      </c>
      <c r="G399" s="5" t="str">
        <f>INDEX('Route Data'!$A$7:$A$8,E399)</f>
        <v>u18</v>
      </c>
      <c r="H399" s="5">
        <f>EnergyCoeff(INDEX('Route Data'!$K$7:$K$8,E399),INDEX('Route Data'!$L$7:$L$8,E399)*2*PI()/60,INDEX('Route Data'!$F$7:$F$8,E399))</f>
        <v>0.19430699130049439</v>
      </c>
      <c r="I399" s="5">
        <f>DischargeCoeff(INDEX('Route Data'!$I$7:$I$8,E399), INDEX('Route Data'!$L$7:$L$8,E399)*2*PI()/60, INDEX('Route Data'!$F$7:$F$8,E399))</f>
        <v>0.15939200179827354</v>
      </c>
      <c r="J399" s="8">
        <f>FlowAngleRel(INDEX('Route Data'!$J$7:$J$8,E399)*INDEX('Route Data'!$I$7:$I$8,E399), INDEX('Route Data'!$L$7:$L$8,E399)*2*PI()/60, INDEX('Route Data'!$F$7:$F$8,E399),INDEX('Route Data'!$O$7:$O$8,E399), INDEX('Route Data'!$P$7:$P$8,E399),INDEX('Route Data'!$M$7:$M$8,E399))</f>
        <v>1.130811765868994</v>
      </c>
      <c r="K399" s="8">
        <f>FlowAngleAbsT(INDEX('Route Data'!$K$7:$K$8,E399), INDEX('Route Data'!$I$7:$I$8,E399), INDEX('Route Data'!$I$7:$I$8,E399)*INDEX('Route Data'!$J$7:$J$8,E399), INDEX('Route Data'!$L$7:$L$8,E399)*2*PI()/60, INDEX('Route Data'!$F$7:$F$8,E399),INDEX('Route Data'!$O$7:$O$8,E399), INDEX('Route Data'!$P$7:$P$8,E399), INDEX('Route Data'!$H$7:$H$8,E399), INDEX('Route Data'!$Q$7:$Q$8,E399), INDEX('Route Data'!$M$7:$M$8,E399))</f>
        <v>0.51617226640175828</v>
      </c>
      <c r="L399" s="5">
        <f>INDEX('Route Data'!$N$7:$N$8,E399)</f>
        <v>0.4</v>
      </c>
      <c r="M399" s="8">
        <v>9.8921716213226318E-2</v>
      </c>
      <c r="N399" s="8">
        <f>ProbStrikeFrancis(K399, I399, L399, INDEX('Route Data'!$G$7:$G$8,E399),C399, INDEX('Route Data'!$F$7:$F$8,E399), INDEX('Route Data'!$O$7:$O$8,E399), INDEX('Route Data'!$H$7:$H$18,E399))</f>
        <v>1</v>
      </c>
      <c r="O399" s="5" t="str">
        <f>IF(F399&gt;=1,IF(M399&lt;=N399,"STRIKE","pass"),IF(M399&lt;=INDEX('Route Data'!$R$7:$R$8,E399),"NO PASS","pass"))</f>
        <v>STRIKE</v>
      </c>
      <c r="P399" s="5">
        <f>IF(F399&gt;=1,IF(M399&lt;=N399,1,0),IF(M399&lt;=INDEX('Route Data'!$R$7:$R$8,E399),-1,0))</f>
        <v>1</v>
      </c>
    </row>
    <row r="400" spans="1:16">
      <c r="A400" s="5">
        <v>390</v>
      </c>
      <c r="B400" s="12">
        <v>19.809999999999999</v>
      </c>
      <c r="C400" s="12">
        <f t="shared" si="6"/>
        <v>1.65</v>
      </c>
      <c r="D400" s="8">
        <v>0.80106437206268311</v>
      </c>
      <c r="E400" s="5">
        <f>MATCH(D400,'Route Data'!$C$7:$C$8,1)</f>
        <v>2</v>
      </c>
      <c r="F400" s="5">
        <f>INDEX('Route Data'!$D$7:$D$8,E400)</f>
        <v>1</v>
      </c>
      <c r="G400" s="5" t="str">
        <f>INDEX('Route Data'!$A$7:$A$8,E400)</f>
        <v>u18</v>
      </c>
      <c r="H400" s="5">
        <f>EnergyCoeff(INDEX('Route Data'!$K$7:$K$8,E400),INDEX('Route Data'!$L$7:$L$8,E400)*2*PI()/60,INDEX('Route Data'!$F$7:$F$8,E400))</f>
        <v>0.19430699130049439</v>
      </c>
      <c r="I400" s="5">
        <f>DischargeCoeff(INDEX('Route Data'!$I$7:$I$8,E400), INDEX('Route Data'!$L$7:$L$8,E400)*2*PI()/60, INDEX('Route Data'!$F$7:$F$8,E400))</f>
        <v>0.15939200179827354</v>
      </c>
      <c r="J400" s="8">
        <f>FlowAngleRel(INDEX('Route Data'!$J$7:$J$8,E400)*INDEX('Route Data'!$I$7:$I$8,E400), INDEX('Route Data'!$L$7:$L$8,E400)*2*PI()/60, INDEX('Route Data'!$F$7:$F$8,E400),INDEX('Route Data'!$O$7:$O$8,E400), INDEX('Route Data'!$P$7:$P$8,E400),INDEX('Route Data'!$M$7:$M$8,E400))</f>
        <v>1.130811765868994</v>
      </c>
      <c r="K400" s="8">
        <f>FlowAngleAbsT(INDEX('Route Data'!$K$7:$K$8,E400), INDEX('Route Data'!$I$7:$I$8,E400), INDEX('Route Data'!$I$7:$I$8,E400)*INDEX('Route Data'!$J$7:$J$8,E400), INDEX('Route Data'!$L$7:$L$8,E400)*2*PI()/60, INDEX('Route Data'!$F$7:$F$8,E400),INDEX('Route Data'!$O$7:$O$8,E400), INDEX('Route Data'!$P$7:$P$8,E400), INDEX('Route Data'!$H$7:$H$8,E400), INDEX('Route Data'!$Q$7:$Q$8,E400), INDEX('Route Data'!$M$7:$M$8,E400))</f>
        <v>0.51617226640175828</v>
      </c>
      <c r="L400" s="5">
        <f>INDEX('Route Data'!$N$7:$N$8,E400)</f>
        <v>0.4</v>
      </c>
      <c r="M400" s="8">
        <v>0.21237123012542725</v>
      </c>
      <c r="N400" s="8">
        <f>ProbStrikeFrancis(K400, I400, L400, INDEX('Route Data'!$G$7:$G$8,E400),C400, INDEX('Route Data'!$F$7:$F$8,E400), INDEX('Route Data'!$O$7:$O$8,E400), INDEX('Route Data'!$H$7:$H$18,E400))</f>
        <v>1</v>
      </c>
      <c r="O400" s="5" t="str">
        <f>IF(F400&gt;=1,IF(M400&lt;=N400,"STRIKE","pass"),IF(M400&lt;=INDEX('Route Data'!$R$7:$R$8,E400),"NO PASS","pass"))</f>
        <v>STRIKE</v>
      </c>
      <c r="P400" s="5">
        <f>IF(F400&gt;=1,IF(M400&lt;=N400,1,0),IF(M400&lt;=INDEX('Route Data'!$R$7:$R$8,E400),-1,0))</f>
        <v>1</v>
      </c>
    </row>
    <row r="401" spans="1:16">
      <c r="A401" s="5">
        <v>391</v>
      </c>
      <c r="B401" s="12">
        <v>19.54</v>
      </c>
      <c r="C401" s="12">
        <f t="shared" si="6"/>
        <v>1.63</v>
      </c>
      <c r="D401" s="8">
        <v>0.38449245691299438</v>
      </c>
      <c r="E401" s="5">
        <f>MATCH(D401,'Route Data'!$C$7:$C$8,1)</f>
        <v>2</v>
      </c>
      <c r="F401" s="5">
        <f>INDEX('Route Data'!$D$7:$D$8,E401)</f>
        <v>1</v>
      </c>
      <c r="G401" s="5" t="str">
        <f>INDEX('Route Data'!$A$7:$A$8,E401)</f>
        <v>u18</v>
      </c>
      <c r="H401" s="5">
        <f>EnergyCoeff(INDEX('Route Data'!$K$7:$K$8,E401),INDEX('Route Data'!$L$7:$L$8,E401)*2*PI()/60,INDEX('Route Data'!$F$7:$F$8,E401))</f>
        <v>0.19430699130049439</v>
      </c>
      <c r="I401" s="5">
        <f>DischargeCoeff(INDEX('Route Data'!$I$7:$I$8,E401), INDEX('Route Data'!$L$7:$L$8,E401)*2*PI()/60, INDEX('Route Data'!$F$7:$F$8,E401))</f>
        <v>0.15939200179827354</v>
      </c>
      <c r="J401" s="8">
        <f>FlowAngleRel(INDEX('Route Data'!$J$7:$J$8,E401)*INDEX('Route Data'!$I$7:$I$8,E401), INDEX('Route Data'!$L$7:$L$8,E401)*2*PI()/60, INDEX('Route Data'!$F$7:$F$8,E401),INDEX('Route Data'!$O$7:$O$8,E401), INDEX('Route Data'!$P$7:$P$8,E401),INDEX('Route Data'!$M$7:$M$8,E401))</f>
        <v>1.130811765868994</v>
      </c>
      <c r="K401" s="8">
        <f>FlowAngleAbsT(INDEX('Route Data'!$K$7:$K$8,E401), INDEX('Route Data'!$I$7:$I$8,E401), INDEX('Route Data'!$I$7:$I$8,E401)*INDEX('Route Data'!$J$7:$J$8,E401), INDEX('Route Data'!$L$7:$L$8,E401)*2*PI()/60, INDEX('Route Data'!$F$7:$F$8,E401),INDEX('Route Data'!$O$7:$O$8,E401), INDEX('Route Data'!$P$7:$P$8,E401), INDEX('Route Data'!$H$7:$H$8,E401), INDEX('Route Data'!$Q$7:$Q$8,E401), INDEX('Route Data'!$M$7:$M$8,E401))</f>
        <v>0.51617226640175828</v>
      </c>
      <c r="L401" s="5">
        <f>INDEX('Route Data'!$N$7:$N$8,E401)</f>
        <v>0.4</v>
      </c>
      <c r="M401" s="8">
        <v>0.13760191202163696</v>
      </c>
      <c r="N401" s="8">
        <f>ProbStrikeFrancis(K401, I401, L401, INDEX('Route Data'!$G$7:$G$8,E401),C401, INDEX('Route Data'!$F$7:$F$8,E401), INDEX('Route Data'!$O$7:$O$8,E401), INDEX('Route Data'!$H$7:$H$18,E401))</f>
        <v>1</v>
      </c>
      <c r="O401" s="5" t="str">
        <f>IF(F401&gt;=1,IF(M401&lt;=N401,"STRIKE","pass"),IF(M401&lt;=INDEX('Route Data'!$R$7:$R$8,E401),"NO PASS","pass"))</f>
        <v>STRIKE</v>
      </c>
      <c r="P401" s="5">
        <f>IF(F401&gt;=1,IF(M401&lt;=N401,1,0),IF(M401&lt;=INDEX('Route Data'!$R$7:$R$8,E401),-1,0))</f>
        <v>1</v>
      </c>
    </row>
    <row r="402" spans="1:16">
      <c r="A402" s="5">
        <v>392</v>
      </c>
      <c r="B402" s="12">
        <v>24.19</v>
      </c>
      <c r="C402" s="12">
        <f t="shared" si="6"/>
        <v>2.02</v>
      </c>
      <c r="D402" s="8">
        <v>0.63420820236206055</v>
      </c>
      <c r="E402" s="5">
        <f>MATCH(D402,'Route Data'!$C$7:$C$8,1)</f>
        <v>2</v>
      </c>
      <c r="F402" s="5">
        <f>INDEX('Route Data'!$D$7:$D$8,E402)</f>
        <v>1</v>
      </c>
      <c r="G402" s="5" t="str">
        <f>INDEX('Route Data'!$A$7:$A$8,E402)</f>
        <v>u18</v>
      </c>
      <c r="H402" s="5">
        <f>EnergyCoeff(INDEX('Route Data'!$K$7:$K$8,E402),INDEX('Route Data'!$L$7:$L$8,E402)*2*PI()/60,INDEX('Route Data'!$F$7:$F$8,E402))</f>
        <v>0.19430699130049439</v>
      </c>
      <c r="I402" s="5">
        <f>DischargeCoeff(INDEX('Route Data'!$I$7:$I$8,E402), INDEX('Route Data'!$L$7:$L$8,E402)*2*PI()/60, INDEX('Route Data'!$F$7:$F$8,E402))</f>
        <v>0.15939200179827354</v>
      </c>
      <c r="J402" s="8">
        <f>FlowAngleRel(INDEX('Route Data'!$J$7:$J$8,E402)*INDEX('Route Data'!$I$7:$I$8,E402), INDEX('Route Data'!$L$7:$L$8,E402)*2*PI()/60, INDEX('Route Data'!$F$7:$F$8,E402),INDEX('Route Data'!$O$7:$O$8,E402), INDEX('Route Data'!$P$7:$P$8,E402),INDEX('Route Data'!$M$7:$M$8,E402))</f>
        <v>1.130811765868994</v>
      </c>
      <c r="K402" s="8">
        <f>FlowAngleAbsT(INDEX('Route Data'!$K$7:$K$8,E402), INDEX('Route Data'!$I$7:$I$8,E402), INDEX('Route Data'!$I$7:$I$8,E402)*INDEX('Route Data'!$J$7:$J$8,E402), INDEX('Route Data'!$L$7:$L$8,E402)*2*PI()/60, INDEX('Route Data'!$F$7:$F$8,E402),INDEX('Route Data'!$O$7:$O$8,E402), INDEX('Route Data'!$P$7:$P$8,E402), INDEX('Route Data'!$H$7:$H$8,E402), INDEX('Route Data'!$Q$7:$Q$8,E402), INDEX('Route Data'!$M$7:$M$8,E402))</f>
        <v>0.51617226640175828</v>
      </c>
      <c r="L402" s="5">
        <f>INDEX('Route Data'!$N$7:$N$8,E402)</f>
        <v>0.4</v>
      </c>
      <c r="M402" s="8">
        <v>0.36190986633300781</v>
      </c>
      <c r="N402" s="8">
        <f>ProbStrikeFrancis(K402, I402, L402, INDEX('Route Data'!$G$7:$G$8,E402),C402, INDEX('Route Data'!$F$7:$F$8,E402), INDEX('Route Data'!$O$7:$O$8,E402), INDEX('Route Data'!$H$7:$H$18,E402))</f>
        <v>1</v>
      </c>
      <c r="O402" s="5" t="str">
        <f>IF(F402&gt;=1,IF(M402&lt;=N402,"STRIKE","pass"),IF(M402&lt;=INDEX('Route Data'!$R$7:$R$8,E402),"NO PASS","pass"))</f>
        <v>STRIKE</v>
      </c>
      <c r="P402" s="5">
        <f>IF(F402&gt;=1,IF(M402&lt;=N402,1,0),IF(M402&lt;=INDEX('Route Data'!$R$7:$R$8,E402),-1,0))</f>
        <v>1</v>
      </c>
    </row>
    <row r="403" spans="1:16">
      <c r="A403" s="5">
        <v>393</v>
      </c>
      <c r="B403" s="12">
        <v>21.31</v>
      </c>
      <c r="C403" s="12">
        <f t="shared" si="6"/>
        <v>1.78</v>
      </c>
      <c r="D403" s="8">
        <v>0.61948174238204956</v>
      </c>
      <c r="E403" s="5">
        <f>MATCH(D403,'Route Data'!$C$7:$C$8,1)</f>
        <v>2</v>
      </c>
      <c r="F403" s="5">
        <f>INDEX('Route Data'!$D$7:$D$8,E403)</f>
        <v>1</v>
      </c>
      <c r="G403" s="5" t="str">
        <f>INDEX('Route Data'!$A$7:$A$8,E403)</f>
        <v>u18</v>
      </c>
      <c r="H403" s="5">
        <f>EnergyCoeff(INDEX('Route Data'!$K$7:$K$8,E403),INDEX('Route Data'!$L$7:$L$8,E403)*2*PI()/60,INDEX('Route Data'!$F$7:$F$8,E403))</f>
        <v>0.19430699130049439</v>
      </c>
      <c r="I403" s="5">
        <f>DischargeCoeff(INDEX('Route Data'!$I$7:$I$8,E403), INDEX('Route Data'!$L$7:$L$8,E403)*2*PI()/60, INDEX('Route Data'!$F$7:$F$8,E403))</f>
        <v>0.15939200179827354</v>
      </c>
      <c r="J403" s="8">
        <f>FlowAngleRel(INDEX('Route Data'!$J$7:$J$8,E403)*INDEX('Route Data'!$I$7:$I$8,E403), INDEX('Route Data'!$L$7:$L$8,E403)*2*PI()/60, INDEX('Route Data'!$F$7:$F$8,E403),INDEX('Route Data'!$O$7:$O$8,E403), INDEX('Route Data'!$P$7:$P$8,E403),INDEX('Route Data'!$M$7:$M$8,E403))</f>
        <v>1.130811765868994</v>
      </c>
      <c r="K403" s="8">
        <f>FlowAngleAbsT(INDEX('Route Data'!$K$7:$K$8,E403), INDEX('Route Data'!$I$7:$I$8,E403), INDEX('Route Data'!$I$7:$I$8,E403)*INDEX('Route Data'!$J$7:$J$8,E403), INDEX('Route Data'!$L$7:$L$8,E403)*2*PI()/60, INDEX('Route Data'!$F$7:$F$8,E403),INDEX('Route Data'!$O$7:$O$8,E403), INDEX('Route Data'!$P$7:$P$8,E403), INDEX('Route Data'!$H$7:$H$8,E403), INDEX('Route Data'!$Q$7:$Q$8,E403), INDEX('Route Data'!$M$7:$M$8,E403))</f>
        <v>0.51617226640175828</v>
      </c>
      <c r="L403" s="5">
        <f>INDEX('Route Data'!$N$7:$N$8,E403)</f>
        <v>0.4</v>
      </c>
      <c r="M403" s="8">
        <v>0.42340677976608276</v>
      </c>
      <c r="N403" s="8">
        <f>ProbStrikeFrancis(K403, I403, L403, INDEX('Route Data'!$G$7:$G$8,E403),C403, INDEX('Route Data'!$F$7:$F$8,E403), INDEX('Route Data'!$O$7:$O$8,E403), INDEX('Route Data'!$H$7:$H$18,E403))</f>
        <v>1</v>
      </c>
      <c r="O403" s="5" t="str">
        <f>IF(F403&gt;=1,IF(M403&lt;=N403,"STRIKE","pass"),IF(M403&lt;=INDEX('Route Data'!$R$7:$R$8,E403),"NO PASS","pass"))</f>
        <v>STRIKE</v>
      </c>
      <c r="P403" s="5">
        <f>IF(F403&gt;=1,IF(M403&lt;=N403,1,0),IF(M403&lt;=INDEX('Route Data'!$R$7:$R$8,E403),-1,0))</f>
        <v>1</v>
      </c>
    </row>
    <row r="404" spans="1:16">
      <c r="A404" s="5">
        <v>394</v>
      </c>
      <c r="B404" s="12">
        <v>24</v>
      </c>
      <c r="C404" s="12">
        <f t="shared" si="6"/>
        <v>2</v>
      </c>
      <c r="D404" s="8">
        <v>0.92924034595489502</v>
      </c>
      <c r="E404" s="5">
        <f>MATCH(D404,'Route Data'!$C$7:$C$8,1)</f>
        <v>2</v>
      </c>
      <c r="F404" s="5">
        <f>INDEX('Route Data'!$D$7:$D$8,E404)</f>
        <v>1</v>
      </c>
      <c r="G404" s="5" t="str">
        <f>INDEX('Route Data'!$A$7:$A$8,E404)</f>
        <v>u18</v>
      </c>
      <c r="H404" s="5">
        <f>EnergyCoeff(INDEX('Route Data'!$K$7:$K$8,E404),INDEX('Route Data'!$L$7:$L$8,E404)*2*PI()/60,INDEX('Route Data'!$F$7:$F$8,E404))</f>
        <v>0.19430699130049439</v>
      </c>
      <c r="I404" s="5">
        <f>DischargeCoeff(INDEX('Route Data'!$I$7:$I$8,E404), INDEX('Route Data'!$L$7:$L$8,E404)*2*PI()/60, INDEX('Route Data'!$F$7:$F$8,E404))</f>
        <v>0.15939200179827354</v>
      </c>
      <c r="J404" s="8">
        <f>FlowAngleRel(INDEX('Route Data'!$J$7:$J$8,E404)*INDEX('Route Data'!$I$7:$I$8,E404), INDEX('Route Data'!$L$7:$L$8,E404)*2*PI()/60, INDEX('Route Data'!$F$7:$F$8,E404),INDEX('Route Data'!$O$7:$O$8,E404), INDEX('Route Data'!$P$7:$P$8,E404),INDEX('Route Data'!$M$7:$M$8,E404))</f>
        <v>1.130811765868994</v>
      </c>
      <c r="K404" s="8">
        <f>FlowAngleAbsT(INDEX('Route Data'!$K$7:$K$8,E404), INDEX('Route Data'!$I$7:$I$8,E404), INDEX('Route Data'!$I$7:$I$8,E404)*INDEX('Route Data'!$J$7:$J$8,E404), INDEX('Route Data'!$L$7:$L$8,E404)*2*PI()/60, INDEX('Route Data'!$F$7:$F$8,E404),INDEX('Route Data'!$O$7:$O$8,E404), INDEX('Route Data'!$P$7:$P$8,E404), INDEX('Route Data'!$H$7:$H$8,E404), INDEX('Route Data'!$Q$7:$Q$8,E404), INDEX('Route Data'!$M$7:$M$8,E404))</f>
        <v>0.51617226640175828</v>
      </c>
      <c r="L404" s="5">
        <f>INDEX('Route Data'!$N$7:$N$8,E404)</f>
        <v>0.4</v>
      </c>
      <c r="M404" s="8">
        <v>0.70775759220123291</v>
      </c>
      <c r="N404" s="8">
        <f>ProbStrikeFrancis(K404, I404, L404, INDEX('Route Data'!$G$7:$G$8,E404),C404, INDEX('Route Data'!$F$7:$F$8,E404), INDEX('Route Data'!$O$7:$O$8,E404), INDEX('Route Data'!$H$7:$H$18,E404))</f>
        <v>1</v>
      </c>
      <c r="O404" s="5" t="str">
        <f>IF(F404&gt;=1,IF(M404&lt;=N404,"STRIKE","pass"),IF(M404&lt;=INDEX('Route Data'!$R$7:$R$8,E404),"NO PASS","pass"))</f>
        <v>STRIKE</v>
      </c>
      <c r="P404" s="5">
        <f>IF(F404&gt;=1,IF(M404&lt;=N404,1,0),IF(M404&lt;=INDEX('Route Data'!$R$7:$R$8,E404),-1,0))</f>
        <v>1</v>
      </c>
    </row>
    <row r="405" spans="1:16">
      <c r="A405" s="5">
        <v>395</v>
      </c>
      <c r="B405" s="12">
        <v>21.82</v>
      </c>
      <c r="C405" s="12">
        <f t="shared" si="6"/>
        <v>1.82</v>
      </c>
      <c r="D405" s="8">
        <v>0.99996453523635864</v>
      </c>
      <c r="E405" s="5">
        <f>MATCH(D405,'Route Data'!$C$7:$C$8,1)</f>
        <v>2</v>
      </c>
      <c r="F405" s="5">
        <f>INDEX('Route Data'!$D$7:$D$8,E405)</f>
        <v>1</v>
      </c>
      <c r="G405" s="5" t="str">
        <f>INDEX('Route Data'!$A$7:$A$8,E405)</f>
        <v>u18</v>
      </c>
      <c r="H405" s="5">
        <f>EnergyCoeff(INDEX('Route Data'!$K$7:$K$8,E405),INDEX('Route Data'!$L$7:$L$8,E405)*2*PI()/60,INDEX('Route Data'!$F$7:$F$8,E405))</f>
        <v>0.19430699130049439</v>
      </c>
      <c r="I405" s="5">
        <f>DischargeCoeff(INDEX('Route Data'!$I$7:$I$8,E405), INDEX('Route Data'!$L$7:$L$8,E405)*2*PI()/60, INDEX('Route Data'!$F$7:$F$8,E405))</f>
        <v>0.15939200179827354</v>
      </c>
      <c r="J405" s="8">
        <f>FlowAngleRel(INDEX('Route Data'!$J$7:$J$8,E405)*INDEX('Route Data'!$I$7:$I$8,E405), INDEX('Route Data'!$L$7:$L$8,E405)*2*PI()/60, INDEX('Route Data'!$F$7:$F$8,E405),INDEX('Route Data'!$O$7:$O$8,E405), INDEX('Route Data'!$P$7:$P$8,E405),INDEX('Route Data'!$M$7:$M$8,E405))</f>
        <v>1.130811765868994</v>
      </c>
      <c r="K405" s="8">
        <f>FlowAngleAbsT(INDEX('Route Data'!$K$7:$K$8,E405), INDEX('Route Data'!$I$7:$I$8,E405), INDEX('Route Data'!$I$7:$I$8,E405)*INDEX('Route Data'!$J$7:$J$8,E405), INDEX('Route Data'!$L$7:$L$8,E405)*2*PI()/60, INDEX('Route Data'!$F$7:$F$8,E405),INDEX('Route Data'!$O$7:$O$8,E405), INDEX('Route Data'!$P$7:$P$8,E405), INDEX('Route Data'!$H$7:$H$8,E405), INDEX('Route Data'!$Q$7:$Q$8,E405), INDEX('Route Data'!$M$7:$M$8,E405))</f>
        <v>0.51617226640175828</v>
      </c>
      <c r="L405" s="5">
        <f>INDEX('Route Data'!$N$7:$N$8,E405)</f>
        <v>0.4</v>
      </c>
      <c r="M405" s="8">
        <v>0.12028437852859497</v>
      </c>
      <c r="N405" s="8">
        <f>ProbStrikeFrancis(K405, I405, L405, INDEX('Route Data'!$G$7:$G$8,E405),C405, INDEX('Route Data'!$F$7:$F$8,E405), INDEX('Route Data'!$O$7:$O$8,E405), INDEX('Route Data'!$H$7:$H$18,E405))</f>
        <v>1</v>
      </c>
      <c r="O405" s="5" t="str">
        <f>IF(F405&gt;=1,IF(M405&lt;=N405,"STRIKE","pass"),IF(M405&lt;=INDEX('Route Data'!$R$7:$R$8,E405),"NO PASS","pass"))</f>
        <v>STRIKE</v>
      </c>
      <c r="P405" s="5">
        <f>IF(F405&gt;=1,IF(M405&lt;=N405,1,0),IF(M405&lt;=INDEX('Route Data'!$R$7:$R$8,E405),-1,0))</f>
        <v>1</v>
      </c>
    </row>
    <row r="406" spans="1:16">
      <c r="A406" s="5">
        <v>396</v>
      </c>
      <c r="B406" s="12">
        <v>22.44</v>
      </c>
      <c r="C406" s="12">
        <f t="shared" si="6"/>
        <v>1.87</v>
      </c>
      <c r="D406" s="8">
        <v>5.3371191024780273E-2</v>
      </c>
      <c r="E406" s="5">
        <f>MATCH(D406,'Route Data'!$C$7:$C$8,1)</f>
        <v>2</v>
      </c>
      <c r="F406" s="5">
        <f>INDEX('Route Data'!$D$7:$D$8,E406)</f>
        <v>1</v>
      </c>
      <c r="G406" s="5" t="str">
        <f>INDEX('Route Data'!$A$7:$A$8,E406)</f>
        <v>u18</v>
      </c>
      <c r="H406" s="5">
        <f>EnergyCoeff(INDEX('Route Data'!$K$7:$K$8,E406),INDEX('Route Data'!$L$7:$L$8,E406)*2*PI()/60,INDEX('Route Data'!$F$7:$F$8,E406))</f>
        <v>0.19430699130049439</v>
      </c>
      <c r="I406" s="5">
        <f>DischargeCoeff(INDEX('Route Data'!$I$7:$I$8,E406), INDEX('Route Data'!$L$7:$L$8,E406)*2*PI()/60, INDEX('Route Data'!$F$7:$F$8,E406))</f>
        <v>0.15939200179827354</v>
      </c>
      <c r="J406" s="8">
        <f>FlowAngleRel(INDEX('Route Data'!$J$7:$J$8,E406)*INDEX('Route Data'!$I$7:$I$8,E406), INDEX('Route Data'!$L$7:$L$8,E406)*2*PI()/60, INDEX('Route Data'!$F$7:$F$8,E406),INDEX('Route Data'!$O$7:$O$8,E406), INDEX('Route Data'!$P$7:$P$8,E406),INDEX('Route Data'!$M$7:$M$8,E406))</f>
        <v>1.130811765868994</v>
      </c>
      <c r="K406" s="8">
        <f>FlowAngleAbsT(INDEX('Route Data'!$K$7:$K$8,E406), INDEX('Route Data'!$I$7:$I$8,E406), INDEX('Route Data'!$I$7:$I$8,E406)*INDEX('Route Data'!$J$7:$J$8,E406), INDEX('Route Data'!$L$7:$L$8,E406)*2*PI()/60, INDEX('Route Data'!$F$7:$F$8,E406),INDEX('Route Data'!$O$7:$O$8,E406), INDEX('Route Data'!$P$7:$P$8,E406), INDEX('Route Data'!$H$7:$H$8,E406), INDEX('Route Data'!$Q$7:$Q$8,E406), INDEX('Route Data'!$M$7:$M$8,E406))</f>
        <v>0.51617226640175828</v>
      </c>
      <c r="L406" s="5">
        <f>INDEX('Route Data'!$N$7:$N$8,E406)</f>
        <v>0.4</v>
      </c>
      <c r="M406" s="8">
        <v>0.14828324317932129</v>
      </c>
      <c r="N406" s="8">
        <f>ProbStrikeFrancis(K406, I406, L406, INDEX('Route Data'!$G$7:$G$8,E406),C406, INDEX('Route Data'!$F$7:$F$8,E406), INDEX('Route Data'!$O$7:$O$8,E406), INDEX('Route Data'!$H$7:$H$18,E406))</f>
        <v>1</v>
      </c>
      <c r="O406" s="5" t="str">
        <f>IF(F406&gt;=1,IF(M406&lt;=N406,"STRIKE","pass"),IF(M406&lt;=INDEX('Route Data'!$R$7:$R$8,E406),"NO PASS","pass"))</f>
        <v>STRIKE</v>
      </c>
      <c r="P406" s="5">
        <f>IF(F406&gt;=1,IF(M406&lt;=N406,1,0),IF(M406&lt;=INDEX('Route Data'!$R$7:$R$8,E406),-1,0))</f>
        <v>1</v>
      </c>
    </row>
    <row r="407" spans="1:16">
      <c r="A407" s="5">
        <v>397</v>
      </c>
      <c r="B407" s="12">
        <v>13.87</v>
      </c>
      <c r="C407" s="12">
        <f t="shared" si="6"/>
        <v>1.1599999999999999</v>
      </c>
      <c r="D407" s="8">
        <v>0.89315122365951538</v>
      </c>
      <c r="E407" s="5">
        <f>MATCH(D407,'Route Data'!$C$7:$C$8,1)</f>
        <v>2</v>
      </c>
      <c r="F407" s="5">
        <f>INDEX('Route Data'!$D$7:$D$8,E407)</f>
        <v>1</v>
      </c>
      <c r="G407" s="5" t="str">
        <f>INDEX('Route Data'!$A$7:$A$8,E407)</f>
        <v>u18</v>
      </c>
      <c r="H407" s="5">
        <f>EnergyCoeff(INDEX('Route Data'!$K$7:$K$8,E407),INDEX('Route Data'!$L$7:$L$8,E407)*2*PI()/60,INDEX('Route Data'!$F$7:$F$8,E407))</f>
        <v>0.19430699130049439</v>
      </c>
      <c r="I407" s="5">
        <f>DischargeCoeff(INDEX('Route Data'!$I$7:$I$8,E407), INDEX('Route Data'!$L$7:$L$8,E407)*2*PI()/60, INDEX('Route Data'!$F$7:$F$8,E407))</f>
        <v>0.15939200179827354</v>
      </c>
      <c r="J407" s="8">
        <f>FlowAngleRel(INDEX('Route Data'!$J$7:$J$8,E407)*INDEX('Route Data'!$I$7:$I$8,E407), INDEX('Route Data'!$L$7:$L$8,E407)*2*PI()/60, INDEX('Route Data'!$F$7:$F$8,E407),INDEX('Route Data'!$O$7:$O$8,E407), INDEX('Route Data'!$P$7:$P$8,E407),INDEX('Route Data'!$M$7:$M$8,E407))</f>
        <v>1.130811765868994</v>
      </c>
      <c r="K407" s="8">
        <f>FlowAngleAbsT(INDEX('Route Data'!$K$7:$K$8,E407), INDEX('Route Data'!$I$7:$I$8,E407), INDEX('Route Data'!$I$7:$I$8,E407)*INDEX('Route Data'!$J$7:$J$8,E407), INDEX('Route Data'!$L$7:$L$8,E407)*2*PI()/60, INDEX('Route Data'!$F$7:$F$8,E407),INDEX('Route Data'!$O$7:$O$8,E407), INDEX('Route Data'!$P$7:$P$8,E407), INDEX('Route Data'!$H$7:$H$8,E407), INDEX('Route Data'!$Q$7:$Q$8,E407), INDEX('Route Data'!$M$7:$M$8,E407))</f>
        <v>0.51617226640175828</v>
      </c>
      <c r="L407" s="5">
        <f>INDEX('Route Data'!$N$7:$N$8,E407)</f>
        <v>0.4</v>
      </c>
      <c r="M407" s="8">
        <v>0.32986587285995483</v>
      </c>
      <c r="N407" s="8">
        <f>ProbStrikeFrancis(K407, I407, L407, INDEX('Route Data'!$G$7:$G$8,E407),C407, INDEX('Route Data'!$F$7:$F$8,E407), INDEX('Route Data'!$O$7:$O$8,E407), INDEX('Route Data'!$H$7:$H$18,E407))</f>
        <v>0.9472212675030921</v>
      </c>
      <c r="O407" s="5" t="str">
        <f>IF(F407&gt;=1,IF(M407&lt;=N407,"STRIKE","pass"),IF(M407&lt;=INDEX('Route Data'!$R$7:$R$8,E407),"NO PASS","pass"))</f>
        <v>STRIKE</v>
      </c>
      <c r="P407" s="5">
        <f>IF(F407&gt;=1,IF(M407&lt;=N407,1,0),IF(M407&lt;=INDEX('Route Data'!$R$7:$R$8,E407),-1,0))</f>
        <v>1</v>
      </c>
    </row>
    <row r="408" spans="1:16">
      <c r="A408" s="5">
        <v>398</v>
      </c>
      <c r="B408" s="12">
        <v>22.47</v>
      </c>
      <c r="C408" s="12">
        <f t="shared" si="6"/>
        <v>1.87</v>
      </c>
      <c r="D408" s="8">
        <v>0.37381112575531006</v>
      </c>
      <c r="E408" s="5">
        <f>MATCH(D408,'Route Data'!$C$7:$C$8,1)</f>
        <v>2</v>
      </c>
      <c r="F408" s="5">
        <f>INDEX('Route Data'!$D$7:$D$8,E408)</f>
        <v>1</v>
      </c>
      <c r="G408" s="5" t="str">
        <f>INDEX('Route Data'!$A$7:$A$8,E408)</f>
        <v>u18</v>
      </c>
      <c r="H408" s="5">
        <f>EnergyCoeff(INDEX('Route Data'!$K$7:$K$8,E408),INDEX('Route Data'!$L$7:$L$8,E408)*2*PI()/60,INDEX('Route Data'!$F$7:$F$8,E408))</f>
        <v>0.19430699130049439</v>
      </c>
      <c r="I408" s="5">
        <f>DischargeCoeff(INDEX('Route Data'!$I$7:$I$8,E408), INDEX('Route Data'!$L$7:$L$8,E408)*2*PI()/60, INDEX('Route Data'!$F$7:$F$8,E408))</f>
        <v>0.15939200179827354</v>
      </c>
      <c r="J408" s="8">
        <f>FlowAngleRel(INDEX('Route Data'!$J$7:$J$8,E408)*INDEX('Route Data'!$I$7:$I$8,E408), INDEX('Route Data'!$L$7:$L$8,E408)*2*PI()/60, INDEX('Route Data'!$F$7:$F$8,E408),INDEX('Route Data'!$O$7:$O$8,E408), INDEX('Route Data'!$P$7:$P$8,E408),INDEX('Route Data'!$M$7:$M$8,E408))</f>
        <v>1.130811765868994</v>
      </c>
      <c r="K408" s="8">
        <f>FlowAngleAbsT(INDEX('Route Data'!$K$7:$K$8,E408), INDEX('Route Data'!$I$7:$I$8,E408), INDEX('Route Data'!$I$7:$I$8,E408)*INDEX('Route Data'!$J$7:$J$8,E408), INDEX('Route Data'!$L$7:$L$8,E408)*2*PI()/60, INDEX('Route Data'!$F$7:$F$8,E408),INDEX('Route Data'!$O$7:$O$8,E408), INDEX('Route Data'!$P$7:$P$8,E408), INDEX('Route Data'!$H$7:$H$8,E408), INDEX('Route Data'!$Q$7:$Q$8,E408), INDEX('Route Data'!$M$7:$M$8,E408))</f>
        <v>0.51617226640175828</v>
      </c>
      <c r="L408" s="5">
        <f>INDEX('Route Data'!$N$7:$N$8,E408)</f>
        <v>0.4</v>
      </c>
      <c r="M408" s="8">
        <v>0.5195387601852417</v>
      </c>
      <c r="N408" s="8">
        <f>ProbStrikeFrancis(K408, I408, L408, INDEX('Route Data'!$G$7:$G$8,E408),C408, INDEX('Route Data'!$F$7:$F$8,E408), INDEX('Route Data'!$O$7:$O$8,E408), INDEX('Route Data'!$H$7:$H$18,E408))</f>
        <v>1</v>
      </c>
      <c r="O408" s="5" t="str">
        <f>IF(F408&gt;=1,IF(M408&lt;=N408,"STRIKE","pass"),IF(M408&lt;=INDEX('Route Data'!$R$7:$R$8,E408),"NO PASS","pass"))</f>
        <v>STRIKE</v>
      </c>
      <c r="P408" s="5">
        <f>IF(F408&gt;=1,IF(M408&lt;=N408,1,0),IF(M408&lt;=INDEX('Route Data'!$R$7:$R$8,E408),-1,0))</f>
        <v>1</v>
      </c>
    </row>
    <row r="409" spans="1:16">
      <c r="A409" s="5">
        <v>399</v>
      </c>
      <c r="B409" s="12">
        <v>24.26</v>
      </c>
      <c r="C409" s="12">
        <f t="shared" si="6"/>
        <v>2.02</v>
      </c>
      <c r="D409" s="8">
        <v>0.66625219583511353</v>
      </c>
      <c r="E409" s="5">
        <f>MATCH(D409,'Route Data'!$C$7:$C$8,1)</f>
        <v>2</v>
      </c>
      <c r="F409" s="5">
        <f>INDEX('Route Data'!$D$7:$D$8,E409)</f>
        <v>1</v>
      </c>
      <c r="G409" s="5" t="str">
        <f>INDEX('Route Data'!$A$7:$A$8,E409)</f>
        <v>u18</v>
      </c>
      <c r="H409" s="5">
        <f>EnergyCoeff(INDEX('Route Data'!$K$7:$K$8,E409),INDEX('Route Data'!$L$7:$L$8,E409)*2*PI()/60,INDEX('Route Data'!$F$7:$F$8,E409))</f>
        <v>0.19430699130049439</v>
      </c>
      <c r="I409" s="5">
        <f>DischargeCoeff(INDEX('Route Data'!$I$7:$I$8,E409), INDEX('Route Data'!$L$7:$L$8,E409)*2*PI()/60, INDEX('Route Data'!$F$7:$F$8,E409))</f>
        <v>0.15939200179827354</v>
      </c>
      <c r="J409" s="8">
        <f>FlowAngleRel(INDEX('Route Data'!$J$7:$J$8,E409)*INDEX('Route Data'!$I$7:$I$8,E409), INDEX('Route Data'!$L$7:$L$8,E409)*2*PI()/60, INDEX('Route Data'!$F$7:$F$8,E409),INDEX('Route Data'!$O$7:$O$8,E409), INDEX('Route Data'!$P$7:$P$8,E409),INDEX('Route Data'!$M$7:$M$8,E409))</f>
        <v>1.130811765868994</v>
      </c>
      <c r="K409" s="8">
        <f>FlowAngleAbsT(INDEX('Route Data'!$K$7:$K$8,E409), INDEX('Route Data'!$I$7:$I$8,E409), INDEX('Route Data'!$I$7:$I$8,E409)*INDEX('Route Data'!$J$7:$J$8,E409), INDEX('Route Data'!$L$7:$L$8,E409)*2*PI()/60, INDEX('Route Data'!$F$7:$F$8,E409),INDEX('Route Data'!$O$7:$O$8,E409), INDEX('Route Data'!$P$7:$P$8,E409), INDEX('Route Data'!$H$7:$H$8,E409), INDEX('Route Data'!$Q$7:$Q$8,E409), INDEX('Route Data'!$M$7:$M$8,E409))</f>
        <v>0.51617226640175828</v>
      </c>
      <c r="L409" s="5">
        <f>INDEX('Route Data'!$N$7:$N$8,E409)</f>
        <v>0.4</v>
      </c>
      <c r="M409" s="8">
        <v>0.4193616509437561</v>
      </c>
      <c r="N409" s="8">
        <f>ProbStrikeFrancis(K409, I409, L409, INDEX('Route Data'!$G$7:$G$8,E409),C409, INDEX('Route Data'!$F$7:$F$8,E409), INDEX('Route Data'!$O$7:$O$8,E409), INDEX('Route Data'!$H$7:$H$18,E409))</f>
        <v>1</v>
      </c>
      <c r="O409" s="5" t="str">
        <f>IF(F409&gt;=1,IF(M409&lt;=N409,"STRIKE","pass"),IF(M409&lt;=INDEX('Route Data'!$R$7:$R$8,E409),"NO PASS","pass"))</f>
        <v>STRIKE</v>
      </c>
      <c r="P409" s="5">
        <f>IF(F409&gt;=1,IF(M409&lt;=N409,1,0),IF(M409&lt;=INDEX('Route Data'!$R$7:$R$8,E409),-1,0))</f>
        <v>1</v>
      </c>
    </row>
    <row r="410" spans="1:16">
      <c r="A410" s="5">
        <v>400</v>
      </c>
      <c r="B410" s="12">
        <v>23.25</v>
      </c>
      <c r="C410" s="12">
        <f t="shared" si="6"/>
        <v>1.94</v>
      </c>
      <c r="D410" s="8">
        <v>0.52334976196289063</v>
      </c>
      <c r="E410" s="5">
        <f>MATCH(D410,'Route Data'!$C$7:$C$8,1)</f>
        <v>2</v>
      </c>
      <c r="F410" s="5">
        <f>INDEX('Route Data'!$D$7:$D$8,E410)</f>
        <v>1</v>
      </c>
      <c r="G410" s="5" t="str">
        <f>INDEX('Route Data'!$A$7:$A$8,E410)</f>
        <v>u18</v>
      </c>
      <c r="H410" s="5">
        <f>EnergyCoeff(INDEX('Route Data'!$K$7:$K$8,E410),INDEX('Route Data'!$L$7:$L$8,E410)*2*PI()/60,INDEX('Route Data'!$F$7:$F$8,E410))</f>
        <v>0.19430699130049439</v>
      </c>
      <c r="I410" s="5">
        <f>DischargeCoeff(INDEX('Route Data'!$I$7:$I$8,E410), INDEX('Route Data'!$L$7:$L$8,E410)*2*PI()/60, INDEX('Route Data'!$F$7:$F$8,E410))</f>
        <v>0.15939200179827354</v>
      </c>
      <c r="J410" s="8">
        <f>FlowAngleRel(INDEX('Route Data'!$J$7:$J$8,E410)*INDEX('Route Data'!$I$7:$I$8,E410), INDEX('Route Data'!$L$7:$L$8,E410)*2*PI()/60, INDEX('Route Data'!$F$7:$F$8,E410),INDEX('Route Data'!$O$7:$O$8,E410), INDEX('Route Data'!$P$7:$P$8,E410),INDEX('Route Data'!$M$7:$M$8,E410))</f>
        <v>1.130811765868994</v>
      </c>
      <c r="K410" s="8">
        <f>FlowAngleAbsT(INDEX('Route Data'!$K$7:$K$8,E410), INDEX('Route Data'!$I$7:$I$8,E410), INDEX('Route Data'!$I$7:$I$8,E410)*INDEX('Route Data'!$J$7:$J$8,E410), INDEX('Route Data'!$L$7:$L$8,E410)*2*PI()/60, INDEX('Route Data'!$F$7:$F$8,E410),INDEX('Route Data'!$O$7:$O$8,E410), INDEX('Route Data'!$P$7:$P$8,E410), INDEX('Route Data'!$H$7:$H$8,E410), INDEX('Route Data'!$Q$7:$Q$8,E410), INDEX('Route Data'!$M$7:$M$8,E410))</f>
        <v>0.51617226640175828</v>
      </c>
      <c r="L410" s="5">
        <f>INDEX('Route Data'!$N$7:$N$8,E410)</f>
        <v>0.4</v>
      </c>
      <c r="M410" s="8">
        <v>0.98547220230102539</v>
      </c>
      <c r="N410" s="8">
        <f>ProbStrikeFrancis(K410, I410, L410, INDEX('Route Data'!$G$7:$G$8,E410),C410, INDEX('Route Data'!$F$7:$F$8,E410), INDEX('Route Data'!$O$7:$O$8,E410), INDEX('Route Data'!$H$7:$H$18,E410))</f>
        <v>1</v>
      </c>
      <c r="O410" s="5" t="str">
        <f>IF(F410&gt;=1,IF(M410&lt;=N410,"STRIKE","pass"),IF(M410&lt;=INDEX('Route Data'!$R$7:$R$8,E410),"NO PASS","pass"))</f>
        <v>STRIKE</v>
      </c>
      <c r="P410" s="5">
        <f>IF(F410&gt;=1,IF(M410&lt;=N410,1,0),IF(M410&lt;=INDEX('Route Data'!$R$7:$R$8,E410),-1,0))</f>
        <v>1</v>
      </c>
    </row>
    <row r="411" spans="1:16">
      <c r="A411" s="5">
        <v>401</v>
      </c>
      <c r="B411" s="12">
        <v>27.84</v>
      </c>
      <c r="C411" s="12">
        <f t="shared" si="6"/>
        <v>2.3199999999999998</v>
      </c>
      <c r="D411" s="8">
        <v>0.21763628721237183</v>
      </c>
      <c r="E411" s="5">
        <f>MATCH(D411,'Route Data'!$C$7:$C$8,1)</f>
        <v>2</v>
      </c>
      <c r="F411" s="5">
        <f>INDEX('Route Data'!$D$7:$D$8,E411)</f>
        <v>1</v>
      </c>
      <c r="G411" s="5" t="str">
        <f>INDEX('Route Data'!$A$7:$A$8,E411)</f>
        <v>u18</v>
      </c>
      <c r="H411" s="5">
        <f>EnergyCoeff(INDEX('Route Data'!$K$7:$K$8,E411),INDEX('Route Data'!$L$7:$L$8,E411)*2*PI()/60,INDEX('Route Data'!$F$7:$F$8,E411))</f>
        <v>0.19430699130049439</v>
      </c>
      <c r="I411" s="5">
        <f>DischargeCoeff(INDEX('Route Data'!$I$7:$I$8,E411), INDEX('Route Data'!$L$7:$L$8,E411)*2*PI()/60, INDEX('Route Data'!$F$7:$F$8,E411))</f>
        <v>0.15939200179827354</v>
      </c>
      <c r="J411" s="8">
        <f>FlowAngleRel(INDEX('Route Data'!$J$7:$J$8,E411)*INDEX('Route Data'!$I$7:$I$8,E411), INDEX('Route Data'!$L$7:$L$8,E411)*2*PI()/60, INDEX('Route Data'!$F$7:$F$8,E411),INDEX('Route Data'!$O$7:$O$8,E411), INDEX('Route Data'!$P$7:$P$8,E411),INDEX('Route Data'!$M$7:$M$8,E411))</f>
        <v>1.130811765868994</v>
      </c>
      <c r="K411" s="8">
        <f>FlowAngleAbsT(INDEX('Route Data'!$K$7:$K$8,E411), INDEX('Route Data'!$I$7:$I$8,E411), INDEX('Route Data'!$I$7:$I$8,E411)*INDEX('Route Data'!$J$7:$J$8,E411), INDEX('Route Data'!$L$7:$L$8,E411)*2*PI()/60, INDEX('Route Data'!$F$7:$F$8,E411),INDEX('Route Data'!$O$7:$O$8,E411), INDEX('Route Data'!$P$7:$P$8,E411), INDEX('Route Data'!$H$7:$H$8,E411), INDEX('Route Data'!$Q$7:$Q$8,E411), INDEX('Route Data'!$M$7:$M$8,E411))</f>
        <v>0.51617226640175828</v>
      </c>
      <c r="L411" s="5">
        <f>INDEX('Route Data'!$N$7:$N$8,E411)</f>
        <v>0.4</v>
      </c>
      <c r="M411" s="8">
        <v>0.28714054822921753</v>
      </c>
      <c r="N411" s="8">
        <f>ProbStrikeFrancis(K411, I411, L411, INDEX('Route Data'!$G$7:$G$8,E411),C411, INDEX('Route Data'!$F$7:$F$8,E411), INDEX('Route Data'!$O$7:$O$8,E411), INDEX('Route Data'!$H$7:$H$18,E411))</f>
        <v>1</v>
      </c>
      <c r="O411" s="5" t="str">
        <f>IF(F411&gt;=1,IF(M411&lt;=N411,"STRIKE","pass"),IF(M411&lt;=INDEX('Route Data'!$R$7:$R$8,E411),"NO PASS","pass"))</f>
        <v>STRIKE</v>
      </c>
      <c r="P411" s="5">
        <f>IF(F411&gt;=1,IF(M411&lt;=N411,1,0),IF(M411&lt;=INDEX('Route Data'!$R$7:$R$8,E411),-1,0))</f>
        <v>1</v>
      </c>
    </row>
    <row r="412" spans="1:16">
      <c r="A412" s="5">
        <v>402</v>
      </c>
      <c r="B412" s="12">
        <v>26.42</v>
      </c>
      <c r="C412" s="12">
        <f t="shared" si="6"/>
        <v>2.2000000000000002</v>
      </c>
      <c r="D412" s="8">
        <v>0.86919748783111572</v>
      </c>
      <c r="E412" s="5">
        <f>MATCH(D412,'Route Data'!$C$7:$C$8,1)</f>
        <v>2</v>
      </c>
      <c r="F412" s="5">
        <f>INDEX('Route Data'!$D$7:$D$8,E412)</f>
        <v>1</v>
      </c>
      <c r="G412" s="5" t="str">
        <f>INDEX('Route Data'!$A$7:$A$8,E412)</f>
        <v>u18</v>
      </c>
      <c r="H412" s="5">
        <f>EnergyCoeff(INDEX('Route Data'!$K$7:$K$8,E412),INDEX('Route Data'!$L$7:$L$8,E412)*2*PI()/60,INDEX('Route Data'!$F$7:$F$8,E412))</f>
        <v>0.19430699130049439</v>
      </c>
      <c r="I412" s="5">
        <f>DischargeCoeff(INDEX('Route Data'!$I$7:$I$8,E412), INDEX('Route Data'!$L$7:$L$8,E412)*2*PI()/60, INDEX('Route Data'!$F$7:$F$8,E412))</f>
        <v>0.15939200179827354</v>
      </c>
      <c r="J412" s="8">
        <f>FlowAngleRel(INDEX('Route Data'!$J$7:$J$8,E412)*INDEX('Route Data'!$I$7:$I$8,E412), INDEX('Route Data'!$L$7:$L$8,E412)*2*PI()/60, INDEX('Route Data'!$F$7:$F$8,E412),INDEX('Route Data'!$O$7:$O$8,E412), INDEX('Route Data'!$P$7:$P$8,E412),INDEX('Route Data'!$M$7:$M$8,E412))</f>
        <v>1.130811765868994</v>
      </c>
      <c r="K412" s="8">
        <f>FlowAngleAbsT(INDEX('Route Data'!$K$7:$K$8,E412), INDEX('Route Data'!$I$7:$I$8,E412), INDEX('Route Data'!$I$7:$I$8,E412)*INDEX('Route Data'!$J$7:$J$8,E412), INDEX('Route Data'!$L$7:$L$8,E412)*2*PI()/60, INDEX('Route Data'!$F$7:$F$8,E412),INDEX('Route Data'!$O$7:$O$8,E412), INDEX('Route Data'!$P$7:$P$8,E412), INDEX('Route Data'!$H$7:$H$8,E412), INDEX('Route Data'!$Q$7:$Q$8,E412), INDEX('Route Data'!$M$7:$M$8,E412))</f>
        <v>0.51617226640175828</v>
      </c>
      <c r="L412" s="5">
        <f>INDEX('Route Data'!$N$7:$N$8,E412)</f>
        <v>0.4</v>
      </c>
      <c r="M412" s="8">
        <v>0.64771473407745361</v>
      </c>
      <c r="N412" s="8">
        <f>ProbStrikeFrancis(K412, I412, L412, INDEX('Route Data'!$G$7:$G$8,E412),C412, INDEX('Route Data'!$F$7:$F$8,E412), INDEX('Route Data'!$O$7:$O$8,E412), INDEX('Route Data'!$H$7:$H$18,E412))</f>
        <v>1</v>
      </c>
      <c r="O412" s="5" t="str">
        <f>IF(F412&gt;=1,IF(M412&lt;=N412,"STRIKE","pass"),IF(M412&lt;=INDEX('Route Data'!$R$7:$R$8,E412),"NO PASS","pass"))</f>
        <v>STRIKE</v>
      </c>
      <c r="P412" s="5">
        <f>IF(F412&gt;=1,IF(M412&lt;=N412,1,0),IF(M412&lt;=INDEX('Route Data'!$R$7:$R$8,E412),-1,0))</f>
        <v>1</v>
      </c>
    </row>
    <row r="413" spans="1:16">
      <c r="A413" s="5">
        <v>403</v>
      </c>
      <c r="B413" s="12">
        <v>21.13</v>
      </c>
      <c r="C413" s="12">
        <f t="shared" si="6"/>
        <v>1.76</v>
      </c>
      <c r="D413" s="8">
        <v>0.91451388597488403</v>
      </c>
      <c r="E413" s="5">
        <f>MATCH(D413,'Route Data'!$C$7:$C$8,1)</f>
        <v>2</v>
      </c>
      <c r="F413" s="5">
        <f>INDEX('Route Data'!$D$7:$D$8,E413)</f>
        <v>1</v>
      </c>
      <c r="G413" s="5" t="str">
        <f>INDEX('Route Data'!$A$7:$A$8,E413)</f>
        <v>u18</v>
      </c>
      <c r="H413" s="5">
        <f>EnergyCoeff(INDEX('Route Data'!$K$7:$K$8,E413),INDEX('Route Data'!$L$7:$L$8,E413)*2*PI()/60,INDEX('Route Data'!$F$7:$F$8,E413))</f>
        <v>0.19430699130049439</v>
      </c>
      <c r="I413" s="5">
        <f>DischargeCoeff(INDEX('Route Data'!$I$7:$I$8,E413), INDEX('Route Data'!$L$7:$L$8,E413)*2*PI()/60, INDEX('Route Data'!$F$7:$F$8,E413))</f>
        <v>0.15939200179827354</v>
      </c>
      <c r="J413" s="8">
        <f>FlowAngleRel(INDEX('Route Data'!$J$7:$J$8,E413)*INDEX('Route Data'!$I$7:$I$8,E413), INDEX('Route Data'!$L$7:$L$8,E413)*2*PI()/60, INDEX('Route Data'!$F$7:$F$8,E413),INDEX('Route Data'!$O$7:$O$8,E413), INDEX('Route Data'!$P$7:$P$8,E413),INDEX('Route Data'!$M$7:$M$8,E413))</f>
        <v>1.130811765868994</v>
      </c>
      <c r="K413" s="8">
        <f>FlowAngleAbsT(INDEX('Route Data'!$K$7:$K$8,E413), INDEX('Route Data'!$I$7:$I$8,E413), INDEX('Route Data'!$I$7:$I$8,E413)*INDEX('Route Data'!$J$7:$J$8,E413), INDEX('Route Data'!$L$7:$L$8,E413)*2*PI()/60, INDEX('Route Data'!$F$7:$F$8,E413),INDEX('Route Data'!$O$7:$O$8,E413), INDEX('Route Data'!$P$7:$P$8,E413), INDEX('Route Data'!$H$7:$H$8,E413), INDEX('Route Data'!$Q$7:$Q$8,E413), INDEX('Route Data'!$M$7:$M$8,E413))</f>
        <v>0.51617226640175828</v>
      </c>
      <c r="L413" s="5">
        <f>INDEX('Route Data'!$N$7:$N$8,E413)</f>
        <v>0.4</v>
      </c>
      <c r="M413" s="8">
        <v>3.4833729267120361E-2</v>
      </c>
      <c r="N413" s="8">
        <f>ProbStrikeFrancis(K413, I413, L413, INDEX('Route Data'!$G$7:$G$8,E413),C413, INDEX('Route Data'!$F$7:$F$8,E413), INDEX('Route Data'!$O$7:$O$8,E413), INDEX('Route Data'!$H$7:$H$18,E413))</f>
        <v>1</v>
      </c>
      <c r="O413" s="5" t="str">
        <f>IF(F413&gt;=1,IF(M413&lt;=N413,"STRIKE","pass"),IF(M413&lt;=INDEX('Route Data'!$R$7:$R$8,E413),"NO PASS","pass"))</f>
        <v>STRIKE</v>
      </c>
      <c r="P413" s="5">
        <f>IF(F413&gt;=1,IF(M413&lt;=N413,1,0),IF(M413&lt;=INDEX('Route Data'!$R$7:$R$8,E413),-1,0))</f>
        <v>1</v>
      </c>
    </row>
    <row r="414" spans="1:16">
      <c r="A414" s="5">
        <v>404</v>
      </c>
      <c r="B414" s="12">
        <v>24.6</v>
      </c>
      <c r="C414" s="12">
        <f t="shared" si="6"/>
        <v>2.0499999999999998</v>
      </c>
      <c r="D414" s="8">
        <v>0.3097231388092041</v>
      </c>
      <c r="E414" s="5">
        <f>MATCH(D414,'Route Data'!$C$7:$C$8,1)</f>
        <v>2</v>
      </c>
      <c r="F414" s="5">
        <f>INDEX('Route Data'!$D$7:$D$8,E414)</f>
        <v>1</v>
      </c>
      <c r="G414" s="5" t="str">
        <f>INDEX('Route Data'!$A$7:$A$8,E414)</f>
        <v>u18</v>
      </c>
      <c r="H414" s="5">
        <f>EnergyCoeff(INDEX('Route Data'!$K$7:$K$8,E414),INDEX('Route Data'!$L$7:$L$8,E414)*2*PI()/60,INDEX('Route Data'!$F$7:$F$8,E414))</f>
        <v>0.19430699130049439</v>
      </c>
      <c r="I414" s="5">
        <f>DischargeCoeff(INDEX('Route Data'!$I$7:$I$8,E414), INDEX('Route Data'!$L$7:$L$8,E414)*2*PI()/60, INDEX('Route Data'!$F$7:$F$8,E414))</f>
        <v>0.15939200179827354</v>
      </c>
      <c r="J414" s="8">
        <f>FlowAngleRel(INDEX('Route Data'!$J$7:$J$8,E414)*INDEX('Route Data'!$I$7:$I$8,E414), INDEX('Route Data'!$L$7:$L$8,E414)*2*PI()/60, INDEX('Route Data'!$F$7:$F$8,E414),INDEX('Route Data'!$O$7:$O$8,E414), INDEX('Route Data'!$P$7:$P$8,E414),INDEX('Route Data'!$M$7:$M$8,E414))</f>
        <v>1.130811765868994</v>
      </c>
      <c r="K414" s="8">
        <f>FlowAngleAbsT(INDEX('Route Data'!$K$7:$K$8,E414), INDEX('Route Data'!$I$7:$I$8,E414), INDEX('Route Data'!$I$7:$I$8,E414)*INDEX('Route Data'!$J$7:$J$8,E414), INDEX('Route Data'!$L$7:$L$8,E414)*2*PI()/60, INDEX('Route Data'!$F$7:$F$8,E414),INDEX('Route Data'!$O$7:$O$8,E414), INDEX('Route Data'!$P$7:$P$8,E414), INDEX('Route Data'!$H$7:$H$8,E414), INDEX('Route Data'!$Q$7:$Q$8,E414), INDEX('Route Data'!$M$7:$M$8,E414))</f>
        <v>0.51617226640175828</v>
      </c>
      <c r="L414" s="5">
        <f>INDEX('Route Data'!$N$7:$N$8,E414)</f>
        <v>0.4</v>
      </c>
      <c r="M414" s="8">
        <v>0.40463519096374512</v>
      </c>
      <c r="N414" s="8">
        <f>ProbStrikeFrancis(K414, I414, L414, INDEX('Route Data'!$G$7:$G$8,E414),C414, INDEX('Route Data'!$F$7:$F$8,E414), INDEX('Route Data'!$O$7:$O$8,E414), INDEX('Route Data'!$H$7:$H$18,E414))</f>
        <v>1</v>
      </c>
      <c r="O414" s="5" t="str">
        <f>IF(F414&gt;=1,IF(M414&lt;=N414,"STRIKE","pass"),IF(M414&lt;=INDEX('Route Data'!$R$7:$R$8,E414),"NO PASS","pass"))</f>
        <v>STRIKE</v>
      </c>
      <c r="P414" s="5">
        <f>IF(F414&gt;=1,IF(M414&lt;=N414,1,0),IF(M414&lt;=INDEX('Route Data'!$R$7:$R$8,E414),-1,0))</f>
        <v>1</v>
      </c>
    </row>
    <row r="415" spans="1:16">
      <c r="A415" s="5">
        <v>405</v>
      </c>
      <c r="B415" s="12">
        <v>20.149999999999999</v>
      </c>
      <c r="C415" s="12">
        <f t="shared" si="6"/>
        <v>1.68</v>
      </c>
      <c r="D415" s="8">
        <v>0.8585161566734314</v>
      </c>
      <c r="E415" s="5">
        <f>MATCH(D415,'Route Data'!$C$7:$C$8,1)</f>
        <v>2</v>
      </c>
      <c r="F415" s="5">
        <f>INDEX('Route Data'!$D$7:$D$8,E415)</f>
        <v>1</v>
      </c>
      <c r="G415" s="5" t="str">
        <f>INDEX('Route Data'!$A$7:$A$8,E415)</f>
        <v>u18</v>
      </c>
      <c r="H415" s="5">
        <f>EnergyCoeff(INDEX('Route Data'!$K$7:$K$8,E415),INDEX('Route Data'!$L$7:$L$8,E415)*2*PI()/60,INDEX('Route Data'!$F$7:$F$8,E415))</f>
        <v>0.19430699130049439</v>
      </c>
      <c r="I415" s="5">
        <f>DischargeCoeff(INDEX('Route Data'!$I$7:$I$8,E415), INDEX('Route Data'!$L$7:$L$8,E415)*2*PI()/60, INDEX('Route Data'!$F$7:$F$8,E415))</f>
        <v>0.15939200179827354</v>
      </c>
      <c r="J415" s="8">
        <f>FlowAngleRel(INDEX('Route Data'!$J$7:$J$8,E415)*INDEX('Route Data'!$I$7:$I$8,E415), INDEX('Route Data'!$L$7:$L$8,E415)*2*PI()/60, INDEX('Route Data'!$F$7:$F$8,E415),INDEX('Route Data'!$O$7:$O$8,E415), INDEX('Route Data'!$P$7:$P$8,E415),INDEX('Route Data'!$M$7:$M$8,E415))</f>
        <v>1.130811765868994</v>
      </c>
      <c r="K415" s="8">
        <f>FlowAngleAbsT(INDEX('Route Data'!$K$7:$K$8,E415), INDEX('Route Data'!$I$7:$I$8,E415), INDEX('Route Data'!$I$7:$I$8,E415)*INDEX('Route Data'!$J$7:$J$8,E415), INDEX('Route Data'!$L$7:$L$8,E415)*2*PI()/60, INDEX('Route Data'!$F$7:$F$8,E415),INDEX('Route Data'!$O$7:$O$8,E415), INDEX('Route Data'!$P$7:$P$8,E415), INDEX('Route Data'!$H$7:$H$8,E415), INDEX('Route Data'!$Q$7:$Q$8,E415), INDEX('Route Data'!$M$7:$M$8,E415))</f>
        <v>0.51617226640175828</v>
      </c>
      <c r="L415" s="5">
        <f>INDEX('Route Data'!$N$7:$N$8,E415)</f>
        <v>0.4</v>
      </c>
      <c r="M415" s="8">
        <v>0.29523080587387085</v>
      </c>
      <c r="N415" s="8">
        <f>ProbStrikeFrancis(K415, I415, L415, INDEX('Route Data'!$G$7:$G$8,E415),C415, INDEX('Route Data'!$F$7:$F$8,E415), INDEX('Route Data'!$O$7:$O$8,E415), INDEX('Route Data'!$H$7:$H$18,E415))</f>
        <v>1</v>
      </c>
      <c r="O415" s="5" t="str">
        <f>IF(F415&gt;=1,IF(M415&lt;=N415,"STRIKE","pass"),IF(M415&lt;=INDEX('Route Data'!$R$7:$R$8,E415),"NO PASS","pass"))</f>
        <v>STRIKE</v>
      </c>
      <c r="P415" s="5">
        <f>IF(F415&gt;=1,IF(M415&lt;=N415,1,0),IF(M415&lt;=INDEX('Route Data'!$R$7:$R$8,E415),-1,0))</f>
        <v>1</v>
      </c>
    </row>
    <row r="416" spans="1:16">
      <c r="A416" s="5">
        <v>406</v>
      </c>
      <c r="B416" s="12">
        <v>18.079999999999998</v>
      </c>
      <c r="C416" s="12">
        <f t="shared" si="6"/>
        <v>1.51</v>
      </c>
      <c r="D416" s="8">
        <v>0.94655787944793701</v>
      </c>
      <c r="E416" s="5">
        <f>MATCH(D416,'Route Data'!$C$7:$C$8,1)</f>
        <v>2</v>
      </c>
      <c r="F416" s="5">
        <f>INDEX('Route Data'!$D$7:$D$8,E416)</f>
        <v>1</v>
      </c>
      <c r="G416" s="5" t="str">
        <f>INDEX('Route Data'!$A$7:$A$8,E416)</f>
        <v>u18</v>
      </c>
      <c r="H416" s="5">
        <f>EnergyCoeff(INDEX('Route Data'!$K$7:$K$8,E416),INDEX('Route Data'!$L$7:$L$8,E416)*2*PI()/60,INDEX('Route Data'!$F$7:$F$8,E416))</f>
        <v>0.19430699130049439</v>
      </c>
      <c r="I416" s="5">
        <f>DischargeCoeff(INDEX('Route Data'!$I$7:$I$8,E416), INDEX('Route Data'!$L$7:$L$8,E416)*2*PI()/60, INDEX('Route Data'!$F$7:$F$8,E416))</f>
        <v>0.15939200179827354</v>
      </c>
      <c r="J416" s="8">
        <f>FlowAngleRel(INDEX('Route Data'!$J$7:$J$8,E416)*INDEX('Route Data'!$I$7:$I$8,E416), INDEX('Route Data'!$L$7:$L$8,E416)*2*PI()/60, INDEX('Route Data'!$F$7:$F$8,E416),INDEX('Route Data'!$O$7:$O$8,E416), INDEX('Route Data'!$P$7:$P$8,E416),INDEX('Route Data'!$M$7:$M$8,E416))</f>
        <v>1.130811765868994</v>
      </c>
      <c r="K416" s="8">
        <f>FlowAngleAbsT(INDEX('Route Data'!$K$7:$K$8,E416), INDEX('Route Data'!$I$7:$I$8,E416), INDEX('Route Data'!$I$7:$I$8,E416)*INDEX('Route Data'!$J$7:$J$8,E416), INDEX('Route Data'!$L$7:$L$8,E416)*2*PI()/60, INDEX('Route Data'!$F$7:$F$8,E416),INDEX('Route Data'!$O$7:$O$8,E416), INDEX('Route Data'!$P$7:$P$8,E416), INDEX('Route Data'!$H$7:$H$8,E416), INDEX('Route Data'!$Q$7:$Q$8,E416), INDEX('Route Data'!$M$7:$M$8,E416))</f>
        <v>0.51617226640175828</v>
      </c>
      <c r="L416" s="5">
        <f>INDEX('Route Data'!$N$7:$N$8,E416)</f>
        <v>0.4</v>
      </c>
      <c r="M416" s="8">
        <v>9.2285513877868652E-2</v>
      </c>
      <c r="N416" s="8">
        <f>ProbStrikeFrancis(K416, I416, L416, INDEX('Route Data'!$G$7:$G$8,E416),C416, INDEX('Route Data'!$F$7:$F$8,E416), INDEX('Route Data'!$O$7:$O$8,E416), INDEX('Route Data'!$H$7:$H$18,E416))</f>
        <v>1</v>
      </c>
      <c r="O416" s="5" t="str">
        <f>IF(F416&gt;=1,IF(M416&lt;=N416,"STRIKE","pass"),IF(M416&lt;=INDEX('Route Data'!$R$7:$R$8,E416),"NO PASS","pass"))</f>
        <v>STRIKE</v>
      </c>
      <c r="P416" s="5">
        <f>IF(F416&gt;=1,IF(M416&lt;=N416,1,0),IF(M416&lt;=INDEX('Route Data'!$R$7:$R$8,E416),-1,0))</f>
        <v>1</v>
      </c>
    </row>
    <row r="417" spans="1:16">
      <c r="A417" s="5">
        <v>407</v>
      </c>
      <c r="B417" s="12">
        <v>14.78</v>
      </c>
      <c r="C417" s="12">
        <f t="shared" si="6"/>
        <v>1.23</v>
      </c>
      <c r="D417" s="8">
        <v>0.21359115839004517</v>
      </c>
      <c r="E417" s="5">
        <f>MATCH(D417,'Route Data'!$C$7:$C$8,1)</f>
        <v>2</v>
      </c>
      <c r="F417" s="5">
        <f>INDEX('Route Data'!$D$7:$D$8,E417)</f>
        <v>1</v>
      </c>
      <c r="G417" s="5" t="str">
        <f>INDEX('Route Data'!$A$7:$A$8,E417)</f>
        <v>u18</v>
      </c>
      <c r="H417" s="5">
        <f>EnergyCoeff(INDEX('Route Data'!$K$7:$K$8,E417),INDEX('Route Data'!$L$7:$L$8,E417)*2*PI()/60,INDEX('Route Data'!$F$7:$F$8,E417))</f>
        <v>0.19430699130049439</v>
      </c>
      <c r="I417" s="5">
        <f>DischargeCoeff(INDEX('Route Data'!$I$7:$I$8,E417), INDEX('Route Data'!$L$7:$L$8,E417)*2*PI()/60, INDEX('Route Data'!$F$7:$F$8,E417))</f>
        <v>0.15939200179827354</v>
      </c>
      <c r="J417" s="8">
        <f>FlowAngleRel(INDEX('Route Data'!$J$7:$J$8,E417)*INDEX('Route Data'!$I$7:$I$8,E417), INDEX('Route Data'!$L$7:$L$8,E417)*2*PI()/60, INDEX('Route Data'!$F$7:$F$8,E417),INDEX('Route Data'!$O$7:$O$8,E417), INDEX('Route Data'!$P$7:$P$8,E417),INDEX('Route Data'!$M$7:$M$8,E417))</f>
        <v>1.130811765868994</v>
      </c>
      <c r="K417" s="8">
        <f>FlowAngleAbsT(INDEX('Route Data'!$K$7:$K$8,E417), INDEX('Route Data'!$I$7:$I$8,E417), INDEX('Route Data'!$I$7:$I$8,E417)*INDEX('Route Data'!$J$7:$J$8,E417), INDEX('Route Data'!$L$7:$L$8,E417)*2*PI()/60, INDEX('Route Data'!$F$7:$F$8,E417),INDEX('Route Data'!$O$7:$O$8,E417), INDEX('Route Data'!$P$7:$P$8,E417), INDEX('Route Data'!$H$7:$H$8,E417), INDEX('Route Data'!$Q$7:$Q$8,E417), INDEX('Route Data'!$M$7:$M$8,E417))</f>
        <v>0.51617226640175828</v>
      </c>
      <c r="L417" s="5">
        <f>INDEX('Route Data'!$N$7:$N$8,E417)</f>
        <v>0.4</v>
      </c>
      <c r="M417" s="8">
        <v>0.70112138986587524</v>
      </c>
      <c r="N417" s="8">
        <f>ProbStrikeFrancis(K417, I417, L417, INDEX('Route Data'!$G$7:$G$8,E417),C417, INDEX('Route Data'!$F$7:$F$8,E417), INDEX('Route Data'!$O$7:$O$8,E417), INDEX('Route Data'!$H$7:$H$18,E417))</f>
        <v>1</v>
      </c>
      <c r="O417" s="5" t="str">
        <f>IF(F417&gt;=1,IF(M417&lt;=N417,"STRIKE","pass"),IF(M417&lt;=INDEX('Route Data'!$R$7:$R$8,E417),"NO PASS","pass"))</f>
        <v>STRIKE</v>
      </c>
      <c r="P417" s="5">
        <f>IF(F417&gt;=1,IF(M417&lt;=N417,1,0),IF(M417&lt;=INDEX('Route Data'!$R$7:$R$8,E417),-1,0))</f>
        <v>1</v>
      </c>
    </row>
    <row r="418" spans="1:16">
      <c r="A418" s="5">
        <v>408</v>
      </c>
      <c r="B418" s="12">
        <v>20.12</v>
      </c>
      <c r="C418" s="12">
        <f t="shared" si="6"/>
        <v>1.68</v>
      </c>
      <c r="D418" s="8">
        <v>0.4124913215637207</v>
      </c>
      <c r="E418" s="5">
        <f>MATCH(D418,'Route Data'!$C$7:$C$8,1)</f>
        <v>2</v>
      </c>
      <c r="F418" s="5">
        <f>INDEX('Route Data'!$D$7:$D$8,E418)</f>
        <v>1</v>
      </c>
      <c r="G418" s="5" t="str">
        <f>INDEX('Route Data'!$A$7:$A$8,E418)</f>
        <v>u18</v>
      </c>
      <c r="H418" s="5">
        <f>EnergyCoeff(INDEX('Route Data'!$K$7:$K$8,E418),INDEX('Route Data'!$L$7:$L$8,E418)*2*PI()/60,INDEX('Route Data'!$F$7:$F$8,E418))</f>
        <v>0.19430699130049439</v>
      </c>
      <c r="I418" s="5">
        <f>DischargeCoeff(INDEX('Route Data'!$I$7:$I$8,E418), INDEX('Route Data'!$L$7:$L$8,E418)*2*PI()/60, INDEX('Route Data'!$F$7:$F$8,E418))</f>
        <v>0.15939200179827354</v>
      </c>
      <c r="J418" s="8">
        <f>FlowAngleRel(INDEX('Route Data'!$J$7:$J$8,E418)*INDEX('Route Data'!$I$7:$I$8,E418), INDEX('Route Data'!$L$7:$L$8,E418)*2*PI()/60, INDEX('Route Data'!$F$7:$F$8,E418),INDEX('Route Data'!$O$7:$O$8,E418), INDEX('Route Data'!$P$7:$P$8,E418),INDEX('Route Data'!$M$7:$M$8,E418))</f>
        <v>1.130811765868994</v>
      </c>
      <c r="K418" s="8">
        <f>FlowAngleAbsT(INDEX('Route Data'!$K$7:$K$8,E418), INDEX('Route Data'!$I$7:$I$8,E418), INDEX('Route Data'!$I$7:$I$8,E418)*INDEX('Route Data'!$J$7:$J$8,E418), INDEX('Route Data'!$L$7:$L$8,E418)*2*PI()/60, INDEX('Route Data'!$F$7:$F$8,E418),INDEX('Route Data'!$O$7:$O$8,E418), INDEX('Route Data'!$P$7:$P$8,E418), INDEX('Route Data'!$H$7:$H$8,E418), INDEX('Route Data'!$Q$7:$Q$8,E418), INDEX('Route Data'!$M$7:$M$8,E418))</f>
        <v>0.51617226640175828</v>
      </c>
      <c r="L418" s="5">
        <f>INDEX('Route Data'!$N$7:$N$8,E418)</f>
        <v>0.4</v>
      </c>
      <c r="M418" s="8">
        <v>0.87461376190185547</v>
      </c>
      <c r="N418" s="8">
        <f>ProbStrikeFrancis(K418, I418, L418, INDEX('Route Data'!$G$7:$G$8,E418),C418, INDEX('Route Data'!$F$7:$F$8,E418), INDEX('Route Data'!$O$7:$O$8,E418), INDEX('Route Data'!$H$7:$H$18,E418))</f>
        <v>1</v>
      </c>
      <c r="O418" s="5" t="str">
        <f>IF(F418&gt;=1,IF(M418&lt;=N418,"STRIKE","pass"),IF(M418&lt;=INDEX('Route Data'!$R$7:$R$8,E418),"NO PASS","pass"))</f>
        <v>STRIKE</v>
      </c>
      <c r="P418" s="5">
        <f>IF(F418&gt;=1,IF(M418&lt;=N418,1,0),IF(M418&lt;=INDEX('Route Data'!$R$7:$R$8,E418),-1,0))</f>
        <v>1</v>
      </c>
    </row>
    <row r="419" spans="1:16">
      <c r="A419" s="5">
        <v>409</v>
      </c>
      <c r="B419" s="12">
        <v>22.86</v>
      </c>
      <c r="C419" s="12">
        <f t="shared" si="6"/>
        <v>1.91</v>
      </c>
      <c r="D419" s="8">
        <v>0.81579083204269409</v>
      </c>
      <c r="E419" s="5">
        <f>MATCH(D419,'Route Data'!$C$7:$C$8,1)</f>
        <v>2</v>
      </c>
      <c r="F419" s="5">
        <f>INDEX('Route Data'!$D$7:$D$8,E419)</f>
        <v>1</v>
      </c>
      <c r="G419" s="5" t="str">
        <f>INDEX('Route Data'!$A$7:$A$8,E419)</f>
        <v>u18</v>
      </c>
      <c r="H419" s="5">
        <f>EnergyCoeff(INDEX('Route Data'!$K$7:$K$8,E419),INDEX('Route Data'!$L$7:$L$8,E419)*2*PI()/60,INDEX('Route Data'!$F$7:$F$8,E419))</f>
        <v>0.19430699130049439</v>
      </c>
      <c r="I419" s="5">
        <f>DischargeCoeff(INDEX('Route Data'!$I$7:$I$8,E419), INDEX('Route Data'!$L$7:$L$8,E419)*2*PI()/60, INDEX('Route Data'!$F$7:$F$8,E419))</f>
        <v>0.15939200179827354</v>
      </c>
      <c r="J419" s="8">
        <f>FlowAngleRel(INDEX('Route Data'!$J$7:$J$8,E419)*INDEX('Route Data'!$I$7:$I$8,E419), INDEX('Route Data'!$L$7:$L$8,E419)*2*PI()/60, INDEX('Route Data'!$F$7:$F$8,E419),INDEX('Route Data'!$O$7:$O$8,E419), INDEX('Route Data'!$P$7:$P$8,E419),INDEX('Route Data'!$M$7:$M$8,E419))</f>
        <v>1.130811765868994</v>
      </c>
      <c r="K419" s="8">
        <f>FlowAngleAbsT(INDEX('Route Data'!$K$7:$K$8,E419), INDEX('Route Data'!$I$7:$I$8,E419), INDEX('Route Data'!$I$7:$I$8,E419)*INDEX('Route Data'!$J$7:$J$8,E419), INDEX('Route Data'!$L$7:$L$8,E419)*2*PI()/60, INDEX('Route Data'!$F$7:$F$8,E419),INDEX('Route Data'!$O$7:$O$8,E419), INDEX('Route Data'!$P$7:$P$8,E419), INDEX('Route Data'!$H$7:$H$8,E419), INDEX('Route Data'!$Q$7:$Q$8,E419), INDEX('Route Data'!$M$7:$M$8,E419))</f>
        <v>0.51617226640175828</v>
      </c>
      <c r="L419" s="5">
        <f>INDEX('Route Data'!$N$7:$N$8,E419)</f>
        <v>0.4</v>
      </c>
      <c r="M419" s="8">
        <v>0.76066130399703979</v>
      </c>
      <c r="N419" s="8">
        <f>ProbStrikeFrancis(K419, I419, L419, INDEX('Route Data'!$G$7:$G$8,E419),C419, INDEX('Route Data'!$F$7:$F$8,E419), INDEX('Route Data'!$O$7:$O$8,E419), INDEX('Route Data'!$H$7:$H$18,E419))</f>
        <v>1</v>
      </c>
      <c r="O419" s="5" t="str">
        <f>IF(F419&gt;=1,IF(M419&lt;=N419,"STRIKE","pass"),IF(M419&lt;=INDEX('Route Data'!$R$7:$R$8,E419),"NO PASS","pass"))</f>
        <v>STRIKE</v>
      </c>
      <c r="P419" s="5">
        <f>IF(F419&gt;=1,IF(M419&lt;=N419,1,0),IF(M419&lt;=INDEX('Route Data'!$R$7:$R$8,E419),-1,0))</f>
        <v>1</v>
      </c>
    </row>
    <row r="420" spans="1:16">
      <c r="A420" s="5">
        <v>410</v>
      </c>
      <c r="B420" s="12">
        <v>25.52</v>
      </c>
      <c r="C420" s="12">
        <f t="shared" si="6"/>
        <v>2.13</v>
      </c>
      <c r="D420" s="8">
        <v>7.4733853340148926E-2</v>
      </c>
      <c r="E420" s="5">
        <f>MATCH(D420,'Route Data'!$C$7:$C$8,1)</f>
        <v>2</v>
      </c>
      <c r="F420" s="5">
        <f>INDEX('Route Data'!$D$7:$D$8,E420)</f>
        <v>1</v>
      </c>
      <c r="G420" s="5" t="str">
        <f>INDEX('Route Data'!$A$7:$A$8,E420)</f>
        <v>u18</v>
      </c>
      <c r="H420" s="5">
        <f>EnergyCoeff(INDEX('Route Data'!$K$7:$K$8,E420),INDEX('Route Data'!$L$7:$L$8,E420)*2*PI()/60,INDEX('Route Data'!$F$7:$F$8,E420))</f>
        <v>0.19430699130049439</v>
      </c>
      <c r="I420" s="5">
        <f>DischargeCoeff(INDEX('Route Data'!$I$7:$I$8,E420), INDEX('Route Data'!$L$7:$L$8,E420)*2*PI()/60, INDEX('Route Data'!$F$7:$F$8,E420))</f>
        <v>0.15939200179827354</v>
      </c>
      <c r="J420" s="8">
        <f>FlowAngleRel(INDEX('Route Data'!$J$7:$J$8,E420)*INDEX('Route Data'!$I$7:$I$8,E420), INDEX('Route Data'!$L$7:$L$8,E420)*2*PI()/60, INDEX('Route Data'!$F$7:$F$8,E420),INDEX('Route Data'!$O$7:$O$8,E420), INDEX('Route Data'!$P$7:$P$8,E420),INDEX('Route Data'!$M$7:$M$8,E420))</f>
        <v>1.130811765868994</v>
      </c>
      <c r="K420" s="8">
        <f>FlowAngleAbsT(INDEX('Route Data'!$K$7:$K$8,E420), INDEX('Route Data'!$I$7:$I$8,E420), INDEX('Route Data'!$I$7:$I$8,E420)*INDEX('Route Data'!$J$7:$J$8,E420), INDEX('Route Data'!$L$7:$L$8,E420)*2*PI()/60, INDEX('Route Data'!$F$7:$F$8,E420),INDEX('Route Data'!$O$7:$O$8,E420), INDEX('Route Data'!$P$7:$P$8,E420), INDEX('Route Data'!$H$7:$H$8,E420), INDEX('Route Data'!$Q$7:$Q$8,E420), INDEX('Route Data'!$M$7:$M$8,E420))</f>
        <v>0.51617226640175828</v>
      </c>
      <c r="L420" s="5">
        <f>INDEX('Route Data'!$N$7:$N$8,E420)</f>
        <v>0.4</v>
      </c>
      <c r="M420" s="8">
        <v>0.72861731052398682</v>
      </c>
      <c r="N420" s="8">
        <f>ProbStrikeFrancis(K420, I420, L420, INDEX('Route Data'!$G$7:$G$8,E420),C420, INDEX('Route Data'!$F$7:$F$8,E420), INDEX('Route Data'!$O$7:$O$8,E420), INDEX('Route Data'!$H$7:$H$18,E420))</f>
        <v>1</v>
      </c>
      <c r="O420" s="5" t="str">
        <f>IF(F420&gt;=1,IF(M420&lt;=N420,"STRIKE","pass"),IF(M420&lt;=INDEX('Route Data'!$R$7:$R$8,E420),"NO PASS","pass"))</f>
        <v>STRIKE</v>
      </c>
      <c r="P420" s="5">
        <f>IF(F420&gt;=1,IF(M420&lt;=N420,1,0),IF(M420&lt;=INDEX('Route Data'!$R$7:$R$8,E420),-1,0))</f>
        <v>1</v>
      </c>
    </row>
    <row r="421" spans="1:16">
      <c r="A421" s="5">
        <v>411</v>
      </c>
      <c r="B421" s="12">
        <v>20.36</v>
      </c>
      <c r="C421" s="12">
        <f t="shared" si="6"/>
        <v>1.7</v>
      </c>
      <c r="D421" s="8">
        <v>0.82906323671340942</v>
      </c>
      <c r="E421" s="5">
        <f>MATCH(D421,'Route Data'!$C$7:$C$8,1)</f>
        <v>2</v>
      </c>
      <c r="F421" s="5">
        <f>INDEX('Route Data'!$D$7:$D$8,E421)</f>
        <v>1</v>
      </c>
      <c r="G421" s="5" t="str">
        <f>INDEX('Route Data'!$A$7:$A$8,E421)</f>
        <v>u18</v>
      </c>
      <c r="H421" s="5">
        <f>EnergyCoeff(INDEX('Route Data'!$K$7:$K$8,E421),INDEX('Route Data'!$L$7:$L$8,E421)*2*PI()/60,INDEX('Route Data'!$F$7:$F$8,E421))</f>
        <v>0.19430699130049439</v>
      </c>
      <c r="I421" s="5">
        <f>DischargeCoeff(INDEX('Route Data'!$I$7:$I$8,E421), INDEX('Route Data'!$L$7:$L$8,E421)*2*PI()/60, INDEX('Route Data'!$F$7:$F$8,E421))</f>
        <v>0.15939200179827354</v>
      </c>
      <c r="J421" s="8">
        <f>FlowAngleRel(INDEX('Route Data'!$J$7:$J$8,E421)*INDEX('Route Data'!$I$7:$I$8,E421), INDEX('Route Data'!$L$7:$L$8,E421)*2*PI()/60, INDEX('Route Data'!$F$7:$F$8,E421),INDEX('Route Data'!$O$7:$O$8,E421), INDEX('Route Data'!$P$7:$P$8,E421),INDEX('Route Data'!$M$7:$M$8,E421))</f>
        <v>1.130811765868994</v>
      </c>
      <c r="K421" s="8">
        <f>FlowAngleAbsT(INDEX('Route Data'!$K$7:$K$8,E421), INDEX('Route Data'!$I$7:$I$8,E421), INDEX('Route Data'!$I$7:$I$8,E421)*INDEX('Route Data'!$J$7:$J$8,E421), INDEX('Route Data'!$L$7:$L$8,E421)*2*PI()/60, INDEX('Route Data'!$F$7:$F$8,E421),INDEX('Route Data'!$O$7:$O$8,E421), INDEX('Route Data'!$P$7:$P$8,E421), INDEX('Route Data'!$H$7:$H$8,E421), INDEX('Route Data'!$Q$7:$Q$8,E421), INDEX('Route Data'!$M$7:$M$8,E421))</f>
        <v>0.51617226640175828</v>
      </c>
      <c r="L421" s="5">
        <f>INDEX('Route Data'!$N$7:$N$8,E421)</f>
        <v>0.4</v>
      </c>
      <c r="M421" s="8">
        <v>0.82474929094314575</v>
      </c>
      <c r="N421" s="8">
        <f>ProbStrikeFrancis(K421, I421, L421, INDEX('Route Data'!$G$7:$G$8,E421),C421, INDEX('Route Data'!$F$7:$F$8,E421), INDEX('Route Data'!$O$7:$O$8,E421), INDEX('Route Data'!$H$7:$H$18,E421))</f>
        <v>1</v>
      </c>
      <c r="O421" s="5" t="str">
        <f>IF(F421&gt;=1,IF(M421&lt;=N421,"STRIKE","pass"),IF(M421&lt;=INDEX('Route Data'!$R$7:$R$8,E421),"NO PASS","pass"))</f>
        <v>STRIKE</v>
      </c>
      <c r="P421" s="5">
        <f>IF(F421&gt;=1,IF(M421&lt;=N421,1,0),IF(M421&lt;=INDEX('Route Data'!$R$7:$R$8,E421),-1,0))</f>
        <v>1</v>
      </c>
    </row>
    <row r="422" spans="1:16">
      <c r="A422" s="5">
        <v>412</v>
      </c>
      <c r="B422" s="12">
        <v>15.88</v>
      </c>
      <c r="C422" s="12">
        <f t="shared" si="6"/>
        <v>1.32</v>
      </c>
      <c r="D422" s="8">
        <v>0.56607508659362793</v>
      </c>
      <c r="E422" s="5">
        <f>MATCH(D422,'Route Data'!$C$7:$C$8,1)</f>
        <v>2</v>
      </c>
      <c r="F422" s="5">
        <f>INDEX('Route Data'!$D$7:$D$8,E422)</f>
        <v>1</v>
      </c>
      <c r="G422" s="5" t="str">
        <f>INDEX('Route Data'!$A$7:$A$8,E422)</f>
        <v>u18</v>
      </c>
      <c r="H422" s="5">
        <f>EnergyCoeff(INDEX('Route Data'!$K$7:$K$8,E422),INDEX('Route Data'!$L$7:$L$8,E422)*2*PI()/60,INDEX('Route Data'!$F$7:$F$8,E422))</f>
        <v>0.19430699130049439</v>
      </c>
      <c r="I422" s="5">
        <f>DischargeCoeff(INDEX('Route Data'!$I$7:$I$8,E422), INDEX('Route Data'!$L$7:$L$8,E422)*2*PI()/60, INDEX('Route Data'!$F$7:$F$8,E422))</f>
        <v>0.15939200179827354</v>
      </c>
      <c r="J422" s="8">
        <f>FlowAngleRel(INDEX('Route Data'!$J$7:$J$8,E422)*INDEX('Route Data'!$I$7:$I$8,E422), INDEX('Route Data'!$L$7:$L$8,E422)*2*PI()/60, INDEX('Route Data'!$F$7:$F$8,E422),INDEX('Route Data'!$O$7:$O$8,E422), INDEX('Route Data'!$P$7:$P$8,E422),INDEX('Route Data'!$M$7:$M$8,E422))</f>
        <v>1.130811765868994</v>
      </c>
      <c r="K422" s="8">
        <f>FlowAngleAbsT(INDEX('Route Data'!$K$7:$K$8,E422), INDEX('Route Data'!$I$7:$I$8,E422), INDEX('Route Data'!$I$7:$I$8,E422)*INDEX('Route Data'!$J$7:$J$8,E422), INDEX('Route Data'!$L$7:$L$8,E422)*2*PI()/60, INDEX('Route Data'!$F$7:$F$8,E422),INDEX('Route Data'!$O$7:$O$8,E422), INDEX('Route Data'!$P$7:$P$8,E422), INDEX('Route Data'!$H$7:$H$8,E422), INDEX('Route Data'!$Q$7:$Q$8,E422), INDEX('Route Data'!$M$7:$M$8,E422))</f>
        <v>0.51617226640175828</v>
      </c>
      <c r="L422" s="5">
        <f>INDEX('Route Data'!$N$7:$N$8,E422)</f>
        <v>0.4</v>
      </c>
      <c r="M422" s="8">
        <v>0.53635334968566895</v>
      </c>
      <c r="N422" s="8">
        <f>ProbStrikeFrancis(K422, I422, L422, INDEX('Route Data'!$G$7:$G$8,E422),C422, INDEX('Route Data'!$F$7:$F$8,E422), INDEX('Route Data'!$O$7:$O$8,E422), INDEX('Route Data'!$H$7:$H$18,E422))</f>
        <v>1</v>
      </c>
      <c r="O422" s="5" t="str">
        <f>IF(F422&gt;=1,IF(M422&lt;=N422,"STRIKE","pass"),IF(M422&lt;=INDEX('Route Data'!$R$7:$R$8,E422),"NO PASS","pass"))</f>
        <v>STRIKE</v>
      </c>
      <c r="P422" s="5">
        <f>IF(F422&gt;=1,IF(M422&lt;=N422,1,0),IF(M422&lt;=INDEX('Route Data'!$R$7:$R$8,E422),-1,0))</f>
        <v>1</v>
      </c>
    </row>
    <row r="423" spans="1:16">
      <c r="A423" s="5">
        <v>413</v>
      </c>
      <c r="B423" s="12">
        <v>19.78</v>
      </c>
      <c r="C423" s="12">
        <f t="shared" si="6"/>
        <v>1.65</v>
      </c>
      <c r="D423" s="8">
        <v>8.9460313320159912E-2</v>
      </c>
      <c r="E423" s="5">
        <f>MATCH(D423,'Route Data'!$C$7:$C$8,1)</f>
        <v>2</v>
      </c>
      <c r="F423" s="5">
        <f>INDEX('Route Data'!$D$7:$D$8,E423)</f>
        <v>1</v>
      </c>
      <c r="G423" s="5" t="str">
        <f>INDEX('Route Data'!$A$7:$A$8,E423)</f>
        <v>u18</v>
      </c>
      <c r="H423" s="5">
        <f>EnergyCoeff(INDEX('Route Data'!$K$7:$K$8,E423),INDEX('Route Data'!$L$7:$L$8,E423)*2*PI()/60,INDEX('Route Data'!$F$7:$F$8,E423))</f>
        <v>0.19430699130049439</v>
      </c>
      <c r="I423" s="5">
        <f>DischargeCoeff(INDEX('Route Data'!$I$7:$I$8,E423), INDEX('Route Data'!$L$7:$L$8,E423)*2*PI()/60, INDEX('Route Data'!$F$7:$F$8,E423))</f>
        <v>0.15939200179827354</v>
      </c>
      <c r="J423" s="8">
        <f>FlowAngleRel(INDEX('Route Data'!$J$7:$J$8,E423)*INDEX('Route Data'!$I$7:$I$8,E423), INDEX('Route Data'!$L$7:$L$8,E423)*2*PI()/60, INDEX('Route Data'!$F$7:$F$8,E423),INDEX('Route Data'!$O$7:$O$8,E423), INDEX('Route Data'!$P$7:$P$8,E423),INDEX('Route Data'!$M$7:$M$8,E423))</f>
        <v>1.130811765868994</v>
      </c>
      <c r="K423" s="8">
        <f>FlowAngleAbsT(INDEX('Route Data'!$K$7:$K$8,E423), INDEX('Route Data'!$I$7:$I$8,E423), INDEX('Route Data'!$I$7:$I$8,E423)*INDEX('Route Data'!$J$7:$J$8,E423), INDEX('Route Data'!$L$7:$L$8,E423)*2*PI()/60, INDEX('Route Data'!$F$7:$F$8,E423),INDEX('Route Data'!$O$7:$O$8,E423), INDEX('Route Data'!$P$7:$P$8,E423), INDEX('Route Data'!$H$7:$H$8,E423), INDEX('Route Data'!$Q$7:$Q$8,E423), INDEX('Route Data'!$M$7:$M$8,E423))</f>
        <v>0.51617226640175828</v>
      </c>
      <c r="L423" s="5">
        <f>INDEX('Route Data'!$N$7:$N$8,E423)</f>
        <v>0.4</v>
      </c>
      <c r="M423" s="8">
        <v>0.40154117345809937</v>
      </c>
      <c r="N423" s="8">
        <f>ProbStrikeFrancis(K423, I423, L423, INDEX('Route Data'!$G$7:$G$8,E423),C423, INDEX('Route Data'!$F$7:$F$8,E423), INDEX('Route Data'!$O$7:$O$8,E423), INDEX('Route Data'!$H$7:$H$18,E423))</f>
        <v>1</v>
      </c>
      <c r="O423" s="5" t="str">
        <f>IF(F423&gt;=1,IF(M423&lt;=N423,"STRIKE","pass"),IF(M423&lt;=INDEX('Route Data'!$R$7:$R$8,E423),"NO PASS","pass"))</f>
        <v>STRIKE</v>
      </c>
      <c r="P423" s="5">
        <f>IF(F423&gt;=1,IF(M423&lt;=N423,1,0),IF(M423&lt;=INDEX('Route Data'!$R$7:$R$8,E423),-1,0))</f>
        <v>1</v>
      </c>
    </row>
    <row r="424" spans="1:16">
      <c r="A424" s="5">
        <v>414</v>
      </c>
      <c r="B424" s="12">
        <v>23.63</v>
      </c>
      <c r="C424" s="12">
        <f t="shared" si="6"/>
        <v>1.97</v>
      </c>
      <c r="D424" s="8">
        <v>0.51930463314056396</v>
      </c>
      <c r="E424" s="5">
        <f>MATCH(D424,'Route Data'!$C$7:$C$8,1)</f>
        <v>2</v>
      </c>
      <c r="F424" s="5">
        <f>INDEX('Route Data'!$D$7:$D$8,E424)</f>
        <v>1</v>
      </c>
      <c r="G424" s="5" t="str">
        <f>INDEX('Route Data'!$A$7:$A$8,E424)</f>
        <v>u18</v>
      </c>
      <c r="H424" s="5">
        <f>EnergyCoeff(INDEX('Route Data'!$K$7:$K$8,E424),INDEX('Route Data'!$L$7:$L$8,E424)*2*PI()/60,INDEX('Route Data'!$F$7:$F$8,E424))</f>
        <v>0.19430699130049439</v>
      </c>
      <c r="I424" s="5">
        <f>DischargeCoeff(INDEX('Route Data'!$I$7:$I$8,E424), INDEX('Route Data'!$L$7:$L$8,E424)*2*PI()/60, INDEX('Route Data'!$F$7:$F$8,E424))</f>
        <v>0.15939200179827354</v>
      </c>
      <c r="J424" s="8">
        <f>FlowAngleRel(INDEX('Route Data'!$J$7:$J$8,E424)*INDEX('Route Data'!$I$7:$I$8,E424), INDEX('Route Data'!$L$7:$L$8,E424)*2*PI()/60, INDEX('Route Data'!$F$7:$F$8,E424),INDEX('Route Data'!$O$7:$O$8,E424), INDEX('Route Data'!$P$7:$P$8,E424),INDEX('Route Data'!$M$7:$M$8,E424))</f>
        <v>1.130811765868994</v>
      </c>
      <c r="K424" s="8">
        <f>FlowAngleAbsT(INDEX('Route Data'!$K$7:$K$8,E424), INDEX('Route Data'!$I$7:$I$8,E424), INDEX('Route Data'!$I$7:$I$8,E424)*INDEX('Route Data'!$J$7:$J$8,E424), INDEX('Route Data'!$L$7:$L$8,E424)*2*PI()/60, INDEX('Route Data'!$F$7:$F$8,E424),INDEX('Route Data'!$O$7:$O$8,E424), INDEX('Route Data'!$P$7:$P$8,E424), INDEX('Route Data'!$H$7:$H$8,E424), INDEX('Route Data'!$Q$7:$Q$8,E424), INDEX('Route Data'!$M$7:$M$8,E424))</f>
        <v>0.51617226640175828</v>
      </c>
      <c r="L424" s="5">
        <f>INDEX('Route Data'!$N$7:$N$8,E424)</f>
        <v>0.4</v>
      </c>
      <c r="M424" s="8">
        <v>0.54039847850799561</v>
      </c>
      <c r="N424" s="8">
        <f>ProbStrikeFrancis(K424, I424, L424, INDEX('Route Data'!$G$7:$G$8,E424),C424, INDEX('Route Data'!$F$7:$F$8,E424), INDEX('Route Data'!$O$7:$O$8,E424), INDEX('Route Data'!$H$7:$H$18,E424))</f>
        <v>1</v>
      </c>
      <c r="O424" s="5" t="str">
        <f>IF(F424&gt;=1,IF(M424&lt;=N424,"STRIKE","pass"),IF(M424&lt;=INDEX('Route Data'!$R$7:$R$8,E424),"NO PASS","pass"))</f>
        <v>STRIKE</v>
      </c>
      <c r="P424" s="5">
        <f>IF(F424&gt;=1,IF(M424&lt;=N424,1,0),IF(M424&lt;=INDEX('Route Data'!$R$7:$R$8,E424),-1,0))</f>
        <v>1</v>
      </c>
    </row>
    <row r="425" spans="1:16">
      <c r="A425" s="5">
        <v>415</v>
      </c>
      <c r="B425" s="12">
        <v>22.82</v>
      </c>
      <c r="C425" s="12">
        <f t="shared" si="6"/>
        <v>1.9</v>
      </c>
      <c r="D425" s="8">
        <v>0.49535089731216431</v>
      </c>
      <c r="E425" s="5">
        <f>MATCH(D425,'Route Data'!$C$7:$C$8,1)</f>
        <v>2</v>
      </c>
      <c r="F425" s="5">
        <f>INDEX('Route Data'!$D$7:$D$8,E425)</f>
        <v>1</v>
      </c>
      <c r="G425" s="5" t="str">
        <f>INDEX('Route Data'!$A$7:$A$8,E425)</f>
        <v>u18</v>
      </c>
      <c r="H425" s="5">
        <f>EnergyCoeff(INDEX('Route Data'!$K$7:$K$8,E425),INDEX('Route Data'!$L$7:$L$8,E425)*2*PI()/60,INDEX('Route Data'!$F$7:$F$8,E425))</f>
        <v>0.19430699130049439</v>
      </c>
      <c r="I425" s="5">
        <f>DischargeCoeff(INDEX('Route Data'!$I$7:$I$8,E425), INDEX('Route Data'!$L$7:$L$8,E425)*2*PI()/60, INDEX('Route Data'!$F$7:$F$8,E425))</f>
        <v>0.15939200179827354</v>
      </c>
      <c r="J425" s="8">
        <f>FlowAngleRel(INDEX('Route Data'!$J$7:$J$8,E425)*INDEX('Route Data'!$I$7:$I$8,E425), INDEX('Route Data'!$L$7:$L$8,E425)*2*PI()/60, INDEX('Route Data'!$F$7:$F$8,E425),INDEX('Route Data'!$O$7:$O$8,E425), INDEX('Route Data'!$P$7:$P$8,E425),INDEX('Route Data'!$M$7:$M$8,E425))</f>
        <v>1.130811765868994</v>
      </c>
      <c r="K425" s="8">
        <f>FlowAngleAbsT(INDEX('Route Data'!$K$7:$K$8,E425), INDEX('Route Data'!$I$7:$I$8,E425), INDEX('Route Data'!$I$7:$I$8,E425)*INDEX('Route Data'!$J$7:$J$8,E425), INDEX('Route Data'!$L$7:$L$8,E425)*2*PI()/60, INDEX('Route Data'!$F$7:$F$8,E425),INDEX('Route Data'!$O$7:$O$8,E425), INDEX('Route Data'!$P$7:$P$8,E425), INDEX('Route Data'!$H$7:$H$8,E425), INDEX('Route Data'!$Q$7:$Q$8,E425), INDEX('Route Data'!$M$7:$M$8,E425))</f>
        <v>0.51617226640175828</v>
      </c>
      <c r="L425" s="5">
        <f>INDEX('Route Data'!$N$7:$N$8,E425)</f>
        <v>0.4</v>
      </c>
      <c r="M425" s="8">
        <v>0.12382656335830688</v>
      </c>
      <c r="N425" s="8">
        <f>ProbStrikeFrancis(K425, I425, L425, INDEX('Route Data'!$G$7:$G$8,E425),C425, INDEX('Route Data'!$F$7:$F$8,E425), INDEX('Route Data'!$O$7:$O$8,E425), INDEX('Route Data'!$H$7:$H$18,E425))</f>
        <v>1</v>
      </c>
      <c r="O425" s="5" t="str">
        <f>IF(F425&gt;=1,IF(M425&lt;=N425,"STRIKE","pass"),IF(M425&lt;=INDEX('Route Data'!$R$7:$R$8,E425),"NO PASS","pass"))</f>
        <v>STRIKE</v>
      </c>
      <c r="P425" s="5">
        <f>IF(F425&gt;=1,IF(M425&lt;=N425,1,0),IF(M425&lt;=INDEX('Route Data'!$R$7:$R$8,E425),-1,0))</f>
        <v>1</v>
      </c>
    </row>
    <row r="426" spans="1:16">
      <c r="A426" s="5">
        <v>416</v>
      </c>
      <c r="B426" s="12">
        <v>18.760000000000002</v>
      </c>
      <c r="C426" s="12">
        <f t="shared" si="6"/>
        <v>1.56</v>
      </c>
      <c r="D426" s="8">
        <v>3.6053657531738281E-2</v>
      </c>
      <c r="E426" s="5">
        <f>MATCH(D426,'Route Data'!$C$7:$C$8,1)</f>
        <v>2</v>
      </c>
      <c r="F426" s="5">
        <f>INDEX('Route Data'!$D$7:$D$8,E426)</f>
        <v>1</v>
      </c>
      <c r="G426" s="5" t="str">
        <f>INDEX('Route Data'!$A$7:$A$8,E426)</f>
        <v>u18</v>
      </c>
      <c r="H426" s="5">
        <f>EnergyCoeff(INDEX('Route Data'!$K$7:$K$8,E426),INDEX('Route Data'!$L$7:$L$8,E426)*2*PI()/60,INDEX('Route Data'!$F$7:$F$8,E426))</f>
        <v>0.19430699130049439</v>
      </c>
      <c r="I426" s="5">
        <f>DischargeCoeff(INDEX('Route Data'!$I$7:$I$8,E426), INDEX('Route Data'!$L$7:$L$8,E426)*2*PI()/60, INDEX('Route Data'!$F$7:$F$8,E426))</f>
        <v>0.15939200179827354</v>
      </c>
      <c r="J426" s="8">
        <f>FlowAngleRel(INDEX('Route Data'!$J$7:$J$8,E426)*INDEX('Route Data'!$I$7:$I$8,E426), INDEX('Route Data'!$L$7:$L$8,E426)*2*PI()/60, INDEX('Route Data'!$F$7:$F$8,E426),INDEX('Route Data'!$O$7:$O$8,E426), INDEX('Route Data'!$P$7:$P$8,E426),INDEX('Route Data'!$M$7:$M$8,E426))</f>
        <v>1.130811765868994</v>
      </c>
      <c r="K426" s="8">
        <f>FlowAngleAbsT(INDEX('Route Data'!$K$7:$K$8,E426), INDEX('Route Data'!$I$7:$I$8,E426), INDEX('Route Data'!$I$7:$I$8,E426)*INDEX('Route Data'!$J$7:$J$8,E426), INDEX('Route Data'!$L$7:$L$8,E426)*2*PI()/60, INDEX('Route Data'!$F$7:$F$8,E426),INDEX('Route Data'!$O$7:$O$8,E426), INDEX('Route Data'!$P$7:$P$8,E426), INDEX('Route Data'!$H$7:$H$8,E426), INDEX('Route Data'!$Q$7:$Q$8,E426), INDEX('Route Data'!$M$7:$M$8,E426))</f>
        <v>0.51617226640175828</v>
      </c>
      <c r="L426" s="5">
        <f>INDEX('Route Data'!$N$7:$N$8,E426)</f>
        <v>0.4</v>
      </c>
      <c r="M426" s="8">
        <v>0.37354230880737305</v>
      </c>
      <c r="N426" s="8">
        <f>ProbStrikeFrancis(K426, I426, L426, INDEX('Route Data'!$G$7:$G$8,E426),C426, INDEX('Route Data'!$F$7:$F$8,E426), INDEX('Route Data'!$O$7:$O$8,E426), INDEX('Route Data'!$H$7:$H$18,E426))</f>
        <v>1</v>
      </c>
      <c r="O426" s="5" t="str">
        <f>IF(F426&gt;=1,IF(M426&lt;=N426,"STRIKE","pass"),IF(M426&lt;=INDEX('Route Data'!$R$7:$R$8,E426),"NO PASS","pass"))</f>
        <v>STRIKE</v>
      </c>
      <c r="P426" s="5">
        <f>IF(F426&gt;=1,IF(M426&lt;=N426,1,0),IF(M426&lt;=INDEX('Route Data'!$R$7:$R$8,E426),-1,0))</f>
        <v>1</v>
      </c>
    </row>
    <row r="427" spans="1:16">
      <c r="A427" s="5">
        <v>417</v>
      </c>
      <c r="B427" s="12">
        <v>19.27</v>
      </c>
      <c r="C427" s="12">
        <f t="shared" si="6"/>
        <v>1.61</v>
      </c>
      <c r="D427" s="8">
        <v>0.67952460050582886</v>
      </c>
      <c r="E427" s="5">
        <f>MATCH(D427,'Route Data'!$C$7:$C$8,1)</f>
        <v>2</v>
      </c>
      <c r="F427" s="5">
        <f>INDEX('Route Data'!$D$7:$D$8,E427)</f>
        <v>1</v>
      </c>
      <c r="G427" s="5" t="str">
        <f>INDEX('Route Data'!$A$7:$A$8,E427)</f>
        <v>u18</v>
      </c>
      <c r="H427" s="5">
        <f>EnergyCoeff(INDEX('Route Data'!$K$7:$K$8,E427),INDEX('Route Data'!$L$7:$L$8,E427)*2*PI()/60,INDEX('Route Data'!$F$7:$F$8,E427))</f>
        <v>0.19430699130049439</v>
      </c>
      <c r="I427" s="5">
        <f>DischargeCoeff(INDEX('Route Data'!$I$7:$I$8,E427), INDEX('Route Data'!$L$7:$L$8,E427)*2*PI()/60, INDEX('Route Data'!$F$7:$F$8,E427))</f>
        <v>0.15939200179827354</v>
      </c>
      <c r="J427" s="8">
        <f>FlowAngleRel(INDEX('Route Data'!$J$7:$J$8,E427)*INDEX('Route Data'!$I$7:$I$8,E427), INDEX('Route Data'!$L$7:$L$8,E427)*2*PI()/60, INDEX('Route Data'!$F$7:$F$8,E427),INDEX('Route Data'!$O$7:$O$8,E427), INDEX('Route Data'!$P$7:$P$8,E427),INDEX('Route Data'!$M$7:$M$8,E427))</f>
        <v>1.130811765868994</v>
      </c>
      <c r="K427" s="8">
        <f>FlowAngleAbsT(INDEX('Route Data'!$K$7:$K$8,E427), INDEX('Route Data'!$I$7:$I$8,E427), INDEX('Route Data'!$I$7:$I$8,E427)*INDEX('Route Data'!$J$7:$J$8,E427), INDEX('Route Data'!$L$7:$L$8,E427)*2*PI()/60, INDEX('Route Data'!$F$7:$F$8,E427),INDEX('Route Data'!$O$7:$O$8,E427), INDEX('Route Data'!$P$7:$P$8,E427), INDEX('Route Data'!$H$7:$H$8,E427), INDEX('Route Data'!$Q$7:$Q$8,E427), INDEX('Route Data'!$M$7:$M$8,E427))</f>
        <v>0.51617226640175828</v>
      </c>
      <c r="L427" s="5">
        <f>INDEX('Route Data'!$N$7:$N$8,E427)</f>
        <v>0.4</v>
      </c>
      <c r="M427" s="8">
        <v>0.35881584882736206</v>
      </c>
      <c r="N427" s="8">
        <f>ProbStrikeFrancis(K427, I427, L427, INDEX('Route Data'!$G$7:$G$8,E427),C427, INDEX('Route Data'!$F$7:$F$8,E427), INDEX('Route Data'!$O$7:$O$8,E427), INDEX('Route Data'!$H$7:$H$18,E427))</f>
        <v>1</v>
      </c>
      <c r="O427" s="5" t="str">
        <f>IF(F427&gt;=1,IF(M427&lt;=N427,"STRIKE","pass"),IF(M427&lt;=INDEX('Route Data'!$R$7:$R$8,E427),"NO PASS","pass"))</f>
        <v>STRIKE</v>
      </c>
      <c r="P427" s="5">
        <f>IF(F427&gt;=1,IF(M427&lt;=N427,1,0),IF(M427&lt;=INDEX('Route Data'!$R$7:$R$8,E427),-1,0))</f>
        <v>1</v>
      </c>
    </row>
    <row r="428" spans="1:16">
      <c r="A428" s="5">
        <v>418</v>
      </c>
      <c r="B428" s="12">
        <v>24.82</v>
      </c>
      <c r="C428" s="12">
        <f t="shared" si="6"/>
        <v>2.0699999999999998</v>
      </c>
      <c r="D428" s="8">
        <v>1.4690995216369629E-2</v>
      </c>
      <c r="E428" s="5">
        <f>MATCH(D428,'Route Data'!$C$7:$C$8,1)</f>
        <v>2</v>
      </c>
      <c r="F428" s="5">
        <f>INDEX('Route Data'!$D$7:$D$8,E428)</f>
        <v>1</v>
      </c>
      <c r="G428" s="5" t="str">
        <f>INDEX('Route Data'!$A$7:$A$8,E428)</f>
        <v>u18</v>
      </c>
      <c r="H428" s="5">
        <f>EnergyCoeff(INDEX('Route Data'!$K$7:$K$8,E428),INDEX('Route Data'!$L$7:$L$8,E428)*2*PI()/60,INDEX('Route Data'!$F$7:$F$8,E428))</f>
        <v>0.19430699130049439</v>
      </c>
      <c r="I428" s="5">
        <f>DischargeCoeff(INDEX('Route Data'!$I$7:$I$8,E428), INDEX('Route Data'!$L$7:$L$8,E428)*2*PI()/60, INDEX('Route Data'!$F$7:$F$8,E428))</f>
        <v>0.15939200179827354</v>
      </c>
      <c r="J428" s="8">
        <f>FlowAngleRel(INDEX('Route Data'!$J$7:$J$8,E428)*INDEX('Route Data'!$I$7:$I$8,E428), INDEX('Route Data'!$L$7:$L$8,E428)*2*PI()/60, INDEX('Route Data'!$F$7:$F$8,E428),INDEX('Route Data'!$O$7:$O$8,E428), INDEX('Route Data'!$P$7:$P$8,E428),INDEX('Route Data'!$M$7:$M$8,E428))</f>
        <v>1.130811765868994</v>
      </c>
      <c r="K428" s="8">
        <f>FlowAngleAbsT(INDEX('Route Data'!$K$7:$K$8,E428), INDEX('Route Data'!$I$7:$I$8,E428), INDEX('Route Data'!$I$7:$I$8,E428)*INDEX('Route Data'!$J$7:$J$8,E428), INDEX('Route Data'!$L$7:$L$8,E428)*2*PI()/60, INDEX('Route Data'!$F$7:$F$8,E428),INDEX('Route Data'!$O$7:$O$8,E428), INDEX('Route Data'!$P$7:$P$8,E428), INDEX('Route Data'!$H$7:$H$8,E428), INDEX('Route Data'!$Q$7:$Q$8,E428), INDEX('Route Data'!$M$7:$M$8,E428))</f>
        <v>0.51617226640175828</v>
      </c>
      <c r="L428" s="5">
        <f>INDEX('Route Data'!$N$7:$N$8,E428)</f>
        <v>0.4</v>
      </c>
      <c r="M428" s="8">
        <v>0.66857445240020752</v>
      </c>
      <c r="N428" s="8">
        <f>ProbStrikeFrancis(K428, I428, L428, INDEX('Route Data'!$G$7:$G$8,E428),C428, INDEX('Route Data'!$F$7:$F$8,E428), INDEX('Route Data'!$O$7:$O$8,E428), INDEX('Route Data'!$H$7:$H$18,E428))</f>
        <v>1</v>
      </c>
      <c r="O428" s="5" t="str">
        <f>IF(F428&gt;=1,IF(M428&lt;=N428,"STRIKE","pass"),IF(M428&lt;=INDEX('Route Data'!$R$7:$R$8,E428),"NO PASS","pass"))</f>
        <v>STRIKE</v>
      </c>
      <c r="P428" s="5">
        <f>IF(F428&gt;=1,IF(M428&lt;=N428,1,0),IF(M428&lt;=INDEX('Route Data'!$R$7:$R$8,E428),-1,0))</f>
        <v>1</v>
      </c>
    </row>
    <row r="429" spans="1:16">
      <c r="A429" s="5">
        <v>419</v>
      </c>
      <c r="B429" s="12">
        <v>19.440000000000001</v>
      </c>
      <c r="C429" s="12">
        <f t="shared" si="6"/>
        <v>1.62</v>
      </c>
      <c r="D429" s="8">
        <v>0.74361258745193481</v>
      </c>
      <c r="E429" s="5">
        <f>MATCH(D429,'Route Data'!$C$7:$C$8,1)</f>
        <v>2</v>
      </c>
      <c r="F429" s="5">
        <f>INDEX('Route Data'!$D$7:$D$8,E429)</f>
        <v>1</v>
      </c>
      <c r="G429" s="5" t="str">
        <f>INDEX('Route Data'!$A$7:$A$8,E429)</f>
        <v>u18</v>
      </c>
      <c r="H429" s="5">
        <f>EnergyCoeff(INDEX('Route Data'!$K$7:$K$8,E429),INDEX('Route Data'!$L$7:$L$8,E429)*2*PI()/60,INDEX('Route Data'!$F$7:$F$8,E429))</f>
        <v>0.19430699130049439</v>
      </c>
      <c r="I429" s="5">
        <f>DischargeCoeff(INDEX('Route Data'!$I$7:$I$8,E429), INDEX('Route Data'!$L$7:$L$8,E429)*2*PI()/60, INDEX('Route Data'!$F$7:$F$8,E429))</f>
        <v>0.15939200179827354</v>
      </c>
      <c r="J429" s="8">
        <f>FlowAngleRel(INDEX('Route Data'!$J$7:$J$8,E429)*INDEX('Route Data'!$I$7:$I$8,E429), INDEX('Route Data'!$L$7:$L$8,E429)*2*PI()/60, INDEX('Route Data'!$F$7:$F$8,E429),INDEX('Route Data'!$O$7:$O$8,E429), INDEX('Route Data'!$P$7:$P$8,E429),INDEX('Route Data'!$M$7:$M$8,E429))</f>
        <v>1.130811765868994</v>
      </c>
      <c r="K429" s="8">
        <f>FlowAngleAbsT(INDEX('Route Data'!$K$7:$K$8,E429), INDEX('Route Data'!$I$7:$I$8,E429), INDEX('Route Data'!$I$7:$I$8,E429)*INDEX('Route Data'!$J$7:$J$8,E429), INDEX('Route Data'!$L$7:$L$8,E429)*2*PI()/60, INDEX('Route Data'!$F$7:$F$8,E429),INDEX('Route Data'!$O$7:$O$8,E429), INDEX('Route Data'!$P$7:$P$8,E429), INDEX('Route Data'!$H$7:$H$8,E429), INDEX('Route Data'!$Q$7:$Q$8,E429), INDEX('Route Data'!$M$7:$M$8,E429))</f>
        <v>0.51617226640175828</v>
      </c>
      <c r="L429" s="5">
        <f>INDEX('Route Data'!$N$7:$N$8,E429)</f>
        <v>0.4</v>
      </c>
      <c r="M429" s="8">
        <v>0.73929864168167114</v>
      </c>
      <c r="N429" s="8">
        <f>ProbStrikeFrancis(K429, I429, L429, INDEX('Route Data'!$G$7:$G$8,E429),C429, INDEX('Route Data'!$F$7:$F$8,E429), INDEX('Route Data'!$O$7:$O$8,E429), INDEX('Route Data'!$H$7:$H$18,E429))</f>
        <v>1</v>
      </c>
      <c r="O429" s="5" t="str">
        <f>IF(F429&gt;=1,IF(M429&lt;=N429,"STRIKE","pass"),IF(M429&lt;=INDEX('Route Data'!$R$7:$R$8,E429),"NO PASS","pass"))</f>
        <v>STRIKE</v>
      </c>
      <c r="P429" s="5">
        <f>IF(F429&gt;=1,IF(M429&lt;=N429,1,0),IF(M429&lt;=INDEX('Route Data'!$R$7:$R$8,E429),-1,0))</f>
        <v>1</v>
      </c>
    </row>
    <row r="430" spans="1:16">
      <c r="A430" s="5">
        <v>420</v>
      </c>
      <c r="B430" s="12">
        <v>20.54</v>
      </c>
      <c r="C430" s="12">
        <f t="shared" si="6"/>
        <v>1.71</v>
      </c>
      <c r="D430" s="8">
        <v>0.82242703437805176</v>
      </c>
      <c r="E430" s="5">
        <f>MATCH(D430,'Route Data'!$C$7:$C$8,1)</f>
        <v>2</v>
      </c>
      <c r="F430" s="5">
        <f>INDEX('Route Data'!$D$7:$D$8,E430)</f>
        <v>1</v>
      </c>
      <c r="G430" s="5" t="str">
        <f>INDEX('Route Data'!$A$7:$A$8,E430)</f>
        <v>u18</v>
      </c>
      <c r="H430" s="5">
        <f>EnergyCoeff(INDEX('Route Data'!$K$7:$K$8,E430),INDEX('Route Data'!$L$7:$L$8,E430)*2*PI()/60,INDEX('Route Data'!$F$7:$F$8,E430))</f>
        <v>0.19430699130049439</v>
      </c>
      <c r="I430" s="5">
        <f>DischargeCoeff(INDEX('Route Data'!$I$7:$I$8,E430), INDEX('Route Data'!$L$7:$L$8,E430)*2*PI()/60, INDEX('Route Data'!$F$7:$F$8,E430))</f>
        <v>0.15939200179827354</v>
      </c>
      <c r="J430" s="8">
        <f>FlowAngleRel(INDEX('Route Data'!$J$7:$J$8,E430)*INDEX('Route Data'!$I$7:$I$8,E430), INDEX('Route Data'!$L$7:$L$8,E430)*2*PI()/60, INDEX('Route Data'!$F$7:$F$8,E430),INDEX('Route Data'!$O$7:$O$8,E430), INDEX('Route Data'!$P$7:$P$8,E430),INDEX('Route Data'!$M$7:$M$8,E430))</f>
        <v>1.130811765868994</v>
      </c>
      <c r="K430" s="8">
        <f>FlowAngleAbsT(INDEX('Route Data'!$K$7:$K$8,E430), INDEX('Route Data'!$I$7:$I$8,E430), INDEX('Route Data'!$I$7:$I$8,E430)*INDEX('Route Data'!$J$7:$J$8,E430), INDEX('Route Data'!$L$7:$L$8,E430)*2*PI()/60, INDEX('Route Data'!$F$7:$F$8,E430),INDEX('Route Data'!$O$7:$O$8,E430), INDEX('Route Data'!$P$7:$P$8,E430), INDEX('Route Data'!$H$7:$H$8,E430), INDEX('Route Data'!$Q$7:$Q$8,E430), INDEX('Route Data'!$M$7:$M$8,E430))</f>
        <v>0.51617226640175828</v>
      </c>
      <c r="L430" s="5">
        <f>INDEX('Route Data'!$N$7:$N$8,E430)</f>
        <v>0.4</v>
      </c>
      <c r="M430" s="8">
        <v>0.79270529747009277</v>
      </c>
      <c r="N430" s="8">
        <f>ProbStrikeFrancis(K430, I430, L430, INDEX('Route Data'!$G$7:$G$8,E430),C430, INDEX('Route Data'!$F$7:$F$8,E430), INDEX('Route Data'!$O$7:$O$8,E430), INDEX('Route Data'!$H$7:$H$18,E430))</f>
        <v>1</v>
      </c>
      <c r="O430" s="5" t="str">
        <f>IF(F430&gt;=1,IF(M430&lt;=N430,"STRIKE","pass"),IF(M430&lt;=INDEX('Route Data'!$R$7:$R$8,E430),"NO PASS","pass"))</f>
        <v>STRIKE</v>
      </c>
      <c r="P430" s="5">
        <f>IF(F430&gt;=1,IF(M430&lt;=N430,1,0),IF(M430&lt;=INDEX('Route Data'!$R$7:$R$8,E430),-1,0))</f>
        <v>1</v>
      </c>
    </row>
    <row r="431" spans="1:16">
      <c r="A431" s="5">
        <v>421</v>
      </c>
      <c r="B431" s="12">
        <v>21.85</v>
      </c>
      <c r="C431" s="12">
        <f t="shared" si="6"/>
        <v>1.82</v>
      </c>
      <c r="D431" s="8">
        <v>0.32040446996688843</v>
      </c>
      <c r="E431" s="5">
        <f>MATCH(D431,'Route Data'!$C$7:$C$8,1)</f>
        <v>2</v>
      </c>
      <c r="F431" s="5">
        <f>INDEX('Route Data'!$D$7:$D$8,E431)</f>
        <v>1</v>
      </c>
      <c r="G431" s="5" t="str">
        <f>INDEX('Route Data'!$A$7:$A$8,E431)</f>
        <v>u18</v>
      </c>
      <c r="H431" s="5">
        <f>EnergyCoeff(INDEX('Route Data'!$K$7:$K$8,E431),INDEX('Route Data'!$L$7:$L$8,E431)*2*PI()/60,INDEX('Route Data'!$F$7:$F$8,E431))</f>
        <v>0.19430699130049439</v>
      </c>
      <c r="I431" s="5">
        <f>DischargeCoeff(INDEX('Route Data'!$I$7:$I$8,E431), INDEX('Route Data'!$L$7:$L$8,E431)*2*PI()/60, INDEX('Route Data'!$F$7:$F$8,E431))</f>
        <v>0.15939200179827354</v>
      </c>
      <c r="J431" s="8">
        <f>FlowAngleRel(INDEX('Route Data'!$J$7:$J$8,E431)*INDEX('Route Data'!$I$7:$I$8,E431), INDEX('Route Data'!$L$7:$L$8,E431)*2*PI()/60, INDEX('Route Data'!$F$7:$F$8,E431),INDEX('Route Data'!$O$7:$O$8,E431), INDEX('Route Data'!$P$7:$P$8,E431),INDEX('Route Data'!$M$7:$M$8,E431))</f>
        <v>1.130811765868994</v>
      </c>
      <c r="K431" s="8">
        <f>FlowAngleAbsT(INDEX('Route Data'!$K$7:$K$8,E431), INDEX('Route Data'!$I$7:$I$8,E431), INDEX('Route Data'!$I$7:$I$8,E431)*INDEX('Route Data'!$J$7:$J$8,E431), INDEX('Route Data'!$L$7:$L$8,E431)*2*PI()/60, INDEX('Route Data'!$F$7:$F$8,E431),INDEX('Route Data'!$O$7:$O$8,E431), INDEX('Route Data'!$P$7:$P$8,E431), INDEX('Route Data'!$H$7:$H$8,E431), INDEX('Route Data'!$Q$7:$Q$8,E431), INDEX('Route Data'!$M$7:$M$8,E431))</f>
        <v>0.51617226640175828</v>
      </c>
      <c r="L431" s="5">
        <f>INDEX('Route Data'!$N$7:$N$8,E431)</f>
        <v>0.4</v>
      </c>
      <c r="M431" s="8">
        <v>0.63248533010482788</v>
      </c>
      <c r="N431" s="8">
        <f>ProbStrikeFrancis(K431, I431, L431, INDEX('Route Data'!$G$7:$G$8,E431),C431, INDEX('Route Data'!$F$7:$F$8,E431), INDEX('Route Data'!$O$7:$O$8,E431), INDEX('Route Data'!$H$7:$H$18,E431))</f>
        <v>1</v>
      </c>
      <c r="O431" s="5" t="str">
        <f>IF(F431&gt;=1,IF(M431&lt;=N431,"STRIKE","pass"),IF(M431&lt;=INDEX('Route Data'!$R$7:$R$8,E431),"NO PASS","pass"))</f>
        <v>STRIKE</v>
      </c>
      <c r="P431" s="5">
        <f>IF(F431&gt;=1,IF(M431&lt;=N431,1,0),IF(M431&lt;=INDEX('Route Data'!$R$7:$R$8,E431),-1,0))</f>
        <v>1</v>
      </c>
    </row>
    <row r="432" spans="1:16">
      <c r="A432" s="5">
        <v>422</v>
      </c>
      <c r="B432" s="12">
        <v>20.079999999999998</v>
      </c>
      <c r="C432" s="12">
        <f t="shared" si="6"/>
        <v>1.67</v>
      </c>
      <c r="D432" s="8">
        <v>0.82647216320037842</v>
      </c>
      <c r="E432" s="5">
        <f>MATCH(D432,'Route Data'!$C$7:$C$8,1)</f>
        <v>2</v>
      </c>
      <c r="F432" s="5">
        <f>INDEX('Route Data'!$D$7:$D$8,E432)</f>
        <v>1</v>
      </c>
      <c r="G432" s="5" t="str">
        <f>INDEX('Route Data'!$A$7:$A$8,E432)</f>
        <v>u18</v>
      </c>
      <c r="H432" s="5">
        <f>EnergyCoeff(INDEX('Route Data'!$K$7:$K$8,E432),INDEX('Route Data'!$L$7:$L$8,E432)*2*PI()/60,INDEX('Route Data'!$F$7:$F$8,E432))</f>
        <v>0.19430699130049439</v>
      </c>
      <c r="I432" s="5">
        <f>DischargeCoeff(INDEX('Route Data'!$I$7:$I$8,E432), INDEX('Route Data'!$L$7:$L$8,E432)*2*PI()/60, INDEX('Route Data'!$F$7:$F$8,E432))</f>
        <v>0.15939200179827354</v>
      </c>
      <c r="J432" s="8">
        <f>FlowAngleRel(INDEX('Route Data'!$J$7:$J$8,E432)*INDEX('Route Data'!$I$7:$I$8,E432), INDEX('Route Data'!$L$7:$L$8,E432)*2*PI()/60, INDEX('Route Data'!$F$7:$F$8,E432),INDEX('Route Data'!$O$7:$O$8,E432), INDEX('Route Data'!$P$7:$P$8,E432),INDEX('Route Data'!$M$7:$M$8,E432))</f>
        <v>1.130811765868994</v>
      </c>
      <c r="K432" s="8">
        <f>FlowAngleAbsT(INDEX('Route Data'!$K$7:$K$8,E432), INDEX('Route Data'!$I$7:$I$8,E432), INDEX('Route Data'!$I$7:$I$8,E432)*INDEX('Route Data'!$J$7:$J$8,E432), INDEX('Route Data'!$L$7:$L$8,E432)*2*PI()/60, INDEX('Route Data'!$F$7:$F$8,E432),INDEX('Route Data'!$O$7:$O$8,E432), INDEX('Route Data'!$P$7:$P$8,E432), INDEX('Route Data'!$H$7:$H$8,E432), INDEX('Route Data'!$Q$7:$Q$8,E432), INDEX('Route Data'!$M$7:$M$8,E432))</f>
        <v>0.51617226640175828</v>
      </c>
      <c r="L432" s="5">
        <f>INDEX('Route Data'!$N$7:$N$8,E432)</f>
        <v>0.4</v>
      </c>
      <c r="M432" s="8">
        <v>0.11314523220062256</v>
      </c>
      <c r="N432" s="8">
        <f>ProbStrikeFrancis(K432, I432, L432, INDEX('Route Data'!$G$7:$G$8,E432),C432, INDEX('Route Data'!$F$7:$F$8,E432), INDEX('Route Data'!$O$7:$O$8,E432), INDEX('Route Data'!$H$7:$H$18,E432))</f>
        <v>1</v>
      </c>
      <c r="O432" s="5" t="str">
        <f>IF(F432&gt;=1,IF(M432&lt;=N432,"STRIKE","pass"),IF(M432&lt;=INDEX('Route Data'!$R$7:$R$8,E432),"NO PASS","pass"))</f>
        <v>STRIKE</v>
      </c>
      <c r="P432" s="5">
        <f>IF(F432&gt;=1,IF(M432&lt;=N432,1,0),IF(M432&lt;=INDEX('Route Data'!$R$7:$R$8,E432),-1,0))</f>
        <v>1</v>
      </c>
    </row>
    <row r="433" spans="1:16">
      <c r="A433" s="5">
        <v>423</v>
      </c>
      <c r="B433" s="12">
        <v>25.43</v>
      </c>
      <c r="C433" s="12">
        <f t="shared" si="6"/>
        <v>2.12</v>
      </c>
      <c r="D433" s="8">
        <v>4.2689859867095947E-2</v>
      </c>
      <c r="E433" s="5">
        <f>MATCH(D433,'Route Data'!$C$7:$C$8,1)</f>
        <v>2</v>
      </c>
      <c r="F433" s="5">
        <f>INDEX('Route Data'!$D$7:$D$8,E433)</f>
        <v>1</v>
      </c>
      <c r="G433" s="5" t="str">
        <f>INDEX('Route Data'!$A$7:$A$8,E433)</f>
        <v>u18</v>
      </c>
      <c r="H433" s="5">
        <f>EnergyCoeff(INDEX('Route Data'!$K$7:$K$8,E433),INDEX('Route Data'!$L$7:$L$8,E433)*2*PI()/60,INDEX('Route Data'!$F$7:$F$8,E433))</f>
        <v>0.19430699130049439</v>
      </c>
      <c r="I433" s="5">
        <f>DischargeCoeff(INDEX('Route Data'!$I$7:$I$8,E433), INDEX('Route Data'!$L$7:$L$8,E433)*2*PI()/60, INDEX('Route Data'!$F$7:$F$8,E433))</f>
        <v>0.15939200179827354</v>
      </c>
      <c r="J433" s="8">
        <f>FlowAngleRel(INDEX('Route Data'!$J$7:$J$8,E433)*INDEX('Route Data'!$I$7:$I$8,E433), INDEX('Route Data'!$L$7:$L$8,E433)*2*PI()/60, INDEX('Route Data'!$F$7:$F$8,E433),INDEX('Route Data'!$O$7:$O$8,E433), INDEX('Route Data'!$P$7:$P$8,E433),INDEX('Route Data'!$M$7:$M$8,E433))</f>
        <v>1.130811765868994</v>
      </c>
      <c r="K433" s="8">
        <f>FlowAngleAbsT(INDEX('Route Data'!$K$7:$K$8,E433), INDEX('Route Data'!$I$7:$I$8,E433), INDEX('Route Data'!$I$7:$I$8,E433)*INDEX('Route Data'!$J$7:$J$8,E433), INDEX('Route Data'!$L$7:$L$8,E433)*2*PI()/60, INDEX('Route Data'!$F$7:$F$8,E433),INDEX('Route Data'!$O$7:$O$8,E433), INDEX('Route Data'!$P$7:$P$8,E433), INDEX('Route Data'!$H$7:$H$8,E433), INDEX('Route Data'!$Q$7:$Q$8,E433), INDEX('Route Data'!$M$7:$M$8,E433))</f>
        <v>0.51617226640175828</v>
      </c>
      <c r="L433" s="5">
        <f>INDEX('Route Data'!$N$7:$N$8,E433)</f>
        <v>0.4</v>
      </c>
      <c r="M433" s="8">
        <v>0.40558630228042603</v>
      </c>
      <c r="N433" s="8">
        <f>ProbStrikeFrancis(K433, I433, L433, INDEX('Route Data'!$G$7:$G$8,E433),C433, INDEX('Route Data'!$F$7:$F$8,E433), INDEX('Route Data'!$O$7:$O$8,E433), INDEX('Route Data'!$H$7:$H$18,E433))</f>
        <v>1</v>
      </c>
      <c r="O433" s="5" t="str">
        <f>IF(F433&gt;=1,IF(M433&lt;=N433,"STRIKE","pass"),IF(M433&lt;=INDEX('Route Data'!$R$7:$R$8,E433),"NO PASS","pass"))</f>
        <v>STRIKE</v>
      </c>
      <c r="P433" s="5">
        <f>IF(F433&gt;=1,IF(M433&lt;=N433,1,0),IF(M433&lt;=INDEX('Route Data'!$R$7:$R$8,E433),-1,0))</f>
        <v>1</v>
      </c>
    </row>
    <row r="434" spans="1:16">
      <c r="A434" s="5">
        <v>424</v>
      </c>
      <c r="B434" s="12">
        <v>15.14</v>
      </c>
      <c r="C434" s="12">
        <f t="shared" si="6"/>
        <v>1.26</v>
      </c>
      <c r="D434" s="8">
        <v>0.92519521713256836</v>
      </c>
      <c r="E434" s="5">
        <f>MATCH(D434,'Route Data'!$C$7:$C$8,1)</f>
        <v>2</v>
      </c>
      <c r="F434" s="5">
        <f>INDEX('Route Data'!$D$7:$D$8,E434)</f>
        <v>1</v>
      </c>
      <c r="G434" s="5" t="str">
        <f>INDEX('Route Data'!$A$7:$A$8,E434)</f>
        <v>u18</v>
      </c>
      <c r="H434" s="5">
        <f>EnergyCoeff(INDEX('Route Data'!$K$7:$K$8,E434),INDEX('Route Data'!$L$7:$L$8,E434)*2*PI()/60,INDEX('Route Data'!$F$7:$F$8,E434))</f>
        <v>0.19430699130049439</v>
      </c>
      <c r="I434" s="5">
        <f>DischargeCoeff(INDEX('Route Data'!$I$7:$I$8,E434), INDEX('Route Data'!$L$7:$L$8,E434)*2*PI()/60, INDEX('Route Data'!$F$7:$F$8,E434))</f>
        <v>0.15939200179827354</v>
      </c>
      <c r="J434" s="8">
        <f>FlowAngleRel(INDEX('Route Data'!$J$7:$J$8,E434)*INDEX('Route Data'!$I$7:$I$8,E434), INDEX('Route Data'!$L$7:$L$8,E434)*2*PI()/60, INDEX('Route Data'!$F$7:$F$8,E434),INDEX('Route Data'!$O$7:$O$8,E434), INDEX('Route Data'!$P$7:$P$8,E434),INDEX('Route Data'!$M$7:$M$8,E434))</f>
        <v>1.130811765868994</v>
      </c>
      <c r="K434" s="8">
        <f>FlowAngleAbsT(INDEX('Route Data'!$K$7:$K$8,E434), INDEX('Route Data'!$I$7:$I$8,E434), INDEX('Route Data'!$I$7:$I$8,E434)*INDEX('Route Data'!$J$7:$J$8,E434), INDEX('Route Data'!$L$7:$L$8,E434)*2*PI()/60, INDEX('Route Data'!$F$7:$F$8,E434),INDEX('Route Data'!$O$7:$O$8,E434), INDEX('Route Data'!$P$7:$P$8,E434), INDEX('Route Data'!$H$7:$H$8,E434), INDEX('Route Data'!$Q$7:$Q$8,E434), INDEX('Route Data'!$M$7:$M$8,E434))</f>
        <v>0.51617226640175828</v>
      </c>
      <c r="L434" s="5">
        <f>INDEX('Route Data'!$N$7:$N$8,E434)</f>
        <v>0.4</v>
      </c>
      <c r="M434" s="8">
        <v>0.26268386840820313</v>
      </c>
      <c r="N434" s="8">
        <f>ProbStrikeFrancis(K434, I434, L434, INDEX('Route Data'!$G$7:$G$8,E434),C434, INDEX('Route Data'!$F$7:$F$8,E434), INDEX('Route Data'!$O$7:$O$8,E434), INDEX('Route Data'!$H$7:$H$18,E434))</f>
        <v>1</v>
      </c>
      <c r="O434" s="5" t="str">
        <f>IF(F434&gt;=1,IF(M434&lt;=N434,"STRIKE","pass"),IF(M434&lt;=INDEX('Route Data'!$R$7:$R$8,E434),"NO PASS","pass"))</f>
        <v>STRIKE</v>
      </c>
      <c r="P434" s="5">
        <f>IF(F434&gt;=1,IF(M434&lt;=N434,1,0),IF(M434&lt;=INDEX('Route Data'!$R$7:$R$8,E434),-1,0))</f>
        <v>1</v>
      </c>
    </row>
    <row r="435" spans="1:16">
      <c r="A435" s="5">
        <v>425</v>
      </c>
      <c r="B435" s="12">
        <v>16.05</v>
      </c>
      <c r="C435" s="12">
        <f t="shared" si="6"/>
        <v>1.34</v>
      </c>
      <c r="D435" s="8">
        <v>0.27767914533615112</v>
      </c>
      <c r="E435" s="5">
        <f>MATCH(D435,'Route Data'!$C$7:$C$8,1)</f>
        <v>2</v>
      </c>
      <c r="F435" s="5">
        <f>INDEX('Route Data'!$D$7:$D$8,E435)</f>
        <v>1</v>
      </c>
      <c r="G435" s="5" t="str">
        <f>INDEX('Route Data'!$A$7:$A$8,E435)</f>
        <v>u18</v>
      </c>
      <c r="H435" s="5">
        <f>EnergyCoeff(INDEX('Route Data'!$K$7:$K$8,E435),INDEX('Route Data'!$L$7:$L$8,E435)*2*PI()/60,INDEX('Route Data'!$F$7:$F$8,E435))</f>
        <v>0.19430699130049439</v>
      </c>
      <c r="I435" s="5">
        <f>DischargeCoeff(INDEX('Route Data'!$I$7:$I$8,E435), INDEX('Route Data'!$L$7:$L$8,E435)*2*PI()/60, INDEX('Route Data'!$F$7:$F$8,E435))</f>
        <v>0.15939200179827354</v>
      </c>
      <c r="J435" s="8">
        <f>FlowAngleRel(INDEX('Route Data'!$J$7:$J$8,E435)*INDEX('Route Data'!$I$7:$I$8,E435), INDEX('Route Data'!$L$7:$L$8,E435)*2*PI()/60, INDEX('Route Data'!$F$7:$F$8,E435),INDEX('Route Data'!$O$7:$O$8,E435), INDEX('Route Data'!$P$7:$P$8,E435),INDEX('Route Data'!$M$7:$M$8,E435))</f>
        <v>1.130811765868994</v>
      </c>
      <c r="K435" s="8">
        <f>FlowAngleAbsT(INDEX('Route Data'!$K$7:$K$8,E435), INDEX('Route Data'!$I$7:$I$8,E435), INDEX('Route Data'!$I$7:$I$8,E435)*INDEX('Route Data'!$J$7:$J$8,E435), INDEX('Route Data'!$L$7:$L$8,E435)*2*PI()/60, INDEX('Route Data'!$F$7:$F$8,E435),INDEX('Route Data'!$O$7:$O$8,E435), INDEX('Route Data'!$P$7:$P$8,E435), INDEX('Route Data'!$H$7:$H$8,E435), INDEX('Route Data'!$Q$7:$Q$8,E435), INDEX('Route Data'!$M$7:$M$8,E435))</f>
        <v>0.51617226640175828</v>
      </c>
      <c r="L435" s="5">
        <f>INDEX('Route Data'!$N$7:$N$8,E435)</f>
        <v>0.4</v>
      </c>
      <c r="M435" s="8">
        <v>0.95697039365768433</v>
      </c>
      <c r="N435" s="8">
        <f>ProbStrikeFrancis(K435, I435, L435, INDEX('Route Data'!$G$7:$G$8,E435),C435, INDEX('Route Data'!$F$7:$F$8,E435), INDEX('Route Data'!$O$7:$O$8,E435), INDEX('Route Data'!$H$7:$H$18,E435))</f>
        <v>1</v>
      </c>
      <c r="O435" s="5" t="str">
        <f>IF(F435&gt;=1,IF(M435&lt;=N435,"STRIKE","pass"),IF(M435&lt;=INDEX('Route Data'!$R$7:$R$8,E435),"NO PASS","pass"))</f>
        <v>STRIKE</v>
      </c>
      <c r="P435" s="5">
        <f>IF(F435&gt;=1,IF(M435&lt;=N435,1,0),IF(M435&lt;=INDEX('Route Data'!$R$7:$R$8,E435),-1,0))</f>
        <v>1</v>
      </c>
    </row>
    <row r="436" spans="1:16">
      <c r="A436" s="5">
        <v>426</v>
      </c>
      <c r="B436" s="12">
        <v>29.42</v>
      </c>
      <c r="C436" s="12">
        <f t="shared" si="6"/>
        <v>2.4500000000000002</v>
      </c>
      <c r="D436" s="8">
        <v>0.22022736072540283</v>
      </c>
      <c r="E436" s="5">
        <f>MATCH(D436,'Route Data'!$C$7:$C$8,1)</f>
        <v>2</v>
      </c>
      <c r="F436" s="5">
        <f>INDEX('Route Data'!$D$7:$D$8,E436)</f>
        <v>1</v>
      </c>
      <c r="G436" s="5" t="str">
        <f>INDEX('Route Data'!$A$7:$A$8,E436)</f>
        <v>u18</v>
      </c>
      <c r="H436" s="5">
        <f>EnergyCoeff(INDEX('Route Data'!$K$7:$K$8,E436),INDEX('Route Data'!$L$7:$L$8,E436)*2*PI()/60,INDEX('Route Data'!$F$7:$F$8,E436))</f>
        <v>0.19430699130049439</v>
      </c>
      <c r="I436" s="5">
        <f>DischargeCoeff(INDEX('Route Data'!$I$7:$I$8,E436), INDEX('Route Data'!$L$7:$L$8,E436)*2*PI()/60, INDEX('Route Data'!$F$7:$F$8,E436))</f>
        <v>0.15939200179827354</v>
      </c>
      <c r="J436" s="8">
        <f>FlowAngleRel(INDEX('Route Data'!$J$7:$J$8,E436)*INDEX('Route Data'!$I$7:$I$8,E436), INDEX('Route Data'!$L$7:$L$8,E436)*2*PI()/60, INDEX('Route Data'!$F$7:$F$8,E436),INDEX('Route Data'!$O$7:$O$8,E436), INDEX('Route Data'!$P$7:$P$8,E436),INDEX('Route Data'!$M$7:$M$8,E436))</f>
        <v>1.130811765868994</v>
      </c>
      <c r="K436" s="8">
        <f>FlowAngleAbsT(INDEX('Route Data'!$K$7:$K$8,E436), INDEX('Route Data'!$I$7:$I$8,E436), INDEX('Route Data'!$I$7:$I$8,E436)*INDEX('Route Data'!$J$7:$J$8,E436), INDEX('Route Data'!$L$7:$L$8,E436)*2*PI()/60, INDEX('Route Data'!$F$7:$F$8,E436),INDEX('Route Data'!$O$7:$O$8,E436), INDEX('Route Data'!$P$7:$P$8,E436), INDEX('Route Data'!$H$7:$H$8,E436), INDEX('Route Data'!$Q$7:$Q$8,E436), INDEX('Route Data'!$M$7:$M$8,E436))</f>
        <v>0.51617226640175828</v>
      </c>
      <c r="L436" s="5">
        <f>INDEX('Route Data'!$N$7:$N$8,E436)</f>
        <v>0.4</v>
      </c>
      <c r="M436" s="8">
        <v>0.60853159427642822</v>
      </c>
      <c r="N436" s="8">
        <f>ProbStrikeFrancis(K436, I436, L436, INDEX('Route Data'!$G$7:$G$8,E436),C436, INDEX('Route Data'!$F$7:$F$8,E436), INDEX('Route Data'!$O$7:$O$8,E436), INDEX('Route Data'!$H$7:$H$18,E436))</f>
        <v>1</v>
      </c>
      <c r="O436" s="5" t="str">
        <f>IF(F436&gt;=1,IF(M436&lt;=N436,"STRIKE","pass"),IF(M436&lt;=INDEX('Route Data'!$R$7:$R$8,E436),"NO PASS","pass"))</f>
        <v>STRIKE</v>
      </c>
      <c r="P436" s="5">
        <f>IF(F436&gt;=1,IF(M436&lt;=N436,1,0),IF(M436&lt;=INDEX('Route Data'!$R$7:$R$8,E436),-1,0))</f>
        <v>1</v>
      </c>
    </row>
    <row r="437" spans="1:16">
      <c r="A437" s="5">
        <v>427</v>
      </c>
      <c r="B437" s="12">
        <v>18.13</v>
      </c>
      <c r="C437" s="12">
        <f t="shared" si="6"/>
        <v>1.51</v>
      </c>
      <c r="D437" s="8">
        <v>0.65816193819046021</v>
      </c>
      <c r="E437" s="5">
        <f>MATCH(D437,'Route Data'!$C$7:$C$8,1)</f>
        <v>2</v>
      </c>
      <c r="F437" s="5">
        <f>INDEX('Route Data'!$D$7:$D$8,E437)</f>
        <v>1</v>
      </c>
      <c r="G437" s="5" t="str">
        <f>INDEX('Route Data'!$A$7:$A$8,E437)</f>
        <v>u18</v>
      </c>
      <c r="H437" s="5">
        <f>EnergyCoeff(INDEX('Route Data'!$K$7:$K$8,E437),INDEX('Route Data'!$L$7:$L$8,E437)*2*PI()/60,INDEX('Route Data'!$F$7:$F$8,E437))</f>
        <v>0.19430699130049439</v>
      </c>
      <c r="I437" s="5">
        <f>DischargeCoeff(INDEX('Route Data'!$I$7:$I$8,E437), INDEX('Route Data'!$L$7:$L$8,E437)*2*PI()/60, INDEX('Route Data'!$F$7:$F$8,E437))</f>
        <v>0.15939200179827354</v>
      </c>
      <c r="J437" s="8">
        <f>FlowAngleRel(INDEX('Route Data'!$J$7:$J$8,E437)*INDEX('Route Data'!$I$7:$I$8,E437), INDEX('Route Data'!$L$7:$L$8,E437)*2*PI()/60, INDEX('Route Data'!$F$7:$F$8,E437),INDEX('Route Data'!$O$7:$O$8,E437), INDEX('Route Data'!$P$7:$P$8,E437),INDEX('Route Data'!$M$7:$M$8,E437))</f>
        <v>1.130811765868994</v>
      </c>
      <c r="K437" s="8">
        <f>FlowAngleAbsT(INDEX('Route Data'!$K$7:$K$8,E437), INDEX('Route Data'!$I$7:$I$8,E437), INDEX('Route Data'!$I$7:$I$8,E437)*INDEX('Route Data'!$J$7:$J$8,E437), INDEX('Route Data'!$L$7:$L$8,E437)*2*PI()/60, INDEX('Route Data'!$F$7:$F$8,E437),INDEX('Route Data'!$O$7:$O$8,E437), INDEX('Route Data'!$P$7:$P$8,E437), INDEX('Route Data'!$H$7:$H$8,E437), INDEX('Route Data'!$Q$7:$Q$8,E437), INDEX('Route Data'!$M$7:$M$8,E437))</f>
        <v>0.51617226640175828</v>
      </c>
      <c r="L437" s="5">
        <f>INDEX('Route Data'!$N$7:$N$8,E437)</f>
        <v>0.4</v>
      </c>
      <c r="M437" s="8">
        <v>0.65384799242019653</v>
      </c>
      <c r="N437" s="8">
        <f>ProbStrikeFrancis(K437, I437, L437, INDEX('Route Data'!$G$7:$G$8,E437),C437, INDEX('Route Data'!$F$7:$F$8,E437), INDEX('Route Data'!$O$7:$O$8,E437), INDEX('Route Data'!$H$7:$H$18,E437))</f>
        <v>1</v>
      </c>
      <c r="O437" s="5" t="str">
        <f>IF(F437&gt;=1,IF(M437&lt;=N437,"STRIKE","pass"),IF(M437&lt;=INDEX('Route Data'!$R$7:$R$8,E437),"NO PASS","pass"))</f>
        <v>STRIKE</v>
      </c>
      <c r="P437" s="5">
        <f>IF(F437&gt;=1,IF(M437&lt;=N437,1,0),IF(M437&lt;=INDEX('Route Data'!$R$7:$R$8,E437),-1,0))</f>
        <v>1</v>
      </c>
    </row>
    <row r="438" spans="1:16">
      <c r="A438" s="5">
        <v>428</v>
      </c>
      <c r="B438" s="12">
        <v>22.64</v>
      </c>
      <c r="C438" s="12">
        <f t="shared" si="6"/>
        <v>1.89</v>
      </c>
      <c r="D438" s="8">
        <v>7.8778982162475586E-2</v>
      </c>
      <c r="E438" s="5">
        <f>MATCH(D438,'Route Data'!$C$7:$C$8,1)</f>
        <v>2</v>
      </c>
      <c r="F438" s="5">
        <f>INDEX('Route Data'!$D$7:$D$8,E438)</f>
        <v>1</v>
      </c>
      <c r="G438" s="5" t="str">
        <f>INDEX('Route Data'!$A$7:$A$8,E438)</f>
        <v>u18</v>
      </c>
      <c r="H438" s="5">
        <f>EnergyCoeff(INDEX('Route Data'!$K$7:$K$8,E438),INDEX('Route Data'!$L$7:$L$8,E438)*2*PI()/60,INDEX('Route Data'!$F$7:$F$8,E438))</f>
        <v>0.19430699130049439</v>
      </c>
      <c r="I438" s="5">
        <f>DischargeCoeff(INDEX('Route Data'!$I$7:$I$8,E438), INDEX('Route Data'!$L$7:$L$8,E438)*2*PI()/60, INDEX('Route Data'!$F$7:$F$8,E438))</f>
        <v>0.15939200179827354</v>
      </c>
      <c r="J438" s="8">
        <f>FlowAngleRel(INDEX('Route Data'!$J$7:$J$8,E438)*INDEX('Route Data'!$I$7:$I$8,E438), INDEX('Route Data'!$L$7:$L$8,E438)*2*PI()/60, INDEX('Route Data'!$F$7:$F$8,E438),INDEX('Route Data'!$O$7:$O$8,E438), INDEX('Route Data'!$P$7:$P$8,E438),INDEX('Route Data'!$M$7:$M$8,E438))</f>
        <v>1.130811765868994</v>
      </c>
      <c r="K438" s="8">
        <f>FlowAngleAbsT(INDEX('Route Data'!$K$7:$K$8,E438), INDEX('Route Data'!$I$7:$I$8,E438), INDEX('Route Data'!$I$7:$I$8,E438)*INDEX('Route Data'!$J$7:$J$8,E438), INDEX('Route Data'!$L$7:$L$8,E438)*2*PI()/60, INDEX('Route Data'!$F$7:$F$8,E438),INDEX('Route Data'!$O$7:$O$8,E438), INDEX('Route Data'!$P$7:$P$8,E438), INDEX('Route Data'!$H$7:$H$8,E438), INDEX('Route Data'!$Q$7:$Q$8,E438), INDEX('Route Data'!$M$7:$M$8,E438))</f>
        <v>0.51617226640175828</v>
      </c>
      <c r="L438" s="5">
        <f>INDEX('Route Data'!$N$7:$N$8,E438)</f>
        <v>0.4</v>
      </c>
      <c r="M438" s="8">
        <v>4.9057245254516602E-2</v>
      </c>
      <c r="N438" s="8">
        <f>ProbStrikeFrancis(K438, I438, L438, INDEX('Route Data'!$G$7:$G$8,E438),C438, INDEX('Route Data'!$F$7:$F$8,E438), INDEX('Route Data'!$O$7:$O$8,E438), INDEX('Route Data'!$H$7:$H$18,E438))</f>
        <v>1</v>
      </c>
      <c r="O438" s="5" t="str">
        <f>IF(F438&gt;=1,IF(M438&lt;=N438,"STRIKE","pass"),IF(M438&lt;=INDEX('Route Data'!$R$7:$R$8,E438),"NO PASS","pass"))</f>
        <v>STRIKE</v>
      </c>
      <c r="P438" s="5">
        <f>IF(F438&gt;=1,IF(M438&lt;=N438,1,0),IF(M438&lt;=INDEX('Route Data'!$R$7:$R$8,E438),-1,0))</f>
        <v>1</v>
      </c>
    </row>
    <row r="439" spans="1:16">
      <c r="A439" s="5">
        <v>429</v>
      </c>
      <c r="B439" s="12">
        <v>23.69</v>
      </c>
      <c r="C439" s="12">
        <f t="shared" si="6"/>
        <v>1.97</v>
      </c>
      <c r="D439" s="8">
        <v>0.55134862661361694</v>
      </c>
      <c r="E439" s="5">
        <f>MATCH(D439,'Route Data'!$C$7:$C$8,1)</f>
        <v>2</v>
      </c>
      <c r="F439" s="5">
        <f>INDEX('Route Data'!$D$7:$D$8,E439)</f>
        <v>1</v>
      </c>
      <c r="G439" s="5" t="str">
        <f>INDEX('Route Data'!$A$7:$A$8,E439)</f>
        <v>u18</v>
      </c>
      <c r="H439" s="5">
        <f>EnergyCoeff(INDEX('Route Data'!$K$7:$K$8,E439),INDEX('Route Data'!$L$7:$L$8,E439)*2*PI()/60,INDEX('Route Data'!$F$7:$F$8,E439))</f>
        <v>0.19430699130049439</v>
      </c>
      <c r="I439" s="5">
        <f>DischargeCoeff(INDEX('Route Data'!$I$7:$I$8,E439), INDEX('Route Data'!$L$7:$L$8,E439)*2*PI()/60, INDEX('Route Data'!$F$7:$F$8,E439))</f>
        <v>0.15939200179827354</v>
      </c>
      <c r="J439" s="8">
        <f>FlowAngleRel(INDEX('Route Data'!$J$7:$J$8,E439)*INDEX('Route Data'!$I$7:$I$8,E439), INDEX('Route Data'!$L$7:$L$8,E439)*2*PI()/60, INDEX('Route Data'!$F$7:$F$8,E439),INDEX('Route Data'!$O$7:$O$8,E439), INDEX('Route Data'!$P$7:$P$8,E439),INDEX('Route Data'!$M$7:$M$8,E439))</f>
        <v>1.130811765868994</v>
      </c>
      <c r="K439" s="8">
        <f>FlowAngleAbsT(INDEX('Route Data'!$K$7:$K$8,E439), INDEX('Route Data'!$I$7:$I$8,E439), INDEX('Route Data'!$I$7:$I$8,E439)*INDEX('Route Data'!$J$7:$J$8,E439), INDEX('Route Data'!$L$7:$L$8,E439)*2*PI()/60, INDEX('Route Data'!$F$7:$F$8,E439),INDEX('Route Data'!$O$7:$O$8,E439), INDEX('Route Data'!$P$7:$P$8,E439), INDEX('Route Data'!$H$7:$H$8,E439), INDEX('Route Data'!$Q$7:$Q$8,E439), INDEX('Route Data'!$M$7:$M$8,E439))</f>
        <v>0.51617226640175828</v>
      </c>
      <c r="L439" s="5">
        <f>INDEX('Route Data'!$N$7:$N$8,E439)</f>
        <v>0.4</v>
      </c>
      <c r="M439" s="8">
        <v>0.5978502631187439</v>
      </c>
      <c r="N439" s="8">
        <f>ProbStrikeFrancis(K439, I439, L439, INDEX('Route Data'!$G$7:$G$8,E439),C439, INDEX('Route Data'!$F$7:$F$8,E439), INDEX('Route Data'!$O$7:$O$8,E439), INDEX('Route Data'!$H$7:$H$18,E439))</f>
        <v>1</v>
      </c>
      <c r="O439" s="5" t="str">
        <f>IF(F439&gt;=1,IF(M439&lt;=N439,"STRIKE","pass"),IF(M439&lt;=INDEX('Route Data'!$R$7:$R$8,E439),"NO PASS","pass"))</f>
        <v>STRIKE</v>
      </c>
      <c r="P439" s="5">
        <f>IF(F439&gt;=1,IF(M439&lt;=N439,1,0),IF(M439&lt;=INDEX('Route Data'!$R$7:$R$8,E439),-1,0))</f>
        <v>1</v>
      </c>
    </row>
    <row r="440" spans="1:16">
      <c r="A440" s="5">
        <v>430</v>
      </c>
      <c r="B440" s="12">
        <v>25.01</v>
      </c>
      <c r="C440" s="12">
        <f t="shared" si="6"/>
        <v>2.08</v>
      </c>
      <c r="D440" s="8">
        <v>0.39921891689300537</v>
      </c>
      <c r="E440" s="5">
        <f>MATCH(D440,'Route Data'!$C$7:$C$8,1)</f>
        <v>2</v>
      </c>
      <c r="F440" s="5">
        <f>INDEX('Route Data'!$D$7:$D$8,E440)</f>
        <v>1</v>
      </c>
      <c r="G440" s="5" t="str">
        <f>INDEX('Route Data'!$A$7:$A$8,E440)</f>
        <v>u18</v>
      </c>
      <c r="H440" s="5">
        <f>EnergyCoeff(INDEX('Route Data'!$K$7:$K$8,E440),INDEX('Route Data'!$L$7:$L$8,E440)*2*PI()/60,INDEX('Route Data'!$F$7:$F$8,E440))</f>
        <v>0.19430699130049439</v>
      </c>
      <c r="I440" s="5">
        <f>DischargeCoeff(INDEX('Route Data'!$I$7:$I$8,E440), INDEX('Route Data'!$L$7:$L$8,E440)*2*PI()/60, INDEX('Route Data'!$F$7:$F$8,E440))</f>
        <v>0.15939200179827354</v>
      </c>
      <c r="J440" s="8">
        <f>FlowAngleRel(INDEX('Route Data'!$J$7:$J$8,E440)*INDEX('Route Data'!$I$7:$I$8,E440), INDEX('Route Data'!$L$7:$L$8,E440)*2*PI()/60, INDEX('Route Data'!$F$7:$F$8,E440),INDEX('Route Data'!$O$7:$O$8,E440), INDEX('Route Data'!$P$7:$P$8,E440),INDEX('Route Data'!$M$7:$M$8,E440))</f>
        <v>1.130811765868994</v>
      </c>
      <c r="K440" s="8">
        <f>FlowAngleAbsT(INDEX('Route Data'!$K$7:$K$8,E440), INDEX('Route Data'!$I$7:$I$8,E440), INDEX('Route Data'!$I$7:$I$8,E440)*INDEX('Route Data'!$J$7:$J$8,E440), INDEX('Route Data'!$L$7:$L$8,E440)*2*PI()/60, INDEX('Route Data'!$F$7:$F$8,E440),INDEX('Route Data'!$O$7:$O$8,E440), INDEX('Route Data'!$P$7:$P$8,E440), INDEX('Route Data'!$H$7:$H$8,E440), INDEX('Route Data'!$Q$7:$Q$8,E440), INDEX('Route Data'!$M$7:$M$8,E440))</f>
        <v>0.51617226640175828</v>
      </c>
      <c r="L440" s="5">
        <f>INDEX('Route Data'!$N$7:$N$8,E440)</f>
        <v>0.4</v>
      </c>
      <c r="M440" s="8">
        <v>0.68589198589324951</v>
      </c>
      <c r="N440" s="8">
        <f>ProbStrikeFrancis(K440, I440, L440, INDEX('Route Data'!$G$7:$G$8,E440),C440, INDEX('Route Data'!$F$7:$F$8,E440), INDEX('Route Data'!$O$7:$O$8,E440), INDEX('Route Data'!$H$7:$H$18,E440))</f>
        <v>1</v>
      </c>
      <c r="O440" s="5" t="str">
        <f>IF(F440&gt;=1,IF(M440&lt;=N440,"STRIKE","pass"),IF(M440&lt;=INDEX('Route Data'!$R$7:$R$8,E440),"NO PASS","pass"))</f>
        <v>STRIKE</v>
      </c>
      <c r="P440" s="5">
        <f>IF(F440&gt;=1,IF(M440&lt;=N440,1,0),IF(M440&lt;=INDEX('Route Data'!$R$7:$R$8,E440),-1,0))</f>
        <v>1</v>
      </c>
    </row>
    <row r="441" spans="1:16">
      <c r="A441" s="5">
        <v>431</v>
      </c>
      <c r="B441" s="12">
        <v>21.48</v>
      </c>
      <c r="C441" s="12">
        <f t="shared" si="6"/>
        <v>1.79</v>
      </c>
      <c r="D441" s="8">
        <v>0.32444959878921509</v>
      </c>
      <c r="E441" s="5">
        <f>MATCH(D441,'Route Data'!$C$7:$C$8,1)</f>
        <v>2</v>
      </c>
      <c r="F441" s="5">
        <f>INDEX('Route Data'!$D$7:$D$8,E441)</f>
        <v>1</v>
      </c>
      <c r="G441" s="5" t="str">
        <f>INDEX('Route Data'!$A$7:$A$8,E441)</f>
        <v>u18</v>
      </c>
      <c r="H441" s="5">
        <f>EnergyCoeff(INDEX('Route Data'!$K$7:$K$8,E441),INDEX('Route Data'!$L$7:$L$8,E441)*2*PI()/60,INDEX('Route Data'!$F$7:$F$8,E441))</f>
        <v>0.19430699130049439</v>
      </c>
      <c r="I441" s="5">
        <f>DischargeCoeff(INDEX('Route Data'!$I$7:$I$8,E441), INDEX('Route Data'!$L$7:$L$8,E441)*2*PI()/60, INDEX('Route Data'!$F$7:$F$8,E441))</f>
        <v>0.15939200179827354</v>
      </c>
      <c r="J441" s="8">
        <f>FlowAngleRel(INDEX('Route Data'!$J$7:$J$8,E441)*INDEX('Route Data'!$I$7:$I$8,E441), INDEX('Route Data'!$L$7:$L$8,E441)*2*PI()/60, INDEX('Route Data'!$F$7:$F$8,E441),INDEX('Route Data'!$O$7:$O$8,E441), INDEX('Route Data'!$P$7:$P$8,E441),INDEX('Route Data'!$M$7:$M$8,E441))</f>
        <v>1.130811765868994</v>
      </c>
      <c r="K441" s="8">
        <f>FlowAngleAbsT(INDEX('Route Data'!$K$7:$K$8,E441), INDEX('Route Data'!$I$7:$I$8,E441), INDEX('Route Data'!$I$7:$I$8,E441)*INDEX('Route Data'!$J$7:$J$8,E441), INDEX('Route Data'!$L$7:$L$8,E441)*2*PI()/60, INDEX('Route Data'!$F$7:$F$8,E441),INDEX('Route Data'!$O$7:$O$8,E441), INDEX('Route Data'!$P$7:$P$8,E441), INDEX('Route Data'!$H$7:$H$8,E441), INDEX('Route Data'!$Q$7:$Q$8,E441), INDEX('Route Data'!$M$7:$M$8,E441))</f>
        <v>0.51617226640175828</v>
      </c>
      <c r="L441" s="5">
        <f>INDEX('Route Data'!$N$7:$N$8,E441)</f>
        <v>0.4</v>
      </c>
      <c r="M441" s="8">
        <v>0.95292526483535767</v>
      </c>
      <c r="N441" s="8">
        <f>ProbStrikeFrancis(K441, I441, L441, INDEX('Route Data'!$G$7:$G$8,E441),C441, INDEX('Route Data'!$F$7:$F$8,E441), INDEX('Route Data'!$O$7:$O$8,E441), INDEX('Route Data'!$H$7:$H$18,E441))</f>
        <v>1</v>
      </c>
      <c r="O441" s="5" t="str">
        <f>IF(F441&gt;=1,IF(M441&lt;=N441,"STRIKE","pass"),IF(M441&lt;=INDEX('Route Data'!$R$7:$R$8,E441),"NO PASS","pass"))</f>
        <v>STRIKE</v>
      </c>
      <c r="P441" s="5">
        <f>IF(F441&gt;=1,IF(M441&lt;=N441,1,0),IF(M441&lt;=INDEX('Route Data'!$R$7:$R$8,E441),-1,0))</f>
        <v>1</v>
      </c>
    </row>
    <row r="442" spans="1:16">
      <c r="A442" s="5">
        <v>432</v>
      </c>
      <c r="B442" s="12">
        <v>23.45</v>
      </c>
      <c r="C442" s="12">
        <f t="shared" si="6"/>
        <v>1.95</v>
      </c>
      <c r="D442" s="8">
        <v>0.54875755310058594</v>
      </c>
      <c r="E442" s="5">
        <f>MATCH(D442,'Route Data'!$C$7:$C$8,1)</f>
        <v>2</v>
      </c>
      <c r="F442" s="5">
        <f>INDEX('Route Data'!$D$7:$D$8,E442)</f>
        <v>1</v>
      </c>
      <c r="G442" s="5" t="str">
        <f>INDEX('Route Data'!$A$7:$A$8,E442)</f>
        <v>u18</v>
      </c>
      <c r="H442" s="5">
        <f>EnergyCoeff(INDEX('Route Data'!$K$7:$K$8,E442),INDEX('Route Data'!$L$7:$L$8,E442)*2*PI()/60,INDEX('Route Data'!$F$7:$F$8,E442))</f>
        <v>0.19430699130049439</v>
      </c>
      <c r="I442" s="5">
        <f>DischargeCoeff(INDEX('Route Data'!$I$7:$I$8,E442), INDEX('Route Data'!$L$7:$L$8,E442)*2*PI()/60, INDEX('Route Data'!$F$7:$F$8,E442))</f>
        <v>0.15939200179827354</v>
      </c>
      <c r="J442" s="8">
        <f>FlowAngleRel(INDEX('Route Data'!$J$7:$J$8,E442)*INDEX('Route Data'!$I$7:$I$8,E442), INDEX('Route Data'!$L$7:$L$8,E442)*2*PI()/60, INDEX('Route Data'!$F$7:$F$8,E442),INDEX('Route Data'!$O$7:$O$8,E442), INDEX('Route Data'!$P$7:$P$8,E442),INDEX('Route Data'!$M$7:$M$8,E442))</f>
        <v>1.130811765868994</v>
      </c>
      <c r="K442" s="8">
        <f>FlowAngleAbsT(INDEX('Route Data'!$K$7:$K$8,E442), INDEX('Route Data'!$I$7:$I$8,E442), INDEX('Route Data'!$I$7:$I$8,E442)*INDEX('Route Data'!$J$7:$J$8,E442), INDEX('Route Data'!$L$7:$L$8,E442)*2*PI()/60, INDEX('Route Data'!$F$7:$F$8,E442),INDEX('Route Data'!$O$7:$O$8,E442), INDEX('Route Data'!$P$7:$P$8,E442), INDEX('Route Data'!$H$7:$H$8,E442), INDEX('Route Data'!$Q$7:$Q$8,E442), INDEX('Route Data'!$M$7:$M$8,E442))</f>
        <v>0.51617226640175828</v>
      </c>
      <c r="L442" s="5">
        <f>INDEX('Route Data'!$N$7:$N$8,E442)</f>
        <v>0.4</v>
      </c>
      <c r="M442" s="8">
        <v>0.1518254280090332</v>
      </c>
      <c r="N442" s="8">
        <f>ProbStrikeFrancis(K442, I442, L442, INDEX('Route Data'!$G$7:$G$8,E442),C442, INDEX('Route Data'!$F$7:$F$8,E442), INDEX('Route Data'!$O$7:$O$8,E442), INDEX('Route Data'!$H$7:$H$18,E442))</f>
        <v>1</v>
      </c>
      <c r="O442" s="5" t="str">
        <f>IF(F442&gt;=1,IF(M442&lt;=N442,"STRIKE","pass"),IF(M442&lt;=INDEX('Route Data'!$R$7:$R$8,E442),"NO PASS","pass"))</f>
        <v>STRIKE</v>
      </c>
      <c r="P442" s="5">
        <f>IF(F442&gt;=1,IF(M442&lt;=N442,1,0),IF(M442&lt;=INDEX('Route Data'!$R$7:$R$8,E442),-1,0))</f>
        <v>1</v>
      </c>
    </row>
    <row r="443" spans="1:16">
      <c r="A443" s="5">
        <v>433</v>
      </c>
      <c r="B443" s="12">
        <v>23.33</v>
      </c>
      <c r="C443" s="12">
        <f t="shared" si="6"/>
        <v>1.94</v>
      </c>
      <c r="D443" s="8">
        <v>0.87583369016647339</v>
      </c>
      <c r="E443" s="5">
        <f>MATCH(D443,'Route Data'!$C$7:$C$8,1)</f>
        <v>2</v>
      </c>
      <c r="F443" s="5">
        <f>INDEX('Route Data'!$D$7:$D$8,E443)</f>
        <v>1</v>
      </c>
      <c r="G443" s="5" t="str">
        <f>INDEX('Route Data'!$A$7:$A$8,E443)</f>
        <v>u18</v>
      </c>
      <c r="H443" s="5">
        <f>EnergyCoeff(INDEX('Route Data'!$K$7:$K$8,E443),INDEX('Route Data'!$L$7:$L$8,E443)*2*PI()/60,INDEX('Route Data'!$F$7:$F$8,E443))</f>
        <v>0.19430699130049439</v>
      </c>
      <c r="I443" s="5">
        <f>DischargeCoeff(INDEX('Route Data'!$I$7:$I$8,E443), INDEX('Route Data'!$L$7:$L$8,E443)*2*PI()/60, INDEX('Route Data'!$F$7:$F$8,E443))</f>
        <v>0.15939200179827354</v>
      </c>
      <c r="J443" s="8">
        <f>FlowAngleRel(INDEX('Route Data'!$J$7:$J$8,E443)*INDEX('Route Data'!$I$7:$I$8,E443), INDEX('Route Data'!$L$7:$L$8,E443)*2*PI()/60, INDEX('Route Data'!$F$7:$F$8,E443),INDEX('Route Data'!$O$7:$O$8,E443), INDEX('Route Data'!$P$7:$P$8,E443),INDEX('Route Data'!$M$7:$M$8,E443))</f>
        <v>1.130811765868994</v>
      </c>
      <c r="K443" s="8">
        <f>FlowAngleAbsT(INDEX('Route Data'!$K$7:$K$8,E443), INDEX('Route Data'!$I$7:$I$8,E443), INDEX('Route Data'!$I$7:$I$8,E443)*INDEX('Route Data'!$J$7:$J$8,E443), INDEX('Route Data'!$L$7:$L$8,E443)*2*PI()/60, INDEX('Route Data'!$F$7:$F$8,E443),INDEX('Route Data'!$O$7:$O$8,E443), INDEX('Route Data'!$P$7:$P$8,E443), INDEX('Route Data'!$H$7:$H$8,E443), INDEX('Route Data'!$Q$7:$Q$8,E443), INDEX('Route Data'!$M$7:$M$8,E443))</f>
        <v>0.51617226640175828</v>
      </c>
      <c r="L443" s="5">
        <f>INDEX('Route Data'!$N$7:$N$8,E443)</f>
        <v>0.4</v>
      </c>
      <c r="M443" s="8">
        <v>0.55512493848800659</v>
      </c>
      <c r="N443" s="8">
        <f>ProbStrikeFrancis(K443, I443, L443, INDEX('Route Data'!$G$7:$G$8,E443),C443, INDEX('Route Data'!$F$7:$F$8,E443), INDEX('Route Data'!$O$7:$O$8,E443), INDEX('Route Data'!$H$7:$H$18,E443))</f>
        <v>1</v>
      </c>
      <c r="O443" s="5" t="str">
        <f>IF(F443&gt;=1,IF(M443&lt;=N443,"STRIKE","pass"),IF(M443&lt;=INDEX('Route Data'!$R$7:$R$8,E443),"NO PASS","pass"))</f>
        <v>STRIKE</v>
      </c>
      <c r="P443" s="5">
        <f>IF(F443&gt;=1,IF(M443&lt;=N443,1,0),IF(M443&lt;=INDEX('Route Data'!$R$7:$R$8,E443),-1,0))</f>
        <v>1</v>
      </c>
    </row>
    <row r="444" spans="1:16">
      <c r="A444" s="5">
        <v>434</v>
      </c>
      <c r="B444" s="12">
        <v>26.93</v>
      </c>
      <c r="C444" s="12">
        <f t="shared" si="6"/>
        <v>2.2400000000000002</v>
      </c>
      <c r="D444" s="8">
        <v>0.16018450260162354</v>
      </c>
      <c r="E444" s="5">
        <f>MATCH(D444,'Route Data'!$C$7:$C$8,1)</f>
        <v>2</v>
      </c>
      <c r="F444" s="5">
        <f>INDEX('Route Data'!$D$7:$D$8,E444)</f>
        <v>1</v>
      </c>
      <c r="G444" s="5" t="str">
        <f>INDEX('Route Data'!$A$7:$A$8,E444)</f>
        <v>u18</v>
      </c>
      <c r="H444" s="5">
        <f>EnergyCoeff(INDEX('Route Data'!$K$7:$K$8,E444),INDEX('Route Data'!$L$7:$L$8,E444)*2*PI()/60,INDEX('Route Data'!$F$7:$F$8,E444))</f>
        <v>0.19430699130049439</v>
      </c>
      <c r="I444" s="5">
        <f>DischargeCoeff(INDEX('Route Data'!$I$7:$I$8,E444), INDEX('Route Data'!$L$7:$L$8,E444)*2*PI()/60, INDEX('Route Data'!$F$7:$F$8,E444))</f>
        <v>0.15939200179827354</v>
      </c>
      <c r="J444" s="8">
        <f>FlowAngleRel(INDEX('Route Data'!$J$7:$J$8,E444)*INDEX('Route Data'!$I$7:$I$8,E444), INDEX('Route Data'!$L$7:$L$8,E444)*2*PI()/60, INDEX('Route Data'!$F$7:$F$8,E444),INDEX('Route Data'!$O$7:$O$8,E444), INDEX('Route Data'!$P$7:$P$8,E444),INDEX('Route Data'!$M$7:$M$8,E444))</f>
        <v>1.130811765868994</v>
      </c>
      <c r="K444" s="8">
        <f>FlowAngleAbsT(INDEX('Route Data'!$K$7:$K$8,E444), INDEX('Route Data'!$I$7:$I$8,E444), INDEX('Route Data'!$I$7:$I$8,E444)*INDEX('Route Data'!$J$7:$J$8,E444), INDEX('Route Data'!$L$7:$L$8,E444)*2*PI()/60, INDEX('Route Data'!$F$7:$F$8,E444),INDEX('Route Data'!$O$7:$O$8,E444), INDEX('Route Data'!$P$7:$P$8,E444), INDEX('Route Data'!$H$7:$H$8,E444), INDEX('Route Data'!$Q$7:$Q$8,E444), INDEX('Route Data'!$M$7:$M$8,E444))</f>
        <v>0.51617226640175828</v>
      </c>
      <c r="L444" s="5">
        <f>INDEX('Route Data'!$N$7:$N$8,E444)</f>
        <v>0.4</v>
      </c>
      <c r="M444" s="8">
        <v>0.81406795978546143</v>
      </c>
      <c r="N444" s="8">
        <f>ProbStrikeFrancis(K444, I444, L444, INDEX('Route Data'!$G$7:$G$8,E444),C444, INDEX('Route Data'!$F$7:$F$8,E444), INDEX('Route Data'!$O$7:$O$8,E444), INDEX('Route Data'!$H$7:$H$18,E444))</f>
        <v>1</v>
      </c>
      <c r="O444" s="5" t="str">
        <f>IF(F444&gt;=1,IF(M444&lt;=N444,"STRIKE","pass"),IF(M444&lt;=INDEX('Route Data'!$R$7:$R$8,E444),"NO PASS","pass"))</f>
        <v>STRIKE</v>
      </c>
      <c r="P444" s="5">
        <f>IF(F444&gt;=1,IF(M444&lt;=N444,1,0),IF(M444&lt;=INDEX('Route Data'!$R$7:$R$8,E444),-1,0))</f>
        <v>1</v>
      </c>
    </row>
    <row r="445" spans="1:16">
      <c r="A445" s="5">
        <v>435</v>
      </c>
      <c r="B445" s="12">
        <v>31.9</v>
      </c>
      <c r="C445" s="12">
        <f t="shared" si="6"/>
        <v>2.66</v>
      </c>
      <c r="D445" s="8">
        <v>0.5727112889289856</v>
      </c>
      <c r="E445" s="5">
        <f>MATCH(D445,'Route Data'!$C$7:$C$8,1)</f>
        <v>2</v>
      </c>
      <c r="F445" s="5">
        <f>INDEX('Route Data'!$D$7:$D$8,E445)</f>
        <v>1</v>
      </c>
      <c r="G445" s="5" t="str">
        <f>INDEX('Route Data'!$A$7:$A$8,E445)</f>
        <v>u18</v>
      </c>
      <c r="H445" s="5">
        <f>EnergyCoeff(INDEX('Route Data'!$K$7:$K$8,E445),INDEX('Route Data'!$L$7:$L$8,E445)*2*PI()/60,INDEX('Route Data'!$F$7:$F$8,E445))</f>
        <v>0.19430699130049439</v>
      </c>
      <c r="I445" s="5">
        <f>DischargeCoeff(INDEX('Route Data'!$I$7:$I$8,E445), INDEX('Route Data'!$L$7:$L$8,E445)*2*PI()/60, INDEX('Route Data'!$F$7:$F$8,E445))</f>
        <v>0.15939200179827354</v>
      </c>
      <c r="J445" s="8">
        <f>FlowAngleRel(INDEX('Route Data'!$J$7:$J$8,E445)*INDEX('Route Data'!$I$7:$I$8,E445), INDEX('Route Data'!$L$7:$L$8,E445)*2*PI()/60, INDEX('Route Data'!$F$7:$F$8,E445),INDEX('Route Data'!$O$7:$O$8,E445), INDEX('Route Data'!$P$7:$P$8,E445),INDEX('Route Data'!$M$7:$M$8,E445))</f>
        <v>1.130811765868994</v>
      </c>
      <c r="K445" s="8">
        <f>FlowAngleAbsT(INDEX('Route Data'!$K$7:$K$8,E445), INDEX('Route Data'!$I$7:$I$8,E445), INDEX('Route Data'!$I$7:$I$8,E445)*INDEX('Route Data'!$J$7:$J$8,E445), INDEX('Route Data'!$L$7:$L$8,E445)*2*PI()/60, INDEX('Route Data'!$F$7:$F$8,E445),INDEX('Route Data'!$O$7:$O$8,E445), INDEX('Route Data'!$P$7:$P$8,E445), INDEX('Route Data'!$H$7:$H$8,E445), INDEX('Route Data'!$Q$7:$Q$8,E445), INDEX('Route Data'!$M$7:$M$8,E445))</f>
        <v>0.51617226640175828</v>
      </c>
      <c r="L445" s="5">
        <f>INDEX('Route Data'!$N$7:$N$8,E445)</f>
        <v>0.4</v>
      </c>
      <c r="M445" s="8">
        <v>0.56839734315872192</v>
      </c>
      <c r="N445" s="8">
        <f>ProbStrikeFrancis(K445, I445, L445, INDEX('Route Data'!$G$7:$G$8,E445),C445, INDEX('Route Data'!$F$7:$F$8,E445), INDEX('Route Data'!$O$7:$O$8,E445), INDEX('Route Data'!$H$7:$H$18,E445))</f>
        <v>1</v>
      </c>
      <c r="O445" s="5" t="str">
        <f>IF(F445&gt;=1,IF(M445&lt;=N445,"STRIKE","pass"),IF(M445&lt;=INDEX('Route Data'!$R$7:$R$8,E445),"NO PASS","pass"))</f>
        <v>STRIKE</v>
      </c>
      <c r="P445" s="5">
        <f>IF(F445&gt;=1,IF(M445&lt;=N445,1,0),IF(M445&lt;=INDEX('Route Data'!$R$7:$R$8,E445),-1,0))</f>
        <v>1</v>
      </c>
    </row>
    <row r="446" spans="1:16">
      <c r="A446" s="5">
        <v>436</v>
      </c>
      <c r="B446" s="12">
        <v>17.37</v>
      </c>
      <c r="C446" s="12">
        <f t="shared" si="6"/>
        <v>1.45</v>
      </c>
      <c r="D446" s="8">
        <v>0.33513092994689941</v>
      </c>
      <c r="E446" s="5">
        <f>MATCH(D446,'Route Data'!$C$7:$C$8,1)</f>
        <v>2</v>
      </c>
      <c r="F446" s="5">
        <f>INDEX('Route Data'!$D$7:$D$8,E446)</f>
        <v>1</v>
      </c>
      <c r="G446" s="5" t="str">
        <f>INDEX('Route Data'!$A$7:$A$8,E446)</f>
        <v>u18</v>
      </c>
      <c r="H446" s="5">
        <f>EnergyCoeff(INDEX('Route Data'!$K$7:$K$8,E446),INDEX('Route Data'!$L$7:$L$8,E446)*2*PI()/60,INDEX('Route Data'!$F$7:$F$8,E446))</f>
        <v>0.19430699130049439</v>
      </c>
      <c r="I446" s="5">
        <f>DischargeCoeff(INDEX('Route Data'!$I$7:$I$8,E446), INDEX('Route Data'!$L$7:$L$8,E446)*2*PI()/60, INDEX('Route Data'!$F$7:$F$8,E446))</f>
        <v>0.15939200179827354</v>
      </c>
      <c r="J446" s="8">
        <f>FlowAngleRel(INDEX('Route Data'!$J$7:$J$8,E446)*INDEX('Route Data'!$I$7:$I$8,E446), INDEX('Route Data'!$L$7:$L$8,E446)*2*PI()/60, INDEX('Route Data'!$F$7:$F$8,E446),INDEX('Route Data'!$O$7:$O$8,E446), INDEX('Route Data'!$P$7:$P$8,E446),INDEX('Route Data'!$M$7:$M$8,E446))</f>
        <v>1.130811765868994</v>
      </c>
      <c r="K446" s="8">
        <f>FlowAngleAbsT(INDEX('Route Data'!$K$7:$K$8,E446), INDEX('Route Data'!$I$7:$I$8,E446), INDEX('Route Data'!$I$7:$I$8,E446)*INDEX('Route Data'!$J$7:$J$8,E446), INDEX('Route Data'!$L$7:$L$8,E446)*2*PI()/60, INDEX('Route Data'!$F$7:$F$8,E446),INDEX('Route Data'!$O$7:$O$8,E446), INDEX('Route Data'!$P$7:$P$8,E446), INDEX('Route Data'!$H$7:$H$8,E446), INDEX('Route Data'!$Q$7:$Q$8,E446), INDEX('Route Data'!$M$7:$M$8,E446))</f>
        <v>0.51617226640175828</v>
      </c>
      <c r="L446" s="5">
        <f>INDEX('Route Data'!$N$7:$N$8,E446)</f>
        <v>0.4</v>
      </c>
      <c r="M446" s="8">
        <v>0.30540919303894043</v>
      </c>
      <c r="N446" s="8">
        <f>ProbStrikeFrancis(K446, I446, L446, INDEX('Route Data'!$G$7:$G$8,E446),C446, INDEX('Route Data'!$F$7:$F$8,E446), INDEX('Route Data'!$O$7:$O$8,E446), INDEX('Route Data'!$H$7:$H$18,E446))</f>
        <v>1</v>
      </c>
      <c r="O446" s="5" t="str">
        <f>IF(F446&gt;=1,IF(M446&lt;=N446,"STRIKE","pass"),IF(M446&lt;=INDEX('Route Data'!$R$7:$R$8,E446),"NO PASS","pass"))</f>
        <v>STRIKE</v>
      </c>
      <c r="P446" s="5">
        <f>IF(F446&gt;=1,IF(M446&lt;=N446,1,0),IF(M446&lt;=INDEX('Route Data'!$R$7:$R$8,E446),-1,0))</f>
        <v>1</v>
      </c>
    </row>
    <row r="447" spans="1:16">
      <c r="A447" s="5">
        <v>437</v>
      </c>
      <c r="B447" s="12">
        <v>26.24</v>
      </c>
      <c r="C447" s="12">
        <f t="shared" si="6"/>
        <v>2.19</v>
      </c>
      <c r="D447" s="8">
        <v>0.51671355962753296</v>
      </c>
      <c r="E447" s="5">
        <f>MATCH(D447,'Route Data'!$C$7:$C$8,1)</f>
        <v>2</v>
      </c>
      <c r="F447" s="5">
        <f>INDEX('Route Data'!$D$7:$D$8,E447)</f>
        <v>1</v>
      </c>
      <c r="G447" s="5" t="str">
        <f>INDEX('Route Data'!$A$7:$A$8,E447)</f>
        <v>u18</v>
      </c>
      <c r="H447" s="5">
        <f>EnergyCoeff(INDEX('Route Data'!$K$7:$K$8,E447),INDEX('Route Data'!$L$7:$L$8,E447)*2*PI()/60,INDEX('Route Data'!$F$7:$F$8,E447))</f>
        <v>0.19430699130049439</v>
      </c>
      <c r="I447" s="5">
        <f>DischargeCoeff(INDEX('Route Data'!$I$7:$I$8,E447), INDEX('Route Data'!$L$7:$L$8,E447)*2*PI()/60, INDEX('Route Data'!$F$7:$F$8,E447))</f>
        <v>0.15939200179827354</v>
      </c>
      <c r="J447" s="8">
        <f>FlowAngleRel(INDEX('Route Data'!$J$7:$J$8,E447)*INDEX('Route Data'!$I$7:$I$8,E447), INDEX('Route Data'!$L$7:$L$8,E447)*2*PI()/60, INDEX('Route Data'!$F$7:$F$8,E447),INDEX('Route Data'!$O$7:$O$8,E447), INDEX('Route Data'!$P$7:$P$8,E447),INDEX('Route Data'!$M$7:$M$8,E447))</f>
        <v>1.130811765868994</v>
      </c>
      <c r="K447" s="8">
        <f>FlowAngleAbsT(INDEX('Route Data'!$K$7:$K$8,E447), INDEX('Route Data'!$I$7:$I$8,E447), INDEX('Route Data'!$I$7:$I$8,E447)*INDEX('Route Data'!$J$7:$J$8,E447), INDEX('Route Data'!$L$7:$L$8,E447)*2*PI()/60, INDEX('Route Data'!$F$7:$F$8,E447),INDEX('Route Data'!$O$7:$O$8,E447), INDEX('Route Data'!$P$7:$P$8,E447), INDEX('Route Data'!$H$7:$H$8,E447), INDEX('Route Data'!$Q$7:$Q$8,E447), INDEX('Route Data'!$M$7:$M$8,E447))</f>
        <v>0.51617226640175828</v>
      </c>
      <c r="L447" s="5">
        <f>INDEX('Route Data'!$N$7:$N$8,E447)</f>
        <v>0.4</v>
      </c>
      <c r="M447" s="8">
        <v>0.82879441976547241</v>
      </c>
      <c r="N447" s="8">
        <f>ProbStrikeFrancis(K447, I447, L447, INDEX('Route Data'!$G$7:$G$8,E447),C447, INDEX('Route Data'!$F$7:$F$8,E447), INDEX('Route Data'!$O$7:$O$8,E447), INDEX('Route Data'!$H$7:$H$18,E447))</f>
        <v>1</v>
      </c>
      <c r="O447" s="5" t="str">
        <f>IF(F447&gt;=1,IF(M447&lt;=N447,"STRIKE","pass"),IF(M447&lt;=INDEX('Route Data'!$R$7:$R$8,E447),"NO PASS","pass"))</f>
        <v>STRIKE</v>
      </c>
      <c r="P447" s="5">
        <f>IF(F447&gt;=1,IF(M447&lt;=N447,1,0),IF(M447&lt;=INDEX('Route Data'!$R$7:$R$8,E447),-1,0))</f>
        <v>1</v>
      </c>
    </row>
    <row r="448" spans="1:16">
      <c r="A448" s="5">
        <v>438</v>
      </c>
      <c r="B448" s="12">
        <v>21.39</v>
      </c>
      <c r="C448" s="12">
        <f t="shared" si="6"/>
        <v>1.78</v>
      </c>
      <c r="D448" s="8">
        <v>0.97196567058563232</v>
      </c>
      <c r="E448" s="5">
        <f>MATCH(D448,'Route Data'!$C$7:$C$8,1)</f>
        <v>2</v>
      </c>
      <c r="F448" s="5">
        <f>INDEX('Route Data'!$D$7:$D$8,E448)</f>
        <v>1</v>
      </c>
      <c r="G448" s="5" t="str">
        <f>INDEX('Route Data'!$A$7:$A$8,E448)</f>
        <v>u18</v>
      </c>
      <c r="H448" s="5">
        <f>EnergyCoeff(INDEX('Route Data'!$K$7:$K$8,E448),INDEX('Route Data'!$L$7:$L$8,E448)*2*PI()/60,INDEX('Route Data'!$F$7:$F$8,E448))</f>
        <v>0.19430699130049439</v>
      </c>
      <c r="I448" s="5">
        <f>DischargeCoeff(INDEX('Route Data'!$I$7:$I$8,E448), INDEX('Route Data'!$L$7:$L$8,E448)*2*PI()/60, INDEX('Route Data'!$F$7:$F$8,E448))</f>
        <v>0.15939200179827354</v>
      </c>
      <c r="J448" s="8">
        <f>FlowAngleRel(INDEX('Route Data'!$J$7:$J$8,E448)*INDEX('Route Data'!$I$7:$I$8,E448), INDEX('Route Data'!$L$7:$L$8,E448)*2*PI()/60, INDEX('Route Data'!$F$7:$F$8,E448),INDEX('Route Data'!$O$7:$O$8,E448), INDEX('Route Data'!$P$7:$P$8,E448),INDEX('Route Data'!$M$7:$M$8,E448))</f>
        <v>1.130811765868994</v>
      </c>
      <c r="K448" s="8">
        <f>FlowAngleAbsT(INDEX('Route Data'!$K$7:$K$8,E448), INDEX('Route Data'!$I$7:$I$8,E448), INDEX('Route Data'!$I$7:$I$8,E448)*INDEX('Route Data'!$J$7:$J$8,E448), INDEX('Route Data'!$L$7:$L$8,E448)*2*PI()/60, INDEX('Route Data'!$F$7:$F$8,E448),INDEX('Route Data'!$O$7:$O$8,E448), INDEX('Route Data'!$P$7:$P$8,E448), INDEX('Route Data'!$H$7:$H$8,E448), INDEX('Route Data'!$Q$7:$Q$8,E448), INDEX('Route Data'!$M$7:$M$8,E448))</f>
        <v>0.51617226640175828</v>
      </c>
      <c r="L448" s="5">
        <f>INDEX('Route Data'!$N$7:$N$8,E448)</f>
        <v>0.4</v>
      </c>
      <c r="M448" s="8">
        <v>0.25863873958587646</v>
      </c>
      <c r="N448" s="8">
        <f>ProbStrikeFrancis(K448, I448, L448, INDEX('Route Data'!$G$7:$G$8,E448),C448, INDEX('Route Data'!$F$7:$F$8,E448), INDEX('Route Data'!$O$7:$O$8,E448), INDEX('Route Data'!$H$7:$H$18,E448))</f>
        <v>1</v>
      </c>
      <c r="O448" s="5" t="str">
        <f>IF(F448&gt;=1,IF(M448&lt;=N448,"STRIKE","pass"),IF(M448&lt;=INDEX('Route Data'!$R$7:$R$8,E448),"NO PASS","pass"))</f>
        <v>STRIKE</v>
      </c>
      <c r="P448" s="5">
        <f>IF(F448&gt;=1,IF(M448&lt;=N448,1,0),IF(M448&lt;=INDEX('Route Data'!$R$7:$R$8,E448),-1,0))</f>
        <v>1</v>
      </c>
    </row>
    <row r="449" spans="1:16">
      <c r="A449" s="5">
        <v>439</v>
      </c>
      <c r="B449" s="12">
        <v>23.72</v>
      </c>
      <c r="C449" s="12">
        <f t="shared" si="6"/>
        <v>1.98</v>
      </c>
      <c r="D449" s="8">
        <v>0.87178856134414673</v>
      </c>
      <c r="E449" s="5">
        <f>MATCH(D449,'Route Data'!$C$7:$C$8,1)</f>
        <v>2</v>
      </c>
      <c r="F449" s="5">
        <f>INDEX('Route Data'!$D$7:$D$8,E449)</f>
        <v>1</v>
      </c>
      <c r="G449" s="5" t="str">
        <f>INDEX('Route Data'!$A$7:$A$8,E449)</f>
        <v>u18</v>
      </c>
      <c r="H449" s="5">
        <f>EnergyCoeff(INDEX('Route Data'!$K$7:$K$8,E449),INDEX('Route Data'!$L$7:$L$8,E449)*2*PI()/60,INDEX('Route Data'!$F$7:$F$8,E449))</f>
        <v>0.19430699130049439</v>
      </c>
      <c r="I449" s="5">
        <f>DischargeCoeff(INDEX('Route Data'!$I$7:$I$8,E449), INDEX('Route Data'!$L$7:$L$8,E449)*2*PI()/60, INDEX('Route Data'!$F$7:$F$8,E449))</f>
        <v>0.15939200179827354</v>
      </c>
      <c r="J449" s="8">
        <f>FlowAngleRel(INDEX('Route Data'!$J$7:$J$8,E449)*INDEX('Route Data'!$I$7:$I$8,E449), INDEX('Route Data'!$L$7:$L$8,E449)*2*PI()/60, INDEX('Route Data'!$F$7:$F$8,E449),INDEX('Route Data'!$O$7:$O$8,E449), INDEX('Route Data'!$P$7:$P$8,E449),INDEX('Route Data'!$M$7:$M$8,E449))</f>
        <v>1.130811765868994</v>
      </c>
      <c r="K449" s="8">
        <f>FlowAngleAbsT(INDEX('Route Data'!$K$7:$K$8,E449), INDEX('Route Data'!$I$7:$I$8,E449), INDEX('Route Data'!$I$7:$I$8,E449)*INDEX('Route Data'!$J$7:$J$8,E449), INDEX('Route Data'!$L$7:$L$8,E449)*2*PI()/60, INDEX('Route Data'!$F$7:$F$8,E449),INDEX('Route Data'!$O$7:$O$8,E449), INDEX('Route Data'!$P$7:$P$8,E449), INDEX('Route Data'!$H$7:$H$8,E449), INDEX('Route Data'!$Q$7:$Q$8,E449), INDEX('Route Data'!$M$7:$M$8,E449))</f>
        <v>0.51617226640175828</v>
      </c>
      <c r="L449" s="5">
        <f>INDEX('Route Data'!$N$7:$N$8,E449)</f>
        <v>0.4</v>
      </c>
      <c r="M449" s="8">
        <v>0.23468500375747681</v>
      </c>
      <c r="N449" s="8">
        <f>ProbStrikeFrancis(K449, I449, L449, INDEX('Route Data'!$G$7:$G$8,E449),C449, INDEX('Route Data'!$F$7:$F$8,E449), INDEX('Route Data'!$O$7:$O$8,E449), INDEX('Route Data'!$H$7:$H$18,E449))</f>
        <v>1</v>
      </c>
      <c r="O449" s="5" t="str">
        <f>IF(F449&gt;=1,IF(M449&lt;=N449,"STRIKE","pass"),IF(M449&lt;=INDEX('Route Data'!$R$7:$R$8,E449),"NO PASS","pass"))</f>
        <v>STRIKE</v>
      </c>
      <c r="P449" s="5">
        <f>IF(F449&gt;=1,IF(M449&lt;=N449,1,0),IF(M449&lt;=INDEX('Route Data'!$R$7:$R$8,E449),-1,0))</f>
        <v>1</v>
      </c>
    </row>
    <row r="450" spans="1:16">
      <c r="A450" s="5">
        <v>440</v>
      </c>
      <c r="B450" s="12">
        <v>22.57</v>
      </c>
      <c r="C450" s="12">
        <f t="shared" si="6"/>
        <v>1.88</v>
      </c>
      <c r="D450" s="8">
        <v>0.43789911270141602</v>
      </c>
      <c r="E450" s="5">
        <f>MATCH(D450,'Route Data'!$C$7:$C$8,1)</f>
        <v>2</v>
      </c>
      <c r="F450" s="5">
        <f>INDEX('Route Data'!$D$7:$D$8,E450)</f>
        <v>1</v>
      </c>
      <c r="G450" s="5" t="str">
        <f>INDEX('Route Data'!$A$7:$A$8,E450)</f>
        <v>u18</v>
      </c>
      <c r="H450" s="5">
        <f>EnergyCoeff(INDEX('Route Data'!$K$7:$K$8,E450),INDEX('Route Data'!$L$7:$L$8,E450)*2*PI()/60,INDEX('Route Data'!$F$7:$F$8,E450))</f>
        <v>0.19430699130049439</v>
      </c>
      <c r="I450" s="5">
        <f>DischargeCoeff(INDEX('Route Data'!$I$7:$I$8,E450), INDEX('Route Data'!$L$7:$L$8,E450)*2*PI()/60, INDEX('Route Data'!$F$7:$F$8,E450))</f>
        <v>0.15939200179827354</v>
      </c>
      <c r="J450" s="8">
        <f>FlowAngleRel(INDEX('Route Data'!$J$7:$J$8,E450)*INDEX('Route Data'!$I$7:$I$8,E450), INDEX('Route Data'!$L$7:$L$8,E450)*2*PI()/60, INDEX('Route Data'!$F$7:$F$8,E450),INDEX('Route Data'!$O$7:$O$8,E450), INDEX('Route Data'!$P$7:$P$8,E450),INDEX('Route Data'!$M$7:$M$8,E450))</f>
        <v>1.130811765868994</v>
      </c>
      <c r="K450" s="8">
        <f>FlowAngleAbsT(INDEX('Route Data'!$K$7:$K$8,E450), INDEX('Route Data'!$I$7:$I$8,E450), INDEX('Route Data'!$I$7:$I$8,E450)*INDEX('Route Data'!$J$7:$J$8,E450), INDEX('Route Data'!$L$7:$L$8,E450)*2*PI()/60, INDEX('Route Data'!$F$7:$F$8,E450),INDEX('Route Data'!$O$7:$O$8,E450), INDEX('Route Data'!$P$7:$P$8,E450), INDEX('Route Data'!$H$7:$H$8,E450), INDEX('Route Data'!$Q$7:$Q$8,E450), INDEX('Route Data'!$M$7:$M$8,E450))</f>
        <v>0.51617226640175828</v>
      </c>
      <c r="L450" s="5">
        <f>INDEX('Route Data'!$N$7:$N$8,E450)</f>
        <v>0.4</v>
      </c>
      <c r="M450" s="8">
        <v>0.77538776397705078</v>
      </c>
      <c r="N450" s="8">
        <f>ProbStrikeFrancis(K450, I450, L450, INDEX('Route Data'!$G$7:$G$8,E450),C450, INDEX('Route Data'!$F$7:$F$8,E450), INDEX('Route Data'!$O$7:$O$8,E450), INDEX('Route Data'!$H$7:$H$18,E450))</f>
        <v>1</v>
      </c>
      <c r="O450" s="5" t="str">
        <f>IF(F450&gt;=1,IF(M450&lt;=N450,"STRIKE","pass"),IF(M450&lt;=INDEX('Route Data'!$R$7:$R$8,E450),"NO PASS","pass"))</f>
        <v>STRIKE</v>
      </c>
      <c r="P450" s="5">
        <f>IF(F450&gt;=1,IF(M450&lt;=N450,1,0),IF(M450&lt;=INDEX('Route Data'!$R$7:$R$8,E450),-1,0))</f>
        <v>1</v>
      </c>
    </row>
    <row r="451" spans="1:16">
      <c r="A451" s="5">
        <v>441</v>
      </c>
      <c r="B451" s="12">
        <v>19.97</v>
      </c>
      <c r="C451" s="12">
        <f t="shared" si="6"/>
        <v>1.66</v>
      </c>
      <c r="D451" s="8">
        <v>0.47398823499679565</v>
      </c>
      <c r="E451" s="5">
        <f>MATCH(D451,'Route Data'!$C$7:$C$8,1)</f>
        <v>2</v>
      </c>
      <c r="F451" s="5">
        <f>INDEX('Route Data'!$D$7:$D$8,E451)</f>
        <v>1</v>
      </c>
      <c r="G451" s="5" t="str">
        <f>INDEX('Route Data'!$A$7:$A$8,E451)</f>
        <v>u18</v>
      </c>
      <c r="H451" s="5">
        <f>EnergyCoeff(INDEX('Route Data'!$K$7:$K$8,E451),INDEX('Route Data'!$L$7:$L$8,E451)*2*PI()/60,INDEX('Route Data'!$F$7:$F$8,E451))</f>
        <v>0.19430699130049439</v>
      </c>
      <c r="I451" s="5">
        <f>DischargeCoeff(INDEX('Route Data'!$I$7:$I$8,E451), INDEX('Route Data'!$L$7:$L$8,E451)*2*PI()/60, INDEX('Route Data'!$F$7:$F$8,E451))</f>
        <v>0.15939200179827354</v>
      </c>
      <c r="J451" s="8">
        <f>FlowAngleRel(INDEX('Route Data'!$J$7:$J$8,E451)*INDEX('Route Data'!$I$7:$I$8,E451), INDEX('Route Data'!$L$7:$L$8,E451)*2*PI()/60, INDEX('Route Data'!$F$7:$F$8,E451),INDEX('Route Data'!$O$7:$O$8,E451), INDEX('Route Data'!$P$7:$P$8,E451),INDEX('Route Data'!$M$7:$M$8,E451))</f>
        <v>1.130811765868994</v>
      </c>
      <c r="K451" s="8">
        <f>FlowAngleAbsT(INDEX('Route Data'!$K$7:$K$8,E451), INDEX('Route Data'!$I$7:$I$8,E451), INDEX('Route Data'!$I$7:$I$8,E451)*INDEX('Route Data'!$J$7:$J$8,E451), INDEX('Route Data'!$L$7:$L$8,E451)*2*PI()/60, INDEX('Route Data'!$F$7:$F$8,E451),INDEX('Route Data'!$O$7:$O$8,E451), INDEX('Route Data'!$P$7:$P$8,E451), INDEX('Route Data'!$H$7:$H$8,E451), INDEX('Route Data'!$Q$7:$Q$8,E451), INDEX('Route Data'!$M$7:$M$8,E451))</f>
        <v>0.51617226640175828</v>
      </c>
      <c r="L451" s="5">
        <f>INDEX('Route Data'!$N$7:$N$8,E451)</f>
        <v>0.4</v>
      </c>
      <c r="M451" s="8">
        <v>0.41885870695114136</v>
      </c>
      <c r="N451" s="8">
        <f>ProbStrikeFrancis(K451, I451, L451, INDEX('Route Data'!$G$7:$G$8,E451),C451, INDEX('Route Data'!$F$7:$F$8,E451), INDEX('Route Data'!$O$7:$O$8,E451), INDEX('Route Data'!$H$7:$H$18,E451))</f>
        <v>1</v>
      </c>
      <c r="O451" s="5" t="str">
        <f>IF(F451&gt;=1,IF(M451&lt;=N451,"STRIKE","pass"),IF(M451&lt;=INDEX('Route Data'!$R$7:$R$8,E451),"NO PASS","pass"))</f>
        <v>STRIKE</v>
      </c>
      <c r="P451" s="5">
        <f>IF(F451&gt;=1,IF(M451&lt;=N451,1,0),IF(M451&lt;=INDEX('Route Data'!$R$7:$R$8,E451),-1,0))</f>
        <v>1</v>
      </c>
    </row>
    <row r="452" spans="1:16">
      <c r="A452" s="5">
        <v>442</v>
      </c>
      <c r="B452" s="12">
        <v>25.86</v>
      </c>
      <c r="C452" s="12">
        <f t="shared" si="6"/>
        <v>2.16</v>
      </c>
      <c r="D452" s="8">
        <v>0.10014164447784424</v>
      </c>
      <c r="E452" s="5">
        <f>MATCH(D452,'Route Data'!$C$7:$C$8,1)</f>
        <v>2</v>
      </c>
      <c r="F452" s="5">
        <f>INDEX('Route Data'!$D$7:$D$8,E452)</f>
        <v>1</v>
      </c>
      <c r="G452" s="5" t="str">
        <f>INDEX('Route Data'!$A$7:$A$8,E452)</f>
        <v>u18</v>
      </c>
      <c r="H452" s="5">
        <f>EnergyCoeff(INDEX('Route Data'!$K$7:$K$8,E452),INDEX('Route Data'!$L$7:$L$8,E452)*2*PI()/60,INDEX('Route Data'!$F$7:$F$8,E452))</f>
        <v>0.19430699130049439</v>
      </c>
      <c r="I452" s="5">
        <f>DischargeCoeff(INDEX('Route Data'!$I$7:$I$8,E452), INDEX('Route Data'!$L$7:$L$8,E452)*2*PI()/60, INDEX('Route Data'!$F$7:$F$8,E452))</f>
        <v>0.15939200179827354</v>
      </c>
      <c r="J452" s="8">
        <f>FlowAngleRel(INDEX('Route Data'!$J$7:$J$8,E452)*INDEX('Route Data'!$I$7:$I$8,E452), INDEX('Route Data'!$L$7:$L$8,E452)*2*PI()/60, INDEX('Route Data'!$F$7:$F$8,E452),INDEX('Route Data'!$O$7:$O$8,E452), INDEX('Route Data'!$P$7:$P$8,E452),INDEX('Route Data'!$M$7:$M$8,E452))</f>
        <v>1.130811765868994</v>
      </c>
      <c r="K452" s="8">
        <f>FlowAngleAbsT(INDEX('Route Data'!$K$7:$K$8,E452), INDEX('Route Data'!$I$7:$I$8,E452), INDEX('Route Data'!$I$7:$I$8,E452)*INDEX('Route Data'!$J$7:$J$8,E452), INDEX('Route Data'!$L$7:$L$8,E452)*2*PI()/60, INDEX('Route Data'!$F$7:$F$8,E452),INDEX('Route Data'!$O$7:$O$8,E452), INDEX('Route Data'!$P$7:$P$8,E452), INDEX('Route Data'!$H$7:$H$8,E452), INDEX('Route Data'!$Q$7:$Q$8,E452), INDEX('Route Data'!$M$7:$M$8,E452))</f>
        <v>0.51617226640175828</v>
      </c>
      <c r="L452" s="5">
        <f>INDEX('Route Data'!$N$7:$N$8,E452)</f>
        <v>0.4</v>
      </c>
      <c r="M452" s="8">
        <v>0.75402510166168213</v>
      </c>
      <c r="N452" s="8">
        <f>ProbStrikeFrancis(K452, I452, L452, INDEX('Route Data'!$G$7:$G$8,E452),C452, INDEX('Route Data'!$F$7:$F$8,E452), INDEX('Route Data'!$O$7:$O$8,E452), INDEX('Route Data'!$H$7:$H$18,E452))</f>
        <v>1</v>
      </c>
      <c r="O452" s="5" t="str">
        <f>IF(F452&gt;=1,IF(M452&lt;=N452,"STRIKE","pass"),IF(M452&lt;=INDEX('Route Data'!$R$7:$R$8,E452),"NO PASS","pass"))</f>
        <v>STRIKE</v>
      </c>
      <c r="P452" s="5">
        <f>IF(F452&gt;=1,IF(M452&lt;=N452,1,0),IF(M452&lt;=INDEX('Route Data'!$R$7:$R$8,E452),-1,0))</f>
        <v>1</v>
      </c>
    </row>
    <row r="453" spans="1:16">
      <c r="A453" s="5">
        <v>443</v>
      </c>
      <c r="B453" s="12">
        <v>26.62</v>
      </c>
      <c r="C453" s="12">
        <f t="shared" si="6"/>
        <v>2.2200000000000002</v>
      </c>
      <c r="D453" s="8">
        <v>0.48726063966751099</v>
      </c>
      <c r="E453" s="5">
        <f>MATCH(D453,'Route Data'!$C$7:$C$8,1)</f>
        <v>2</v>
      </c>
      <c r="F453" s="5">
        <f>INDEX('Route Data'!$D$7:$D$8,E453)</f>
        <v>1</v>
      </c>
      <c r="G453" s="5" t="str">
        <f>INDEX('Route Data'!$A$7:$A$8,E453)</f>
        <v>u18</v>
      </c>
      <c r="H453" s="5">
        <f>EnergyCoeff(INDEX('Route Data'!$K$7:$K$8,E453),INDEX('Route Data'!$L$7:$L$8,E453)*2*PI()/60,INDEX('Route Data'!$F$7:$F$8,E453))</f>
        <v>0.19430699130049439</v>
      </c>
      <c r="I453" s="5">
        <f>DischargeCoeff(INDEX('Route Data'!$I$7:$I$8,E453), INDEX('Route Data'!$L$7:$L$8,E453)*2*PI()/60, INDEX('Route Data'!$F$7:$F$8,E453))</f>
        <v>0.15939200179827354</v>
      </c>
      <c r="J453" s="8">
        <f>FlowAngleRel(INDEX('Route Data'!$J$7:$J$8,E453)*INDEX('Route Data'!$I$7:$I$8,E453), INDEX('Route Data'!$L$7:$L$8,E453)*2*PI()/60, INDEX('Route Data'!$F$7:$F$8,E453),INDEX('Route Data'!$O$7:$O$8,E453), INDEX('Route Data'!$P$7:$P$8,E453),INDEX('Route Data'!$M$7:$M$8,E453))</f>
        <v>1.130811765868994</v>
      </c>
      <c r="K453" s="8">
        <f>FlowAngleAbsT(INDEX('Route Data'!$K$7:$K$8,E453), INDEX('Route Data'!$I$7:$I$8,E453), INDEX('Route Data'!$I$7:$I$8,E453)*INDEX('Route Data'!$J$7:$J$8,E453), INDEX('Route Data'!$L$7:$L$8,E453)*2*PI()/60, INDEX('Route Data'!$F$7:$F$8,E453),INDEX('Route Data'!$O$7:$O$8,E453), INDEX('Route Data'!$P$7:$P$8,E453), INDEX('Route Data'!$H$7:$H$8,E453), INDEX('Route Data'!$Q$7:$Q$8,E453), INDEX('Route Data'!$M$7:$M$8,E453))</f>
        <v>0.51617226640175828</v>
      </c>
      <c r="L453" s="5">
        <f>INDEX('Route Data'!$N$7:$N$8,E453)</f>
        <v>0.4</v>
      </c>
      <c r="M453" s="8">
        <v>0.48294669389724731</v>
      </c>
      <c r="N453" s="8">
        <f>ProbStrikeFrancis(K453, I453, L453, INDEX('Route Data'!$G$7:$G$8,E453),C453, INDEX('Route Data'!$F$7:$F$8,E453), INDEX('Route Data'!$O$7:$O$8,E453), INDEX('Route Data'!$H$7:$H$18,E453))</f>
        <v>1</v>
      </c>
      <c r="O453" s="5" t="str">
        <f>IF(F453&gt;=1,IF(M453&lt;=N453,"STRIKE","pass"),IF(M453&lt;=INDEX('Route Data'!$R$7:$R$8,E453),"NO PASS","pass"))</f>
        <v>STRIKE</v>
      </c>
      <c r="P453" s="5">
        <f>IF(F453&gt;=1,IF(M453&lt;=N453,1,0),IF(M453&lt;=INDEX('Route Data'!$R$7:$R$8,E453),-1,0))</f>
        <v>1</v>
      </c>
    </row>
    <row r="454" spans="1:16">
      <c r="A454" s="5">
        <v>444</v>
      </c>
      <c r="B454" s="12">
        <v>20.85</v>
      </c>
      <c r="C454" s="12">
        <f t="shared" si="6"/>
        <v>1.74</v>
      </c>
      <c r="D454" s="8">
        <v>0.59148287773132324</v>
      </c>
      <c r="E454" s="5">
        <f>MATCH(D454,'Route Data'!$C$7:$C$8,1)</f>
        <v>2</v>
      </c>
      <c r="F454" s="5">
        <f>INDEX('Route Data'!$D$7:$D$8,E454)</f>
        <v>1</v>
      </c>
      <c r="G454" s="5" t="str">
        <f>INDEX('Route Data'!$A$7:$A$8,E454)</f>
        <v>u18</v>
      </c>
      <c r="H454" s="5">
        <f>EnergyCoeff(INDEX('Route Data'!$K$7:$K$8,E454),INDEX('Route Data'!$L$7:$L$8,E454)*2*PI()/60,INDEX('Route Data'!$F$7:$F$8,E454))</f>
        <v>0.19430699130049439</v>
      </c>
      <c r="I454" s="5">
        <f>DischargeCoeff(INDEX('Route Data'!$I$7:$I$8,E454), INDEX('Route Data'!$L$7:$L$8,E454)*2*PI()/60, INDEX('Route Data'!$F$7:$F$8,E454))</f>
        <v>0.15939200179827354</v>
      </c>
      <c r="J454" s="8">
        <f>FlowAngleRel(INDEX('Route Data'!$J$7:$J$8,E454)*INDEX('Route Data'!$I$7:$I$8,E454), INDEX('Route Data'!$L$7:$L$8,E454)*2*PI()/60, INDEX('Route Data'!$F$7:$F$8,E454),INDEX('Route Data'!$O$7:$O$8,E454), INDEX('Route Data'!$P$7:$P$8,E454),INDEX('Route Data'!$M$7:$M$8,E454))</f>
        <v>1.130811765868994</v>
      </c>
      <c r="K454" s="8">
        <f>FlowAngleAbsT(INDEX('Route Data'!$K$7:$K$8,E454), INDEX('Route Data'!$I$7:$I$8,E454), INDEX('Route Data'!$I$7:$I$8,E454)*INDEX('Route Data'!$J$7:$J$8,E454), INDEX('Route Data'!$L$7:$L$8,E454)*2*PI()/60, INDEX('Route Data'!$F$7:$F$8,E454),INDEX('Route Data'!$O$7:$O$8,E454), INDEX('Route Data'!$P$7:$P$8,E454), INDEX('Route Data'!$H$7:$H$8,E454), INDEX('Route Data'!$Q$7:$Q$8,E454), INDEX('Route Data'!$M$7:$M$8,E454))</f>
        <v>0.51617226640175828</v>
      </c>
      <c r="L454" s="5">
        <f>INDEX('Route Data'!$N$7:$N$8,E454)</f>
        <v>0.4</v>
      </c>
      <c r="M454" s="8">
        <v>0.56176114082336426</v>
      </c>
      <c r="N454" s="8">
        <f>ProbStrikeFrancis(K454, I454, L454, INDEX('Route Data'!$G$7:$G$8,E454),C454, INDEX('Route Data'!$F$7:$F$8,E454), INDEX('Route Data'!$O$7:$O$8,E454), INDEX('Route Data'!$H$7:$H$18,E454))</f>
        <v>1</v>
      </c>
      <c r="O454" s="5" t="str">
        <f>IF(F454&gt;=1,IF(M454&lt;=N454,"STRIKE","pass"),IF(M454&lt;=INDEX('Route Data'!$R$7:$R$8,E454),"NO PASS","pass"))</f>
        <v>STRIKE</v>
      </c>
      <c r="P454" s="5">
        <f>IF(F454&gt;=1,IF(M454&lt;=N454,1,0),IF(M454&lt;=INDEX('Route Data'!$R$7:$R$8,E454),-1,0))</f>
        <v>1</v>
      </c>
    </row>
    <row r="455" spans="1:16">
      <c r="A455" s="5">
        <v>445</v>
      </c>
      <c r="B455" s="12">
        <v>25.71</v>
      </c>
      <c r="C455" s="12">
        <f t="shared" si="6"/>
        <v>2.14</v>
      </c>
      <c r="D455" s="8">
        <v>0.74765771627426147</v>
      </c>
      <c r="E455" s="5">
        <f>MATCH(D455,'Route Data'!$C$7:$C$8,1)</f>
        <v>2</v>
      </c>
      <c r="F455" s="5">
        <f>INDEX('Route Data'!$D$7:$D$8,E455)</f>
        <v>1</v>
      </c>
      <c r="G455" s="5" t="str">
        <f>INDEX('Route Data'!$A$7:$A$8,E455)</f>
        <v>u18</v>
      </c>
      <c r="H455" s="5">
        <f>EnergyCoeff(INDEX('Route Data'!$K$7:$K$8,E455),INDEX('Route Data'!$L$7:$L$8,E455)*2*PI()/60,INDEX('Route Data'!$F$7:$F$8,E455))</f>
        <v>0.19430699130049439</v>
      </c>
      <c r="I455" s="5">
        <f>DischargeCoeff(INDEX('Route Data'!$I$7:$I$8,E455), INDEX('Route Data'!$L$7:$L$8,E455)*2*PI()/60, INDEX('Route Data'!$F$7:$F$8,E455))</f>
        <v>0.15939200179827354</v>
      </c>
      <c r="J455" s="8">
        <f>FlowAngleRel(INDEX('Route Data'!$J$7:$J$8,E455)*INDEX('Route Data'!$I$7:$I$8,E455), INDEX('Route Data'!$L$7:$L$8,E455)*2*PI()/60, INDEX('Route Data'!$F$7:$F$8,E455),INDEX('Route Data'!$O$7:$O$8,E455), INDEX('Route Data'!$P$7:$P$8,E455),INDEX('Route Data'!$M$7:$M$8,E455))</f>
        <v>1.130811765868994</v>
      </c>
      <c r="K455" s="8">
        <f>FlowAngleAbsT(INDEX('Route Data'!$K$7:$K$8,E455), INDEX('Route Data'!$I$7:$I$8,E455), INDEX('Route Data'!$I$7:$I$8,E455)*INDEX('Route Data'!$J$7:$J$8,E455), INDEX('Route Data'!$L$7:$L$8,E455)*2*PI()/60, INDEX('Route Data'!$F$7:$F$8,E455),INDEX('Route Data'!$O$7:$O$8,E455), INDEX('Route Data'!$P$7:$P$8,E455), INDEX('Route Data'!$H$7:$H$8,E455), INDEX('Route Data'!$Q$7:$Q$8,E455), INDEX('Route Data'!$M$7:$M$8,E455))</f>
        <v>0.51617226640175828</v>
      </c>
      <c r="L455" s="5">
        <f>INDEX('Route Data'!$N$7:$N$8,E455)</f>
        <v>0.4</v>
      </c>
      <c r="M455" s="8">
        <v>5.9738576412200928E-2</v>
      </c>
      <c r="N455" s="8">
        <f>ProbStrikeFrancis(K455, I455, L455, INDEX('Route Data'!$G$7:$G$8,E455),C455, INDEX('Route Data'!$F$7:$F$8,E455), INDEX('Route Data'!$O$7:$O$8,E455), INDEX('Route Data'!$H$7:$H$18,E455))</f>
        <v>1</v>
      </c>
      <c r="O455" s="5" t="str">
        <f>IF(F455&gt;=1,IF(M455&lt;=N455,"STRIKE","pass"),IF(M455&lt;=INDEX('Route Data'!$R$7:$R$8,E455),"NO PASS","pass"))</f>
        <v>STRIKE</v>
      </c>
      <c r="P455" s="5">
        <f>IF(F455&gt;=1,IF(M455&lt;=N455,1,0),IF(M455&lt;=INDEX('Route Data'!$R$7:$R$8,E455),-1,0))</f>
        <v>1</v>
      </c>
    </row>
    <row r="456" spans="1:16">
      <c r="A456" s="5">
        <v>446</v>
      </c>
      <c r="B456" s="12">
        <v>27.37</v>
      </c>
      <c r="C456" s="12">
        <f t="shared" si="6"/>
        <v>2.2799999999999998</v>
      </c>
      <c r="D456" s="8">
        <v>0.54471242427825928</v>
      </c>
      <c r="E456" s="5">
        <f>MATCH(D456,'Route Data'!$C$7:$C$8,1)</f>
        <v>2</v>
      </c>
      <c r="F456" s="5">
        <f>INDEX('Route Data'!$D$7:$D$8,E456)</f>
        <v>1</v>
      </c>
      <c r="G456" s="5" t="str">
        <f>INDEX('Route Data'!$A$7:$A$8,E456)</f>
        <v>u18</v>
      </c>
      <c r="H456" s="5">
        <f>EnergyCoeff(INDEX('Route Data'!$K$7:$K$8,E456),INDEX('Route Data'!$L$7:$L$8,E456)*2*PI()/60,INDEX('Route Data'!$F$7:$F$8,E456))</f>
        <v>0.19430699130049439</v>
      </c>
      <c r="I456" s="5">
        <f>DischargeCoeff(INDEX('Route Data'!$I$7:$I$8,E456), INDEX('Route Data'!$L$7:$L$8,E456)*2*PI()/60, INDEX('Route Data'!$F$7:$F$8,E456))</f>
        <v>0.15939200179827354</v>
      </c>
      <c r="J456" s="8">
        <f>FlowAngleRel(INDEX('Route Data'!$J$7:$J$8,E456)*INDEX('Route Data'!$I$7:$I$8,E456), INDEX('Route Data'!$L$7:$L$8,E456)*2*PI()/60, INDEX('Route Data'!$F$7:$F$8,E456),INDEX('Route Data'!$O$7:$O$8,E456), INDEX('Route Data'!$P$7:$P$8,E456),INDEX('Route Data'!$M$7:$M$8,E456))</f>
        <v>1.130811765868994</v>
      </c>
      <c r="K456" s="8">
        <f>FlowAngleAbsT(INDEX('Route Data'!$K$7:$K$8,E456), INDEX('Route Data'!$I$7:$I$8,E456), INDEX('Route Data'!$I$7:$I$8,E456)*INDEX('Route Data'!$J$7:$J$8,E456), INDEX('Route Data'!$L$7:$L$8,E456)*2*PI()/60, INDEX('Route Data'!$F$7:$F$8,E456),INDEX('Route Data'!$O$7:$O$8,E456), INDEX('Route Data'!$P$7:$P$8,E456), INDEX('Route Data'!$H$7:$H$8,E456), INDEX('Route Data'!$Q$7:$Q$8,E456), INDEX('Route Data'!$M$7:$M$8,E456))</f>
        <v>0.51617226640175828</v>
      </c>
      <c r="L456" s="5">
        <f>INDEX('Route Data'!$N$7:$N$8,E456)</f>
        <v>0.4</v>
      </c>
      <c r="M456" s="8">
        <v>0.56580626964569092</v>
      </c>
      <c r="N456" s="8">
        <f>ProbStrikeFrancis(K456, I456, L456, INDEX('Route Data'!$G$7:$G$8,E456),C456, INDEX('Route Data'!$F$7:$F$8,E456), INDEX('Route Data'!$O$7:$O$8,E456), INDEX('Route Data'!$H$7:$H$18,E456))</f>
        <v>1</v>
      </c>
      <c r="O456" s="5" t="str">
        <f>IF(F456&gt;=1,IF(M456&lt;=N456,"STRIKE","pass"),IF(M456&lt;=INDEX('Route Data'!$R$7:$R$8,E456),"NO PASS","pass"))</f>
        <v>STRIKE</v>
      </c>
      <c r="P456" s="5">
        <f>IF(F456&gt;=1,IF(M456&lt;=N456,1,0),IF(M456&lt;=INDEX('Route Data'!$R$7:$R$8,E456),-1,0))</f>
        <v>1</v>
      </c>
    </row>
    <row r="457" spans="1:16">
      <c r="A457" s="5">
        <v>447</v>
      </c>
      <c r="B457" s="12">
        <v>19.93</v>
      </c>
      <c r="C457" s="12">
        <f t="shared" si="6"/>
        <v>1.66</v>
      </c>
      <c r="D457" s="8">
        <v>0.15354830026626587</v>
      </c>
      <c r="E457" s="5">
        <f>MATCH(D457,'Route Data'!$C$7:$C$8,1)</f>
        <v>2</v>
      </c>
      <c r="F457" s="5">
        <f>INDEX('Route Data'!$D$7:$D$8,E457)</f>
        <v>1</v>
      </c>
      <c r="G457" s="5" t="str">
        <f>INDEX('Route Data'!$A$7:$A$8,E457)</f>
        <v>u18</v>
      </c>
      <c r="H457" s="5">
        <f>EnergyCoeff(INDEX('Route Data'!$K$7:$K$8,E457),INDEX('Route Data'!$L$7:$L$8,E457)*2*PI()/60,INDEX('Route Data'!$F$7:$F$8,E457))</f>
        <v>0.19430699130049439</v>
      </c>
      <c r="I457" s="5">
        <f>DischargeCoeff(INDEX('Route Data'!$I$7:$I$8,E457), INDEX('Route Data'!$L$7:$L$8,E457)*2*PI()/60, INDEX('Route Data'!$F$7:$F$8,E457))</f>
        <v>0.15939200179827354</v>
      </c>
      <c r="J457" s="8">
        <f>FlowAngleRel(INDEX('Route Data'!$J$7:$J$8,E457)*INDEX('Route Data'!$I$7:$I$8,E457), INDEX('Route Data'!$L$7:$L$8,E457)*2*PI()/60, INDEX('Route Data'!$F$7:$F$8,E457),INDEX('Route Data'!$O$7:$O$8,E457), INDEX('Route Data'!$P$7:$P$8,E457),INDEX('Route Data'!$M$7:$M$8,E457))</f>
        <v>1.130811765868994</v>
      </c>
      <c r="K457" s="8">
        <f>FlowAngleAbsT(INDEX('Route Data'!$K$7:$K$8,E457), INDEX('Route Data'!$I$7:$I$8,E457), INDEX('Route Data'!$I$7:$I$8,E457)*INDEX('Route Data'!$J$7:$J$8,E457), INDEX('Route Data'!$L$7:$L$8,E457)*2*PI()/60, INDEX('Route Data'!$F$7:$F$8,E457),INDEX('Route Data'!$O$7:$O$8,E457), INDEX('Route Data'!$P$7:$P$8,E457), INDEX('Route Data'!$H$7:$H$8,E457), INDEX('Route Data'!$Q$7:$Q$8,E457), INDEX('Route Data'!$M$7:$M$8,E457))</f>
        <v>0.51617226640175828</v>
      </c>
      <c r="L457" s="5">
        <f>INDEX('Route Data'!$N$7:$N$8,E457)</f>
        <v>0.4</v>
      </c>
      <c r="M457" s="8">
        <v>0.78202396631240845</v>
      </c>
      <c r="N457" s="8">
        <f>ProbStrikeFrancis(K457, I457, L457, INDEX('Route Data'!$G$7:$G$8,E457),C457, INDEX('Route Data'!$F$7:$F$8,E457), INDEX('Route Data'!$O$7:$O$8,E457), INDEX('Route Data'!$H$7:$H$18,E457))</f>
        <v>1</v>
      </c>
      <c r="O457" s="5" t="str">
        <f>IF(F457&gt;=1,IF(M457&lt;=N457,"STRIKE","pass"),IF(M457&lt;=INDEX('Route Data'!$R$7:$R$8,E457),"NO PASS","pass"))</f>
        <v>STRIKE</v>
      </c>
      <c r="P457" s="5">
        <f>IF(F457&gt;=1,IF(M457&lt;=N457,1,0),IF(M457&lt;=INDEX('Route Data'!$R$7:$R$8,E457),-1,0))</f>
        <v>1</v>
      </c>
    </row>
    <row r="458" spans="1:16">
      <c r="A458" s="5">
        <v>448</v>
      </c>
      <c r="B458" s="12">
        <v>19.13</v>
      </c>
      <c r="C458" s="12">
        <f t="shared" si="6"/>
        <v>1.59</v>
      </c>
      <c r="D458" s="8">
        <v>0.32704067230224609</v>
      </c>
      <c r="E458" s="5">
        <f>MATCH(D458,'Route Data'!$C$7:$C$8,1)</f>
        <v>2</v>
      </c>
      <c r="F458" s="5">
        <f>INDEX('Route Data'!$D$7:$D$8,E458)</f>
        <v>1</v>
      </c>
      <c r="G458" s="5" t="str">
        <f>INDEX('Route Data'!$A$7:$A$8,E458)</f>
        <v>u18</v>
      </c>
      <c r="H458" s="5">
        <f>EnergyCoeff(INDEX('Route Data'!$K$7:$K$8,E458),INDEX('Route Data'!$L$7:$L$8,E458)*2*PI()/60,INDEX('Route Data'!$F$7:$F$8,E458))</f>
        <v>0.19430699130049439</v>
      </c>
      <c r="I458" s="5">
        <f>DischargeCoeff(INDEX('Route Data'!$I$7:$I$8,E458), INDEX('Route Data'!$L$7:$L$8,E458)*2*PI()/60, INDEX('Route Data'!$F$7:$F$8,E458))</f>
        <v>0.15939200179827354</v>
      </c>
      <c r="J458" s="8">
        <f>FlowAngleRel(INDEX('Route Data'!$J$7:$J$8,E458)*INDEX('Route Data'!$I$7:$I$8,E458), INDEX('Route Data'!$L$7:$L$8,E458)*2*PI()/60, INDEX('Route Data'!$F$7:$F$8,E458),INDEX('Route Data'!$O$7:$O$8,E458), INDEX('Route Data'!$P$7:$P$8,E458),INDEX('Route Data'!$M$7:$M$8,E458))</f>
        <v>1.130811765868994</v>
      </c>
      <c r="K458" s="8">
        <f>FlowAngleAbsT(INDEX('Route Data'!$K$7:$K$8,E458), INDEX('Route Data'!$I$7:$I$8,E458), INDEX('Route Data'!$I$7:$I$8,E458)*INDEX('Route Data'!$J$7:$J$8,E458), INDEX('Route Data'!$L$7:$L$8,E458)*2*PI()/60, INDEX('Route Data'!$F$7:$F$8,E458),INDEX('Route Data'!$O$7:$O$8,E458), INDEX('Route Data'!$P$7:$P$8,E458), INDEX('Route Data'!$H$7:$H$8,E458), INDEX('Route Data'!$Q$7:$Q$8,E458), INDEX('Route Data'!$M$7:$M$8,E458))</f>
        <v>0.51617226640175828</v>
      </c>
      <c r="L458" s="5">
        <f>INDEX('Route Data'!$N$7:$N$8,E458)</f>
        <v>0.4</v>
      </c>
      <c r="M458" s="8">
        <v>0.66452932357788086</v>
      </c>
      <c r="N458" s="8">
        <f>ProbStrikeFrancis(K458, I458, L458, INDEX('Route Data'!$G$7:$G$8,E458),C458, INDEX('Route Data'!$F$7:$F$8,E458), INDEX('Route Data'!$O$7:$O$8,E458), INDEX('Route Data'!$H$7:$H$18,E458))</f>
        <v>1</v>
      </c>
      <c r="O458" s="5" t="str">
        <f>IF(F458&gt;=1,IF(M458&lt;=N458,"STRIKE","pass"),IF(M458&lt;=INDEX('Route Data'!$R$7:$R$8,E458),"NO PASS","pass"))</f>
        <v>STRIKE</v>
      </c>
      <c r="P458" s="5">
        <f>IF(F458&gt;=1,IF(M458&lt;=N458,1,0),IF(M458&lt;=INDEX('Route Data'!$R$7:$R$8,E458),-1,0))</f>
        <v>1</v>
      </c>
    </row>
    <row r="459" spans="1:16">
      <c r="A459" s="5">
        <v>449</v>
      </c>
      <c r="B459" s="12">
        <v>25.18</v>
      </c>
      <c r="C459" s="12">
        <f t="shared" ref="C459:C522" si="7">ROUND(B459/12,2)</f>
        <v>2.1</v>
      </c>
      <c r="D459" s="8">
        <v>0.33772200345993042</v>
      </c>
      <c r="E459" s="5">
        <f>MATCH(D459,'Route Data'!$C$7:$C$8,1)</f>
        <v>2</v>
      </c>
      <c r="F459" s="5">
        <f>INDEX('Route Data'!$D$7:$D$8,E459)</f>
        <v>1</v>
      </c>
      <c r="G459" s="5" t="str">
        <f>INDEX('Route Data'!$A$7:$A$8,E459)</f>
        <v>u18</v>
      </c>
      <c r="H459" s="5">
        <f>EnergyCoeff(INDEX('Route Data'!$K$7:$K$8,E459),INDEX('Route Data'!$L$7:$L$8,E459)*2*PI()/60,INDEX('Route Data'!$F$7:$F$8,E459))</f>
        <v>0.19430699130049439</v>
      </c>
      <c r="I459" s="5">
        <f>DischargeCoeff(INDEX('Route Data'!$I$7:$I$8,E459), INDEX('Route Data'!$L$7:$L$8,E459)*2*PI()/60, INDEX('Route Data'!$F$7:$F$8,E459))</f>
        <v>0.15939200179827354</v>
      </c>
      <c r="J459" s="8">
        <f>FlowAngleRel(INDEX('Route Data'!$J$7:$J$8,E459)*INDEX('Route Data'!$I$7:$I$8,E459), INDEX('Route Data'!$L$7:$L$8,E459)*2*PI()/60, INDEX('Route Data'!$F$7:$F$8,E459),INDEX('Route Data'!$O$7:$O$8,E459), INDEX('Route Data'!$P$7:$P$8,E459),INDEX('Route Data'!$M$7:$M$8,E459))</f>
        <v>1.130811765868994</v>
      </c>
      <c r="K459" s="8">
        <f>FlowAngleAbsT(INDEX('Route Data'!$K$7:$K$8,E459), INDEX('Route Data'!$I$7:$I$8,E459), INDEX('Route Data'!$I$7:$I$8,E459)*INDEX('Route Data'!$J$7:$J$8,E459), INDEX('Route Data'!$L$7:$L$8,E459)*2*PI()/60, INDEX('Route Data'!$F$7:$F$8,E459),INDEX('Route Data'!$O$7:$O$8,E459), INDEX('Route Data'!$P$7:$P$8,E459), INDEX('Route Data'!$H$7:$H$8,E459), INDEX('Route Data'!$Q$7:$Q$8,E459), INDEX('Route Data'!$M$7:$M$8,E459))</f>
        <v>0.51617226640175828</v>
      </c>
      <c r="L459" s="5">
        <f>INDEX('Route Data'!$N$7:$N$8,E459)</f>
        <v>0.4</v>
      </c>
      <c r="M459" s="8">
        <v>1.7013251781463623E-2</v>
      </c>
      <c r="N459" s="8">
        <f>ProbStrikeFrancis(K459, I459, L459, INDEX('Route Data'!$G$7:$G$8,E459),C459, INDEX('Route Data'!$F$7:$F$8,E459), INDEX('Route Data'!$O$7:$O$8,E459), INDEX('Route Data'!$H$7:$H$18,E459))</f>
        <v>1</v>
      </c>
      <c r="O459" s="5" t="str">
        <f>IF(F459&gt;=1,IF(M459&lt;=N459,"STRIKE","pass"),IF(M459&lt;=INDEX('Route Data'!$R$7:$R$8,E459),"NO PASS","pass"))</f>
        <v>STRIKE</v>
      </c>
      <c r="P459" s="5">
        <f>IF(F459&gt;=1,IF(M459&lt;=N459,1,0),IF(M459&lt;=INDEX('Route Data'!$R$7:$R$8,E459),-1,0))</f>
        <v>1</v>
      </c>
    </row>
    <row r="460" spans="1:16">
      <c r="A460" s="5">
        <v>450</v>
      </c>
      <c r="B460" s="12">
        <v>17.91</v>
      </c>
      <c r="C460" s="12">
        <f t="shared" si="7"/>
        <v>1.49</v>
      </c>
      <c r="D460" s="8">
        <v>0.30567800998687744</v>
      </c>
      <c r="E460" s="5">
        <f>MATCH(D460,'Route Data'!$C$7:$C$8,1)</f>
        <v>2</v>
      </c>
      <c r="F460" s="5">
        <f>INDEX('Route Data'!$D$7:$D$8,E460)</f>
        <v>1</v>
      </c>
      <c r="G460" s="5" t="str">
        <f>INDEX('Route Data'!$A$7:$A$8,E460)</f>
        <v>u18</v>
      </c>
      <c r="H460" s="5">
        <f>EnergyCoeff(INDEX('Route Data'!$K$7:$K$8,E460),INDEX('Route Data'!$L$7:$L$8,E460)*2*PI()/60,INDEX('Route Data'!$F$7:$F$8,E460))</f>
        <v>0.19430699130049439</v>
      </c>
      <c r="I460" s="5">
        <f>DischargeCoeff(INDEX('Route Data'!$I$7:$I$8,E460), INDEX('Route Data'!$L$7:$L$8,E460)*2*PI()/60, INDEX('Route Data'!$F$7:$F$8,E460))</f>
        <v>0.15939200179827354</v>
      </c>
      <c r="J460" s="8">
        <f>FlowAngleRel(INDEX('Route Data'!$J$7:$J$8,E460)*INDEX('Route Data'!$I$7:$I$8,E460), INDEX('Route Data'!$L$7:$L$8,E460)*2*PI()/60, INDEX('Route Data'!$F$7:$F$8,E460),INDEX('Route Data'!$O$7:$O$8,E460), INDEX('Route Data'!$P$7:$P$8,E460),INDEX('Route Data'!$M$7:$M$8,E460))</f>
        <v>1.130811765868994</v>
      </c>
      <c r="K460" s="8">
        <f>FlowAngleAbsT(INDEX('Route Data'!$K$7:$K$8,E460), INDEX('Route Data'!$I$7:$I$8,E460), INDEX('Route Data'!$I$7:$I$8,E460)*INDEX('Route Data'!$J$7:$J$8,E460), INDEX('Route Data'!$L$7:$L$8,E460)*2*PI()/60, INDEX('Route Data'!$F$7:$F$8,E460),INDEX('Route Data'!$O$7:$O$8,E460), INDEX('Route Data'!$P$7:$P$8,E460), INDEX('Route Data'!$H$7:$H$8,E460), INDEX('Route Data'!$Q$7:$Q$8,E460), INDEX('Route Data'!$M$7:$M$8,E460))</f>
        <v>0.51617226640175828</v>
      </c>
      <c r="L460" s="5">
        <f>INDEX('Route Data'!$N$7:$N$8,E460)</f>
        <v>0.4</v>
      </c>
      <c r="M460" s="8">
        <v>0.95956146717071533</v>
      </c>
      <c r="N460" s="8">
        <f>ProbStrikeFrancis(K460, I460, L460, INDEX('Route Data'!$G$7:$G$8,E460),C460, INDEX('Route Data'!$F$7:$F$8,E460), INDEX('Route Data'!$O$7:$O$8,E460), INDEX('Route Data'!$H$7:$H$18,E460))</f>
        <v>1</v>
      </c>
      <c r="O460" s="5" t="str">
        <f>IF(F460&gt;=1,IF(M460&lt;=N460,"STRIKE","pass"),IF(M460&lt;=INDEX('Route Data'!$R$7:$R$8,E460),"NO PASS","pass"))</f>
        <v>STRIKE</v>
      </c>
      <c r="P460" s="5">
        <f>IF(F460&gt;=1,IF(M460&lt;=N460,1,0),IF(M460&lt;=INDEX('Route Data'!$R$7:$R$8,E460),-1,0))</f>
        <v>1</v>
      </c>
    </row>
    <row r="461" spans="1:16">
      <c r="A461" s="5">
        <v>451</v>
      </c>
      <c r="B461" s="12">
        <v>22.89</v>
      </c>
      <c r="C461" s="12">
        <f t="shared" si="7"/>
        <v>1.91</v>
      </c>
      <c r="D461" s="8">
        <v>0.40180999040603638</v>
      </c>
      <c r="E461" s="5">
        <f>MATCH(D461,'Route Data'!$C$7:$C$8,1)</f>
        <v>2</v>
      </c>
      <c r="F461" s="5">
        <f>INDEX('Route Data'!$D$7:$D$8,E461)</f>
        <v>1</v>
      </c>
      <c r="G461" s="5" t="str">
        <f>INDEX('Route Data'!$A$7:$A$8,E461)</f>
        <v>u18</v>
      </c>
      <c r="H461" s="5">
        <f>EnergyCoeff(INDEX('Route Data'!$K$7:$K$8,E461),INDEX('Route Data'!$L$7:$L$8,E461)*2*PI()/60,INDEX('Route Data'!$F$7:$F$8,E461))</f>
        <v>0.19430699130049439</v>
      </c>
      <c r="I461" s="5">
        <f>DischargeCoeff(INDEX('Route Data'!$I$7:$I$8,E461), INDEX('Route Data'!$L$7:$L$8,E461)*2*PI()/60, INDEX('Route Data'!$F$7:$F$8,E461))</f>
        <v>0.15939200179827354</v>
      </c>
      <c r="J461" s="8">
        <f>FlowAngleRel(INDEX('Route Data'!$J$7:$J$8,E461)*INDEX('Route Data'!$I$7:$I$8,E461), INDEX('Route Data'!$L$7:$L$8,E461)*2*PI()/60, INDEX('Route Data'!$F$7:$F$8,E461),INDEX('Route Data'!$O$7:$O$8,E461), INDEX('Route Data'!$P$7:$P$8,E461),INDEX('Route Data'!$M$7:$M$8,E461))</f>
        <v>1.130811765868994</v>
      </c>
      <c r="K461" s="8">
        <f>FlowAngleAbsT(INDEX('Route Data'!$K$7:$K$8,E461), INDEX('Route Data'!$I$7:$I$8,E461), INDEX('Route Data'!$I$7:$I$8,E461)*INDEX('Route Data'!$J$7:$J$8,E461), INDEX('Route Data'!$L$7:$L$8,E461)*2*PI()/60, INDEX('Route Data'!$F$7:$F$8,E461),INDEX('Route Data'!$O$7:$O$8,E461), INDEX('Route Data'!$P$7:$P$8,E461), INDEX('Route Data'!$H$7:$H$8,E461), INDEX('Route Data'!$Q$7:$Q$8,E461), INDEX('Route Data'!$M$7:$M$8,E461))</f>
        <v>0.51617226640175828</v>
      </c>
      <c r="L461" s="5">
        <f>INDEX('Route Data'!$N$7:$N$8,E461)</f>
        <v>0.4</v>
      </c>
      <c r="M461" s="8">
        <v>0.39749604463577271</v>
      </c>
      <c r="N461" s="8">
        <f>ProbStrikeFrancis(K461, I461, L461, INDEX('Route Data'!$G$7:$G$8,E461),C461, INDEX('Route Data'!$F$7:$F$8,E461), INDEX('Route Data'!$O$7:$O$8,E461), INDEX('Route Data'!$H$7:$H$18,E461))</f>
        <v>1</v>
      </c>
      <c r="O461" s="5" t="str">
        <f>IF(F461&gt;=1,IF(M461&lt;=N461,"STRIKE","pass"),IF(M461&lt;=INDEX('Route Data'!$R$7:$R$8,E461),"NO PASS","pass"))</f>
        <v>STRIKE</v>
      </c>
      <c r="P461" s="5">
        <f>IF(F461&gt;=1,IF(M461&lt;=N461,1,0),IF(M461&lt;=INDEX('Route Data'!$R$7:$R$8,E461),-1,0))</f>
        <v>1</v>
      </c>
    </row>
    <row r="462" spans="1:16">
      <c r="A462" s="5">
        <v>452</v>
      </c>
      <c r="B462" s="12">
        <v>22.91</v>
      </c>
      <c r="C462" s="12">
        <f t="shared" si="7"/>
        <v>1.91</v>
      </c>
      <c r="D462" s="8">
        <v>0.84783482551574707</v>
      </c>
      <c r="E462" s="5">
        <f>MATCH(D462,'Route Data'!$C$7:$C$8,1)</f>
        <v>2</v>
      </c>
      <c r="F462" s="5">
        <f>INDEX('Route Data'!$D$7:$D$8,E462)</f>
        <v>1</v>
      </c>
      <c r="G462" s="5" t="str">
        <f>INDEX('Route Data'!$A$7:$A$8,E462)</f>
        <v>u18</v>
      </c>
      <c r="H462" s="5">
        <f>EnergyCoeff(INDEX('Route Data'!$K$7:$K$8,E462),INDEX('Route Data'!$L$7:$L$8,E462)*2*PI()/60,INDEX('Route Data'!$F$7:$F$8,E462))</f>
        <v>0.19430699130049439</v>
      </c>
      <c r="I462" s="5">
        <f>DischargeCoeff(INDEX('Route Data'!$I$7:$I$8,E462), INDEX('Route Data'!$L$7:$L$8,E462)*2*PI()/60, INDEX('Route Data'!$F$7:$F$8,E462))</f>
        <v>0.15939200179827354</v>
      </c>
      <c r="J462" s="8">
        <f>FlowAngleRel(INDEX('Route Data'!$J$7:$J$8,E462)*INDEX('Route Data'!$I$7:$I$8,E462), INDEX('Route Data'!$L$7:$L$8,E462)*2*PI()/60, INDEX('Route Data'!$F$7:$F$8,E462),INDEX('Route Data'!$O$7:$O$8,E462), INDEX('Route Data'!$P$7:$P$8,E462),INDEX('Route Data'!$M$7:$M$8,E462))</f>
        <v>1.130811765868994</v>
      </c>
      <c r="K462" s="8">
        <f>FlowAngleAbsT(INDEX('Route Data'!$K$7:$K$8,E462), INDEX('Route Data'!$I$7:$I$8,E462), INDEX('Route Data'!$I$7:$I$8,E462)*INDEX('Route Data'!$J$7:$J$8,E462), INDEX('Route Data'!$L$7:$L$8,E462)*2*PI()/60, INDEX('Route Data'!$F$7:$F$8,E462),INDEX('Route Data'!$O$7:$O$8,E462), INDEX('Route Data'!$P$7:$P$8,E462), INDEX('Route Data'!$H$7:$H$8,E462), INDEX('Route Data'!$Q$7:$Q$8,E462), INDEX('Route Data'!$M$7:$M$8,E462))</f>
        <v>0.51617226640175828</v>
      </c>
      <c r="L462" s="5">
        <f>INDEX('Route Data'!$N$7:$N$8,E462)</f>
        <v>0.4</v>
      </c>
      <c r="M462" s="8">
        <v>0.81811308860778809</v>
      </c>
      <c r="N462" s="8">
        <f>ProbStrikeFrancis(K462, I462, L462, INDEX('Route Data'!$G$7:$G$8,E462),C462, INDEX('Route Data'!$F$7:$F$8,E462), INDEX('Route Data'!$O$7:$O$8,E462), INDEX('Route Data'!$H$7:$H$18,E462))</f>
        <v>1</v>
      </c>
      <c r="O462" s="5" t="str">
        <f>IF(F462&gt;=1,IF(M462&lt;=N462,"STRIKE","pass"),IF(M462&lt;=INDEX('Route Data'!$R$7:$R$8,E462),"NO PASS","pass"))</f>
        <v>STRIKE</v>
      </c>
      <c r="P462" s="5">
        <f>IF(F462&gt;=1,IF(M462&lt;=N462,1,0),IF(M462&lt;=INDEX('Route Data'!$R$7:$R$8,E462),-1,0))</f>
        <v>1</v>
      </c>
    </row>
    <row r="463" spans="1:16">
      <c r="A463" s="5">
        <v>453</v>
      </c>
      <c r="B463" s="12">
        <v>18.21</v>
      </c>
      <c r="C463" s="12">
        <f t="shared" si="7"/>
        <v>1.52</v>
      </c>
      <c r="D463" s="8">
        <v>0.97860187292098999</v>
      </c>
      <c r="E463" s="5">
        <f>MATCH(D463,'Route Data'!$C$7:$C$8,1)</f>
        <v>2</v>
      </c>
      <c r="F463" s="5">
        <f>INDEX('Route Data'!$D$7:$D$8,E463)</f>
        <v>1</v>
      </c>
      <c r="G463" s="5" t="str">
        <f>INDEX('Route Data'!$A$7:$A$8,E463)</f>
        <v>u18</v>
      </c>
      <c r="H463" s="5">
        <f>EnergyCoeff(INDEX('Route Data'!$K$7:$K$8,E463),INDEX('Route Data'!$L$7:$L$8,E463)*2*PI()/60,INDEX('Route Data'!$F$7:$F$8,E463))</f>
        <v>0.19430699130049439</v>
      </c>
      <c r="I463" s="5">
        <f>DischargeCoeff(INDEX('Route Data'!$I$7:$I$8,E463), INDEX('Route Data'!$L$7:$L$8,E463)*2*PI()/60, INDEX('Route Data'!$F$7:$F$8,E463))</f>
        <v>0.15939200179827354</v>
      </c>
      <c r="J463" s="8">
        <f>FlowAngleRel(INDEX('Route Data'!$J$7:$J$8,E463)*INDEX('Route Data'!$I$7:$I$8,E463), INDEX('Route Data'!$L$7:$L$8,E463)*2*PI()/60, INDEX('Route Data'!$F$7:$F$8,E463),INDEX('Route Data'!$O$7:$O$8,E463), INDEX('Route Data'!$P$7:$P$8,E463),INDEX('Route Data'!$M$7:$M$8,E463))</f>
        <v>1.130811765868994</v>
      </c>
      <c r="K463" s="8">
        <f>FlowAngleAbsT(INDEX('Route Data'!$K$7:$K$8,E463), INDEX('Route Data'!$I$7:$I$8,E463), INDEX('Route Data'!$I$7:$I$8,E463)*INDEX('Route Data'!$J$7:$J$8,E463), INDEX('Route Data'!$L$7:$L$8,E463)*2*PI()/60, INDEX('Route Data'!$F$7:$F$8,E463),INDEX('Route Data'!$O$7:$O$8,E463), INDEX('Route Data'!$P$7:$P$8,E463), INDEX('Route Data'!$H$7:$H$8,E463), INDEX('Route Data'!$Q$7:$Q$8,E463), INDEX('Route Data'!$M$7:$M$8,E463))</f>
        <v>0.51617226640175828</v>
      </c>
      <c r="L463" s="5">
        <f>INDEX('Route Data'!$N$7:$N$8,E463)</f>
        <v>0.4</v>
      </c>
      <c r="M463" s="8">
        <v>0.29068273305892944</v>
      </c>
      <c r="N463" s="8">
        <f>ProbStrikeFrancis(K463, I463, L463, INDEX('Route Data'!$G$7:$G$8,E463),C463, INDEX('Route Data'!$F$7:$F$8,E463), INDEX('Route Data'!$O$7:$O$8,E463), INDEX('Route Data'!$H$7:$H$18,E463))</f>
        <v>1</v>
      </c>
      <c r="O463" s="5" t="str">
        <f>IF(F463&gt;=1,IF(M463&lt;=N463,"STRIKE","pass"),IF(M463&lt;=INDEX('Route Data'!$R$7:$R$8,E463),"NO PASS","pass"))</f>
        <v>STRIKE</v>
      </c>
      <c r="P463" s="5">
        <f>IF(F463&gt;=1,IF(M463&lt;=N463,1,0),IF(M463&lt;=INDEX('Route Data'!$R$7:$R$8,E463),-1,0))</f>
        <v>1</v>
      </c>
    </row>
    <row r="464" spans="1:16">
      <c r="A464" s="5">
        <v>454</v>
      </c>
      <c r="B464" s="12">
        <v>20.34</v>
      </c>
      <c r="C464" s="12">
        <f t="shared" si="7"/>
        <v>1.7</v>
      </c>
      <c r="D464" s="8">
        <v>0.11745917797088623</v>
      </c>
      <c r="E464" s="5">
        <f>MATCH(D464,'Route Data'!$C$7:$C$8,1)</f>
        <v>2</v>
      </c>
      <c r="F464" s="5">
        <f>INDEX('Route Data'!$D$7:$D$8,E464)</f>
        <v>1</v>
      </c>
      <c r="G464" s="5" t="str">
        <f>INDEX('Route Data'!$A$7:$A$8,E464)</f>
        <v>u18</v>
      </c>
      <c r="H464" s="5">
        <f>EnergyCoeff(INDEX('Route Data'!$K$7:$K$8,E464),INDEX('Route Data'!$L$7:$L$8,E464)*2*PI()/60,INDEX('Route Data'!$F$7:$F$8,E464))</f>
        <v>0.19430699130049439</v>
      </c>
      <c r="I464" s="5">
        <f>DischargeCoeff(INDEX('Route Data'!$I$7:$I$8,E464), INDEX('Route Data'!$L$7:$L$8,E464)*2*PI()/60, INDEX('Route Data'!$F$7:$F$8,E464))</f>
        <v>0.15939200179827354</v>
      </c>
      <c r="J464" s="8">
        <f>FlowAngleRel(INDEX('Route Data'!$J$7:$J$8,E464)*INDEX('Route Data'!$I$7:$I$8,E464), INDEX('Route Data'!$L$7:$L$8,E464)*2*PI()/60, INDEX('Route Data'!$F$7:$F$8,E464),INDEX('Route Data'!$O$7:$O$8,E464), INDEX('Route Data'!$P$7:$P$8,E464),INDEX('Route Data'!$M$7:$M$8,E464))</f>
        <v>1.130811765868994</v>
      </c>
      <c r="K464" s="8">
        <f>FlowAngleAbsT(INDEX('Route Data'!$K$7:$K$8,E464), INDEX('Route Data'!$I$7:$I$8,E464), INDEX('Route Data'!$I$7:$I$8,E464)*INDEX('Route Data'!$J$7:$J$8,E464), INDEX('Route Data'!$L$7:$L$8,E464)*2*PI()/60, INDEX('Route Data'!$F$7:$F$8,E464),INDEX('Route Data'!$O$7:$O$8,E464), INDEX('Route Data'!$P$7:$P$8,E464), INDEX('Route Data'!$H$7:$H$8,E464), INDEX('Route Data'!$Q$7:$Q$8,E464), INDEX('Route Data'!$M$7:$M$8,E464))</f>
        <v>0.51617226640175828</v>
      </c>
      <c r="L464" s="5">
        <f>INDEX('Route Data'!$N$7:$N$8,E464)</f>
        <v>0.4</v>
      </c>
      <c r="M464" s="8">
        <v>0.13855302333831787</v>
      </c>
      <c r="N464" s="8">
        <f>ProbStrikeFrancis(K464, I464, L464, INDEX('Route Data'!$G$7:$G$8,E464),C464, INDEX('Route Data'!$F$7:$F$8,E464), INDEX('Route Data'!$O$7:$O$8,E464), INDEX('Route Data'!$H$7:$H$18,E464))</f>
        <v>1</v>
      </c>
      <c r="O464" s="5" t="str">
        <f>IF(F464&gt;=1,IF(M464&lt;=N464,"STRIKE","pass"),IF(M464&lt;=INDEX('Route Data'!$R$7:$R$8,E464),"NO PASS","pass"))</f>
        <v>STRIKE</v>
      </c>
      <c r="P464" s="5">
        <f>IF(F464&gt;=1,IF(M464&lt;=N464,1,0),IF(M464&lt;=INDEX('Route Data'!$R$7:$R$8,E464),-1,0))</f>
        <v>1</v>
      </c>
    </row>
    <row r="465" spans="1:16">
      <c r="A465" s="5">
        <v>455</v>
      </c>
      <c r="B465" s="12">
        <v>22.36</v>
      </c>
      <c r="C465" s="12">
        <f t="shared" si="7"/>
        <v>1.86</v>
      </c>
      <c r="D465" s="8">
        <v>0.70088726282119751</v>
      </c>
      <c r="E465" s="5">
        <f>MATCH(D465,'Route Data'!$C$7:$C$8,1)</f>
        <v>2</v>
      </c>
      <c r="F465" s="5">
        <f>INDEX('Route Data'!$D$7:$D$8,E465)</f>
        <v>1</v>
      </c>
      <c r="G465" s="5" t="str">
        <f>INDEX('Route Data'!$A$7:$A$8,E465)</f>
        <v>u18</v>
      </c>
      <c r="H465" s="5">
        <f>EnergyCoeff(INDEX('Route Data'!$K$7:$K$8,E465),INDEX('Route Data'!$L$7:$L$8,E465)*2*PI()/60,INDEX('Route Data'!$F$7:$F$8,E465))</f>
        <v>0.19430699130049439</v>
      </c>
      <c r="I465" s="5">
        <f>DischargeCoeff(INDEX('Route Data'!$I$7:$I$8,E465), INDEX('Route Data'!$L$7:$L$8,E465)*2*PI()/60, INDEX('Route Data'!$F$7:$F$8,E465))</f>
        <v>0.15939200179827354</v>
      </c>
      <c r="J465" s="8">
        <f>FlowAngleRel(INDEX('Route Data'!$J$7:$J$8,E465)*INDEX('Route Data'!$I$7:$I$8,E465), INDEX('Route Data'!$L$7:$L$8,E465)*2*PI()/60, INDEX('Route Data'!$F$7:$F$8,E465),INDEX('Route Data'!$O$7:$O$8,E465), INDEX('Route Data'!$P$7:$P$8,E465),INDEX('Route Data'!$M$7:$M$8,E465))</f>
        <v>1.130811765868994</v>
      </c>
      <c r="K465" s="8">
        <f>FlowAngleAbsT(INDEX('Route Data'!$K$7:$K$8,E465), INDEX('Route Data'!$I$7:$I$8,E465), INDEX('Route Data'!$I$7:$I$8,E465)*INDEX('Route Data'!$J$7:$J$8,E465), INDEX('Route Data'!$L$7:$L$8,E465)*2*PI()/60, INDEX('Route Data'!$F$7:$F$8,E465),INDEX('Route Data'!$O$7:$O$8,E465), INDEX('Route Data'!$P$7:$P$8,E465), INDEX('Route Data'!$H$7:$H$8,E465), INDEX('Route Data'!$Q$7:$Q$8,E465), INDEX('Route Data'!$M$7:$M$8,E465))</f>
        <v>0.51617226640175828</v>
      </c>
      <c r="L465" s="5">
        <f>INDEX('Route Data'!$N$7:$N$8,E465)</f>
        <v>0.4</v>
      </c>
      <c r="M465" s="8">
        <v>6.3783705234527588E-2</v>
      </c>
      <c r="N465" s="8">
        <f>ProbStrikeFrancis(K465, I465, L465, INDEX('Route Data'!$G$7:$G$8,E465),C465, INDEX('Route Data'!$F$7:$F$8,E465), INDEX('Route Data'!$O$7:$O$8,E465), INDEX('Route Data'!$H$7:$H$18,E465))</f>
        <v>1</v>
      </c>
      <c r="O465" s="5" t="str">
        <f>IF(F465&gt;=1,IF(M465&lt;=N465,"STRIKE","pass"),IF(M465&lt;=INDEX('Route Data'!$R$7:$R$8,E465),"NO PASS","pass"))</f>
        <v>STRIKE</v>
      </c>
      <c r="P465" s="5">
        <f>IF(F465&gt;=1,IF(M465&lt;=N465,1,0),IF(M465&lt;=INDEX('Route Data'!$R$7:$R$8,E465),-1,0))</f>
        <v>1</v>
      </c>
    </row>
    <row r="466" spans="1:16">
      <c r="A466" s="5">
        <v>456</v>
      </c>
      <c r="B466" s="12">
        <v>16.78</v>
      </c>
      <c r="C466" s="12">
        <f t="shared" si="7"/>
        <v>1.4</v>
      </c>
      <c r="D466" s="8">
        <v>0.95060300827026367</v>
      </c>
      <c r="E466" s="5">
        <f>MATCH(D466,'Route Data'!$C$7:$C$8,1)</f>
        <v>2</v>
      </c>
      <c r="F466" s="5">
        <f>INDEX('Route Data'!$D$7:$D$8,E466)</f>
        <v>1</v>
      </c>
      <c r="G466" s="5" t="str">
        <f>INDEX('Route Data'!$A$7:$A$8,E466)</f>
        <v>u18</v>
      </c>
      <c r="H466" s="5">
        <f>EnergyCoeff(INDEX('Route Data'!$K$7:$K$8,E466),INDEX('Route Data'!$L$7:$L$8,E466)*2*PI()/60,INDEX('Route Data'!$F$7:$F$8,E466))</f>
        <v>0.19430699130049439</v>
      </c>
      <c r="I466" s="5">
        <f>DischargeCoeff(INDEX('Route Data'!$I$7:$I$8,E466), INDEX('Route Data'!$L$7:$L$8,E466)*2*PI()/60, INDEX('Route Data'!$F$7:$F$8,E466))</f>
        <v>0.15939200179827354</v>
      </c>
      <c r="J466" s="8">
        <f>FlowAngleRel(INDEX('Route Data'!$J$7:$J$8,E466)*INDEX('Route Data'!$I$7:$I$8,E466), INDEX('Route Data'!$L$7:$L$8,E466)*2*PI()/60, INDEX('Route Data'!$F$7:$F$8,E466),INDEX('Route Data'!$O$7:$O$8,E466), INDEX('Route Data'!$P$7:$P$8,E466),INDEX('Route Data'!$M$7:$M$8,E466))</f>
        <v>1.130811765868994</v>
      </c>
      <c r="K466" s="8">
        <f>FlowAngleAbsT(INDEX('Route Data'!$K$7:$K$8,E466), INDEX('Route Data'!$I$7:$I$8,E466), INDEX('Route Data'!$I$7:$I$8,E466)*INDEX('Route Data'!$J$7:$J$8,E466), INDEX('Route Data'!$L$7:$L$8,E466)*2*PI()/60, INDEX('Route Data'!$F$7:$F$8,E466),INDEX('Route Data'!$O$7:$O$8,E466), INDEX('Route Data'!$P$7:$P$8,E466), INDEX('Route Data'!$H$7:$H$8,E466), INDEX('Route Data'!$Q$7:$Q$8,E466), INDEX('Route Data'!$M$7:$M$8,E466))</f>
        <v>0.51617226640175828</v>
      </c>
      <c r="L466" s="5">
        <f>INDEX('Route Data'!$N$7:$N$8,E466)</f>
        <v>0.4</v>
      </c>
      <c r="M466" s="8">
        <v>0.28809165954589844</v>
      </c>
      <c r="N466" s="8">
        <f>ProbStrikeFrancis(K466, I466, L466, INDEX('Route Data'!$G$7:$G$8,E466),C466, INDEX('Route Data'!$F$7:$F$8,E466), INDEX('Route Data'!$O$7:$O$8,E466), INDEX('Route Data'!$H$7:$H$18,E466))</f>
        <v>1</v>
      </c>
      <c r="O466" s="5" t="str">
        <f>IF(F466&gt;=1,IF(M466&lt;=N466,"STRIKE","pass"),IF(M466&lt;=INDEX('Route Data'!$R$7:$R$8,E466),"NO PASS","pass"))</f>
        <v>STRIKE</v>
      </c>
      <c r="P466" s="5">
        <f>IF(F466&gt;=1,IF(M466&lt;=N466,1,0),IF(M466&lt;=INDEX('Route Data'!$R$7:$R$8,E466),-1,0))</f>
        <v>1</v>
      </c>
    </row>
    <row r="467" spans="1:16">
      <c r="A467" s="5">
        <v>457</v>
      </c>
      <c r="B467" s="12">
        <v>21.72</v>
      </c>
      <c r="C467" s="12">
        <f t="shared" si="7"/>
        <v>1.81</v>
      </c>
      <c r="D467" s="8">
        <v>0.93587654829025269</v>
      </c>
      <c r="E467" s="5">
        <f>MATCH(D467,'Route Data'!$C$7:$C$8,1)</f>
        <v>2</v>
      </c>
      <c r="F467" s="5">
        <f>INDEX('Route Data'!$D$7:$D$8,E467)</f>
        <v>1</v>
      </c>
      <c r="G467" s="5" t="str">
        <f>INDEX('Route Data'!$A$7:$A$8,E467)</f>
        <v>u18</v>
      </c>
      <c r="H467" s="5">
        <f>EnergyCoeff(INDEX('Route Data'!$K$7:$K$8,E467),INDEX('Route Data'!$L$7:$L$8,E467)*2*PI()/60,INDEX('Route Data'!$F$7:$F$8,E467))</f>
        <v>0.19430699130049439</v>
      </c>
      <c r="I467" s="5">
        <f>DischargeCoeff(INDEX('Route Data'!$I$7:$I$8,E467), INDEX('Route Data'!$L$7:$L$8,E467)*2*PI()/60, INDEX('Route Data'!$F$7:$F$8,E467))</f>
        <v>0.15939200179827354</v>
      </c>
      <c r="J467" s="8">
        <f>FlowAngleRel(INDEX('Route Data'!$J$7:$J$8,E467)*INDEX('Route Data'!$I$7:$I$8,E467), INDEX('Route Data'!$L$7:$L$8,E467)*2*PI()/60, INDEX('Route Data'!$F$7:$F$8,E467),INDEX('Route Data'!$O$7:$O$8,E467), INDEX('Route Data'!$P$7:$P$8,E467),INDEX('Route Data'!$M$7:$M$8,E467))</f>
        <v>1.130811765868994</v>
      </c>
      <c r="K467" s="8">
        <f>FlowAngleAbsT(INDEX('Route Data'!$K$7:$K$8,E467), INDEX('Route Data'!$I$7:$I$8,E467), INDEX('Route Data'!$I$7:$I$8,E467)*INDEX('Route Data'!$J$7:$J$8,E467), INDEX('Route Data'!$L$7:$L$8,E467)*2*PI()/60, INDEX('Route Data'!$F$7:$F$8,E467),INDEX('Route Data'!$O$7:$O$8,E467), INDEX('Route Data'!$P$7:$P$8,E467), INDEX('Route Data'!$H$7:$H$8,E467), INDEX('Route Data'!$Q$7:$Q$8,E467), INDEX('Route Data'!$M$7:$M$8,E467))</f>
        <v>0.51617226640175828</v>
      </c>
      <c r="L467" s="5">
        <f>INDEX('Route Data'!$N$7:$N$8,E467)</f>
        <v>0.4</v>
      </c>
      <c r="M467" s="8">
        <v>0.61516779661178589</v>
      </c>
      <c r="N467" s="8">
        <f>ProbStrikeFrancis(K467, I467, L467, INDEX('Route Data'!$G$7:$G$8,E467),C467, INDEX('Route Data'!$F$7:$F$8,E467), INDEX('Route Data'!$O$7:$O$8,E467), INDEX('Route Data'!$H$7:$H$18,E467))</f>
        <v>1</v>
      </c>
      <c r="O467" s="5" t="str">
        <f>IF(F467&gt;=1,IF(M467&lt;=N467,"STRIKE","pass"),IF(M467&lt;=INDEX('Route Data'!$R$7:$R$8,E467),"NO PASS","pass"))</f>
        <v>STRIKE</v>
      </c>
      <c r="P467" s="5">
        <f>IF(F467&gt;=1,IF(M467&lt;=N467,1,0),IF(M467&lt;=INDEX('Route Data'!$R$7:$R$8,E467),-1,0))</f>
        <v>1</v>
      </c>
    </row>
    <row r="468" spans="1:16">
      <c r="A468" s="5">
        <v>458</v>
      </c>
      <c r="B468" s="12">
        <v>15.56</v>
      </c>
      <c r="C468" s="12">
        <f t="shared" si="7"/>
        <v>1.3</v>
      </c>
      <c r="D468" s="8">
        <v>0.24563515186309814</v>
      </c>
      <c r="E468" s="5">
        <f>MATCH(D468,'Route Data'!$C$7:$C$8,1)</f>
        <v>2</v>
      </c>
      <c r="F468" s="5">
        <f>INDEX('Route Data'!$D$7:$D$8,E468)</f>
        <v>1</v>
      </c>
      <c r="G468" s="5" t="str">
        <f>INDEX('Route Data'!$A$7:$A$8,E468)</f>
        <v>u18</v>
      </c>
      <c r="H468" s="5">
        <f>EnergyCoeff(INDEX('Route Data'!$K$7:$K$8,E468),INDEX('Route Data'!$L$7:$L$8,E468)*2*PI()/60,INDEX('Route Data'!$F$7:$F$8,E468))</f>
        <v>0.19430699130049439</v>
      </c>
      <c r="I468" s="5">
        <f>DischargeCoeff(INDEX('Route Data'!$I$7:$I$8,E468), INDEX('Route Data'!$L$7:$L$8,E468)*2*PI()/60, INDEX('Route Data'!$F$7:$F$8,E468))</f>
        <v>0.15939200179827354</v>
      </c>
      <c r="J468" s="8">
        <f>FlowAngleRel(INDEX('Route Data'!$J$7:$J$8,E468)*INDEX('Route Data'!$I$7:$I$8,E468), INDEX('Route Data'!$L$7:$L$8,E468)*2*PI()/60, INDEX('Route Data'!$F$7:$F$8,E468),INDEX('Route Data'!$O$7:$O$8,E468), INDEX('Route Data'!$P$7:$P$8,E468),INDEX('Route Data'!$M$7:$M$8,E468))</f>
        <v>1.130811765868994</v>
      </c>
      <c r="K468" s="8">
        <f>FlowAngleAbsT(INDEX('Route Data'!$K$7:$K$8,E468), INDEX('Route Data'!$I$7:$I$8,E468), INDEX('Route Data'!$I$7:$I$8,E468)*INDEX('Route Data'!$J$7:$J$8,E468), INDEX('Route Data'!$L$7:$L$8,E468)*2*PI()/60, INDEX('Route Data'!$F$7:$F$8,E468),INDEX('Route Data'!$O$7:$O$8,E468), INDEX('Route Data'!$P$7:$P$8,E468), INDEX('Route Data'!$H$7:$H$8,E468), INDEX('Route Data'!$Q$7:$Q$8,E468), INDEX('Route Data'!$M$7:$M$8,E468))</f>
        <v>0.51617226640175828</v>
      </c>
      <c r="L468" s="5">
        <f>INDEX('Route Data'!$N$7:$N$8,E468)</f>
        <v>0.4</v>
      </c>
      <c r="M468" s="8">
        <v>0.89951860904693604</v>
      </c>
      <c r="N468" s="8">
        <f>ProbStrikeFrancis(K468, I468, L468, INDEX('Route Data'!$G$7:$G$8,E468),C468, INDEX('Route Data'!$F$7:$F$8,E468), INDEX('Route Data'!$O$7:$O$8,E468), INDEX('Route Data'!$H$7:$H$18,E468))</f>
        <v>1</v>
      </c>
      <c r="O468" s="5" t="str">
        <f>IF(F468&gt;=1,IF(M468&lt;=N468,"STRIKE","pass"),IF(M468&lt;=INDEX('Route Data'!$R$7:$R$8,E468),"NO PASS","pass"))</f>
        <v>STRIKE</v>
      </c>
      <c r="P468" s="5">
        <f>IF(F468&gt;=1,IF(M468&lt;=N468,1,0),IF(M468&lt;=INDEX('Route Data'!$R$7:$R$8,E468),-1,0))</f>
        <v>1</v>
      </c>
    </row>
    <row r="469" spans="1:16">
      <c r="A469" s="5">
        <v>459</v>
      </c>
      <c r="B469" s="12">
        <v>22.22</v>
      </c>
      <c r="C469" s="12">
        <f t="shared" si="7"/>
        <v>1.85</v>
      </c>
      <c r="D469" s="8">
        <v>0.31635934114456177</v>
      </c>
      <c r="E469" s="5">
        <f>MATCH(D469,'Route Data'!$C$7:$C$8,1)</f>
        <v>2</v>
      </c>
      <c r="F469" s="5">
        <f>INDEX('Route Data'!$D$7:$D$8,E469)</f>
        <v>1</v>
      </c>
      <c r="G469" s="5" t="str">
        <f>INDEX('Route Data'!$A$7:$A$8,E469)</f>
        <v>u18</v>
      </c>
      <c r="H469" s="5">
        <f>EnergyCoeff(INDEX('Route Data'!$K$7:$K$8,E469),INDEX('Route Data'!$L$7:$L$8,E469)*2*PI()/60,INDEX('Route Data'!$F$7:$F$8,E469))</f>
        <v>0.19430699130049439</v>
      </c>
      <c r="I469" s="5">
        <f>DischargeCoeff(INDEX('Route Data'!$I$7:$I$8,E469), INDEX('Route Data'!$L$7:$L$8,E469)*2*PI()/60, INDEX('Route Data'!$F$7:$F$8,E469))</f>
        <v>0.15939200179827354</v>
      </c>
      <c r="J469" s="8">
        <f>FlowAngleRel(INDEX('Route Data'!$J$7:$J$8,E469)*INDEX('Route Data'!$I$7:$I$8,E469), INDEX('Route Data'!$L$7:$L$8,E469)*2*PI()/60, INDEX('Route Data'!$F$7:$F$8,E469),INDEX('Route Data'!$O$7:$O$8,E469), INDEX('Route Data'!$P$7:$P$8,E469),INDEX('Route Data'!$M$7:$M$8,E469))</f>
        <v>1.130811765868994</v>
      </c>
      <c r="K469" s="8">
        <f>FlowAngleAbsT(INDEX('Route Data'!$K$7:$K$8,E469), INDEX('Route Data'!$I$7:$I$8,E469), INDEX('Route Data'!$I$7:$I$8,E469)*INDEX('Route Data'!$J$7:$J$8,E469), INDEX('Route Data'!$L$7:$L$8,E469)*2*PI()/60, INDEX('Route Data'!$F$7:$F$8,E469),INDEX('Route Data'!$O$7:$O$8,E469), INDEX('Route Data'!$P$7:$P$8,E469), INDEX('Route Data'!$H$7:$H$8,E469), INDEX('Route Data'!$Q$7:$Q$8,E469), INDEX('Route Data'!$M$7:$M$8,E469))</f>
        <v>0.51617226640175828</v>
      </c>
      <c r="L469" s="5">
        <f>INDEX('Route Data'!$N$7:$N$8,E469)</f>
        <v>0.4</v>
      </c>
      <c r="M469" s="8">
        <v>0.3120453953742981</v>
      </c>
      <c r="N469" s="8">
        <f>ProbStrikeFrancis(K469, I469, L469, INDEX('Route Data'!$G$7:$G$8,E469),C469, INDEX('Route Data'!$F$7:$F$8,E469), INDEX('Route Data'!$O$7:$O$8,E469), INDEX('Route Data'!$H$7:$H$18,E469))</f>
        <v>1</v>
      </c>
      <c r="O469" s="5" t="str">
        <f>IF(F469&gt;=1,IF(M469&lt;=N469,"STRIKE","pass"),IF(M469&lt;=INDEX('Route Data'!$R$7:$R$8,E469),"NO PASS","pass"))</f>
        <v>STRIKE</v>
      </c>
      <c r="P469" s="5">
        <f>IF(F469&gt;=1,IF(M469&lt;=N469,1,0),IF(M469&lt;=INDEX('Route Data'!$R$7:$R$8,E469),-1,0))</f>
        <v>1</v>
      </c>
    </row>
    <row r="470" spans="1:16">
      <c r="A470" s="5">
        <v>460</v>
      </c>
      <c r="B470" s="12">
        <v>25.25</v>
      </c>
      <c r="C470" s="12">
        <f t="shared" si="7"/>
        <v>2.1</v>
      </c>
      <c r="D470" s="8">
        <v>0.3697659969329834</v>
      </c>
      <c r="E470" s="5">
        <f>MATCH(D470,'Route Data'!$C$7:$C$8,1)</f>
        <v>2</v>
      </c>
      <c r="F470" s="5">
        <f>INDEX('Route Data'!$D$7:$D$8,E470)</f>
        <v>1</v>
      </c>
      <c r="G470" s="5" t="str">
        <f>INDEX('Route Data'!$A$7:$A$8,E470)</f>
        <v>u18</v>
      </c>
      <c r="H470" s="5">
        <f>EnergyCoeff(INDEX('Route Data'!$K$7:$K$8,E470),INDEX('Route Data'!$L$7:$L$8,E470)*2*PI()/60,INDEX('Route Data'!$F$7:$F$8,E470))</f>
        <v>0.19430699130049439</v>
      </c>
      <c r="I470" s="5">
        <f>DischargeCoeff(INDEX('Route Data'!$I$7:$I$8,E470), INDEX('Route Data'!$L$7:$L$8,E470)*2*PI()/60, INDEX('Route Data'!$F$7:$F$8,E470))</f>
        <v>0.15939200179827354</v>
      </c>
      <c r="J470" s="8">
        <f>FlowAngleRel(INDEX('Route Data'!$J$7:$J$8,E470)*INDEX('Route Data'!$I$7:$I$8,E470), INDEX('Route Data'!$L$7:$L$8,E470)*2*PI()/60, INDEX('Route Data'!$F$7:$F$8,E470),INDEX('Route Data'!$O$7:$O$8,E470), INDEX('Route Data'!$P$7:$P$8,E470),INDEX('Route Data'!$M$7:$M$8,E470))</f>
        <v>1.130811765868994</v>
      </c>
      <c r="K470" s="8">
        <f>FlowAngleAbsT(INDEX('Route Data'!$K$7:$K$8,E470), INDEX('Route Data'!$I$7:$I$8,E470), INDEX('Route Data'!$I$7:$I$8,E470)*INDEX('Route Data'!$J$7:$J$8,E470), INDEX('Route Data'!$L$7:$L$8,E470)*2*PI()/60, INDEX('Route Data'!$F$7:$F$8,E470),INDEX('Route Data'!$O$7:$O$8,E470), INDEX('Route Data'!$P$7:$P$8,E470), INDEX('Route Data'!$H$7:$H$8,E470), INDEX('Route Data'!$Q$7:$Q$8,E470), INDEX('Route Data'!$M$7:$M$8,E470))</f>
        <v>0.51617226640175828</v>
      </c>
      <c r="L470" s="5">
        <f>INDEX('Route Data'!$N$7:$N$8,E470)</f>
        <v>0.4</v>
      </c>
      <c r="M470" s="8">
        <v>7.4465036392211914E-2</v>
      </c>
      <c r="N470" s="8">
        <f>ProbStrikeFrancis(K470, I470, L470, INDEX('Route Data'!$G$7:$G$8,E470),C470, INDEX('Route Data'!$F$7:$F$8,E470), INDEX('Route Data'!$O$7:$O$8,E470), INDEX('Route Data'!$H$7:$H$18,E470))</f>
        <v>1</v>
      </c>
      <c r="O470" s="5" t="str">
        <f>IF(F470&gt;=1,IF(M470&lt;=N470,"STRIKE","pass"),IF(M470&lt;=INDEX('Route Data'!$R$7:$R$8,E470),"NO PASS","pass"))</f>
        <v>STRIKE</v>
      </c>
      <c r="P470" s="5">
        <f>IF(F470&gt;=1,IF(M470&lt;=N470,1,0),IF(M470&lt;=INDEX('Route Data'!$R$7:$R$8,E470),-1,0))</f>
        <v>1</v>
      </c>
    </row>
    <row r="471" spans="1:16">
      <c r="A471" s="5">
        <v>461</v>
      </c>
      <c r="B471" s="12">
        <v>20.94</v>
      </c>
      <c r="C471" s="12">
        <f t="shared" si="7"/>
        <v>1.75</v>
      </c>
      <c r="D471" s="8">
        <v>0.20954602956771851</v>
      </c>
      <c r="E471" s="5">
        <f>MATCH(D471,'Route Data'!$C$7:$C$8,1)</f>
        <v>2</v>
      </c>
      <c r="F471" s="5">
        <f>INDEX('Route Data'!$D$7:$D$8,E471)</f>
        <v>1</v>
      </c>
      <c r="G471" s="5" t="str">
        <f>INDEX('Route Data'!$A$7:$A$8,E471)</f>
        <v>u18</v>
      </c>
      <c r="H471" s="5">
        <f>EnergyCoeff(INDEX('Route Data'!$K$7:$K$8,E471),INDEX('Route Data'!$L$7:$L$8,E471)*2*PI()/60,INDEX('Route Data'!$F$7:$F$8,E471))</f>
        <v>0.19430699130049439</v>
      </c>
      <c r="I471" s="5">
        <f>DischargeCoeff(INDEX('Route Data'!$I$7:$I$8,E471), INDEX('Route Data'!$L$7:$L$8,E471)*2*PI()/60, INDEX('Route Data'!$F$7:$F$8,E471))</f>
        <v>0.15939200179827354</v>
      </c>
      <c r="J471" s="8">
        <f>FlowAngleRel(INDEX('Route Data'!$J$7:$J$8,E471)*INDEX('Route Data'!$I$7:$I$8,E471), INDEX('Route Data'!$L$7:$L$8,E471)*2*PI()/60, INDEX('Route Data'!$F$7:$F$8,E471),INDEX('Route Data'!$O$7:$O$8,E471), INDEX('Route Data'!$P$7:$P$8,E471),INDEX('Route Data'!$M$7:$M$8,E471))</f>
        <v>1.130811765868994</v>
      </c>
      <c r="K471" s="8">
        <f>FlowAngleAbsT(INDEX('Route Data'!$K$7:$K$8,E471), INDEX('Route Data'!$I$7:$I$8,E471), INDEX('Route Data'!$I$7:$I$8,E471)*INDEX('Route Data'!$J$7:$J$8,E471), INDEX('Route Data'!$L$7:$L$8,E471)*2*PI()/60, INDEX('Route Data'!$F$7:$F$8,E471),INDEX('Route Data'!$O$7:$O$8,E471), INDEX('Route Data'!$P$7:$P$8,E471), INDEX('Route Data'!$H$7:$H$8,E471), INDEX('Route Data'!$Q$7:$Q$8,E471), INDEX('Route Data'!$M$7:$M$8,E471))</f>
        <v>0.51617226640175828</v>
      </c>
      <c r="L471" s="5">
        <f>INDEX('Route Data'!$N$7:$N$8,E471)</f>
        <v>0.4</v>
      </c>
      <c r="M471" s="8">
        <v>0.25604766607284546</v>
      </c>
      <c r="N471" s="8">
        <f>ProbStrikeFrancis(K471, I471, L471, INDEX('Route Data'!$G$7:$G$8,E471),C471, INDEX('Route Data'!$F$7:$F$8,E471), INDEX('Route Data'!$O$7:$O$8,E471), INDEX('Route Data'!$H$7:$H$18,E471))</f>
        <v>1</v>
      </c>
      <c r="O471" s="5" t="str">
        <f>IF(F471&gt;=1,IF(M471&lt;=N471,"STRIKE","pass"),IF(M471&lt;=INDEX('Route Data'!$R$7:$R$8,E471),"NO PASS","pass"))</f>
        <v>STRIKE</v>
      </c>
      <c r="P471" s="5">
        <f>IF(F471&gt;=1,IF(M471&lt;=N471,1,0),IF(M471&lt;=INDEX('Route Data'!$R$7:$R$8,E471),-1,0))</f>
        <v>1</v>
      </c>
    </row>
    <row r="472" spans="1:16">
      <c r="A472" s="5">
        <v>462</v>
      </c>
      <c r="B472" s="12">
        <v>25.3</v>
      </c>
      <c r="C472" s="12">
        <f t="shared" si="7"/>
        <v>2.11</v>
      </c>
      <c r="D472" s="8">
        <v>0.69020593166351318</v>
      </c>
      <c r="E472" s="5">
        <f>MATCH(D472,'Route Data'!$C$7:$C$8,1)</f>
        <v>2</v>
      </c>
      <c r="F472" s="5">
        <f>INDEX('Route Data'!$D$7:$D$8,E472)</f>
        <v>1</v>
      </c>
      <c r="G472" s="5" t="str">
        <f>INDEX('Route Data'!$A$7:$A$8,E472)</f>
        <v>u18</v>
      </c>
      <c r="H472" s="5">
        <f>EnergyCoeff(INDEX('Route Data'!$K$7:$K$8,E472),INDEX('Route Data'!$L$7:$L$8,E472)*2*PI()/60,INDEX('Route Data'!$F$7:$F$8,E472))</f>
        <v>0.19430699130049439</v>
      </c>
      <c r="I472" s="5">
        <f>DischargeCoeff(INDEX('Route Data'!$I$7:$I$8,E472), INDEX('Route Data'!$L$7:$L$8,E472)*2*PI()/60, INDEX('Route Data'!$F$7:$F$8,E472))</f>
        <v>0.15939200179827354</v>
      </c>
      <c r="J472" s="8">
        <f>FlowAngleRel(INDEX('Route Data'!$J$7:$J$8,E472)*INDEX('Route Data'!$I$7:$I$8,E472), INDEX('Route Data'!$L$7:$L$8,E472)*2*PI()/60, INDEX('Route Data'!$F$7:$F$8,E472),INDEX('Route Data'!$O$7:$O$8,E472), INDEX('Route Data'!$P$7:$P$8,E472),INDEX('Route Data'!$M$7:$M$8,E472))</f>
        <v>1.130811765868994</v>
      </c>
      <c r="K472" s="8">
        <f>FlowAngleAbsT(INDEX('Route Data'!$K$7:$K$8,E472), INDEX('Route Data'!$I$7:$I$8,E472), INDEX('Route Data'!$I$7:$I$8,E472)*INDEX('Route Data'!$J$7:$J$8,E472), INDEX('Route Data'!$L$7:$L$8,E472)*2*PI()/60, INDEX('Route Data'!$F$7:$F$8,E472),INDEX('Route Data'!$O$7:$O$8,E472), INDEX('Route Data'!$P$7:$P$8,E472), INDEX('Route Data'!$H$7:$H$8,E472), INDEX('Route Data'!$Q$7:$Q$8,E472), INDEX('Route Data'!$M$7:$M$8,E472))</f>
        <v>0.51617226640175828</v>
      </c>
      <c r="L472" s="5">
        <f>INDEX('Route Data'!$N$7:$N$8,E472)</f>
        <v>0.4</v>
      </c>
      <c r="M472" s="8">
        <v>0.71129977703094482</v>
      </c>
      <c r="N472" s="8">
        <f>ProbStrikeFrancis(K472, I472, L472, INDEX('Route Data'!$G$7:$G$8,E472),C472, INDEX('Route Data'!$F$7:$F$8,E472), INDEX('Route Data'!$O$7:$O$8,E472), INDEX('Route Data'!$H$7:$H$18,E472))</f>
        <v>1</v>
      </c>
      <c r="O472" s="5" t="str">
        <f>IF(F472&gt;=1,IF(M472&lt;=N472,"STRIKE","pass"),IF(M472&lt;=INDEX('Route Data'!$R$7:$R$8,E472),"NO PASS","pass"))</f>
        <v>STRIKE</v>
      </c>
      <c r="P472" s="5">
        <f>IF(F472&gt;=1,IF(M472&lt;=N472,1,0),IF(M472&lt;=INDEX('Route Data'!$R$7:$R$8,E472),-1,0))</f>
        <v>1</v>
      </c>
    </row>
    <row r="473" spans="1:16">
      <c r="A473" s="5">
        <v>463</v>
      </c>
      <c r="B473" s="12">
        <v>17.03</v>
      </c>
      <c r="C473" s="12">
        <f t="shared" si="7"/>
        <v>1.42</v>
      </c>
      <c r="D473" s="8">
        <v>0.98264700174331665</v>
      </c>
      <c r="E473" s="5">
        <f>MATCH(D473,'Route Data'!$C$7:$C$8,1)</f>
        <v>2</v>
      </c>
      <c r="F473" s="5">
        <f>INDEX('Route Data'!$D$7:$D$8,E473)</f>
        <v>1</v>
      </c>
      <c r="G473" s="5" t="str">
        <f>INDEX('Route Data'!$A$7:$A$8,E473)</f>
        <v>u18</v>
      </c>
      <c r="H473" s="5">
        <f>EnergyCoeff(INDEX('Route Data'!$K$7:$K$8,E473),INDEX('Route Data'!$L$7:$L$8,E473)*2*PI()/60,INDEX('Route Data'!$F$7:$F$8,E473))</f>
        <v>0.19430699130049439</v>
      </c>
      <c r="I473" s="5">
        <f>DischargeCoeff(INDEX('Route Data'!$I$7:$I$8,E473), INDEX('Route Data'!$L$7:$L$8,E473)*2*PI()/60, INDEX('Route Data'!$F$7:$F$8,E473))</f>
        <v>0.15939200179827354</v>
      </c>
      <c r="J473" s="8">
        <f>FlowAngleRel(INDEX('Route Data'!$J$7:$J$8,E473)*INDEX('Route Data'!$I$7:$I$8,E473), INDEX('Route Data'!$L$7:$L$8,E473)*2*PI()/60, INDEX('Route Data'!$F$7:$F$8,E473),INDEX('Route Data'!$O$7:$O$8,E473), INDEX('Route Data'!$P$7:$P$8,E473),INDEX('Route Data'!$M$7:$M$8,E473))</f>
        <v>1.130811765868994</v>
      </c>
      <c r="K473" s="8">
        <f>FlowAngleAbsT(INDEX('Route Data'!$K$7:$K$8,E473), INDEX('Route Data'!$I$7:$I$8,E473), INDEX('Route Data'!$I$7:$I$8,E473)*INDEX('Route Data'!$J$7:$J$8,E473), INDEX('Route Data'!$L$7:$L$8,E473)*2*PI()/60, INDEX('Route Data'!$F$7:$F$8,E473),INDEX('Route Data'!$O$7:$O$8,E473), INDEX('Route Data'!$P$7:$P$8,E473), INDEX('Route Data'!$H$7:$H$8,E473), INDEX('Route Data'!$Q$7:$Q$8,E473), INDEX('Route Data'!$M$7:$M$8,E473))</f>
        <v>0.51617226640175828</v>
      </c>
      <c r="L473" s="5">
        <f>INDEX('Route Data'!$N$7:$N$8,E473)</f>
        <v>0.4</v>
      </c>
      <c r="M473" s="8">
        <v>0.61112266778945923</v>
      </c>
      <c r="N473" s="8">
        <f>ProbStrikeFrancis(K473, I473, L473, INDEX('Route Data'!$G$7:$G$8,E473),C473, INDEX('Route Data'!$F$7:$F$8,E473), INDEX('Route Data'!$O$7:$O$8,E473), INDEX('Route Data'!$H$7:$H$18,E473))</f>
        <v>1</v>
      </c>
      <c r="O473" s="5" t="str">
        <f>IF(F473&gt;=1,IF(M473&lt;=N473,"STRIKE","pass"),IF(M473&lt;=INDEX('Route Data'!$R$7:$R$8,E473),"NO PASS","pass"))</f>
        <v>STRIKE</v>
      </c>
      <c r="P473" s="5">
        <f>IF(F473&gt;=1,IF(M473&lt;=N473,1,0),IF(M473&lt;=INDEX('Route Data'!$R$7:$R$8,E473),-1,0))</f>
        <v>1</v>
      </c>
    </row>
    <row r="474" spans="1:16">
      <c r="A474" s="5">
        <v>464</v>
      </c>
      <c r="B474" s="12">
        <v>26.84</v>
      </c>
      <c r="C474" s="12">
        <f t="shared" si="7"/>
        <v>2.2400000000000002</v>
      </c>
      <c r="D474" s="8">
        <v>0.83974456787109375</v>
      </c>
      <c r="E474" s="5">
        <f>MATCH(D474,'Route Data'!$C$7:$C$8,1)</f>
        <v>2</v>
      </c>
      <c r="F474" s="5">
        <f>INDEX('Route Data'!$D$7:$D$8,E474)</f>
        <v>1</v>
      </c>
      <c r="G474" s="5" t="str">
        <f>INDEX('Route Data'!$A$7:$A$8,E474)</f>
        <v>u18</v>
      </c>
      <c r="H474" s="5">
        <f>EnergyCoeff(INDEX('Route Data'!$K$7:$K$8,E474),INDEX('Route Data'!$L$7:$L$8,E474)*2*PI()/60,INDEX('Route Data'!$F$7:$F$8,E474))</f>
        <v>0.19430699130049439</v>
      </c>
      <c r="I474" s="5">
        <f>DischargeCoeff(INDEX('Route Data'!$I$7:$I$8,E474), INDEX('Route Data'!$L$7:$L$8,E474)*2*PI()/60, INDEX('Route Data'!$F$7:$F$8,E474))</f>
        <v>0.15939200179827354</v>
      </c>
      <c r="J474" s="8">
        <f>FlowAngleRel(INDEX('Route Data'!$J$7:$J$8,E474)*INDEX('Route Data'!$I$7:$I$8,E474), INDEX('Route Data'!$L$7:$L$8,E474)*2*PI()/60, INDEX('Route Data'!$F$7:$F$8,E474),INDEX('Route Data'!$O$7:$O$8,E474), INDEX('Route Data'!$P$7:$P$8,E474),INDEX('Route Data'!$M$7:$M$8,E474))</f>
        <v>1.130811765868994</v>
      </c>
      <c r="K474" s="8">
        <f>FlowAngleAbsT(INDEX('Route Data'!$K$7:$K$8,E474), INDEX('Route Data'!$I$7:$I$8,E474), INDEX('Route Data'!$I$7:$I$8,E474)*INDEX('Route Data'!$J$7:$J$8,E474), INDEX('Route Data'!$L$7:$L$8,E474)*2*PI()/60, INDEX('Route Data'!$F$7:$F$8,E474),INDEX('Route Data'!$O$7:$O$8,E474), INDEX('Route Data'!$P$7:$P$8,E474), INDEX('Route Data'!$H$7:$H$8,E474), INDEX('Route Data'!$Q$7:$Q$8,E474), INDEX('Route Data'!$M$7:$M$8,E474))</f>
        <v>0.51617226640175828</v>
      </c>
      <c r="L474" s="5">
        <f>INDEX('Route Data'!$N$7:$N$8,E474)</f>
        <v>0.4</v>
      </c>
      <c r="M474" s="8">
        <v>0.17723321914672852</v>
      </c>
      <c r="N474" s="8">
        <f>ProbStrikeFrancis(K474, I474, L474, INDEX('Route Data'!$G$7:$G$8,E474),C474, INDEX('Route Data'!$F$7:$F$8,E474), INDEX('Route Data'!$O$7:$O$8,E474), INDEX('Route Data'!$H$7:$H$18,E474))</f>
        <v>1</v>
      </c>
      <c r="O474" s="5" t="str">
        <f>IF(F474&gt;=1,IF(M474&lt;=N474,"STRIKE","pass"),IF(M474&lt;=INDEX('Route Data'!$R$7:$R$8,E474),"NO PASS","pass"))</f>
        <v>STRIKE</v>
      </c>
      <c r="P474" s="5">
        <f>IF(F474&gt;=1,IF(M474&lt;=N474,1,0),IF(M474&lt;=INDEX('Route Data'!$R$7:$R$8,E474),-1,0))</f>
        <v>1</v>
      </c>
    </row>
    <row r="475" spans="1:16">
      <c r="A475" s="5">
        <v>465</v>
      </c>
      <c r="B475" s="12">
        <v>20.56</v>
      </c>
      <c r="C475" s="12">
        <f t="shared" si="7"/>
        <v>1.71</v>
      </c>
      <c r="D475" s="8">
        <v>0.53403109312057495</v>
      </c>
      <c r="E475" s="5">
        <f>MATCH(D475,'Route Data'!$C$7:$C$8,1)</f>
        <v>2</v>
      </c>
      <c r="F475" s="5">
        <f>INDEX('Route Data'!$D$7:$D$8,E475)</f>
        <v>1</v>
      </c>
      <c r="G475" s="5" t="str">
        <f>INDEX('Route Data'!$A$7:$A$8,E475)</f>
        <v>u18</v>
      </c>
      <c r="H475" s="5">
        <f>EnergyCoeff(INDEX('Route Data'!$K$7:$K$8,E475),INDEX('Route Data'!$L$7:$L$8,E475)*2*PI()/60,INDEX('Route Data'!$F$7:$F$8,E475))</f>
        <v>0.19430699130049439</v>
      </c>
      <c r="I475" s="5">
        <f>DischargeCoeff(INDEX('Route Data'!$I$7:$I$8,E475), INDEX('Route Data'!$L$7:$L$8,E475)*2*PI()/60, INDEX('Route Data'!$F$7:$F$8,E475))</f>
        <v>0.15939200179827354</v>
      </c>
      <c r="J475" s="8">
        <f>FlowAngleRel(INDEX('Route Data'!$J$7:$J$8,E475)*INDEX('Route Data'!$I$7:$I$8,E475), INDEX('Route Data'!$L$7:$L$8,E475)*2*PI()/60, INDEX('Route Data'!$F$7:$F$8,E475),INDEX('Route Data'!$O$7:$O$8,E475), INDEX('Route Data'!$P$7:$P$8,E475),INDEX('Route Data'!$M$7:$M$8,E475))</f>
        <v>1.130811765868994</v>
      </c>
      <c r="K475" s="8">
        <f>FlowAngleAbsT(INDEX('Route Data'!$K$7:$K$8,E475), INDEX('Route Data'!$I$7:$I$8,E475), INDEX('Route Data'!$I$7:$I$8,E475)*INDEX('Route Data'!$J$7:$J$8,E475), INDEX('Route Data'!$L$7:$L$8,E475)*2*PI()/60, INDEX('Route Data'!$F$7:$F$8,E475),INDEX('Route Data'!$O$7:$O$8,E475), INDEX('Route Data'!$P$7:$P$8,E475), INDEX('Route Data'!$H$7:$H$8,E475), INDEX('Route Data'!$Q$7:$Q$8,E475), INDEX('Route Data'!$M$7:$M$8,E475))</f>
        <v>0.51617226640175828</v>
      </c>
      <c r="L475" s="5">
        <f>INDEX('Route Data'!$N$7:$N$8,E475)</f>
        <v>0.4</v>
      </c>
      <c r="M475" s="8">
        <v>0.21332234144210815</v>
      </c>
      <c r="N475" s="8">
        <f>ProbStrikeFrancis(K475, I475, L475, INDEX('Route Data'!$G$7:$G$8,E475),C475, INDEX('Route Data'!$F$7:$F$8,E475), INDEX('Route Data'!$O$7:$O$8,E475), INDEX('Route Data'!$H$7:$H$18,E475))</f>
        <v>1</v>
      </c>
      <c r="O475" s="5" t="str">
        <f>IF(F475&gt;=1,IF(M475&lt;=N475,"STRIKE","pass"),IF(M475&lt;=INDEX('Route Data'!$R$7:$R$8,E475),"NO PASS","pass"))</f>
        <v>STRIKE</v>
      </c>
      <c r="P475" s="5">
        <f>IF(F475&gt;=1,IF(M475&lt;=N475,1,0),IF(M475&lt;=INDEX('Route Data'!$R$7:$R$8,E475),-1,0))</f>
        <v>1</v>
      </c>
    </row>
    <row r="476" spans="1:16">
      <c r="A476" s="5">
        <v>466</v>
      </c>
      <c r="B476" s="12">
        <v>27.61</v>
      </c>
      <c r="C476" s="12">
        <f t="shared" si="7"/>
        <v>2.2999999999999998</v>
      </c>
      <c r="D476" s="8">
        <v>0.18559229373931885</v>
      </c>
      <c r="E476" s="5">
        <f>MATCH(D476,'Route Data'!$C$7:$C$8,1)</f>
        <v>2</v>
      </c>
      <c r="F476" s="5">
        <f>INDEX('Route Data'!$D$7:$D$8,E476)</f>
        <v>1</v>
      </c>
      <c r="G476" s="5" t="str">
        <f>INDEX('Route Data'!$A$7:$A$8,E476)</f>
        <v>u18</v>
      </c>
      <c r="H476" s="5">
        <f>EnergyCoeff(INDEX('Route Data'!$K$7:$K$8,E476),INDEX('Route Data'!$L$7:$L$8,E476)*2*PI()/60,INDEX('Route Data'!$F$7:$F$8,E476))</f>
        <v>0.19430699130049439</v>
      </c>
      <c r="I476" s="5">
        <f>DischargeCoeff(INDEX('Route Data'!$I$7:$I$8,E476), INDEX('Route Data'!$L$7:$L$8,E476)*2*PI()/60, INDEX('Route Data'!$F$7:$F$8,E476))</f>
        <v>0.15939200179827354</v>
      </c>
      <c r="J476" s="8">
        <f>FlowAngleRel(INDEX('Route Data'!$J$7:$J$8,E476)*INDEX('Route Data'!$I$7:$I$8,E476), INDEX('Route Data'!$L$7:$L$8,E476)*2*PI()/60, INDEX('Route Data'!$F$7:$F$8,E476),INDEX('Route Data'!$O$7:$O$8,E476), INDEX('Route Data'!$P$7:$P$8,E476),INDEX('Route Data'!$M$7:$M$8,E476))</f>
        <v>1.130811765868994</v>
      </c>
      <c r="K476" s="8">
        <f>FlowAngleAbsT(INDEX('Route Data'!$K$7:$K$8,E476), INDEX('Route Data'!$I$7:$I$8,E476), INDEX('Route Data'!$I$7:$I$8,E476)*INDEX('Route Data'!$J$7:$J$8,E476), INDEX('Route Data'!$L$7:$L$8,E476)*2*PI()/60, INDEX('Route Data'!$F$7:$F$8,E476),INDEX('Route Data'!$O$7:$O$8,E476), INDEX('Route Data'!$P$7:$P$8,E476), INDEX('Route Data'!$H$7:$H$8,E476), INDEX('Route Data'!$Q$7:$Q$8,E476), INDEX('Route Data'!$M$7:$M$8,E476))</f>
        <v>0.51617226640175828</v>
      </c>
      <c r="L476" s="5">
        <f>INDEX('Route Data'!$N$7:$N$8,E476)</f>
        <v>0.4</v>
      </c>
      <c r="M476" s="8">
        <v>0.83947575092315674</v>
      </c>
      <c r="N476" s="8">
        <f>ProbStrikeFrancis(K476, I476, L476, INDEX('Route Data'!$G$7:$G$8,E476),C476, INDEX('Route Data'!$F$7:$F$8,E476), INDEX('Route Data'!$O$7:$O$8,E476), INDEX('Route Data'!$H$7:$H$18,E476))</f>
        <v>1</v>
      </c>
      <c r="O476" s="5" t="str">
        <f>IF(F476&gt;=1,IF(M476&lt;=N476,"STRIKE","pass"),IF(M476&lt;=INDEX('Route Data'!$R$7:$R$8,E476),"NO PASS","pass"))</f>
        <v>STRIKE</v>
      </c>
      <c r="P476" s="5">
        <f>IF(F476&gt;=1,IF(M476&lt;=N476,1,0),IF(M476&lt;=INDEX('Route Data'!$R$7:$R$8,E476),-1,0))</f>
        <v>1</v>
      </c>
    </row>
    <row r="477" spans="1:16">
      <c r="A477" s="5">
        <v>467</v>
      </c>
      <c r="B477" s="12">
        <v>21.55</v>
      </c>
      <c r="C477" s="12">
        <f t="shared" si="7"/>
        <v>1.8</v>
      </c>
      <c r="D477" s="8">
        <v>0.23090869188308716</v>
      </c>
      <c r="E477" s="5">
        <f>MATCH(D477,'Route Data'!$C$7:$C$8,1)</f>
        <v>2</v>
      </c>
      <c r="F477" s="5">
        <f>INDEX('Route Data'!$D$7:$D$8,E477)</f>
        <v>1</v>
      </c>
      <c r="G477" s="5" t="str">
        <f>INDEX('Route Data'!$A$7:$A$8,E477)</f>
        <v>u18</v>
      </c>
      <c r="H477" s="5">
        <f>EnergyCoeff(INDEX('Route Data'!$K$7:$K$8,E477),INDEX('Route Data'!$L$7:$L$8,E477)*2*PI()/60,INDEX('Route Data'!$F$7:$F$8,E477))</f>
        <v>0.19430699130049439</v>
      </c>
      <c r="I477" s="5">
        <f>DischargeCoeff(INDEX('Route Data'!$I$7:$I$8,E477), INDEX('Route Data'!$L$7:$L$8,E477)*2*PI()/60, INDEX('Route Data'!$F$7:$F$8,E477))</f>
        <v>0.15939200179827354</v>
      </c>
      <c r="J477" s="8">
        <f>FlowAngleRel(INDEX('Route Data'!$J$7:$J$8,E477)*INDEX('Route Data'!$I$7:$I$8,E477), INDEX('Route Data'!$L$7:$L$8,E477)*2*PI()/60, INDEX('Route Data'!$F$7:$F$8,E477),INDEX('Route Data'!$O$7:$O$8,E477), INDEX('Route Data'!$P$7:$P$8,E477),INDEX('Route Data'!$M$7:$M$8,E477))</f>
        <v>1.130811765868994</v>
      </c>
      <c r="K477" s="8">
        <f>FlowAngleAbsT(INDEX('Route Data'!$K$7:$K$8,E477), INDEX('Route Data'!$I$7:$I$8,E477), INDEX('Route Data'!$I$7:$I$8,E477)*INDEX('Route Data'!$J$7:$J$8,E477), INDEX('Route Data'!$L$7:$L$8,E477)*2*PI()/60, INDEX('Route Data'!$F$7:$F$8,E477),INDEX('Route Data'!$O$7:$O$8,E477), INDEX('Route Data'!$P$7:$P$8,E477), INDEX('Route Data'!$H$7:$H$8,E477), INDEX('Route Data'!$Q$7:$Q$8,E477), INDEX('Route Data'!$M$7:$M$8,E477))</f>
        <v>0.51617226640175828</v>
      </c>
      <c r="L477" s="5">
        <f>INDEX('Route Data'!$N$7:$N$8,E477)</f>
        <v>0.4</v>
      </c>
      <c r="M477" s="8">
        <v>0.22659474611282349</v>
      </c>
      <c r="N477" s="8">
        <f>ProbStrikeFrancis(K477, I477, L477, INDEX('Route Data'!$G$7:$G$8,E477),C477, INDEX('Route Data'!$F$7:$F$8,E477), INDEX('Route Data'!$O$7:$O$8,E477), INDEX('Route Data'!$H$7:$H$18,E477))</f>
        <v>1</v>
      </c>
      <c r="O477" s="5" t="str">
        <f>IF(F477&gt;=1,IF(M477&lt;=N477,"STRIKE","pass"),IF(M477&lt;=INDEX('Route Data'!$R$7:$R$8,E477),"NO PASS","pass"))</f>
        <v>STRIKE</v>
      </c>
      <c r="P477" s="5">
        <f>IF(F477&gt;=1,IF(M477&lt;=N477,1,0),IF(M477&lt;=INDEX('Route Data'!$R$7:$R$8,E477),-1,0))</f>
        <v>1</v>
      </c>
    </row>
    <row r="478" spans="1:16">
      <c r="A478" s="5">
        <v>468</v>
      </c>
      <c r="B478" s="12">
        <v>18</v>
      </c>
      <c r="C478" s="12">
        <f t="shared" si="7"/>
        <v>1.5</v>
      </c>
      <c r="D478" s="8">
        <v>0.62611794471740723</v>
      </c>
      <c r="E478" s="5">
        <f>MATCH(D478,'Route Data'!$C$7:$C$8,1)</f>
        <v>2</v>
      </c>
      <c r="F478" s="5">
        <f>INDEX('Route Data'!$D$7:$D$8,E478)</f>
        <v>1</v>
      </c>
      <c r="G478" s="5" t="str">
        <f>INDEX('Route Data'!$A$7:$A$8,E478)</f>
        <v>u18</v>
      </c>
      <c r="H478" s="5">
        <f>EnergyCoeff(INDEX('Route Data'!$K$7:$K$8,E478),INDEX('Route Data'!$L$7:$L$8,E478)*2*PI()/60,INDEX('Route Data'!$F$7:$F$8,E478))</f>
        <v>0.19430699130049439</v>
      </c>
      <c r="I478" s="5">
        <f>DischargeCoeff(INDEX('Route Data'!$I$7:$I$8,E478), INDEX('Route Data'!$L$7:$L$8,E478)*2*PI()/60, INDEX('Route Data'!$F$7:$F$8,E478))</f>
        <v>0.15939200179827354</v>
      </c>
      <c r="J478" s="8">
        <f>FlowAngleRel(INDEX('Route Data'!$J$7:$J$8,E478)*INDEX('Route Data'!$I$7:$I$8,E478), INDEX('Route Data'!$L$7:$L$8,E478)*2*PI()/60, INDEX('Route Data'!$F$7:$F$8,E478),INDEX('Route Data'!$O$7:$O$8,E478), INDEX('Route Data'!$P$7:$P$8,E478),INDEX('Route Data'!$M$7:$M$8,E478))</f>
        <v>1.130811765868994</v>
      </c>
      <c r="K478" s="8">
        <f>FlowAngleAbsT(INDEX('Route Data'!$K$7:$K$8,E478), INDEX('Route Data'!$I$7:$I$8,E478), INDEX('Route Data'!$I$7:$I$8,E478)*INDEX('Route Data'!$J$7:$J$8,E478), INDEX('Route Data'!$L$7:$L$8,E478)*2*PI()/60, INDEX('Route Data'!$F$7:$F$8,E478),INDEX('Route Data'!$O$7:$O$8,E478), INDEX('Route Data'!$P$7:$P$8,E478), INDEX('Route Data'!$H$7:$H$8,E478), INDEX('Route Data'!$Q$7:$Q$8,E478), INDEX('Route Data'!$M$7:$M$8,E478))</f>
        <v>0.51617226640175828</v>
      </c>
      <c r="L478" s="5">
        <f>INDEX('Route Data'!$N$7:$N$8,E478)</f>
        <v>0.4</v>
      </c>
      <c r="M478" s="8">
        <v>0.33081698417663574</v>
      </c>
      <c r="N478" s="8">
        <f>ProbStrikeFrancis(K478, I478, L478, INDEX('Route Data'!$G$7:$G$8,E478),C478, INDEX('Route Data'!$F$7:$F$8,E478), INDEX('Route Data'!$O$7:$O$8,E478), INDEX('Route Data'!$H$7:$H$18,E478))</f>
        <v>1</v>
      </c>
      <c r="O478" s="5" t="str">
        <f>IF(F478&gt;=1,IF(M478&lt;=N478,"STRIKE","pass"),IF(M478&lt;=INDEX('Route Data'!$R$7:$R$8,E478),"NO PASS","pass"))</f>
        <v>STRIKE</v>
      </c>
      <c r="P478" s="5">
        <f>IF(F478&gt;=1,IF(M478&lt;=N478,1,0),IF(M478&lt;=INDEX('Route Data'!$R$7:$R$8,E478),-1,0))</f>
        <v>1</v>
      </c>
    </row>
    <row r="479" spans="1:16">
      <c r="A479" s="5">
        <v>469</v>
      </c>
      <c r="B479" s="12">
        <v>20.64</v>
      </c>
      <c r="C479" s="12">
        <f t="shared" si="7"/>
        <v>1.72</v>
      </c>
      <c r="D479" s="8">
        <v>0.17491096258163452</v>
      </c>
      <c r="E479" s="5">
        <f>MATCH(D479,'Route Data'!$C$7:$C$8,1)</f>
        <v>2</v>
      </c>
      <c r="F479" s="5">
        <f>INDEX('Route Data'!$D$7:$D$8,E479)</f>
        <v>1</v>
      </c>
      <c r="G479" s="5" t="str">
        <f>INDEX('Route Data'!$A$7:$A$8,E479)</f>
        <v>u18</v>
      </c>
      <c r="H479" s="5">
        <f>EnergyCoeff(INDEX('Route Data'!$K$7:$K$8,E479),INDEX('Route Data'!$L$7:$L$8,E479)*2*PI()/60,INDEX('Route Data'!$F$7:$F$8,E479))</f>
        <v>0.19430699130049439</v>
      </c>
      <c r="I479" s="5">
        <f>DischargeCoeff(INDEX('Route Data'!$I$7:$I$8,E479), INDEX('Route Data'!$L$7:$L$8,E479)*2*PI()/60, INDEX('Route Data'!$F$7:$F$8,E479))</f>
        <v>0.15939200179827354</v>
      </c>
      <c r="J479" s="8">
        <f>FlowAngleRel(INDEX('Route Data'!$J$7:$J$8,E479)*INDEX('Route Data'!$I$7:$I$8,E479), INDEX('Route Data'!$L$7:$L$8,E479)*2*PI()/60, INDEX('Route Data'!$F$7:$F$8,E479),INDEX('Route Data'!$O$7:$O$8,E479), INDEX('Route Data'!$P$7:$P$8,E479),INDEX('Route Data'!$M$7:$M$8,E479))</f>
        <v>1.130811765868994</v>
      </c>
      <c r="K479" s="8">
        <f>FlowAngleAbsT(INDEX('Route Data'!$K$7:$K$8,E479), INDEX('Route Data'!$I$7:$I$8,E479), INDEX('Route Data'!$I$7:$I$8,E479)*INDEX('Route Data'!$J$7:$J$8,E479), INDEX('Route Data'!$L$7:$L$8,E479)*2*PI()/60, INDEX('Route Data'!$F$7:$F$8,E479),INDEX('Route Data'!$O$7:$O$8,E479), INDEX('Route Data'!$P$7:$P$8,E479), INDEX('Route Data'!$H$7:$H$8,E479), INDEX('Route Data'!$Q$7:$Q$8,E479), INDEX('Route Data'!$M$7:$M$8,E479))</f>
        <v>0.51617226640175828</v>
      </c>
      <c r="L479" s="5">
        <f>INDEX('Route Data'!$N$7:$N$8,E479)</f>
        <v>0.4</v>
      </c>
      <c r="M479" s="8">
        <v>0.48699182271957397</v>
      </c>
      <c r="N479" s="8">
        <f>ProbStrikeFrancis(K479, I479, L479, INDEX('Route Data'!$G$7:$G$8,E479),C479, INDEX('Route Data'!$F$7:$F$8,E479), INDEX('Route Data'!$O$7:$O$8,E479), INDEX('Route Data'!$H$7:$H$18,E479))</f>
        <v>1</v>
      </c>
      <c r="O479" s="5" t="str">
        <f>IF(F479&gt;=1,IF(M479&lt;=N479,"STRIKE","pass"),IF(M479&lt;=INDEX('Route Data'!$R$7:$R$8,E479),"NO PASS","pass"))</f>
        <v>STRIKE</v>
      </c>
      <c r="P479" s="5">
        <f>IF(F479&gt;=1,IF(M479&lt;=N479,1,0),IF(M479&lt;=INDEX('Route Data'!$R$7:$R$8,E479),-1,0))</f>
        <v>1</v>
      </c>
    </row>
    <row r="480" spans="1:16">
      <c r="A480" s="5">
        <v>470</v>
      </c>
      <c r="B480" s="12">
        <v>21.6</v>
      </c>
      <c r="C480" s="12">
        <f t="shared" si="7"/>
        <v>1.8</v>
      </c>
      <c r="D480" s="8">
        <v>0.26295268535614014</v>
      </c>
      <c r="E480" s="5">
        <f>MATCH(D480,'Route Data'!$C$7:$C$8,1)</f>
        <v>2</v>
      </c>
      <c r="F480" s="5">
        <f>INDEX('Route Data'!$D$7:$D$8,E480)</f>
        <v>1</v>
      </c>
      <c r="G480" s="5" t="str">
        <f>INDEX('Route Data'!$A$7:$A$8,E480)</f>
        <v>u18</v>
      </c>
      <c r="H480" s="5">
        <f>EnergyCoeff(INDEX('Route Data'!$K$7:$K$8,E480),INDEX('Route Data'!$L$7:$L$8,E480)*2*PI()/60,INDEX('Route Data'!$F$7:$F$8,E480))</f>
        <v>0.19430699130049439</v>
      </c>
      <c r="I480" s="5">
        <f>DischargeCoeff(INDEX('Route Data'!$I$7:$I$8,E480), INDEX('Route Data'!$L$7:$L$8,E480)*2*PI()/60, INDEX('Route Data'!$F$7:$F$8,E480))</f>
        <v>0.15939200179827354</v>
      </c>
      <c r="J480" s="8">
        <f>FlowAngleRel(INDEX('Route Data'!$J$7:$J$8,E480)*INDEX('Route Data'!$I$7:$I$8,E480), INDEX('Route Data'!$L$7:$L$8,E480)*2*PI()/60, INDEX('Route Data'!$F$7:$F$8,E480),INDEX('Route Data'!$O$7:$O$8,E480), INDEX('Route Data'!$P$7:$P$8,E480),INDEX('Route Data'!$M$7:$M$8,E480))</f>
        <v>1.130811765868994</v>
      </c>
      <c r="K480" s="8">
        <f>FlowAngleAbsT(INDEX('Route Data'!$K$7:$K$8,E480), INDEX('Route Data'!$I$7:$I$8,E480), INDEX('Route Data'!$I$7:$I$8,E480)*INDEX('Route Data'!$J$7:$J$8,E480), INDEX('Route Data'!$L$7:$L$8,E480)*2*PI()/60, INDEX('Route Data'!$F$7:$F$8,E480),INDEX('Route Data'!$O$7:$O$8,E480), INDEX('Route Data'!$P$7:$P$8,E480), INDEX('Route Data'!$H$7:$H$8,E480), INDEX('Route Data'!$Q$7:$Q$8,E480), INDEX('Route Data'!$M$7:$M$8,E480))</f>
        <v>0.51617226640175828</v>
      </c>
      <c r="L480" s="5">
        <f>INDEX('Route Data'!$N$7:$N$8,E480)</f>
        <v>0.4</v>
      </c>
      <c r="M480" s="8">
        <v>0.28404653072357178</v>
      </c>
      <c r="N480" s="8">
        <f>ProbStrikeFrancis(K480, I480, L480, INDEX('Route Data'!$G$7:$G$8,E480),C480, INDEX('Route Data'!$F$7:$F$8,E480), INDEX('Route Data'!$O$7:$O$8,E480), INDEX('Route Data'!$H$7:$H$18,E480))</f>
        <v>1</v>
      </c>
      <c r="O480" s="5" t="str">
        <f>IF(F480&gt;=1,IF(M480&lt;=N480,"STRIKE","pass"),IF(M480&lt;=INDEX('Route Data'!$R$7:$R$8,E480),"NO PASS","pass"))</f>
        <v>STRIKE</v>
      </c>
      <c r="P480" s="5">
        <f>IF(F480&gt;=1,IF(M480&lt;=N480,1,0),IF(M480&lt;=INDEX('Route Data'!$R$7:$R$8,E480),-1,0))</f>
        <v>1</v>
      </c>
    </row>
    <row r="481" spans="1:16">
      <c r="A481" s="5">
        <v>471</v>
      </c>
      <c r="B481" s="12">
        <v>20.98</v>
      </c>
      <c r="C481" s="12">
        <f t="shared" si="7"/>
        <v>1.75</v>
      </c>
      <c r="D481" s="8">
        <v>0.52998596429824829</v>
      </c>
      <c r="E481" s="5">
        <f>MATCH(D481,'Route Data'!$C$7:$C$8,1)</f>
        <v>2</v>
      </c>
      <c r="F481" s="5">
        <f>INDEX('Route Data'!$D$7:$D$8,E481)</f>
        <v>1</v>
      </c>
      <c r="G481" s="5" t="str">
        <f>INDEX('Route Data'!$A$7:$A$8,E481)</f>
        <v>u18</v>
      </c>
      <c r="H481" s="5">
        <f>EnergyCoeff(INDEX('Route Data'!$K$7:$K$8,E481),INDEX('Route Data'!$L$7:$L$8,E481)*2*PI()/60,INDEX('Route Data'!$F$7:$F$8,E481))</f>
        <v>0.19430699130049439</v>
      </c>
      <c r="I481" s="5">
        <f>DischargeCoeff(INDEX('Route Data'!$I$7:$I$8,E481), INDEX('Route Data'!$L$7:$L$8,E481)*2*PI()/60, INDEX('Route Data'!$F$7:$F$8,E481))</f>
        <v>0.15939200179827354</v>
      </c>
      <c r="J481" s="8">
        <f>FlowAngleRel(INDEX('Route Data'!$J$7:$J$8,E481)*INDEX('Route Data'!$I$7:$I$8,E481), INDEX('Route Data'!$L$7:$L$8,E481)*2*PI()/60, INDEX('Route Data'!$F$7:$F$8,E481),INDEX('Route Data'!$O$7:$O$8,E481), INDEX('Route Data'!$P$7:$P$8,E481),INDEX('Route Data'!$M$7:$M$8,E481))</f>
        <v>1.130811765868994</v>
      </c>
      <c r="K481" s="8">
        <f>FlowAngleAbsT(INDEX('Route Data'!$K$7:$K$8,E481), INDEX('Route Data'!$I$7:$I$8,E481), INDEX('Route Data'!$I$7:$I$8,E481)*INDEX('Route Data'!$J$7:$J$8,E481), INDEX('Route Data'!$L$7:$L$8,E481)*2*PI()/60, INDEX('Route Data'!$F$7:$F$8,E481),INDEX('Route Data'!$O$7:$O$8,E481), INDEX('Route Data'!$P$7:$P$8,E481), INDEX('Route Data'!$H$7:$H$8,E481), INDEX('Route Data'!$Q$7:$Q$8,E481), INDEX('Route Data'!$M$7:$M$8,E481))</f>
        <v>0.51617226640175828</v>
      </c>
      <c r="L481" s="5">
        <f>INDEX('Route Data'!$N$7:$N$8,E481)</f>
        <v>0.4</v>
      </c>
      <c r="M481" s="8">
        <v>0.89288240671157837</v>
      </c>
      <c r="N481" s="8">
        <f>ProbStrikeFrancis(K481, I481, L481, INDEX('Route Data'!$G$7:$G$8,E481),C481, INDEX('Route Data'!$F$7:$F$8,E481), INDEX('Route Data'!$O$7:$O$8,E481), INDEX('Route Data'!$H$7:$H$18,E481))</f>
        <v>1</v>
      </c>
      <c r="O481" s="5" t="str">
        <f>IF(F481&gt;=1,IF(M481&lt;=N481,"STRIKE","pass"),IF(M481&lt;=INDEX('Route Data'!$R$7:$R$8,E481),"NO PASS","pass"))</f>
        <v>STRIKE</v>
      </c>
      <c r="P481" s="5">
        <f>IF(F481&gt;=1,IF(M481&lt;=N481,1,0),IF(M481&lt;=INDEX('Route Data'!$R$7:$R$8,E481),-1,0))</f>
        <v>1</v>
      </c>
    </row>
    <row r="482" spans="1:16">
      <c r="A482" s="5">
        <v>472</v>
      </c>
      <c r="B482" s="12">
        <v>22.77</v>
      </c>
      <c r="C482" s="12">
        <f t="shared" si="7"/>
        <v>1.9</v>
      </c>
      <c r="D482" s="8">
        <v>0.46330690383911133</v>
      </c>
      <c r="E482" s="5">
        <f>MATCH(D482,'Route Data'!$C$7:$C$8,1)</f>
        <v>2</v>
      </c>
      <c r="F482" s="5">
        <f>INDEX('Route Data'!$D$7:$D$8,E482)</f>
        <v>1</v>
      </c>
      <c r="G482" s="5" t="str">
        <f>INDEX('Route Data'!$A$7:$A$8,E482)</f>
        <v>u18</v>
      </c>
      <c r="H482" s="5">
        <f>EnergyCoeff(INDEX('Route Data'!$K$7:$K$8,E482),INDEX('Route Data'!$L$7:$L$8,E482)*2*PI()/60,INDEX('Route Data'!$F$7:$F$8,E482))</f>
        <v>0.19430699130049439</v>
      </c>
      <c r="I482" s="5">
        <f>DischargeCoeff(INDEX('Route Data'!$I$7:$I$8,E482), INDEX('Route Data'!$L$7:$L$8,E482)*2*PI()/60, INDEX('Route Data'!$F$7:$F$8,E482))</f>
        <v>0.15939200179827354</v>
      </c>
      <c r="J482" s="8">
        <f>FlowAngleRel(INDEX('Route Data'!$J$7:$J$8,E482)*INDEX('Route Data'!$I$7:$I$8,E482), INDEX('Route Data'!$L$7:$L$8,E482)*2*PI()/60, INDEX('Route Data'!$F$7:$F$8,E482),INDEX('Route Data'!$O$7:$O$8,E482), INDEX('Route Data'!$P$7:$P$8,E482),INDEX('Route Data'!$M$7:$M$8,E482))</f>
        <v>1.130811765868994</v>
      </c>
      <c r="K482" s="8">
        <f>FlowAngleAbsT(INDEX('Route Data'!$K$7:$K$8,E482), INDEX('Route Data'!$I$7:$I$8,E482), INDEX('Route Data'!$I$7:$I$8,E482)*INDEX('Route Data'!$J$7:$J$8,E482), INDEX('Route Data'!$L$7:$L$8,E482)*2*PI()/60, INDEX('Route Data'!$F$7:$F$8,E482),INDEX('Route Data'!$O$7:$O$8,E482), INDEX('Route Data'!$P$7:$P$8,E482), INDEX('Route Data'!$H$7:$H$8,E482), INDEX('Route Data'!$Q$7:$Q$8,E482), INDEX('Route Data'!$M$7:$M$8,E482))</f>
        <v>0.51617226640175828</v>
      </c>
      <c r="L482" s="5">
        <f>INDEX('Route Data'!$N$7:$N$8,E482)</f>
        <v>0.4</v>
      </c>
      <c r="M482" s="8">
        <v>6.6374778747558594E-2</v>
      </c>
      <c r="N482" s="8">
        <f>ProbStrikeFrancis(K482, I482, L482, INDEX('Route Data'!$G$7:$G$8,E482),C482, INDEX('Route Data'!$F$7:$F$8,E482), INDEX('Route Data'!$O$7:$O$8,E482), INDEX('Route Data'!$H$7:$H$18,E482))</f>
        <v>1</v>
      </c>
      <c r="O482" s="5" t="str">
        <f>IF(F482&gt;=1,IF(M482&lt;=N482,"STRIKE","pass"),IF(M482&lt;=INDEX('Route Data'!$R$7:$R$8,E482),"NO PASS","pass"))</f>
        <v>STRIKE</v>
      </c>
      <c r="P482" s="5">
        <f>IF(F482&gt;=1,IF(M482&lt;=N482,1,0),IF(M482&lt;=INDEX('Route Data'!$R$7:$R$8,E482),-1,0))</f>
        <v>1</v>
      </c>
    </row>
    <row r="483" spans="1:16">
      <c r="A483" s="5">
        <v>473</v>
      </c>
      <c r="B483" s="12">
        <v>25.96</v>
      </c>
      <c r="C483" s="12">
        <f t="shared" si="7"/>
        <v>2.16</v>
      </c>
      <c r="D483" s="8">
        <v>0.13218563795089722</v>
      </c>
      <c r="E483" s="5">
        <f>MATCH(D483,'Route Data'!$C$7:$C$8,1)</f>
        <v>2</v>
      </c>
      <c r="F483" s="5">
        <f>INDEX('Route Data'!$D$7:$D$8,E483)</f>
        <v>1</v>
      </c>
      <c r="G483" s="5" t="str">
        <f>INDEX('Route Data'!$A$7:$A$8,E483)</f>
        <v>u18</v>
      </c>
      <c r="H483" s="5">
        <f>EnergyCoeff(INDEX('Route Data'!$K$7:$K$8,E483),INDEX('Route Data'!$L$7:$L$8,E483)*2*PI()/60,INDEX('Route Data'!$F$7:$F$8,E483))</f>
        <v>0.19430699130049439</v>
      </c>
      <c r="I483" s="5">
        <f>DischargeCoeff(INDEX('Route Data'!$I$7:$I$8,E483), INDEX('Route Data'!$L$7:$L$8,E483)*2*PI()/60, INDEX('Route Data'!$F$7:$F$8,E483))</f>
        <v>0.15939200179827354</v>
      </c>
      <c r="J483" s="8">
        <f>FlowAngleRel(INDEX('Route Data'!$J$7:$J$8,E483)*INDEX('Route Data'!$I$7:$I$8,E483), INDEX('Route Data'!$L$7:$L$8,E483)*2*PI()/60, INDEX('Route Data'!$F$7:$F$8,E483),INDEX('Route Data'!$O$7:$O$8,E483), INDEX('Route Data'!$P$7:$P$8,E483),INDEX('Route Data'!$M$7:$M$8,E483))</f>
        <v>1.130811765868994</v>
      </c>
      <c r="K483" s="8">
        <f>FlowAngleAbsT(INDEX('Route Data'!$K$7:$K$8,E483), INDEX('Route Data'!$I$7:$I$8,E483), INDEX('Route Data'!$I$7:$I$8,E483)*INDEX('Route Data'!$J$7:$J$8,E483), INDEX('Route Data'!$L$7:$L$8,E483)*2*PI()/60, INDEX('Route Data'!$F$7:$F$8,E483),INDEX('Route Data'!$O$7:$O$8,E483), INDEX('Route Data'!$P$7:$P$8,E483), INDEX('Route Data'!$H$7:$H$8,E483), INDEX('Route Data'!$Q$7:$Q$8,E483), INDEX('Route Data'!$M$7:$M$8,E483))</f>
        <v>0.51617226640175828</v>
      </c>
      <c r="L483" s="5">
        <f>INDEX('Route Data'!$N$7:$N$8,E483)</f>
        <v>0.4</v>
      </c>
      <c r="M483" s="8">
        <v>7.705610990524292E-2</v>
      </c>
      <c r="N483" s="8">
        <f>ProbStrikeFrancis(K483, I483, L483, INDEX('Route Data'!$G$7:$G$8,E483),C483, INDEX('Route Data'!$F$7:$F$8,E483), INDEX('Route Data'!$O$7:$O$8,E483), INDEX('Route Data'!$H$7:$H$18,E483))</f>
        <v>1</v>
      </c>
      <c r="O483" s="5" t="str">
        <f>IF(F483&gt;=1,IF(M483&lt;=N483,"STRIKE","pass"),IF(M483&lt;=INDEX('Route Data'!$R$7:$R$8,E483),"NO PASS","pass"))</f>
        <v>STRIKE</v>
      </c>
      <c r="P483" s="5">
        <f>IF(F483&gt;=1,IF(M483&lt;=N483,1,0),IF(M483&lt;=INDEX('Route Data'!$R$7:$R$8,E483),-1,0))</f>
        <v>1</v>
      </c>
    </row>
    <row r="484" spans="1:16">
      <c r="A484" s="5">
        <v>474</v>
      </c>
      <c r="B484" s="12">
        <v>19.309999999999999</v>
      </c>
      <c r="C484" s="12">
        <f t="shared" si="7"/>
        <v>1.61</v>
      </c>
      <c r="D484" s="8">
        <v>0.39112865924835205</v>
      </c>
      <c r="E484" s="5">
        <f>MATCH(D484,'Route Data'!$C$7:$C$8,1)</f>
        <v>2</v>
      </c>
      <c r="F484" s="5">
        <f>INDEX('Route Data'!$D$7:$D$8,E484)</f>
        <v>1</v>
      </c>
      <c r="G484" s="5" t="str">
        <f>INDEX('Route Data'!$A$7:$A$8,E484)</f>
        <v>u18</v>
      </c>
      <c r="H484" s="5">
        <f>EnergyCoeff(INDEX('Route Data'!$K$7:$K$8,E484),INDEX('Route Data'!$L$7:$L$8,E484)*2*PI()/60,INDEX('Route Data'!$F$7:$F$8,E484))</f>
        <v>0.19430699130049439</v>
      </c>
      <c r="I484" s="5">
        <f>DischargeCoeff(INDEX('Route Data'!$I$7:$I$8,E484), INDEX('Route Data'!$L$7:$L$8,E484)*2*PI()/60, INDEX('Route Data'!$F$7:$F$8,E484))</f>
        <v>0.15939200179827354</v>
      </c>
      <c r="J484" s="8">
        <f>FlowAngleRel(INDEX('Route Data'!$J$7:$J$8,E484)*INDEX('Route Data'!$I$7:$I$8,E484), INDEX('Route Data'!$L$7:$L$8,E484)*2*PI()/60, INDEX('Route Data'!$F$7:$F$8,E484),INDEX('Route Data'!$O$7:$O$8,E484), INDEX('Route Data'!$P$7:$P$8,E484),INDEX('Route Data'!$M$7:$M$8,E484))</f>
        <v>1.130811765868994</v>
      </c>
      <c r="K484" s="8">
        <f>FlowAngleAbsT(INDEX('Route Data'!$K$7:$K$8,E484), INDEX('Route Data'!$I$7:$I$8,E484), INDEX('Route Data'!$I$7:$I$8,E484)*INDEX('Route Data'!$J$7:$J$8,E484), INDEX('Route Data'!$L$7:$L$8,E484)*2*PI()/60, INDEX('Route Data'!$F$7:$F$8,E484),INDEX('Route Data'!$O$7:$O$8,E484), INDEX('Route Data'!$P$7:$P$8,E484), INDEX('Route Data'!$H$7:$H$8,E484), INDEX('Route Data'!$Q$7:$Q$8,E484), INDEX('Route Data'!$M$7:$M$8,E484))</f>
        <v>0.51617226640175828</v>
      </c>
      <c r="L484" s="5">
        <f>INDEX('Route Data'!$N$7:$N$8,E484)</f>
        <v>0.4</v>
      </c>
      <c r="M484" s="8">
        <v>4.5012116432189941E-2</v>
      </c>
      <c r="N484" s="8">
        <f>ProbStrikeFrancis(K484, I484, L484, INDEX('Route Data'!$G$7:$G$8,E484),C484, INDEX('Route Data'!$F$7:$F$8,E484), INDEX('Route Data'!$O$7:$O$8,E484), INDEX('Route Data'!$H$7:$H$18,E484))</f>
        <v>1</v>
      </c>
      <c r="O484" s="5" t="str">
        <f>IF(F484&gt;=1,IF(M484&lt;=N484,"STRIKE","pass"),IF(M484&lt;=INDEX('Route Data'!$R$7:$R$8,E484),"NO PASS","pass"))</f>
        <v>STRIKE</v>
      </c>
      <c r="P484" s="5">
        <f>IF(F484&gt;=1,IF(M484&lt;=N484,1,0),IF(M484&lt;=INDEX('Route Data'!$R$7:$R$8,E484),-1,0))</f>
        <v>1</v>
      </c>
    </row>
    <row r="485" spans="1:16">
      <c r="A485" s="5">
        <v>475</v>
      </c>
      <c r="B485" s="12">
        <v>20.83</v>
      </c>
      <c r="C485" s="12">
        <f t="shared" si="7"/>
        <v>1.74</v>
      </c>
      <c r="D485" s="8">
        <v>0.87987881898880005</v>
      </c>
      <c r="E485" s="5">
        <f>MATCH(D485,'Route Data'!$C$7:$C$8,1)</f>
        <v>2</v>
      </c>
      <c r="F485" s="5">
        <f>INDEX('Route Data'!$D$7:$D$8,E485)</f>
        <v>1</v>
      </c>
      <c r="G485" s="5" t="str">
        <f>INDEX('Route Data'!$A$7:$A$8,E485)</f>
        <v>u18</v>
      </c>
      <c r="H485" s="5">
        <f>EnergyCoeff(INDEX('Route Data'!$K$7:$K$8,E485),INDEX('Route Data'!$L$7:$L$8,E485)*2*PI()/60,INDEX('Route Data'!$F$7:$F$8,E485))</f>
        <v>0.19430699130049439</v>
      </c>
      <c r="I485" s="5">
        <f>DischargeCoeff(INDEX('Route Data'!$I$7:$I$8,E485), INDEX('Route Data'!$L$7:$L$8,E485)*2*PI()/60, INDEX('Route Data'!$F$7:$F$8,E485))</f>
        <v>0.15939200179827354</v>
      </c>
      <c r="J485" s="8">
        <f>FlowAngleRel(INDEX('Route Data'!$J$7:$J$8,E485)*INDEX('Route Data'!$I$7:$I$8,E485), INDEX('Route Data'!$L$7:$L$8,E485)*2*PI()/60, INDEX('Route Data'!$F$7:$F$8,E485),INDEX('Route Data'!$O$7:$O$8,E485), INDEX('Route Data'!$P$7:$P$8,E485),INDEX('Route Data'!$M$7:$M$8,E485))</f>
        <v>1.130811765868994</v>
      </c>
      <c r="K485" s="8">
        <f>FlowAngleAbsT(INDEX('Route Data'!$K$7:$K$8,E485), INDEX('Route Data'!$I$7:$I$8,E485), INDEX('Route Data'!$I$7:$I$8,E485)*INDEX('Route Data'!$J$7:$J$8,E485), INDEX('Route Data'!$L$7:$L$8,E485)*2*PI()/60, INDEX('Route Data'!$F$7:$F$8,E485),INDEX('Route Data'!$O$7:$O$8,E485), INDEX('Route Data'!$P$7:$P$8,E485), INDEX('Route Data'!$H$7:$H$8,E485), INDEX('Route Data'!$Q$7:$Q$8,E485), INDEX('Route Data'!$M$7:$M$8,E485))</f>
        <v>0.51617226640175828</v>
      </c>
      <c r="L485" s="5">
        <f>INDEX('Route Data'!$N$7:$N$8,E485)</f>
        <v>0.4</v>
      </c>
      <c r="M485" s="8">
        <v>0.14114409685134888</v>
      </c>
      <c r="N485" s="8">
        <f>ProbStrikeFrancis(K485, I485, L485, INDEX('Route Data'!$G$7:$G$8,E485),C485, INDEX('Route Data'!$F$7:$F$8,E485), INDEX('Route Data'!$O$7:$O$8,E485), INDEX('Route Data'!$H$7:$H$18,E485))</f>
        <v>1</v>
      </c>
      <c r="O485" s="5" t="str">
        <f>IF(F485&gt;=1,IF(M485&lt;=N485,"STRIKE","pass"),IF(M485&lt;=INDEX('Route Data'!$R$7:$R$8,E485),"NO PASS","pass"))</f>
        <v>STRIKE</v>
      </c>
      <c r="P485" s="5">
        <f>IF(F485&gt;=1,IF(M485&lt;=N485,1,0),IF(M485&lt;=INDEX('Route Data'!$R$7:$R$8,E485),-1,0))</f>
        <v>1</v>
      </c>
    </row>
    <row r="486" spans="1:16">
      <c r="A486" s="5">
        <v>476</v>
      </c>
      <c r="B486" s="12">
        <v>21.07</v>
      </c>
      <c r="C486" s="12">
        <f t="shared" si="7"/>
        <v>1.76</v>
      </c>
      <c r="D486" s="8">
        <v>0.88246989250183105</v>
      </c>
      <c r="E486" s="5">
        <f>MATCH(D486,'Route Data'!$C$7:$C$8,1)</f>
        <v>2</v>
      </c>
      <c r="F486" s="5">
        <f>INDEX('Route Data'!$D$7:$D$8,E486)</f>
        <v>1</v>
      </c>
      <c r="G486" s="5" t="str">
        <f>INDEX('Route Data'!$A$7:$A$8,E486)</f>
        <v>u18</v>
      </c>
      <c r="H486" s="5">
        <f>EnergyCoeff(INDEX('Route Data'!$K$7:$K$8,E486),INDEX('Route Data'!$L$7:$L$8,E486)*2*PI()/60,INDEX('Route Data'!$F$7:$F$8,E486))</f>
        <v>0.19430699130049439</v>
      </c>
      <c r="I486" s="5">
        <f>DischargeCoeff(INDEX('Route Data'!$I$7:$I$8,E486), INDEX('Route Data'!$L$7:$L$8,E486)*2*PI()/60, INDEX('Route Data'!$F$7:$F$8,E486))</f>
        <v>0.15939200179827354</v>
      </c>
      <c r="J486" s="8">
        <f>FlowAngleRel(INDEX('Route Data'!$J$7:$J$8,E486)*INDEX('Route Data'!$I$7:$I$8,E486), INDEX('Route Data'!$L$7:$L$8,E486)*2*PI()/60, INDEX('Route Data'!$F$7:$F$8,E486),INDEX('Route Data'!$O$7:$O$8,E486), INDEX('Route Data'!$P$7:$P$8,E486),INDEX('Route Data'!$M$7:$M$8,E486))</f>
        <v>1.130811765868994</v>
      </c>
      <c r="K486" s="8">
        <f>FlowAngleAbsT(INDEX('Route Data'!$K$7:$K$8,E486), INDEX('Route Data'!$I$7:$I$8,E486), INDEX('Route Data'!$I$7:$I$8,E486)*INDEX('Route Data'!$J$7:$J$8,E486), INDEX('Route Data'!$L$7:$L$8,E486)*2*PI()/60, INDEX('Route Data'!$F$7:$F$8,E486),INDEX('Route Data'!$O$7:$O$8,E486), INDEX('Route Data'!$P$7:$P$8,E486), INDEX('Route Data'!$H$7:$H$8,E486), INDEX('Route Data'!$Q$7:$Q$8,E486), INDEX('Route Data'!$M$7:$M$8,E486))</f>
        <v>0.51617226640175828</v>
      </c>
      <c r="L486" s="5">
        <f>INDEX('Route Data'!$N$7:$N$8,E486)</f>
        <v>0.4</v>
      </c>
      <c r="M486" s="8">
        <v>0.58716893196105957</v>
      </c>
      <c r="N486" s="8">
        <f>ProbStrikeFrancis(K486, I486, L486, INDEX('Route Data'!$G$7:$G$8,E486),C486, INDEX('Route Data'!$F$7:$F$8,E486), INDEX('Route Data'!$O$7:$O$8,E486), INDEX('Route Data'!$H$7:$H$18,E486))</f>
        <v>1</v>
      </c>
      <c r="O486" s="5" t="str">
        <f>IF(F486&gt;=1,IF(M486&lt;=N486,"STRIKE","pass"),IF(M486&lt;=INDEX('Route Data'!$R$7:$R$8,E486),"NO PASS","pass"))</f>
        <v>STRIKE</v>
      </c>
      <c r="P486" s="5">
        <f>IF(F486&gt;=1,IF(M486&lt;=N486,1,0),IF(M486&lt;=INDEX('Route Data'!$R$7:$R$8,E486),-1,0))</f>
        <v>1</v>
      </c>
    </row>
    <row r="487" spans="1:16">
      <c r="A487" s="5">
        <v>477</v>
      </c>
      <c r="B487" s="12">
        <v>22.52</v>
      </c>
      <c r="C487" s="12">
        <f t="shared" si="7"/>
        <v>1.88</v>
      </c>
      <c r="D487" s="8">
        <v>0.40585511922836304</v>
      </c>
      <c r="E487" s="5">
        <f>MATCH(D487,'Route Data'!$C$7:$C$8,1)</f>
        <v>2</v>
      </c>
      <c r="F487" s="5">
        <f>INDEX('Route Data'!$D$7:$D$8,E487)</f>
        <v>1</v>
      </c>
      <c r="G487" s="5" t="str">
        <f>INDEX('Route Data'!$A$7:$A$8,E487)</f>
        <v>u18</v>
      </c>
      <c r="H487" s="5">
        <f>EnergyCoeff(INDEX('Route Data'!$K$7:$K$8,E487),INDEX('Route Data'!$L$7:$L$8,E487)*2*PI()/60,INDEX('Route Data'!$F$7:$F$8,E487))</f>
        <v>0.19430699130049439</v>
      </c>
      <c r="I487" s="5">
        <f>DischargeCoeff(INDEX('Route Data'!$I$7:$I$8,E487), INDEX('Route Data'!$L$7:$L$8,E487)*2*PI()/60, INDEX('Route Data'!$F$7:$F$8,E487))</f>
        <v>0.15939200179827354</v>
      </c>
      <c r="J487" s="8">
        <f>FlowAngleRel(INDEX('Route Data'!$J$7:$J$8,E487)*INDEX('Route Data'!$I$7:$I$8,E487), INDEX('Route Data'!$L$7:$L$8,E487)*2*PI()/60, INDEX('Route Data'!$F$7:$F$8,E487),INDEX('Route Data'!$O$7:$O$8,E487), INDEX('Route Data'!$P$7:$P$8,E487),INDEX('Route Data'!$M$7:$M$8,E487))</f>
        <v>1.130811765868994</v>
      </c>
      <c r="K487" s="8">
        <f>FlowAngleAbsT(INDEX('Route Data'!$K$7:$K$8,E487), INDEX('Route Data'!$I$7:$I$8,E487), INDEX('Route Data'!$I$7:$I$8,E487)*INDEX('Route Data'!$J$7:$J$8,E487), INDEX('Route Data'!$L$7:$L$8,E487)*2*PI()/60, INDEX('Route Data'!$F$7:$F$8,E487),INDEX('Route Data'!$O$7:$O$8,E487), INDEX('Route Data'!$P$7:$P$8,E487), INDEX('Route Data'!$H$7:$H$8,E487), INDEX('Route Data'!$Q$7:$Q$8,E487), INDEX('Route Data'!$M$7:$M$8,E487))</f>
        <v>0.51617226640175828</v>
      </c>
      <c r="L487" s="5">
        <f>INDEX('Route Data'!$N$7:$N$8,E487)</f>
        <v>0.4</v>
      </c>
      <c r="M487" s="8">
        <v>0.71793597936630249</v>
      </c>
      <c r="N487" s="8">
        <f>ProbStrikeFrancis(K487, I487, L487, INDEX('Route Data'!$G$7:$G$8,E487),C487, INDEX('Route Data'!$F$7:$F$8,E487), INDEX('Route Data'!$O$7:$O$8,E487), INDEX('Route Data'!$H$7:$H$18,E487))</f>
        <v>1</v>
      </c>
      <c r="O487" s="5" t="str">
        <f>IF(F487&gt;=1,IF(M487&lt;=N487,"STRIKE","pass"),IF(M487&lt;=INDEX('Route Data'!$R$7:$R$8,E487),"NO PASS","pass"))</f>
        <v>STRIKE</v>
      </c>
      <c r="P487" s="5">
        <f>IF(F487&gt;=1,IF(M487&lt;=N487,1,0),IF(M487&lt;=INDEX('Route Data'!$R$7:$R$8,E487),-1,0))</f>
        <v>1</v>
      </c>
    </row>
    <row r="488" spans="1:16">
      <c r="A488" s="5">
        <v>478</v>
      </c>
      <c r="B488" s="12">
        <v>28.27</v>
      </c>
      <c r="C488" s="12">
        <f t="shared" si="7"/>
        <v>2.36</v>
      </c>
      <c r="D488" s="8">
        <v>0.57012021541595459</v>
      </c>
      <c r="E488" s="5">
        <f>MATCH(D488,'Route Data'!$C$7:$C$8,1)</f>
        <v>2</v>
      </c>
      <c r="F488" s="5">
        <f>INDEX('Route Data'!$D$7:$D$8,E488)</f>
        <v>1</v>
      </c>
      <c r="G488" s="5" t="str">
        <f>INDEX('Route Data'!$A$7:$A$8,E488)</f>
        <v>u18</v>
      </c>
      <c r="H488" s="5">
        <f>EnergyCoeff(INDEX('Route Data'!$K$7:$K$8,E488),INDEX('Route Data'!$L$7:$L$8,E488)*2*PI()/60,INDEX('Route Data'!$F$7:$F$8,E488))</f>
        <v>0.19430699130049439</v>
      </c>
      <c r="I488" s="5">
        <f>DischargeCoeff(INDEX('Route Data'!$I$7:$I$8,E488), INDEX('Route Data'!$L$7:$L$8,E488)*2*PI()/60, INDEX('Route Data'!$F$7:$F$8,E488))</f>
        <v>0.15939200179827354</v>
      </c>
      <c r="J488" s="8">
        <f>FlowAngleRel(INDEX('Route Data'!$J$7:$J$8,E488)*INDEX('Route Data'!$I$7:$I$8,E488), INDEX('Route Data'!$L$7:$L$8,E488)*2*PI()/60, INDEX('Route Data'!$F$7:$F$8,E488),INDEX('Route Data'!$O$7:$O$8,E488), INDEX('Route Data'!$P$7:$P$8,E488),INDEX('Route Data'!$M$7:$M$8,E488))</f>
        <v>1.130811765868994</v>
      </c>
      <c r="K488" s="8">
        <f>FlowAngleAbsT(INDEX('Route Data'!$K$7:$K$8,E488), INDEX('Route Data'!$I$7:$I$8,E488), INDEX('Route Data'!$I$7:$I$8,E488)*INDEX('Route Data'!$J$7:$J$8,E488), INDEX('Route Data'!$L$7:$L$8,E488)*2*PI()/60, INDEX('Route Data'!$F$7:$F$8,E488),INDEX('Route Data'!$O$7:$O$8,E488), INDEX('Route Data'!$P$7:$P$8,E488), INDEX('Route Data'!$H$7:$H$8,E488), INDEX('Route Data'!$Q$7:$Q$8,E488), INDEX('Route Data'!$M$7:$M$8,E488))</f>
        <v>0.51617226640175828</v>
      </c>
      <c r="L488" s="5">
        <f>INDEX('Route Data'!$N$7:$N$8,E488)</f>
        <v>0.4</v>
      </c>
      <c r="M488" s="8">
        <v>0.85679328441619873</v>
      </c>
      <c r="N488" s="8">
        <f>ProbStrikeFrancis(K488, I488, L488, INDEX('Route Data'!$G$7:$G$8,E488),C488, INDEX('Route Data'!$F$7:$F$8,E488), INDEX('Route Data'!$O$7:$O$8,E488), INDEX('Route Data'!$H$7:$H$18,E488))</f>
        <v>1</v>
      </c>
      <c r="O488" s="5" t="str">
        <f>IF(F488&gt;=1,IF(M488&lt;=N488,"STRIKE","pass"),IF(M488&lt;=INDEX('Route Data'!$R$7:$R$8,E488),"NO PASS","pass"))</f>
        <v>STRIKE</v>
      </c>
      <c r="P488" s="5">
        <f>IF(F488&gt;=1,IF(M488&lt;=N488,1,0),IF(M488&lt;=INDEX('Route Data'!$R$7:$R$8,E488),-1,0))</f>
        <v>1</v>
      </c>
    </row>
    <row r="489" spans="1:16">
      <c r="A489" s="5">
        <v>479</v>
      </c>
      <c r="B489" s="12">
        <v>25.9</v>
      </c>
      <c r="C489" s="12">
        <f t="shared" si="7"/>
        <v>2.16</v>
      </c>
      <c r="D489" s="8">
        <v>0.81174570322036743</v>
      </c>
      <c r="E489" s="5">
        <f>MATCH(D489,'Route Data'!$C$7:$C$8,1)</f>
        <v>2</v>
      </c>
      <c r="F489" s="5">
        <f>INDEX('Route Data'!$D$7:$D$8,E489)</f>
        <v>1</v>
      </c>
      <c r="G489" s="5" t="str">
        <f>INDEX('Route Data'!$A$7:$A$8,E489)</f>
        <v>u18</v>
      </c>
      <c r="H489" s="5">
        <f>EnergyCoeff(INDEX('Route Data'!$K$7:$K$8,E489),INDEX('Route Data'!$L$7:$L$8,E489)*2*PI()/60,INDEX('Route Data'!$F$7:$F$8,E489))</f>
        <v>0.19430699130049439</v>
      </c>
      <c r="I489" s="5">
        <f>DischargeCoeff(INDEX('Route Data'!$I$7:$I$8,E489), INDEX('Route Data'!$L$7:$L$8,E489)*2*PI()/60, INDEX('Route Data'!$F$7:$F$8,E489))</f>
        <v>0.15939200179827354</v>
      </c>
      <c r="J489" s="8">
        <f>FlowAngleRel(INDEX('Route Data'!$J$7:$J$8,E489)*INDEX('Route Data'!$I$7:$I$8,E489), INDEX('Route Data'!$L$7:$L$8,E489)*2*PI()/60, INDEX('Route Data'!$F$7:$F$8,E489),INDEX('Route Data'!$O$7:$O$8,E489), INDEX('Route Data'!$P$7:$P$8,E489),INDEX('Route Data'!$M$7:$M$8,E489))</f>
        <v>1.130811765868994</v>
      </c>
      <c r="K489" s="8">
        <f>FlowAngleAbsT(INDEX('Route Data'!$K$7:$K$8,E489), INDEX('Route Data'!$I$7:$I$8,E489), INDEX('Route Data'!$I$7:$I$8,E489)*INDEX('Route Data'!$J$7:$J$8,E489), INDEX('Route Data'!$L$7:$L$8,E489)*2*PI()/60, INDEX('Route Data'!$F$7:$F$8,E489),INDEX('Route Data'!$O$7:$O$8,E489), INDEX('Route Data'!$P$7:$P$8,E489), INDEX('Route Data'!$H$7:$H$8,E489), INDEX('Route Data'!$Q$7:$Q$8,E489), INDEX('Route Data'!$M$7:$M$8,E489))</f>
        <v>0.51617226640175828</v>
      </c>
      <c r="L489" s="5">
        <f>INDEX('Route Data'!$N$7:$N$8,E489)</f>
        <v>0.4</v>
      </c>
      <c r="M489" s="8">
        <v>0.44022136926651001</v>
      </c>
      <c r="N489" s="8">
        <f>ProbStrikeFrancis(K489, I489, L489, INDEX('Route Data'!$G$7:$G$8,E489),C489, INDEX('Route Data'!$F$7:$F$8,E489), INDEX('Route Data'!$O$7:$O$8,E489), INDEX('Route Data'!$H$7:$H$18,E489))</f>
        <v>1</v>
      </c>
      <c r="O489" s="5" t="str">
        <f>IF(F489&gt;=1,IF(M489&lt;=N489,"STRIKE","pass"),IF(M489&lt;=INDEX('Route Data'!$R$7:$R$8,E489),"NO PASS","pass"))</f>
        <v>STRIKE</v>
      </c>
      <c r="P489" s="5">
        <f>IF(F489&gt;=1,IF(M489&lt;=N489,1,0),IF(M489&lt;=INDEX('Route Data'!$R$7:$R$8,E489),-1,0))</f>
        <v>1</v>
      </c>
    </row>
    <row r="490" spans="1:16">
      <c r="A490" s="5">
        <v>480</v>
      </c>
      <c r="B490" s="12">
        <v>21.91</v>
      </c>
      <c r="C490" s="12">
        <f t="shared" si="7"/>
        <v>1.83</v>
      </c>
      <c r="D490" s="8">
        <v>0.35244846343994141</v>
      </c>
      <c r="E490" s="5">
        <f>MATCH(D490,'Route Data'!$C$7:$C$8,1)</f>
        <v>2</v>
      </c>
      <c r="F490" s="5">
        <f>INDEX('Route Data'!$D$7:$D$8,E490)</f>
        <v>1</v>
      </c>
      <c r="G490" s="5" t="str">
        <f>INDEX('Route Data'!$A$7:$A$8,E490)</f>
        <v>u18</v>
      </c>
      <c r="H490" s="5">
        <f>EnergyCoeff(INDEX('Route Data'!$K$7:$K$8,E490),INDEX('Route Data'!$L$7:$L$8,E490)*2*PI()/60,INDEX('Route Data'!$F$7:$F$8,E490))</f>
        <v>0.19430699130049439</v>
      </c>
      <c r="I490" s="5">
        <f>DischargeCoeff(INDEX('Route Data'!$I$7:$I$8,E490), INDEX('Route Data'!$L$7:$L$8,E490)*2*PI()/60, INDEX('Route Data'!$F$7:$F$8,E490))</f>
        <v>0.15939200179827354</v>
      </c>
      <c r="J490" s="8">
        <f>FlowAngleRel(INDEX('Route Data'!$J$7:$J$8,E490)*INDEX('Route Data'!$I$7:$I$8,E490), INDEX('Route Data'!$L$7:$L$8,E490)*2*PI()/60, INDEX('Route Data'!$F$7:$F$8,E490),INDEX('Route Data'!$O$7:$O$8,E490), INDEX('Route Data'!$P$7:$P$8,E490),INDEX('Route Data'!$M$7:$M$8,E490))</f>
        <v>1.130811765868994</v>
      </c>
      <c r="K490" s="8">
        <f>FlowAngleAbsT(INDEX('Route Data'!$K$7:$K$8,E490), INDEX('Route Data'!$I$7:$I$8,E490), INDEX('Route Data'!$I$7:$I$8,E490)*INDEX('Route Data'!$J$7:$J$8,E490), INDEX('Route Data'!$L$7:$L$8,E490)*2*PI()/60, INDEX('Route Data'!$F$7:$F$8,E490),INDEX('Route Data'!$O$7:$O$8,E490), INDEX('Route Data'!$P$7:$P$8,E490), INDEX('Route Data'!$H$7:$H$8,E490), INDEX('Route Data'!$Q$7:$Q$8,E490), INDEX('Route Data'!$M$7:$M$8,E490))</f>
        <v>0.51617226640175828</v>
      </c>
      <c r="L490" s="5">
        <f>INDEX('Route Data'!$N$7:$N$8,E490)</f>
        <v>0.4</v>
      </c>
      <c r="M490" s="8">
        <v>0.68993711471557617</v>
      </c>
      <c r="N490" s="8">
        <f>ProbStrikeFrancis(K490, I490, L490, INDEX('Route Data'!$G$7:$G$8,E490),C490, INDEX('Route Data'!$F$7:$F$8,E490), INDEX('Route Data'!$O$7:$O$8,E490), INDEX('Route Data'!$H$7:$H$18,E490))</f>
        <v>1</v>
      </c>
      <c r="O490" s="5" t="str">
        <f>IF(F490&gt;=1,IF(M490&lt;=N490,"STRIKE","pass"),IF(M490&lt;=INDEX('Route Data'!$R$7:$R$8,E490),"NO PASS","pass"))</f>
        <v>STRIKE</v>
      </c>
      <c r="P490" s="5">
        <f>IF(F490&gt;=1,IF(M490&lt;=N490,1,0),IF(M490&lt;=INDEX('Route Data'!$R$7:$R$8,E490),-1,0))</f>
        <v>1</v>
      </c>
    </row>
    <row r="491" spans="1:16">
      <c r="A491" s="5">
        <v>481</v>
      </c>
      <c r="B491" s="12">
        <v>22.19</v>
      </c>
      <c r="C491" s="12">
        <f t="shared" si="7"/>
        <v>1.85</v>
      </c>
      <c r="D491" s="8">
        <v>0.73034018278121948</v>
      </c>
      <c r="E491" s="5">
        <f>MATCH(D491,'Route Data'!$C$7:$C$8,1)</f>
        <v>2</v>
      </c>
      <c r="F491" s="5">
        <f>INDEX('Route Data'!$D$7:$D$8,E491)</f>
        <v>1</v>
      </c>
      <c r="G491" s="5" t="str">
        <f>INDEX('Route Data'!$A$7:$A$8,E491)</f>
        <v>u18</v>
      </c>
      <c r="H491" s="5">
        <f>EnergyCoeff(INDEX('Route Data'!$K$7:$K$8,E491),INDEX('Route Data'!$L$7:$L$8,E491)*2*PI()/60,INDEX('Route Data'!$F$7:$F$8,E491))</f>
        <v>0.19430699130049439</v>
      </c>
      <c r="I491" s="5">
        <f>DischargeCoeff(INDEX('Route Data'!$I$7:$I$8,E491), INDEX('Route Data'!$L$7:$L$8,E491)*2*PI()/60, INDEX('Route Data'!$F$7:$F$8,E491))</f>
        <v>0.15939200179827354</v>
      </c>
      <c r="J491" s="8">
        <f>FlowAngleRel(INDEX('Route Data'!$J$7:$J$8,E491)*INDEX('Route Data'!$I$7:$I$8,E491), INDEX('Route Data'!$L$7:$L$8,E491)*2*PI()/60, INDEX('Route Data'!$F$7:$F$8,E491),INDEX('Route Data'!$O$7:$O$8,E491), INDEX('Route Data'!$P$7:$P$8,E491),INDEX('Route Data'!$M$7:$M$8,E491))</f>
        <v>1.130811765868994</v>
      </c>
      <c r="K491" s="8">
        <f>FlowAngleAbsT(INDEX('Route Data'!$K$7:$K$8,E491), INDEX('Route Data'!$I$7:$I$8,E491), INDEX('Route Data'!$I$7:$I$8,E491)*INDEX('Route Data'!$J$7:$J$8,E491), INDEX('Route Data'!$L$7:$L$8,E491)*2*PI()/60, INDEX('Route Data'!$F$7:$F$8,E491),INDEX('Route Data'!$O$7:$O$8,E491), INDEX('Route Data'!$P$7:$P$8,E491), INDEX('Route Data'!$H$7:$H$8,E491), INDEX('Route Data'!$Q$7:$Q$8,E491), INDEX('Route Data'!$M$7:$M$8,E491))</f>
        <v>0.51617226640175828</v>
      </c>
      <c r="L491" s="5">
        <f>INDEX('Route Data'!$N$7:$N$8,E491)</f>
        <v>0.4</v>
      </c>
      <c r="M491" s="8">
        <v>0.67521065473556519</v>
      </c>
      <c r="N491" s="8">
        <f>ProbStrikeFrancis(K491, I491, L491, INDEX('Route Data'!$G$7:$G$8,E491),C491, INDEX('Route Data'!$F$7:$F$8,E491), INDEX('Route Data'!$O$7:$O$8,E491), INDEX('Route Data'!$H$7:$H$18,E491))</f>
        <v>1</v>
      </c>
      <c r="O491" s="5" t="str">
        <f>IF(F491&gt;=1,IF(M491&lt;=N491,"STRIKE","pass"),IF(M491&lt;=INDEX('Route Data'!$R$7:$R$8,E491),"NO PASS","pass"))</f>
        <v>STRIKE</v>
      </c>
      <c r="P491" s="5">
        <f>IF(F491&gt;=1,IF(M491&lt;=N491,1,0),IF(M491&lt;=INDEX('Route Data'!$R$7:$R$8,E491),-1,0))</f>
        <v>1</v>
      </c>
    </row>
    <row r="492" spans="1:16">
      <c r="A492" s="5">
        <v>482</v>
      </c>
      <c r="B492" s="12">
        <v>18.41</v>
      </c>
      <c r="C492" s="12">
        <f t="shared" si="7"/>
        <v>1.53</v>
      </c>
      <c r="D492" s="8">
        <v>0.33108580112457275</v>
      </c>
      <c r="E492" s="5">
        <f>MATCH(D492,'Route Data'!$C$7:$C$8,1)</f>
        <v>2</v>
      </c>
      <c r="F492" s="5">
        <f>INDEX('Route Data'!$D$7:$D$8,E492)</f>
        <v>1</v>
      </c>
      <c r="G492" s="5" t="str">
        <f>INDEX('Route Data'!$A$7:$A$8,E492)</f>
        <v>u18</v>
      </c>
      <c r="H492" s="5">
        <f>EnergyCoeff(INDEX('Route Data'!$K$7:$K$8,E492),INDEX('Route Data'!$L$7:$L$8,E492)*2*PI()/60,INDEX('Route Data'!$F$7:$F$8,E492))</f>
        <v>0.19430699130049439</v>
      </c>
      <c r="I492" s="5">
        <f>DischargeCoeff(INDEX('Route Data'!$I$7:$I$8,E492), INDEX('Route Data'!$L$7:$L$8,E492)*2*PI()/60, INDEX('Route Data'!$F$7:$F$8,E492))</f>
        <v>0.15939200179827354</v>
      </c>
      <c r="J492" s="8">
        <f>FlowAngleRel(INDEX('Route Data'!$J$7:$J$8,E492)*INDEX('Route Data'!$I$7:$I$8,E492), INDEX('Route Data'!$L$7:$L$8,E492)*2*PI()/60, INDEX('Route Data'!$F$7:$F$8,E492),INDEX('Route Data'!$O$7:$O$8,E492), INDEX('Route Data'!$P$7:$P$8,E492),INDEX('Route Data'!$M$7:$M$8,E492))</f>
        <v>1.130811765868994</v>
      </c>
      <c r="K492" s="8">
        <f>FlowAngleAbsT(INDEX('Route Data'!$K$7:$K$8,E492), INDEX('Route Data'!$I$7:$I$8,E492), INDEX('Route Data'!$I$7:$I$8,E492)*INDEX('Route Data'!$J$7:$J$8,E492), INDEX('Route Data'!$L$7:$L$8,E492)*2*PI()/60, INDEX('Route Data'!$F$7:$F$8,E492),INDEX('Route Data'!$O$7:$O$8,E492), INDEX('Route Data'!$P$7:$P$8,E492), INDEX('Route Data'!$H$7:$H$8,E492), INDEX('Route Data'!$Q$7:$Q$8,E492), INDEX('Route Data'!$M$7:$M$8,E492))</f>
        <v>0.51617226640175828</v>
      </c>
      <c r="L492" s="5">
        <f>INDEX('Route Data'!$N$7:$N$8,E492)</f>
        <v>0.4</v>
      </c>
      <c r="M492" s="8">
        <v>0.98496925830841064</v>
      </c>
      <c r="N492" s="8">
        <f>ProbStrikeFrancis(K492, I492, L492, INDEX('Route Data'!$G$7:$G$8,E492),C492, INDEX('Route Data'!$F$7:$F$8,E492), INDEX('Route Data'!$O$7:$O$8,E492), INDEX('Route Data'!$H$7:$H$18,E492))</f>
        <v>1</v>
      </c>
      <c r="O492" s="5" t="str">
        <f>IF(F492&gt;=1,IF(M492&lt;=N492,"STRIKE","pass"),IF(M492&lt;=INDEX('Route Data'!$R$7:$R$8,E492),"NO PASS","pass"))</f>
        <v>STRIKE</v>
      </c>
      <c r="P492" s="5">
        <f>IF(F492&gt;=1,IF(M492&lt;=N492,1,0),IF(M492&lt;=INDEX('Route Data'!$R$7:$R$8,E492),-1,0))</f>
        <v>1</v>
      </c>
    </row>
    <row r="493" spans="1:16">
      <c r="A493" s="5">
        <v>483</v>
      </c>
      <c r="B493" s="12">
        <v>20.010000000000002</v>
      </c>
      <c r="C493" s="12">
        <f t="shared" si="7"/>
        <v>1.67</v>
      </c>
      <c r="D493" s="8">
        <v>0.79442816972732544</v>
      </c>
      <c r="E493" s="5">
        <f>MATCH(D493,'Route Data'!$C$7:$C$8,1)</f>
        <v>2</v>
      </c>
      <c r="F493" s="5">
        <f>INDEX('Route Data'!$D$7:$D$8,E493)</f>
        <v>1</v>
      </c>
      <c r="G493" s="5" t="str">
        <f>INDEX('Route Data'!$A$7:$A$8,E493)</f>
        <v>u18</v>
      </c>
      <c r="H493" s="5">
        <f>EnergyCoeff(INDEX('Route Data'!$K$7:$K$8,E493),INDEX('Route Data'!$L$7:$L$8,E493)*2*PI()/60,INDEX('Route Data'!$F$7:$F$8,E493))</f>
        <v>0.19430699130049439</v>
      </c>
      <c r="I493" s="5">
        <f>DischargeCoeff(INDEX('Route Data'!$I$7:$I$8,E493), INDEX('Route Data'!$L$7:$L$8,E493)*2*PI()/60, INDEX('Route Data'!$F$7:$F$8,E493))</f>
        <v>0.15939200179827354</v>
      </c>
      <c r="J493" s="8">
        <f>FlowAngleRel(INDEX('Route Data'!$J$7:$J$8,E493)*INDEX('Route Data'!$I$7:$I$8,E493), INDEX('Route Data'!$L$7:$L$8,E493)*2*PI()/60, INDEX('Route Data'!$F$7:$F$8,E493),INDEX('Route Data'!$O$7:$O$8,E493), INDEX('Route Data'!$P$7:$P$8,E493),INDEX('Route Data'!$M$7:$M$8,E493))</f>
        <v>1.130811765868994</v>
      </c>
      <c r="K493" s="8">
        <f>FlowAngleAbsT(INDEX('Route Data'!$K$7:$K$8,E493), INDEX('Route Data'!$I$7:$I$8,E493), INDEX('Route Data'!$I$7:$I$8,E493)*INDEX('Route Data'!$J$7:$J$8,E493), INDEX('Route Data'!$L$7:$L$8,E493)*2*PI()/60, INDEX('Route Data'!$F$7:$F$8,E493),INDEX('Route Data'!$O$7:$O$8,E493), INDEX('Route Data'!$P$7:$P$8,E493), INDEX('Route Data'!$H$7:$H$8,E493), INDEX('Route Data'!$Q$7:$Q$8,E493), INDEX('Route Data'!$M$7:$M$8,E493))</f>
        <v>0.51617226640175828</v>
      </c>
      <c r="L493" s="5">
        <f>INDEX('Route Data'!$N$7:$N$8,E493)</f>
        <v>0.4</v>
      </c>
      <c r="M493" s="8">
        <v>5.5693447589874268E-2</v>
      </c>
      <c r="N493" s="8">
        <f>ProbStrikeFrancis(K493, I493, L493, INDEX('Route Data'!$G$7:$G$8,E493),C493, INDEX('Route Data'!$F$7:$F$8,E493), INDEX('Route Data'!$O$7:$O$8,E493), INDEX('Route Data'!$H$7:$H$18,E493))</f>
        <v>1</v>
      </c>
      <c r="O493" s="5" t="str">
        <f>IF(F493&gt;=1,IF(M493&lt;=N493,"STRIKE","pass"),IF(M493&lt;=INDEX('Route Data'!$R$7:$R$8,E493),"NO PASS","pass"))</f>
        <v>STRIKE</v>
      </c>
      <c r="P493" s="5">
        <f>IF(F493&gt;=1,IF(M493&lt;=N493,1,0),IF(M493&lt;=INDEX('Route Data'!$R$7:$R$8,E493),-1,0))</f>
        <v>1</v>
      </c>
    </row>
    <row r="494" spans="1:16">
      <c r="A494" s="5">
        <v>484</v>
      </c>
      <c r="B494" s="12">
        <v>23.11</v>
      </c>
      <c r="C494" s="12">
        <f t="shared" si="7"/>
        <v>1.93</v>
      </c>
      <c r="D494" s="8">
        <v>0.13882184028625488</v>
      </c>
      <c r="E494" s="5">
        <f>MATCH(D494,'Route Data'!$C$7:$C$8,1)</f>
        <v>2</v>
      </c>
      <c r="F494" s="5">
        <f>INDEX('Route Data'!$D$7:$D$8,E494)</f>
        <v>1</v>
      </c>
      <c r="G494" s="5" t="str">
        <f>INDEX('Route Data'!$A$7:$A$8,E494)</f>
        <v>u18</v>
      </c>
      <c r="H494" s="5">
        <f>EnergyCoeff(INDEX('Route Data'!$K$7:$K$8,E494),INDEX('Route Data'!$L$7:$L$8,E494)*2*PI()/60,INDEX('Route Data'!$F$7:$F$8,E494))</f>
        <v>0.19430699130049439</v>
      </c>
      <c r="I494" s="5">
        <f>DischargeCoeff(INDEX('Route Data'!$I$7:$I$8,E494), INDEX('Route Data'!$L$7:$L$8,E494)*2*PI()/60, INDEX('Route Data'!$F$7:$F$8,E494))</f>
        <v>0.15939200179827354</v>
      </c>
      <c r="J494" s="8">
        <f>FlowAngleRel(INDEX('Route Data'!$J$7:$J$8,E494)*INDEX('Route Data'!$I$7:$I$8,E494), INDEX('Route Data'!$L$7:$L$8,E494)*2*PI()/60, INDEX('Route Data'!$F$7:$F$8,E494),INDEX('Route Data'!$O$7:$O$8,E494), INDEX('Route Data'!$P$7:$P$8,E494),INDEX('Route Data'!$M$7:$M$8,E494))</f>
        <v>1.130811765868994</v>
      </c>
      <c r="K494" s="8">
        <f>FlowAngleAbsT(INDEX('Route Data'!$K$7:$K$8,E494), INDEX('Route Data'!$I$7:$I$8,E494), INDEX('Route Data'!$I$7:$I$8,E494)*INDEX('Route Data'!$J$7:$J$8,E494), INDEX('Route Data'!$L$7:$L$8,E494)*2*PI()/60, INDEX('Route Data'!$F$7:$F$8,E494),INDEX('Route Data'!$O$7:$O$8,E494), INDEX('Route Data'!$P$7:$P$8,E494), INDEX('Route Data'!$H$7:$H$8,E494), INDEX('Route Data'!$Q$7:$Q$8,E494), INDEX('Route Data'!$M$7:$M$8,E494))</f>
        <v>0.51617226640175828</v>
      </c>
      <c r="L494" s="5">
        <f>INDEX('Route Data'!$N$7:$N$8,E494)</f>
        <v>0.4</v>
      </c>
      <c r="M494" s="8">
        <v>0.1091001033782959</v>
      </c>
      <c r="N494" s="8">
        <f>ProbStrikeFrancis(K494, I494, L494, INDEX('Route Data'!$G$7:$G$8,E494),C494, INDEX('Route Data'!$F$7:$F$8,E494), INDEX('Route Data'!$O$7:$O$8,E494), INDEX('Route Data'!$H$7:$H$18,E494))</f>
        <v>1</v>
      </c>
      <c r="O494" s="5" t="str">
        <f>IF(F494&gt;=1,IF(M494&lt;=N494,"STRIKE","pass"),IF(M494&lt;=INDEX('Route Data'!$R$7:$R$8,E494),"NO PASS","pass"))</f>
        <v>STRIKE</v>
      </c>
      <c r="P494" s="5">
        <f>IF(F494&gt;=1,IF(M494&lt;=N494,1,0),IF(M494&lt;=INDEX('Route Data'!$R$7:$R$8,E494),-1,0))</f>
        <v>1</v>
      </c>
    </row>
    <row r="495" spans="1:16">
      <c r="A495" s="5">
        <v>485</v>
      </c>
      <c r="B495" s="12">
        <v>24.46</v>
      </c>
      <c r="C495" s="12">
        <f t="shared" si="7"/>
        <v>2.04</v>
      </c>
      <c r="D495" s="8">
        <v>0.63679927587509155</v>
      </c>
      <c r="E495" s="5">
        <f>MATCH(D495,'Route Data'!$C$7:$C$8,1)</f>
        <v>2</v>
      </c>
      <c r="F495" s="5">
        <f>INDEX('Route Data'!$D$7:$D$8,E495)</f>
        <v>1</v>
      </c>
      <c r="G495" s="5" t="str">
        <f>INDEX('Route Data'!$A$7:$A$8,E495)</f>
        <v>u18</v>
      </c>
      <c r="H495" s="5">
        <f>EnergyCoeff(INDEX('Route Data'!$K$7:$K$8,E495),INDEX('Route Data'!$L$7:$L$8,E495)*2*PI()/60,INDEX('Route Data'!$F$7:$F$8,E495))</f>
        <v>0.19430699130049439</v>
      </c>
      <c r="I495" s="5">
        <f>DischargeCoeff(INDEX('Route Data'!$I$7:$I$8,E495), INDEX('Route Data'!$L$7:$L$8,E495)*2*PI()/60, INDEX('Route Data'!$F$7:$F$8,E495))</f>
        <v>0.15939200179827354</v>
      </c>
      <c r="J495" s="8">
        <f>FlowAngleRel(INDEX('Route Data'!$J$7:$J$8,E495)*INDEX('Route Data'!$I$7:$I$8,E495), INDEX('Route Data'!$L$7:$L$8,E495)*2*PI()/60, INDEX('Route Data'!$F$7:$F$8,E495),INDEX('Route Data'!$O$7:$O$8,E495), INDEX('Route Data'!$P$7:$P$8,E495),INDEX('Route Data'!$M$7:$M$8,E495))</f>
        <v>1.130811765868994</v>
      </c>
      <c r="K495" s="8">
        <f>FlowAngleAbsT(INDEX('Route Data'!$K$7:$K$8,E495), INDEX('Route Data'!$I$7:$I$8,E495), INDEX('Route Data'!$I$7:$I$8,E495)*INDEX('Route Data'!$J$7:$J$8,E495), INDEX('Route Data'!$L$7:$L$8,E495)*2*PI()/60, INDEX('Route Data'!$F$7:$F$8,E495),INDEX('Route Data'!$O$7:$O$8,E495), INDEX('Route Data'!$P$7:$P$8,E495), INDEX('Route Data'!$H$7:$H$8,E495), INDEX('Route Data'!$Q$7:$Q$8,E495), INDEX('Route Data'!$M$7:$M$8,E495))</f>
        <v>0.51617226640175828</v>
      </c>
      <c r="L495" s="5">
        <f>INDEX('Route Data'!$N$7:$N$8,E495)</f>
        <v>0.4</v>
      </c>
      <c r="M495" s="8">
        <v>0.94888013601303101</v>
      </c>
      <c r="N495" s="8">
        <f>ProbStrikeFrancis(K495, I495, L495, INDEX('Route Data'!$G$7:$G$8,E495),C495, INDEX('Route Data'!$F$7:$F$8,E495), INDEX('Route Data'!$O$7:$O$8,E495), INDEX('Route Data'!$H$7:$H$18,E495))</f>
        <v>1</v>
      </c>
      <c r="O495" s="5" t="str">
        <f>IF(F495&gt;=1,IF(M495&lt;=N495,"STRIKE","pass"),IF(M495&lt;=INDEX('Route Data'!$R$7:$R$8,E495),"NO PASS","pass"))</f>
        <v>STRIKE</v>
      </c>
      <c r="P495" s="5">
        <f>IF(F495&gt;=1,IF(M495&lt;=N495,1,0),IF(M495&lt;=INDEX('Route Data'!$R$7:$R$8,E495),-1,0))</f>
        <v>1</v>
      </c>
    </row>
    <row r="496" spans="1:16">
      <c r="A496" s="5">
        <v>486</v>
      </c>
      <c r="B496" s="12">
        <v>22.74</v>
      </c>
      <c r="C496" s="12">
        <f t="shared" si="7"/>
        <v>1.9</v>
      </c>
      <c r="D496" s="8">
        <v>0.14286696910858154</v>
      </c>
      <c r="E496" s="5">
        <f>MATCH(D496,'Route Data'!$C$7:$C$8,1)</f>
        <v>2</v>
      </c>
      <c r="F496" s="5">
        <f>INDEX('Route Data'!$D$7:$D$8,E496)</f>
        <v>1</v>
      </c>
      <c r="G496" s="5" t="str">
        <f>INDEX('Route Data'!$A$7:$A$8,E496)</f>
        <v>u18</v>
      </c>
      <c r="H496" s="5">
        <f>EnergyCoeff(INDEX('Route Data'!$K$7:$K$8,E496),INDEX('Route Data'!$L$7:$L$8,E496)*2*PI()/60,INDEX('Route Data'!$F$7:$F$8,E496))</f>
        <v>0.19430699130049439</v>
      </c>
      <c r="I496" s="5">
        <f>DischargeCoeff(INDEX('Route Data'!$I$7:$I$8,E496), INDEX('Route Data'!$L$7:$L$8,E496)*2*PI()/60, INDEX('Route Data'!$F$7:$F$8,E496))</f>
        <v>0.15939200179827354</v>
      </c>
      <c r="J496" s="8">
        <f>FlowAngleRel(INDEX('Route Data'!$J$7:$J$8,E496)*INDEX('Route Data'!$I$7:$I$8,E496), INDEX('Route Data'!$L$7:$L$8,E496)*2*PI()/60, INDEX('Route Data'!$F$7:$F$8,E496),INDEX('Route Data'!$O$7:$O$8,E496), INDEX('Route Data'!$P$7:$P$8,E496),INDEX('Route Data'!$M$7:$M$8,E496))</f>
        <v>1.130811765868994</v>
      </c>
      <c r="K496" s="8">
        <f>FlowAngleAbsT(INDEX('Route Data'!$K$7:$K$8,E496), INDEX('Route Data'!$I$7:$I$8,E496), INDEX('Route Data'!$I$7:$I$8,E496)*INDEX('Route Data'!$J$7:$J$8,E496), INDEX('Route Data'!$L$7:$L$8,E496)*2*PI()/60, INDEX('Route Data'!$F$7:$F$8,E496),INDEX('Route Data'!$O$7:$O$8,E496), INDEX('Route Data'!$P$7:$P$8,E496), INDEX('Route Data'!$H$7:$H$8,E496), INDEX('Route Data'!$Q$7:$Q$8,E496), INDEX('Route Data'!$M$7:$M$8,E496))</f>
        <v>0.51617226640175828</v>
      </c>
      <c r="L496" s="5">
        <f>INDEX('Route Data'!$N$7:$N$8,E496)</f>
        <v>0.4</v>
      </c>
      <c r="M496" s="8">
        <v>0.42954003810882568</v>
      </c>
      <c r="N496" s="8">
        <f>ProbStrikeFrancis(K496, I496, L496, INDEX('Route Data'!$G$7:$G$8,E496),C496, INDEX('Route Data'!$F$7:$F$8,E496), INDEX('Route Data'!$O$7:$O$8,E496), INDEX('Route Data'!$H$7:$H$18,E496))</f>
        <v>1</v>
      </c>
      <c r="O496" s="5" t="str">
        <f>IF(F496&gt;=1,IF(M496&lt;=N496,"STRIKE","pass"),IF(M496&lt;=INDEX('Route Data'!$R$7:$R$8,E496),"NO PASS","pass"))</f>
        <v>STRIKE</v>
      </c>
      <c r="P496" s="5">
        <f>IF(F496&gt;=1,IF(M496&lt;=N496,1,0),IF(M496&lt;=INDEX('Route Data'!$R$7:$R$8,E496),-1,0))</f>
        <v>1</v>
      </c>
    </row>
    <row r="497" spans="1:16">
      <c r="A497" s="5">
        <v>487</v>
      </c>
      <c r="B497" s="12">
        <v>19.22</v>
      </c>
      <c r="C497" s="12">
        <f t="shared" si="7"/>
        <v>1.6</v>
      </c>
      <c r="D497" s="8">
        <v>0.35908466577529907</v>
      </c>
      <c r="E497" s="5">
        <f>MATCH(D497,'Route Data'!$C$7:$C$8,1)</f>
        <v>2</v>
      </c>
      <c r="F497" s="5">
        <f>INDEX('Route Data'!$D$7:$D$8,E497)</f>
        <v>1</v>
      </c>
      <c r="G497" s="5" t="str">
        <f>INDEX('Route Data'!$A$7:$A$8,E497)</f>
        <v>u18</v>
      </c>
      <c r="H497" s="5">
        <f>EnergyCoeff(INDEX('Route Data'!$K$7:$K$8,E497),INDEX('Route Data'!$L$7:$L$8,E497)*2*PI()/60,INDEX('Route Data'!$F$7:$F$8,E497))</f>
        <v>0.19430699130049439</v>
      </c>
      <c r="I497" s="5">
        <f>DischargeCoeff(INDEX('Route Data'!$I$7:$I$8,E497), INDEX('Route Data'!$L$7:$L$8,E497)*2*PI()/60, INDEX('Route Data'!$F$7:$F$8,E497))</f>
        <v>0.15939200179827354</v>
      </c>
      <c r="J497" s="8">
        <f>FlowAngleRel(INDEX('Route Data'!$J$7:$J$8,E497)*INDEX('Route Data'!$I$7:$I$8,E497), INDEX('Route Data'!$L$7:$L$8,E497)*2*PI()/60, INDEX('Route Data'!$F$7:$F$8,E497),INDEX('Route Data'!$O$7:$O$8,E497), INDEX('Route Data'!$P$7:$P$8,E497),INDEX('Route Data'!$M$7:$M$8,E497))</f>
        <v>1.130811765868994</v>
      </c>
      <c r="K497" s="8">
        <f>FlowAngleAbsT(INDEX('Route Data'!$K$7:$K$8,E497), INDEX('Route Data'!$I$7:$I$8,E497), INDEX('Route Data'!$I$7:$I$8,E497)*INDEX('Route Data'!$J$7:$J$8,E497), INDEX('Route Data'!$L$7:$L$8,E497)*2*PI()/60, INDEX('Route Data'!$F$7:$F$8,E497),INDEX('Route Data'!$O$7:$O$8,E497), INDEX('Route Data'!$P$7:$P$8,E497), INDEX('Route Data'!$H$7:$H$8,E497), INDEX('Route Data'!$Q$7:$Q$8,E497), INDEX('Route Data'!$M$7:$M$8,E497))</f>
        <v>0.51617226640175828</v>
      </c>
      <c r="L497" s="5">
        <f>INDEX('Route Data'!$N$7:$N$8,E497)</f>
        <v>0.4</v>
      </c>
      <c r="M497" s="8">
        <v>0.72198110818862915</v>
      </c>
      <c r="N497" s="8">
        <f>ProbStrikeFrancis(K497, I497, L497, INDEX('Route Data'!$G$7:$G$8,E497),C497, INDEX('Route Data'!$F$7:$F$8,E497), INDEX('Route Data'!$O$7:$O$8,E497), INDEX('Route Data'!$H$7:$H$18,E497))</f>
        <v>1</v>
      </c>
      <c r="O497" s="5" t="str">
        <f>IF(F497&gt;=1,IF(M497&lt;=N497,"STRIKE","pass"),IF(M497&lt;=INDEX('Route Data'!$R$7:$R$8,E497),"NO PASS","pass"))</f>
        <v>STRIKE</v>
      </c>
      <c r="P497" s="5">
        <f>IF(F497&gt;=1,IF(M497&lt;=N497,1,0),IF(M497&lt;=INDEX('Route Data'!$R$7:$R$8,E497),-1,0))</f>
        <v>1</v>
      </c>
    </row>
    <row r="498" spans="1:16">
      <c r="A498" s="5">
        <v>488</v>
      </c>
      <c r="B498" s="12">
        <v>17.59</v>
      </c>
      <c r="C498" s="12">
        <f t="shared" si="7"/>
        <v>1.47</v>
      </c>
      <c r="D498" s="8">
        <v>0.24159002304077148</v>
      </c>
      <c r="E498" s="5">
        <f>MATCH(D498,'Route Data'!$C$7:$C$8,1)</f>
        <v>2</v>
      </c>
      <c r="F498" s="5">
        <f>INDEX('Route Data'!$D$7:$D$8,E498)</f>
        <v>1</v>
      </c>
      <c r="G498" s="5" t="str">
        <f>INDEX('Route Data'!$A$7:$A$8,E498)</f>
        <v>u18</v>
      </c>
      <c r="H498" s="5">
        <f>EnergyCoeff(INDEX('Route Data'!$K$7:$K$8,E498),INDEX('Route Data'!$L$7:$L$8,E498)*2*PI()/60,INDEX('Route Data'!$F$7:$F$8,E498))</f>
        <v>0.19430699130049439</v>
      </c>
      <c r="I498" s="5">
        <f>DischargeCoeff(INDEX('Route Data'!$I$7:$I$8,E498), INDEX('Route Data'!$L$7:$L$8,E498)*2*PI()/60, INDEX('Route Data'!$F$7:$F$8,E498))</f>
        <v>0.15939200179827354</v>
      </c>
      <c r="J498" s="8">
        <f>FlowAngleRel(INDEX('Route Data'!$J$7:$J$8,E498)*INDEX('Route Data'!$I$7:$I$8,E498), INDEX('Route Data'!$L$7:$L$8,E498)*2*PI()/60, INDEX('Route Data'!$F$7:$F$8,E498),INDEX('Route Data'!$O$7:$O$8,E498), INDEX('Route Data'!$P$7:$P$8,E498),INDEX('Route Data'!$M$7:$M$8,E498))</f>
        <v>1.130811765868994</v>
      </c>
      <c r="K498" s="8">
        <f>FlowAngleAbsT(INDEX('Route Data'!$K$7:$K$8,E498), INDEX('Route Data'!$I$7:$I$8,E498), INDEX('Route Data'!$I$7:$I$8,E498)*INDEX('Route Data'!$J$7:$J$8,E498), INDEX('Route Data'!$L$7:$L$8,E498)*2*PI()/60, INDEX('Route Data'!$F$7:$F$8,E498),INDEX('Route Data'!$O$7:$O$8,E498), INDEX('Route Data'!$P$7:$P$8,E498), INDEX('Route Data'!$H$7:$H$8,E498), INDEX('Route Data'!$Q$7:$Q$8,E498), INDEX('Route Data'!$M$7:$M$8,E498))</f>
        <v>0.51617226640175828</v>
      </c>
      <c r="L498" s="5">
        <f>INDEX('Route Data'!$N$7:$N$8,E498)</f>
        <v>0.4</v>
      </c>
      <c r="M498" s="8">
        <v>0.57907867431640625</v>
      </c>
      <c r="N498" s="8">
        <f>ProbStrikeFrancis(K498, I498, L498, INDEX('Route Data'!$G$7:$G$8,E498),C498, INDEX('Route Data'!$F$7:$F$8,E498), INDEX('Route Data'!$O$7:$O$8,E498), INDEX('Route Data'!$H$7:$H$18,E498))</f>
        <v>1</v>
      </c>
      <c r="O498" s="5" t="str">
        <f>IF(F498&gt;=1,IF(M498&lt;=N498,"STRIKE","pass"),IF(M498&lt;=INDEX('Route Data'!$R$7:$R$8,E498),"NO PASS","pass"))</f>
        <v>STRIKE</v>
      </c>
      <c r="P498" s="5">
        <f>IF(F498&gt;=1,IF(M498&lt;=N498,1,0),IF(M498&lt;=INDEX('Route Data'!$R$7:$R$8,E498),-1,0))</f>
        <v>1</v>
      </c>
    </row>
    <row r="499" spans="1:16">
      <c r="A499" s="5">
        <v>489</v>
      </c>
      <c r="B499" s="12">
        <v>17.850000000000001</v>
      </c>
      <c r="C499" s="12">
        <f t="shared" si="7"/>
        <v>1.49</v>
      </c>
      <c r="D499" s="8">
        <v>0.59407395124435425</v>
      </c>
      <c r="E499" s="5">
        <f>MATCH(D499,'Route Data'!$C$7:$C$8,1)</f>
        <v>2</v>
      </c>
      <c r="F499" s="5">
        <f>INDEX('Route Data'!$D$7:$D$8,E499)</f>
        <v>1</v>
      </c>
      <c r="G499" s="5" t="str">
        <f>INDEX('Route Data'!$A$7:$A$8,E499)</f>
        <v>u18</v>
      </c>
      <c r="H499" s="5">
        <f>EnergyCoeff(INDEX('Route Data'!$K$7:$K$8,E499),INDEX('Route Data'!$L$7:$L$8,E499)*2*PI()/60,INDEX('Route Data'!$F$7:$F$8,E499))</f>
        <v>0.19430699130049439</v>
      </c>
      <c r="I499" s="5">
        <f>DischargeCoeff(INDEX('Route Data'!$I$7:$I$8,E499), INDEX('Route Data'!$L$7:$L$8,E499)*2*PI()/60, INDEX('Route Data'!$F$7:$F$8,E499))</f>
        <v>0.15939200179827354</v>
      </c>
      <c r="J499" s="8">
        <f>FlowAngleRel(INDEX('Route Data'!$J$7:$J$8,E499)*INDEX('Route Data'!$I$7:$I$8,E499), INDEX('Route Data'!$L$7:$L$8,E499)*2*PI()/60, INDEX('Route Data'!$F$7:$F$8,E499),INDEX('Route Data'!$O$7:$O$8,E499), INDEX('Route Data'!$P$7:$P$8,E499),INDEX('Route Data'!$M$7:$M$8,E499))</f>
        <v>1.130811765868994</v>
      </c>
      <c r="K499" s="8">
        <f>FlowAngleAbsT(INDEX('Route Data'!$K$7:$K$8,E499), INDEX('Route Data'!$I$7:$I$8,E499), INDEX('Route Data'!$I$7:$I$8,E499)*INDEX('Route Data'!$J$7:$J$8,E499), INDEX('Route Data'!$L$7:$L$8,E499)*2*PI()/60, INDEX('Route Data'!$F$7:$F$8,E499),INDEX('Route Data'!$O$7:$O$8,E499), INDEX('Route Data'!$P$7:$P$8,E499), INDEX('Route Data'!$H$7:$H$8,E499), INDEX('Route Data'!$Q$7:$Q$8,E499), INDEX('Route Data'!$M$7:$M$8,E499))</f>
        <v>0.51617226640175828</v>
      </c>
      <c r="L499" s="5">
        <f>INDEX('Route Data'!$N$7:$N$8,E499)</f>
        <v>0.4</v>
      </c>
      <c r="M499" s="8">
        <v>0.41431063413619995</v>
      </c>
      <c r="N499" s="8">
        <f>ProbStrikeFrancis(K499, I499, L499, INDEX('Route Data'!$G$7:$G$8,E499),C499, INDEX('Route Data'!$F$7:$F$8,E499), INDEX('Route Data'!$O$7:$O$8,E499), INDEX('Route Data'!$H$7:$H$18,E499))</f>
        <v>1</v>
      </c>
      <c r="O499" s="5" t="str">
        <f>IF(F499&gt;=1,IF(M499&lt;=N499,"STRIKE","pass"),IF(M499&lt;=INDEX('Route Data'!$R$7:$R$8,E499),"NO PASS","pass"))</f>
        <v>STRIKE</v>
      </c>
      <c r="P499" s="5">
        <f>IF(F499&gt;=1,IF(M499&lt;=N499,1,0),IF(M499&lt;=INDEX('Route Data'!$R$7:$R$8,E499),-1,0))</f>
        <v>1</v>
      </c>
    </row>
    <row r="500" spans="1:16">
      <c r="A500" s="5">
        <v>490</v>
      </c>
      <c r="B500" s="12">
        <v>16.940000000000001</v>
      </c>
      <c r="C500" s="12">
        <f t="shared" si="7"/>
        <v>1.41</v>
      </c>
      <c r="D500" s="8">
        <v>0.27104294300079346</v>
      </c>
      <c r="E500" s="5">
        <f>MATCH(D500,'Route Data'!$C$7:$C$8,1)</f>
        <v>2</v>
      </c>
      <c r="F500" s="5">
        <f>INDEX('Route Data'!$D$7:$D$8,E500)</f>
        <v>1</v>
      </c>
      <c r="G500" s="5" t="str">
        <f>INDEX('Route Data'!$A$7:$A$8,E500)</f>
        <v>u18</v>
      </c>
      <c r="H500" s="5">
        <f>EnergyCoeff(INDEX('Route Data'!$K$7:$K$8,E500),INDEX('Route Data'!$L$7:$L$8,E500)*2*PI()/60,INDEX('Route Data'!$F$7:$F$8,E500))</f>
        <v>0.19430699130049439</v>
      </c>
      <c r="I500" s="5">
        <f>DischargeCoeff(INDEX('Route Data'!$I$7:$I$8,E500), INDEX('Route Data'!$L$7:$L$8,E500)*2*PI()/60, INDEX('Route Data'!$F$7:$F$8,E500))</f>
        <v>0.15939200179827354</v>
      </c>
      <c r="J500" s="8">
        <f>FlowAngleRel(INDEX('Route Data'!$J$7:$J$8,E500)*INDEX('Route Data'!$I$7:$I$8,E500), INDEX('Route Data'!$L$7:$L$8,E500)*2*PI()/60, INDEX('Route Data'!$F$7:$F$8,E500),INDEX('Route Data'!$O$7:$O$8,E500), INDEX('Route Data'!$P$7:$P$8,E500),INDEX('Route Data'!$M$7:$M$8,E500))</f>
        <v>1.130811765868994</v>
      </c>
      <c r="K500" s="8">
        <f>FlowAngleAbsT(INDEX('Route Data'!$K$7:$K$8,E500), INDEX('Route Data'!$I$7:$I$8,E500), INDEX('Route Data'!$I$7:$I$8,E500)*INDEX('Route Data'!$J$7:$J$8,E500), INDEX('Route Data'!$L$7:$L$8,E500)*2*PI()/60, INDEX('Route Data'!$F$7:$F$8,E500),INDEX('Route Data'!$O$7:$O$8,E500), INDEX('Route Data'!$P$7:$P$8,E500), INDEX('Route Data'!$H$7:$H$8,E500), INDEX('Route Data'!$Q$7:$Q$8,E500), INDEX('Route Data'!$M$7:$M$8,E500))</f>
        <v>0.51617226640175828</v>
      </c>
      <c r="L500" s="5">
        <f>INDEX('Route Data'!$N$7:$N$8,E500)</f>
        <v>0.4</v>
      </c>
      <c r="M500" s="8">
        <v>6.5871834754943848E-2</v>
      </c>
      <c r="N500" s="8">
        <f>ProbStrikeFrancis(K500, I500, L500, INDEX('Route Data'!$G$7:$G$8,E500),C500, INDEX('Route Data'!$F$7:$F$8,E500), INDEX('Route Data'!$O$7:$O$8,E500), INDEX('Route Data'!$H$7:$H$18,E500))</f>
        <v>1</v>
      </c>
      <c r="O500" s="5" t="str">
        <f>IF(F500&gt;=1,IF(M500&lt;=N500,"STRIKE","pass"),IF(M500&lt;=INDEX('Route Data'!$R$7:$R$8,E500),"NO PASS","pass"))</f>
        <v>STRIKE</v>
      </c>
      <c r="P500" s="5">
        <f>IF(F500&gt;=1,IF(M500&lt;=N500,1,0),IF(M500&lt;=INDEX('Route Data'!$R$7:$R$8,E500),-1,0))</f>
        <v>1</v>
      </c>
    </row>
    <row r="501" spans="1:16">
      <c r="A501" s="5">
        <v>491</v>
      </c>
      <c r="B501" s="12">
        <v>18.98</v>
      </c>
      <c r="C501" s="12">
        <f t="shared" si="7"/>
        <v>1.58</v>
      </c>
      <c r="D501" s="8">
        <v>0.70897752046585083</v>
      </c>
      <c r="E501" s="5">
        <f>MATCH(D501,'Route Data'!$C$7:$C$8,1)</f>
        <v>2</v>
      </c>
      <c r="F501" s="5">
        <f>INDEX('Route Data'!$D$7:$D$8,E501)</f>
        <v>1</v>
      </c>
      <c r="G501" s="5" t="str">
        <f>INDEX('Route Data'!$A$7:$A$8,E501)</f>
        <v>u18</v>
      </c>
      <c r="H501" s="5">
        <f>EnergyCoeff(INDEX('Route Data'!$K$7:$K$8,E501),INDEX('Route Data'!$L$7:$L$8,E501)*2*PI()/60,INDEX('Route Data'!$F$7:$F$8,E501))</f>
        <v>0.19430699130049439</v>
      </c>
      <c r="I501" s="5">
        <f>DischargeCoeff(INDEX('Route Data'!$I$7:$I$8,E501), INDEX('Route Data'!$L$7:$L$8,E501)*2*PI()/60, INDEX('Route Data'!$F$7:$F$8,E501))</f>
        <v>0.15939200179827354</v>
      </c>
      <c r="J501" s="8">
        <f>FlowAngleRel(INDEX('Route Data'!$J$7:$J$8,E501)*INDEX('Route Data'!$I$7:$I$8,E501), INDEX('Route Data'!$L$7:$L$8,E501)*2*PI()/60, INDEX('Route Data'!$F$7:$F$8,E501),INDEX('Route Data'!$O$7:$O$8,E501), INDEX('Route Data'!$P$7:$P$8,E501),INDEX('Route Data'!$M$7:$M$8,E501))</f>
        <v>1.130811765868994</v>
      </c>
      <c r="K501" s="8">
        <f>FlowAngleAbsT(INDEX('Route Data'!$K$7:$K$8,E501), INDEX('Route Data'!$I$7:$I$8,E501), INDEX('Route Data'!$I$7:$I$8,E501)*INDEX('Route Data'!$J$7:$J$8,E501), INDEX('Route Data'!$L$7:$L$8,E501)*2*PI()/60, INDEX('Route Data'!$F$7:$F$8,E501),INDEX('Route Data'!$O$7:$O$8,E501), INDEX('Route Data'!$P$7:$P$8,E501), INDEX('Route Data'!$H$7:$H$8,E501), INDEX('Route Data'!$Q$7:$Q$8,E501), INDEX('Route Data'!$M$7:$M$8,E501))</f>
        <v>0.51617226640175828</v>
      </c>
      <c r="L501" s="5">
        <f>INDEX('Route Data'!$N$7:$N$8,E501)</f>
        <v>0.4</v>
      </c>
      <c r="M501" s="8">
        <v>0.11118823289871216</v>
      </c>
      <c r="N501" s="8">
        <f>ProbStrikeFrancis(K501, I501, L501, INDEX('Route Data'!$G$7:$G$8,E501),C501, INDEX('Route Data'!$F$7:$F$8,E501), INDEX('Route Data'!$O$7:$O$8,E501), INDEX('Route Data'!$H$7:$H$18,E501))</f>
        <v>1</v>
      </c>
      <c r="O501" s="5" t="str">
        <f>IF(F501&gt;=1,IF(M501&lt;=N501,"STRIKE","pass"),IF(M501&lt;=INDEX('Route Data'!$R$7:$R$8,E501),"NO PASS","pass"))</f>
        <v>STRIKE</v>
      </c>
      <c r="P501" s="5">
        <f>IF(F501&gt;=1,IF(M501&lt;=N501,1,0),IF(M501&lt;=INDEX('Route Data'!$R$7:$R$8,E501),-1,0))</f>
        <v>1</v>
      </c>
    </row>
    <row r="502" spans="1:16">
      <c r="A502" s="5">
        <v>492</v>
      </c>
      <c r="B502" s="12">
        <v>25.57</v>
      </c>
      <c r="C502" s="12">
        <f t="shared" si="7"/>
        <v>2.13</v>
      </c>
      <c r="D502" s="8">
        <v>0.39517378807067871</v>
      </c>
      <c r="E502" s="5">
        <f>MATCH(D502,'Route Data'!$C$7:$C$8,1)</f>
        <v>2</v>
      </c>
      <c r="F502" s="5">
        <f>INDEX('Route Data'!$D$7:$D$8,E502)</f>
        <v>1</v>
      </c>
      <c r="G502" s="5" t="str">
        <f>INDEX('Route Data'!$A$7:$A$8,E502)</f>
        <v>u18</v>
      </c>
      <c r="H502" s="5">
        <f>EnergyCoeff(INDEX('Route Data'!$K$7:$K$8,E502),INDEX('Route Data'!$L$7:$L$8,E502)*2*PI()/60,INDEX('Route Data'!$F$7:$F$8,E502))</f>
        <v>0.19430699130049439</v>
      </c>
      <c r="I502" s="5">
        <f>DischargeCoeff(INDEX('Route Data'!$I$7:$I$8,E502), INDEX('Route Data'!$L$7:$L$8,E502)*2*PI()/60, INDEX('Route Data'!$F$7:$F$8,E502))</f>
        <v>0.15939200179827354</v>
      </c>
      <c r="J502" s="8">
        <f>FlowAngleRel(INDEX('Route Data'!$J$7:$J$8,E502)*INDEX('Route Data'!$I$7:$I$8,E502), INDEX('Route Data'!$L$7:$L$8,E502)*2*PI()/60, INDEX('Route Data'!$F$7:$F$8,E502),INDEX('Route Data'!$O$7:$O$8,E502), INDEX('Route Data'!$P$7:$P$8,E502),INDEX('Route Data'!$M$7:$M$8,E502))</f>
        <v>1.130811765868994</v>
      </c>
      <c r="K502" s="8">
        <f>FlowAngleAbsT(INDEX('Route Data'!$K$7:$K$8,E502), INDEX('Route Data'!$I$7:$I$8,E502), INDEX('Route Data'!$I$7:$I$8,E502)*INDEX('Route Data'!$J$7:$J$8,E502), INDEX('Route Data'!$L$7:$L$8,E502)*2*PI()/60, INDEX('Route Data'!$F$7:$F$8,E502),INDEX('Route Data'!$O$7:$O$8,E502), INDEX('Route Data'!$P$7:$P$8,E502), INDEX('Route Data'!$H$7:$H$8,E502), INDEX('Route Data'!$Q$7:$Q$8,E502), INDEX('Route Data'!$M$7:$M$8,E502))</f>
        <v>0.51617226640175828</v>
      </c>
      <c r="L502" s="5">
        <f>INDEX('Route Data'!$N$7:$N$8,E502)</f>
        <v>0.4</v>
      </c>
      <c r="M502" s="8">
        <v>0.50639748573303223</v>
      </c>
      <c r="N502" s="8">
        <f>ProbStrikeFrancis(K502, I502, L502, INDEX('Route Data'!$G$7:$G$8,E502),C502, INDEX('Route Data'!$F$7:$F$8,E502), INDEX('Route Data'!$O$7:$O$8,E502), INDEX('Route Data'!$H$7:$H$18,E502))</f>
        <v>1</v>
      </c>
      <c r="O502" s="5" t="str">
        <f>IF(F502&gt;=1,IF(M502&lt;=N502,"STRIKE","pass"),IF(M502&lt;=INDEX('Route Data'!$R$7:$R$8,E502),"NO PASS","pass"))</f>
        <v>STRIKE</v>
      </c>
      <c r="P502" s="5">
        <f>IF(F502&gt;=1,IF(M502&lt;=N502,1,0),IF(M502&lt;=INDEX('Route Data'!$R$7:$R$8,E502),-1,0))</f>
        <v>1</v>
      </c>
    </row>
    <row r="503" spans="1:16">
      <c r="A503" s="5">
        <v>493</v>
      </c>
      <c r="B503" s="12">
        <v>28.62</v>
      </c>
      <c r="C503" s="12">
        <f t="shared" si="7"/>
        <v>2.39</v>
      </c>
      <c r="D503" s="8">
        <v>0.60216420888900757</v>
      </c>
      <c r="E503" s="5">
        <f>MATCH(D503,'Route Data'!$C$7:$C$8,1)</f>
        <v>2</v>
      </c>
      <c r="F503" s="5">
        <f>INDEX('Route Data'!$D$7:$D$8,E503)</f>
        <v>1</v>
      </c>
      <c r="G503" s="5" t="str">
        <f>INDEX('Route Data'!$A$7:$A$8,E503)</f>
        <v>u18</v>
      </c>
      <c r="H503" s="5">
        <f>EnergyCoeff(INDEX('Route Data'!$K$7:$K$8,E503),INDEX('Route Data'!$L$7:$L$8,E503)*2*PI()/60,INDEX('Route Data'!$F$7:$F$8,E503))</f>
        <v>0.19430699130049439</v>
      </c>
      <c r="I503" s="5">
        <f>DischargeCoeff(INDEX('Route Data'!$I$7:$I$8,E503), INDEX('Route Data'!$L$7:$L$8,E503)*2*PI()/60, INDEX('Route Data'!$F$7:$F$8,E503))</f>
        <v>0.15939200179827354</v>
      </c>
      <c r="J503" s="8">
        <f>FlowAngleRel(INDEX('Route Data'!$J$7:$J$8,E503)*INDEX('Route Data'!$I$7:$I$8,E503), INDEX('Route Data'!$L$7:$L$8,E503)*2*PI()/60, INDEX('Route Data'!$F$7:$F$8,E503),INDEX('Route Data'!$O$7:$O$8,E503), INDEX('Route Data'!$P$7:$P$8,E503),INDEX('Route Data'!$M$7:$M$8,E503))</f>
        <v>1.130811765868994</v>
      </c>
      <c r="K503" s="8">
        <f>FlowAngleAbsT(INDEX('Route Data'!$K$7:$K$8,E503), INDEX('Route Data'!$I$7:$I$8,E503), INDEX('Route Data'!$I$7:$I$8,E503)*INDEX('Route Data'!$J$7:$J$8,E503), INDEX('Route Data'!$L$7:$L$8,E503)*2*PI()/60, INDEX('Route Data'!$F$7:$F$8,E503),INDEX('Route Data'!$O$7:$O$8,E503), INDEX('Route Data'!$P$7:$P$8,E503), INDEX('Route Data'!$H$7:$H$8,E503), INDEX('Route Data'!$Q$7:$Q$8,E503), INDEX('Route Data'!$M$7:$M$8,E503))</f>
        <v>0.51617226640175828</v>
      </c>
      <c r="L503" s="5">
        <f>INDEX('Route Data'!$N$7:$N$8,E503)</f>
        <v>0.4</v>
      </c>
      <c r="M503" s="8">
        <v>5.5190503597259521E-2</v>
      </c>
      <c r="N503" s="8">
        <f>ProbStrikeFrancis(K503, I503, L503, INDEX('Route Data'!$G$7:$G$8,E503),C503, INDEX('Route Data'!$F$7:$F$8,E503), INDEX('Route Data'!$O$7:$O$8,E503), INDEX('Route Data'!$H$7:$H$18,E503))</f>
        <v>1</v>
      </c>
      <c r="O503" s="5" t="str">
        <f>IF(F503&gt;=1,IF(M503&lt;=N503,"STRIKE","pass"),IF(M503&lt;=INDEX('Route Data'!$R$7:$R$8,E503),"NO PASS","pass"))</f>
        <v>STRIKE</v>
      </c>
      <c r="P503" s="5">
        <f>IF(F503&gt;=1,IF(M503&lt;=N503,1,0),IF(M503&lt;=INDEX('Route Data'!$R$7:$R$8,E503),-1,0))</f>
        <v>1</v>
      </c>
    </row>
    <row r="504" spans="1:16">
      <c r="A504" s="5">
        <v>494</v>
      </c>
      <c r="B504" s="12">
        <v>18.7</v>
      </c>
      <c r="C504" s="12">
        <f t="shared" si="7"/>
        <v>1.56</v>
      </c>
      <c r="D504" s="8">
        <v>0.7156137228012085</v>
      </c>
      <c r="E504" s="5">
        <f>MATCH(D504,'Route Data'!$C$7:$C$8,1)</f>
        <v>2</v>
      </c>
      <c r="F504" s="5">
        <f>INDEX('Route Data'!$D$7:$D$8,E504)</f>
        <v>1</v>
      </c>
      <c r="G504" s="5" t="str">
        <f>INDEX('Route Data'!$A$7:$A$8,E504)</f>
        <v>u18</v>
      </c>
      <c r="H504" s="5">
        <f>EnergyCoeff(INDEX('Route Data'!$K$7:$K$8,E504),INDEX('Route Data'!$L$7:$L$8,E504)*2*PI()/60,INDEX('Route Data'!$F$7:$F$8,E504))</f>
        <v>0.19430699130049439</v>
      </c>
      <c r="I504" s="5">
        <f>DischargeCoeff(INDEX('Route Data'!$I$7:$I$8,E504), INDEX('Route Data'!$L$7:$L$8,E504)*2*PI()/60, INDEX('Route Data'!$F$7:$F$8,E504))</f>
        <v>0.15939200179827354</v>
      </c>
      <c r="J504" s="8">
        <f>FlowAngleRel(INDEX('Route Data'!$J$7:$J$8,E504)*INDEX('Route Data'!$I$7:$I$8,E504), INDEX('Route Data'!$L$7:$L$8,E504)*2*PI()/60, INDEX('Route Data'!$F$7:$F$8,E504),INDEX('Route Data'!$O$7:$O$8,E504), INDEX('Route Data'!$P$7:$P$8,E504),INDEX('Route Data'!$M$7:$M$8,E504))</f>
        <v>1.130811765868994</v>
      </c>
      <c r="K504" s="8">
        <f>FlowAngleAbsT(INDEX('Route Data'!$K$7:$K$8,E504), INDEX('Route Data'!$I$7:$I$8,E504), INDEX('Route Data'!$I$7:$I$8,E504)*INDEX('Route Data'!$J$7:$J$8,E504), INDEX('Route Data'!$L$7:$L$8,E504)*2*PI()/60, INDEX('Route Data'!$F$7:$F$8,E504),INDEX('Route Data'!$O$7:$O$8,E504), INDEX('Route Data'!$P$7:$P$8,E504), INDEX('Route Data'!$H$7:$H$8,E504), INDEX('Route Data'!$Q$7:$Q$8,E504), INDEX('Route Data'!$M$7:$M$8,E504))</f>
        <v>0.51617226640175828</v>
      </c>
      <c r="L504" s="5">
        <f>INDEX('Route Data'!$N$7:$N$8,E504)</f>
        <v>0.4</v>
      </c>
      <c r="M504" s="8">
        <v>0.14323222637176514</v>
      </c>
      <c r="N504" s="8">
        <f>ProbStrikeFrancis(K504, I504, L504, INDEX('Route Data'!$G$7:$G$8,E504),C504, INDEX('Route Data'!$F$7:$F$8,E504), INDEX('Route Data'!$O$7:$O$8,E504), INDEX('Route Data'!$H$7:$H$18,E504))</f>
        <v>1</v>
      </c>
      <c r="O504" s="5" t="str">
        <f>IF(F504&gt;=1,IF(M504&lt;=N504,"STRIKE","pass"),IF(M504&lt;=INDEX('Route Data'!$R$7:$R$8,E504),"NO PASS","pass"))</f>
        <v>STRIKE</v>
      </c>
      <c r="P504" s="5">
        <f>IF(F504&gt;=1,IF(M504&lt;=N504,1,0),IF(M504&lt;=INDEX('Route Data'!$R$7:$R$8,E504),-1,0))</f>
        <v>1</v>
      </c>
    </row>
    <row r="505" spans="1:16">
      <c r="A505" s="5">
        <v>495</v>
      </c>
      <c r="B505" s="12">
        <v>21.89</v>
      </c>
      <c r="C505" s="12">
        <f t="shared" si="7"/>
        <v>1.82</v>
      </c>
      <c r="D505" s="8">
        <v>0.64084440469741821</v>
      </c>
      <c r="E505" s="5">
        <f>MATCH(D505,'Route Data'!$C$7:$C$8,1)</f>
        <v>2</v>
      </c>
      <c r="F505" s="5">
        <f>INDEX('Route Data'!$D$7:$D$8,E505)</f>
        <v>1</v>
      </c>
      <c r="G505" s="5" t="str">
        <f>INDEX('Route Data'!$A$7:$A$8,E505)</f>
        <v>u18</v>
      </c>
      <c r="H505" s="5">
        <f>EnergyCoeff(INDEX('Route Data'!$K$7:$K$8,E505),INDEX('Route Data'!$L$7:$L$8,E505)*2*PI()/60,INDEX('Route Data'!$F$7:$F$8,E505))</f>
        <v>0.19430699130049439</v>
      </c>
      <c r="I505" s="5">
        <f>DischargeCoeff(INDEX('Route Data'!$I$7:$I$8,E505), INDEX('Route Data'!$L$7:$L$8,E505)*2*PI()/60, INDEX('Route Data'!$F$7:$F$8,E505))</f>
        <v>0.15939200179827354</v>
      </c>
      <c r="J505" s="8">
        <f>FlowAngleRel(INDEX('Route Data'!$J$7:$J$8,E505)*INDEX('Route Data'!$I$7:$I$8,E505), INDEX('Route Data'!$L$7:$L$8,E505)*2*PI()/60, INDEX('Route Data'!$F$7:$F$8,E505),INDEX('Route Data'!$O$7:$O$8,E505), INDEX('Route Data'!$P$7:$P$8,E505),INDEX('Route Data'!$M$7:$M$8,E505))</f>
        <v>1.130811765868994</v>
      </c>
      <c r="K505" s="8">
        <f>FlowAngleAbsT(INDEX('Route Data'!$K$7:$K$8,E505), INDEX('Route Data'!$I$7:$I$8,E505), INDEX('Route Data'!$I$7:$I$8,E505)*INDEX('Route Data'!$J$7:$J$8,E505), INDEX('Route Data'!$L$7:$L$8,E505)*2*PI()/60, INDEX('Route Data'!$F$7:$F$8,E505),INDEX('Route Data'!$O$7:$O$8,E505), INDEX('Route Data'!$P$7:$P$8,E505), INDEX('Route Data'!$H$7:$H$8,E505), INDEX('Route Data'!$Q$7:$Q$8,E505), INDEX('Route Data'!$M$7:$M$8,E505))</f>
        <v>0.51617226640175828</v>
      </c>
      <c r="L505" s="5">
        <f>INDEX('Route Data'!$N$7:$N$8,E505)</f>
        <v>0.4</v>
      </c>
      <c r="M505" s="8">
        <v>0.41026550531387329</v>
      </c>
      <c r="N505" s="8">
        <f>ProbStrikeFrancis(K505, I505, L505, INDEX('Route Data'!$G$7:$G$8,E505),C505, INDEX('Route Data'!$F$7:$F$8,E505), INDEX('Route Data'!$O$7:$O$8,E505), INDEX('Route Data'!$H$7:$H$18,E505))</f>
        <v>1</v>
      </c>
      <c r="O505" s="5" t="str">
        <f>IF(F505&gt;=1,IF(M505&lt;=N505,"STRIKE","pass"),IF(M505&lt;=INDEX('Route Data'!$R$7:$R$8,E505),"NO PASS","pass"))</f>
        <v>STRIKE</v>
      </c>
      <c r="P505" s="5">
        <f>IF(F505&gt;=1,IF(M505&lt;=N505,1,0),IF(M505&lt;=INDEX('Route Data'!$R$7:$R$8,E505),-1,0))</f>
        <v>1</v>
      </c>
    </row>
    <row r="506" spans="1:16">
      <c r="A506" s="5">
        <v>496</v>
      </c>
      <c r="B506" s="12">
        <v>27.49</v>
      </c>
      <c r="C506" s="12">
        <f t="shared" si="7"/>
        <v>2.29</v>
      </c>
      <c r="D506" s="8">
        <v>0.86515235900878906</v>
      </c>
      <c r="E506" s="5">
        <f>MATCH(D506,'Route Data'!$C$7:$C$8,1)</f>
        <v>2</v>
      </c>
      <c r="F506" s="5">
        <f>INDEX('Route Data'!$D$7:$D$8,E506)</f>
        <v>1</v>
      </c>
      <c r="G506" s="5" t="str">
        <f>INDEX('Route Data'!$A$7:$A$8,E506)</f>
        <v>u18</v>
      </c>
      <c r="H506" s="5">
        <f>EnergyCoeff(INDEX('Route Data'!$K$7:$K$8,E506),INDEX('Route Data'!$L$7:$L$8,E506)*2*PI()/60,INDEX('Route Data'!$F$7:$F$8,E506))</f>
        <v>0.19430699130049439</v>
      </c>
      <c r="I506" s="5">
        <f>DischargeCoeff(INDEX('Route Data'!$I$7:$I$8,E506), INDEX('Route Data'!$L$7:$L$8,E506)*2*PI()/60, INDEX('Route Data'!$F$7:$F$8,E506))</f>
        <v>0.15939200179827354</v>
      </c>
      <c r="J506" s="8">
        <f>FlowAngleRel(INDEX('Route Data'!$J$7:$J$8,E506)*INDEX('Route Data'!$I$7:$I$8,E506), INDEX('Route Data'!$L$7:$L$8,E506)*2*PI()/60, INDEX('Route Data'!$F$7:$F$8,E506),INDEX('Route Data'!$O$7:$O$8,E506), INDEX('Route Data'!$P$7:$P$8,E506),INDEX('Route Data'!$M$7:$M$8,E506))</f>
        <v>1.130811765868994</v>
      </c>
      <c r="K506" s="8">
        <f>FlowAngleAbsT(INDEX('Route Data'!$K$7:$K$8,E506), INDEX('Route Data'!$I$7:$I$8,E506), INDEX('Route Data'!$I$7:$I$8,E506)*INDEX('Route Data'!$J$7:$J$8,E506), INDEX('Route Data'!$L$7:$L$8,E506)*2*PI()/60, INDEX('Route Data'!$F$7:$F$8,E506),INDEX('Route Data'!$O$7:$O$8,E506), INDEX('Route Data'!$P$7:$P$8,E506), INDEX('Route Data'!$H$7:$H$8,E506), INDEX('Route Data'!$Q$7:$Q$8,E506), INDEX('Route Data'!$M$7:$M$8,E506))</f>
        <v>0.51617226640175828</v>
      </c>
      <c r="L506" s="5">
        <f>INDEX('Route Data'!$N$7:$N$8,E506)</f>
        <v>0.4</v>
      </c>
      <c r="M506" s="8">
        <v>0.34358644485473633</v>
      </c>
      <c r="N506" s="8">
        <f>ProbStrikeFrancis(K506, I506, L506, INDEX('Route Data'!$G$7:$G$8,E506),C506, INDEX('Route Data'!$F$7:$F$8,E506), INDEX('Route Data'!$O$7:$O$8,E506), INDEX('Route Data'!$H$7:$H$18,E506))</f>
        <v>1</v>
      </c>
      <c r="O506" s="5" t="str">
        <f>IF(F506&gt;=1,IF(M506&lt;=N506,"STRIKE","pass"),IF(M506&lt;=INDEX('Route Data'!$R$7:$R$8,E506),"NO PASS","pass"))</f>
        <v>STRIKE</v>
      </c>
      <c r="P506" s="5">
        <f>IF(F506&gt;=1,IF(M506&lt;=N506,1,0),IF(M506&lt;=INDEX('Route Data'!$R$7:$R$8,E506),-1,0))</f>
        <v>1</v>
      </c>
    </row>
    <row r="507" spans="1:16">
      <c r="A507" s="5">
        <v>497</v>
      </c>
      <c r="B507" s="12">
        <v>27.09</v>
      </c>
      <c r="C507" s="12">
        <f t="shared" si="7"/>
        <v>2.2599999999999998</v>
      </c>
      <c r="D507" s="8">
        <v>0.19222849607467651</v>
      </c>
      <c r="E507" s="5">
        <f>MATCH(D507,'Route Data'!$C$7:$C$8,1)</f>
        <v>2</v>
      </c>
      <c r="F507" s="5">
        <f>INDEX('Route Data'!$D$7:$D$8,E507)</f>
        <v>1</v>
      </c>
      <c r="G507" s="5" t="str">
        <f>INDEX('Route Data'!$A$7:$A$8,E507)</f>
        <v>u18</v>
      </c>
      <c r="H507" s="5">
        <f>EnergyCoeff(INDEX('Route Data'!$K$7:$K$8,E507),INDEX('Route Data'!$L$7:$L$8,E507)*2*PI()/60,INDEX('Route Data'!$F$7:$F$8,E507))</f>
        <v>0.19430699130049439</v>
      </c>
      <c r="I507" s="5">
        <f>DischargeCoeff(INDEX('Route Data'!$I$7:$I$8,E507), INDEX('Route Data'!$L$7:$L$8,E507)*2*PI()/60, INDEX('Route Data'!$F$7:$F$8,E507))</f>
        <v>0.15939200179827354</v>
      </c>
      <c r="J507" s="8">
        <f>FlowAngleRel(INDEX('Route Data'!$J$7:$J$8,E507)*INDEX('Route Data'!$I$7:$I$8,E507), INDEX('Route Data'!$L$7:$L$8,E507)*2*PI()/60, INDEX('Route Data'!$F$7:$F$8,E507),INDEX('Route Data'!$O$7:$O$8,E507), INDEX('Route Data'!$P$7:$P$8,E507),INDEX('Route Data'!$M$7:$M$8,E507))</f>
        <v>1.130811765868994</v>
      </c>
      <c r="K507" s="8">
        <f>FlowAngleAbsT(INDEX('Route Data'!$K$7:$K$8,E507), INDEX('Route Data'!$I$7:$I$8,E507), INDEX('Route Data'!$I$7:$I$8,E507)*INDEX('Route Data'!$J$7:$J$8,E507), INDEX('Route Data'!$L$7:$L$8,E507)*2*PI()/60, INDEX('Route Data'!$F$7:$F$8,E507),INDEX('Route Data'!$O$7:$O$8,E507), INDEX('Route Data'!$P$7:$P$8,E507), INDEX('Route Data'!$H$7:$H$8,E507), INDEX('Route Data'!$Q$7:$Q$8,E507), INDEX('Route Data'!$M$7:$M$8,E507))</f>
        <v>0.51617226640175828</v>
      </c>
      <c r="L507" s="5">
        <f>INDEX('Route Data'!$N$7:$N$8,E507)</f>
        <v>0.4</v>
      </c>
      <c r="M507" s="8">
        <v>1.2465178966522217E-2</v>
      </c>
      <c r="N507" s="8">
        <f>ProbStrikeFrancis(K507, I507, L507, INDEX('Route Data'!$G$7:$G$8,E507),C507, INDEX('Route Data'!$F$7:$F$8,E507), INDEX('Route Data'!$O$7:$O$8,E507), INDEX('Route Data'!$H$7:$H$18,E507))</f>
        <v>1</v>
      </c>
      <c r="O507" s="5" t="str">
        <f>IF(F507&gt;=1,IF(M507&lt;=N507,"STRIKE","pass"),IF(M507&lt;=INDEX('Route Data'!$R$7:$R$8,E507),"NO PASS","pass"))</f>
        <v>STRIKE</v>
      </c>
      <c r="P507" s="5">
        <f>IF(F507&gt;=1,IF(M507&lt;=N507,1,0),IF(M507&lt;=INDEX('Route Data'!$R$7:$R$8,E507),-1,0))</f>
        <v>1</v>
      </c>
    </row>
    <row r="508" spans="1:16">
      <c r="A508" s="5">
        <v>498</v>
      </c>
      <c r="B508" s="12">
        <v>20.260000000000002</v>
      </c>
      <c r="C508" s="12">
        <f t="shared" si="7"/>
        <v>1.69</v>
      </c>
      <c r="D508" s="8">
        <v>0.47657930850982666</v>
      </c>
      <c r="E508" s="5">
        <f>MATCH(D508,'Route Data'!$C$7:$C$8,1)</f>
        <v>2</v>
      </c>
      <c r="F508" s="5">
        <f>INDEX('Route Data'!$D$7:$D$8,E508)</f>
        <v>1</v>
      </c>
      <c r="G508" s="5" t="str">
        <f>INDEX('Route Data'!$A$7:$A$8,E508)</f>
        <v>u18</v>
      </c>
      <c r="H508" s="5">
        <f>EnergyCoeff(INDEX('Route Data'!$K$7:$K$8,E508),INDEX('Route Data'!$L$7:$L$8,E508)*2*PI()/60,INDEX('Route Data'!$F$7:$F$8,E508))</f>
        <v>0.19430699130049439</v>
      </c>
      <c r="I508" s="5">
        <f>DischargeCoeff(INDEX('Route Data'!$I$7:$I$8,E508), INDEX('Route Data'!$L$7:$L$8,E508)*2*PI()/60, INDEX('Route Data'!$F$7:$F$8,E508))</f>
        <v>0.15939200179827354</v>
      </c>
      <c r="J508" s="8">
        <f>FlowAngleRel(INDEX('Route Data'!$J$7:$J$8,E508)*INDEX('Route Data'!$I$7:$I$8,E508), INDEX('Route Data'!$L$7:$L$8,E508)*2*PI()/60, INDEX('Route Data'!$F$7:$F$8,E508),INDEX('Route Data'!$O$7:$O$8,E508), INDEX('Route Data'!$P$7:$P$8,E508),INDEX('Route Data'!$M$7:$M$8,E508))</f>
        <v>1.130811765868994</v>
      </c>
      <c r="K508" s="8">
        <f>FlowAngleAbsT(INDEX('Route Data'!$K$7:$K$8,E508), INDEX('Route Data'!$I$7:$I$8,E508), INDEX('Route Data'!$I$7:$I$8,E508)*INDEX('Route Data'!$J$7:$J$8,E508), INDEX('Route Data'!$L$7:$L$8,E508)*2*PI()/60, INDEX('Route Data'!$F$7:$F$8,E508),INDEX('Route Data'!$O$7:$O$8,E508), INDEX('Route Data'!$P$7:$P$8,E508), INDEX('Route Data'!$H$7:$H$8,E508), INDEX('Route Data'!$Q$7:$Q$8,E508), INDEX('Route Data'!$M$7:$M$8,E508))</f>
        <v>0.51617226640175828</v>
      </c>
      <c r="L508" s="5">
        <f>INDEX('Route Data'!$N$7:$N$8,E508)</f>
        <v>0.4</v>
      </c>
      <c r="M508" s="8">
        <v>0.27140820026397705</v>
      </c>
      <c r="N508" s="8">
        <f>ProbStrikeFrancis(K508, I508, L508, INDEX('Route Data'!$G$7:$G$8,E508),C508, INDEX('Route Data'!$F$7:$F$8,E508), INDEX('Route Data'!$O$7:$O$8,E508), INDEX('Route Data'!$H$7:$H$18,E508))</f>
        <v>1</v>
      </c>
      <c r="O508" s="5" t="str">
        <f>IF(F508&gt;=1,IF(M508&lt;=N508,"STRIKE","pass"),IF(M508&lt;=INDEX('Route Data'!$R$7:$R$8,E508),"NO PASS","pass"))</f>
        <v>STRIKE</v>
      </c>
      <c r="P508" s="5">
        <f>IF(F508&gt;=1,IF(M508&lt;=N508,1,0),IF(M508&lt;=INDEX('Route Data'!$R$7:$R$8,E508),-1,0))</f>
        <v>1</v>
      </c>
    </row>
    <row r="509" spans="1:16">
      <c r="A509" s="5">
        <v>499</v>
      </c>
      <c r="B509" s="12">
        <v>17.29</v>
      </c>
      <c r="C509" s="12">
        <f t="shared" si="7"/>
        <v>1.44</v>
      </c>
      <c r="D509" s="8">
        <v>0.62352687120437622</v>
      </c>
      <c r="E509" s="5">
        <f>MATCH(D509,'Route Data'!$C$7:$C$8,1)</f>
        <v>2</v>
      </c>
      <c r="F509" s="5">
        <f>INDEX('Route Data'!$D$7:$D$8,E509)</f>
        <v>1</v>
      </c>
      <c r="G509" s="5" t="str">
        <f>INDEX('Route Data'!$A$7:$A$8,E509)</f>
        <v>u18</v>
      </c>
      <c r="H509" s="5">
        <f>EnergyCoeff(INDEX('Route Data'!$K$7:$K$8,E509),INDEX('Route Data'!$L$7:$L$8,E509)*2*PI()/60,INDEX('Route Data'!$F$7:$F$8,E509))</f>
        <v>0.19430699130049439</v>
      </c>
      <c r="I509" s="5">
        <f>DischargeCoeff(INDEX('Route Data'!$I$7:$I$8,E509), INDEX('Route Data'!$L$7:$L$8,E509)*2*PI()/60, INDEX('Route Data'!$F$7:$F$8,E509))</f>
        <v>0.15939200179827354</v>
      </c>
      <c r="J509" s="8">
        <f>FlowAngleRel(INDEX('Route Data'!$J$7:$J$8,E509)*INDEX('Route Data'!$I$7:$I$8,E509), INDEX('Route Data'!$L$7:$L$8,E509)*2*PI()/60, INDEX('Route Data'!$F$7:$F$8,E509),INDEX('Route Data'!$O$7:$O$8,E509), INDEX('Route Data'!$P$7:$P$8,E509),INDEX('Route Data'!$M$7:$M$8,E509))</f>
        <v>1.130811765868994</v>
      </c>
      <c r="K509" s="8">
        <f>FlowAngleAbsT(INDEX('Route Data'!$K$7:$K$8,E509), INDEX('Route Data'!$I$7:$I$8,E509), INDEX('Route Data'!$I$7:$I$8,E509)*INDEX('Route Data'!$J$7:$J$8,E509), INDEX('Route Data'!$L$7:$L$8,E509)*2*PI()/60, INDEX('Route Data'!$F$7:$F$8,E509),INDEX('Route Data'!$O$7:$O$8,E509), INDEX('Route Data'!$P$7:$P$8,E509), INDEX('Route Data'!$H$7:$H$8,E509), INDEX('Route Data'!$Q$7:$Q$8,E509), INDEX('Route Data'!$M$7:$M$8,E509))</f>
        <v>0.51617226640175828</v>
      </c>
      <c r="L509" s="5">
        <f>INDEX('Route Data'!$N$7:$N$8,E509)</f>
        <v>0.4</v>
      </c>
      <c r="M509" s="8">
        <v>0.76015836000442505</v>
      </c>
      <c r="N509" s="8">
        <f>ProbStrikeFrancis(K509, I509, L509, INDEX('Route Data'!$G$7:$G$8,E509),C509, INDEX('Route Data'!$F$7:$F$8,E509), INDEX('Route Data'!$O$7:$O$8,E509), INDEX('Route Data'!$H$7:$H$18,E509))</f>
        <v>1</v>
      </c>
      <c r="O509" s="5" t="str">
        <f>IF(F509&gt;=1,IF(M509&lt;=N509,"STRIKE","pass"),IF(M509&lt;=INDEX('Route Data'!$R$7:$R$8,E509),"NO PASS","pass"))</f>
        <v>STRIKE</v>
      </c>
      <c r="P509" s="5">
        <f>IF(F509&gt;=1,IF(M509&lt;=N509,1,0),IF(M509&lt;=INDEX('Route Data'!$R$7:$R$8,E509),-1,0))</f>
        <v>1</v>
      </c>
    </row>
    <row r="510" spans="1:16">
      <c r="A510" s="5">
        <v>500</v>
      </c>
      <c r="B510" s="12">
        <v>18.48</v>
      </c>
      <c r="C510" s="12">
        <f t="shared" si="7"/>
        <v>1.54</v>
      </c>
      <c r="D510" s="8">
        <v>0.65152573585510254</v>
      </c>
      <c r="E510" s="5">
        <f>MATCH(D510,'Route Data'!$C$7:$C$8,1)</f>
        <v>2</v>
      </c>
      <c r="F510" s="5">
        <f>INDEX('Route Data'!$D$7:$D$8,E510)</f>
        <v>1</v>
      </c>
      <c r="G510" s="5" t="str">
        <f>INDEX('Route Data'!$A$7:$A$8,E510)</f>
        <v>u18</v>
      </c>
      <c r="H510" s="5">
        <f>EnergyCoeff(INDEX('Route Data'!$K$7:$K$8,E510),INDEX('Route Data'!$L$7:$L$8,E510)*2*PI()/60,INDEX('Route Data'!$F$7:$F$8,E510))</f>
        <v>0.19430699130049439</v>
      </c>
      <c r="I510" s="5">
        <f>DischargeCoeff(INDEX('Route Data'!$I$7:$I$8,E510), INDEX('Route Data'!$L$7:$L$8,E510)*2*PI()/60, INDEX('Route Data'!$F$7:$F$8,E510))</f>
        <v>0.15939200179827354</v>
      </c>
      <c r="J510" s="8">
        <f>FlowAngleRel(INDEX('Route Data'!$J$7:$J$8,E510)*INDEX('Route Data'!$I$7:$I$8,E510), INDEX('Route Data'!$L$7:$L$8,E510)*2*PI()/60, INDEX('Route Data'!$F$7:$F$8,E510),INDEX('Route Data'!$O$7:$O$8,E510), INDEX('Route Data'!$P$7:$P$8,E510),INDEX('Route Data'!$M$7:$M$8,E510))</f>
        <v>1.130811765868994</v>
      </c>
      <c r="K510" s="8">
        <f>FlowAngleAbsT(INDEX('Route Data'!$K$7:$K$8,E510), INDEX('Route Data'!$I$7:$I$8,E510), INDEX('Route Data'!$I$7:$I$8,E510)*INDEX('Route Data'!$J$7:$J$8,E510), INDEX('Route Data'!$L$7:$L$8,E510)*2*PI()/60, INDEX('Route Data'!$F$7:$F$8,E510),INDEX('Route Data'!$O$7:$O$8,E510), INDEX('Route Data'!$P$7:$P$8,E510), INDEX('Route Data'!$H$7:$H$8,E510), INDEX('Route Data'!$Q$7:$Q$8,E510), INDEX('Route Data'!$M$7:$M$8,E510))</f>
        <v>0.51617226640175828</v>
      </c>
      <c r="L510" s="5">
        <f>INDEX('Route Data'!$N$7:$N$8,E510)</f>
        <v>0.4</v>
      </c>
      <c r="M510" s="8">
        <v>0.76274943351745605</v>
      </c>
      <c r="N510" s="8">
        <f>ProbStrikeFrancis(K510, I510, L510, INDEX('Route Data'!$G$7:$G$8,E510),C510, INDEX('Route Data'!$F$7:$F$8,E510), INDEX('Route Data'!$O$7:$O$8,E510), INDEX('Route Data'!$H$7:$H$18,E510))</f>
        <v>1</v>
      </c>
      <c r="O510" s="5" t="str">
        <f>IF(F510&gt;=1,IF(M510&lt;=N510,"STRIKE","pass"),IF(M510&lt;=INDEX('Route Data'!$R$7:$R$8,E510),"NO PASS","pass"))</f>
        <v>STRIKE</v>
      </c>
      <c r="P510" s="5">
        <f>IF(F510&gt;=1,IF(M510&lt;=N510,1,0),IF(M510&lt;=INDEX('Route Data'!$R$7:$R$8,E510),-1,0))</f>
        <v>1</v>
      </c>
    </row>
    <row r="511" spans="1:16">
      <c r="A511" s="5">
        <v>501</v>
      </c>
      <c r="B511" s="12">
        <v>27.3</v>
      </c>
      <c r="C511" s="12">
        <f t="shared" si="7"/>
        <v>2.2799999999999998</v>
      </c>
      <c r="D511" s="8">
        <v>0.83310836553573608</v>
      </c>
      <c r="E511" s="5">
        <f>MATCH(D511,'Route Data'!$C$7:$C$8,1)</f>
        <v>2</v>
      </c>
      <c r="F511" s="5">
        <f>INDEX('Route Data'!$D$7:$D$8,E511)</f>
        <v>1</v>
      </c>
      <c r="G511" s="5" t="str">
        <f>INDEX('Route Data'!$A$7:$A$8,E511)</f>
        <v>u18</v>
      </c>
      <c r="H511" s="5">
        <f>EnergyCoeff(INDEX('Route Data'!$K$7:$K$8,E511),INDEX('Route Data'!$L$7:$L$8,E511)*2*PI()/60,INDEX('Route Data'!$F$7:$F$8,E511))</f>
        <v>0.19430699130049439</v>
      </c>
      <c r="I511" s="5">
        <f>DischargeCoeff(INDEX('Route Data'!$I$7:$I$8,E511), INDEX('Route Data'!$L$7:$L$8,E511)*2*PI()/60, INDEX('Route Data'!$F$7:$F$8,E511))</f>
        <v>0.15939200179827354</v>
      </c>
      <c r="J511" s="8">
        <f>FlowAngleRel(INDEX('Route Data'!$J$7:$J$8,E511)*INDEX('Route Data'!$I$7:$I$8,E511), INDEX('Route Data'!$L$7:$L$8,E511)*2*PI()/60, INDEX('Route Data'!$F$7:$F$8,E511),INDEX('Route Data'!$O$7:$O$8,E511), INDEX('Route Data'!$P$7:$P$8,E511),INDEX('Route Data'!$M$7:$M$8,E511))</f>
        <v>1.130811765868994</v>
      </c>
      <c r="K511" s="8">
        <f>FlowAngleAbsT(INDEX('Route Data'!$K$7:$K$8,E511), INDEX('Route Data'!$I$7:$I$8,E511), INDEX('Route Data'!$I$7:$I$8,E511)*INDEX('Route Data'!$J$7:$J$8,E511), INDEX('Route Data'!$L$7:$L$8,E511)*2*PI()/60, INDEX('Route Data'!$F$7:$F$8,E511),INDEX('Route Data'!$O$7:$O$8,E511), INDEX('Route Data'!$P$7:$P$8,E511), INDEX('Route Data'!$H$7:$H$8,E511), INDEX('Route Data'!$Q$7:$Q$8,E511), INDEX('Route Data'!$M$7:$M$8,E511))</f>
        <v>0.51617226640175828</v>
      </c>
      <c r="L511" s="5">
        <f>INDEX('Route Data'!$N$7:$N$8,E511)</f>
        <v>0.4</v>
      </c>
      <c r="M511" s="8">
        <v>0.28613466024398804</v>
      </c>
      <c r="N511" s="8">
        <f>ProbStrikeFrancis(K511, I511, L511, INDEX('Route Data'!$G$7:$G$8,E511),C511, INDEX('Route Data'!$F$7:$F$8,E511), INDEX('Route Data'!$O$7:$O$8,E511), INDEX('Route Data'!$H$7:$H$18,E511))</f>
        <v>1</v>
      </c>
      <c r="O511" s="5" t="str">
        <f>IF(F511&gt;=1,IF(M511&lt;=N511,"STRIKE","pass"),IF(M511&lt;=INDEX('Route Data'!$R$7:$R$8,E511),"NO PASS","pass"))</f>
        <v>STRIKE</v>
      </c>
      <c r="P511" s="5">
        <f>IF(F511&gt;=1,IF(M511&lt;=N511,1,0),IF(M511&lt;=INDEX('Route Data'!$R$7:$R$8,E511),-1,0))</f>
        <v>1</v>
      </c>
    </row>
    <row r="512" spans="1:16">
      <c r="A512" s="5">
        <v>502</v>
      </c>
      <c r="B512" s="12">
        <v>21.8</v>
      </c>
      <c r="C512" s="12">
        <f t="shared" si="7"/>
        <v>1.82</v>
      </c>
      <c r="D512" s="8">
        <v>0.28836047649383545</v>
      </c>
      <c r="E512" s="5">
        <f>MATCH(D512,'Route Data'!$C$7:$C$8,1)</f>
        <v>2</v>
      </c>
      <c r="F512" s="5">
        <f>INDEX('Route Data'!$D$7:$D$8,E512)</f>
        <v>1</v>
      </c>
      <c r="G512" s="5" t="str">
        <f>INDEX('Route Data'!$A$7:$A$8,E512)</f>
        <v>u18</v>
      </c>
      <c r="H512" s="5">
        <f>EnergyCoeff(INDEX('Route Data'!$K$7:$K$8,E512),INDEX('Route Data'!$L$7:$L$8,E512)*2*PI()/60,INDEX('Route Data'!$F$7:$F$8,E512))</f>
        <v>0.19430699130049439</v>
      </c>
      <c r="I512" s="5">
        <f>DischargeCoeff(INDEX('Route Data'!$I$7:$I$8,E512), INDEX('Route Data'!$L$7:$L$8,E512)*2*PI()/60, INDEX('Route Data'!$F$7:$F$8,E512))</f>
        <v>0.15939200179827354</v>
      </c>
      <c r="J512" s="8">
        <f>FlowAngleRel(INDEX('Route Data'!$J$7:$J$8,E512)*INDEX('Route Data'!$I$7:$I$8,E512), INDEX('Route Data'!$L$7:$L$8,E512)*2*PI()/60, INDEX('Route Data'!$F$7:$F$8,E512),INDEX('Route Data'!$O$7:$O$8,E512), INDEX('Route Data'!$P$7:$P$8,E512),INDEX('Route Data'!$M$7:$M$8,E512))</f>
        <v>1.130811765868994</v>
      </c>
      <c r="K512" s="8">
        <f>FlowAngleAbsT(INDEX('Route Data'!$K$7:$K$8,E512), INDEX('Route Data'!$I$7:$I$8,E512), INDEX('Route Data'!$I$7:$I$8,E512)*INDEX('Route Data'!$J$7:$J$8,E512), INDEX('Route Data'!$L$7:$L$8,E512)*2*PI()/60, INDEX('Route Data'!$F$7:$F$8,E512),INDEX('Route Data'!$O$7:$O$8,E512), INDEX('Route Data'!$P$7:$P$8,E512), INDEX('Route Data'!$H$7:$H$8,E512), INDEX('Route Data'!$Q$7:$Q$8,E512), INDEX('Route Data'!$M$7:$M$8,E512))</f>
        <v>0.51617226640175828</v>
      </c>
      <c r="L512" s="5">
        <f>INDEX('Route Data'!$N$7:$N$8,E512)</f>
        <v>0.4</v>
      </c>
      <c r="M512" s="8">
        <v>0.45039975643157959</v>
      </c>
      <c r="N512" s="8">
        <f>ProbStrikeFrancis(K512, I512, L512, INDEX('Route Data'!$G$7:$G$8,E512),C512, INDEX('Route Data'!$F$7:$F$8,E512), INDEX('Route Data'!$O$7:$O$8,E512), INDEX('Route Data'!$H$7:$H$18,E512))</f>
        <v>1</v>
      </c>
      <c r="O512" s="5" t="str">
        <f>IF(F512&gt;=1,IF(M512&lt;=N512,"STRIKE","pass"),IF(M512&lt;=INDEX('Route Data'!$R$7:$R$8,E512),"NO PASS","pass"))</f>
        <v>STRIKE</v>
      </c>
      <c r="P512" s="5">
        <f>IF(F512&gt;=1,IF(M512&lt;=N512,1,0),IF(M512&lt;=INDEX('Route Data'!$R$7:$R$8,E512),-1,0))</f>
        <v>1</v>
      </c>
    </row>
    <row r="513" spans="1:16">
      <c r="A513" s="5">
        <v>503</v>
      </c>
      <c r="B513" s="12">
        <v>28.87</v>
      </c>
      <c r="C513" s="12">
        <f t="shared" si="7"/>
        <v>2.41</v>
      </c>
      <c r="D513" s="8">
        <v>0.18818336725234985</v>
      </c>
      <c r="E513" s="5">
        <f>MATCH(D513,'Route Data'!$C$7:$C$8,1)</f>
        <v>2</v>
      </c>
      <c r="F513" s="5">
        <f>INDEX('Route Data'!$D$7:$D$8,E513)</f>
        <v>1</v>
      </c>
      <c r="G513" s="5" t="str">
        <f>INDEX('Route Data'!$A$7:$A$8,E513)</f>
        <v>u18</v>
      </c>
      <c r="H513" s="5">
        <f>EnergyCoeff(INDEX('Route Data'!$K$7:$K$8,E513),INDEX('Route Data'!$L$7:$L$8,E513)*2*PI()/60,INDEX('Route Data'!$F$7:$F$8,E513))</f>
        <v>0.19430699130049439</v>
      </c>
      <c r="I513" s="5">
        <f>DischargeCoeff(INDEX('Route Data'!$I$7:$I$8,E513), INDEX('Route Data'!$L$7:$L$8,E513)*2*PI()/60, INDEX('Route Data'!$F$7:$F$8,E513))</f>
        <v>0.15939200179827354</v>
      </c>
      <c r="J513" s="8">
        <f>FlowAngleRel(INDEX('Route Data'!$J$7:$J$8,E513)*INDEX('Route Data'!$I$7:$I$8,E513), INDEX('Route Data'!$L$7:$L$8,E513)*2*PI()/60, INDEX('Route Data'!$F$7:$F$8,E513),INDEX('Route Data'!$O$7:$O$8,E513), INDEX('Route Data'!$P$7:$P$8,E513),INDEX('Route Data'!$M$7:$M$8,E513))</f>
        <v>1.130811765868994</v>
      </c>
      <c r="K513" s="8">
        <f>FlowAngleAbsT(INDEX('Route Data'!$K$7:$K$8,E513), INDEX('Route Data'!$I$7:$I$8,E513), INDEX('Route Data'!$I$7:$I$8,E513)*INDEX('Route Data'!$J$7:$J$8,E513), INDEX('Route Data'!$L$7:$L$8,E513)*2*PI()/60, INDEX('Route Data'!$F$7:$F$8,E513),INDEX('Route Data'!$O$7:$O$8,E513), INDEX('Route Data'!$P$7:$P$8,E513), INDEX('Route Data'!$H$7:$H$8,E513), INDEX('Route Data'!$Q$7:$Q$8,E513), INDEX('Route Data'!$M$7:$M$8,E513))</f>
        <v>0.51617226640175828</v>
      </c>
      <c r="L513" s="5">
        <f>INDEX('Route Data'!$N$7:$N$8,E513)</f>
        <v>0.4</v>
      </c>
      <c r="M513" s="8">
        <v>0.69202524423599243</v>
      </c>
      <c r="N513" s="8">
        <f>ProbStrikeFrancis(K513, I513, L513, INDEX('Route Data'!$G$7:$G$8,E513),C513, INDEX('Route Data'!$F$7:$F$8,E513), INDEX('Route Data'!$O$7:$O$8,E513), INDEX('Route Data'!$H$7:$H$18,E513))</f>
        <v>1</v>
      </c>
      <c r="O513" s="5" t="str">
        <f>IF(F513&gt;=1,IF(M513&lt;=N513,"STRIKE","pass"),IF(M513&lt;=INDEX('Route Data'!$R$7:$R$8,E513),"NO PASS","pass"))</f>
        <v>STRIKE</v>
      </c>
      <c r="P513" s="5">
        <f>IF(F513&gt;=1,IF(M513&lt;=N513,1,0),IF(M513&lt;=INDEX('Route Data'!$R$7:$R$8,E513),-1,0))</f>
        <v>1</v>
      </c>
    </row>
    <row r="514" spans="1:16">
      <c r="A514" s="5">
        <v>504</v>
      </c>
      <c r="B514" s="12">
        <v>22.97</v>
      </c>
      <c r="C514" s="12">
        <f t="shared" si="7"/>
        <v>1.91</v>
      </c>
      <c r="D514" s="8">
        <v>0.75429391860961914</v>
      </c>
      <c r="E514" s="5">
        <f>MATCH(D514,'Route Data'!$C$7:$C$8,1)</f>
        <v>2</v>
      </c>
      <c r="F514" s="5">
        <f>INDEX('Route Data'!$D$7:$D$8,E514)</f>
        <v>1</v>
      </c>
      <c r="G514" s="5" t="str">
        <f>INDEX('Route Data'!$A$7:$A$8,E514)</f>
        <v>u18</v>
      </c>
      <c r="H514" s="5">
        <f>EnergyCoeff(INDEX('Route Data'!$K$7:$K$8,E514),INDEX('Route Data'!$L$7:$L$8,E514)*2*PI()/60,INDEX('Route Data'!$F$7:$F$8,E514))</f>
        <v>0.19430699130049439</v>
      </c>
      <c r="I514" s="5">
        <f>DischargeCoeff(INDEX('Route Data'!$I$7:$I$8,E514), INDEX('Route Data'!$L$7:$L$8,E514)*2*PI()/60, INDEX('Route Data'!$F$7:$F$8,E514))</f>
        <v>0.15939200179827354</v>
      </c>
      <c r="J514" s="8">
        <f>FlowAngleRel(INDEX('Route Data'!$J$7:$J$8,E514)*INDEX('Route Data'!$I$7:$I$8,E514), INDEX('Route Data'!$L$7:$L$8,E514)*2*PI()/60, INDEX('Route Data'!$F$7:$F$8,E514),INDEX('Route Data'!$O$7:$O$8,E514), INDEX('Route Data'!$P$7:$P$8,E514),INDEX('Route Data'!$M$7:$M$8,E514))</f>
        <v>1.130811765868994</v>
      </c>
      <c r="K514" s="8">
        <f>FlowAngleAbsT(INDEX('Route Data'!$K$7:$K$8,E514), INDEX('Route Data'!$I$7:$I$8,E514), INDEX('Route Data'!$I$7:$I$8,E514)*INDEX('Route Data'!$J$7:$J$8,E514), INDEX('Route Data'!$L$7:$L$8,E514)*2*PI()/60, INDEX('Route Data'!$F$7:$F$8,E514),INDEX('Route Data'!$O$7:$O$8,E514), INDEX('Route Data'!$P$7:$P$8,E514), INDEX('Route Data'!$H$7:$H$8,E514), INDEX('Route Data'!$Q$7:$Q$8,E514), INDEX('Route Data'!$M$7:$M$8,E514))</f>
        <v>0.51617226640175828</v>
      </c>
      <c r="L514" s="5">
        <f>INDEX('Route Data'!$N$7:$N$8,E514)</f>
        <v>0.4</v>
      </c>
      <c r="M514" s="8">
        <v>0.23272800445556641</v>
      </c>
      <c r="N514" s="8">
        <f>ProbStrikeFrancis(K514, I514, L514, INDEX('Route Data'!$G$7:$G$8,E514),C514, INDEX('Route Data'!$F$7:$F$8,E514), INDEX('Route Data'!$O$7:$O$8,E514), INDEX('Route Data'!$H$7:$H$18,E514))</f>
        <v>1</v>
      </c>
      <c r="O514" s="5" t="str">
        <f>IF(F514&gt;=1,IF(M514&lt;=N514,"STRIKE","pass"),IF(M514&lt;=INDEX('Route Data'!$R$7:$R$8,E514),"NO PASS","pass"))</f>
        <v>STRIKE</v>
      </c>
      <c r="P514" s="5">
        <f>IF(F514&gt;=1,IF(M514&lt;=N514,1,0),IF(M514&lt;=INDEX('Route Data'!$R$7:$R$8,E514),-1,0))</f>
        <v>1</v>
      </c>
    </row>
    <row r="515" spans="1:16">
      <c r="A515" s="5">
        <v>505</v>
      </c>
      <c r="B515" s="12">
        <v>22.66</v>
      </c>
      <c r="C515" s="12">
        <f t="shared" si="7"/>
        <v>1.89</v>
      </c>
      <c r="D515" s="8">
        <v>0.79038304090499878</v>
      </c>
      <c r="E515" s="5">
        <f>MATCH(D515,'Route Data'!$C$7:$C$8,1)</f>
        <v>2</v>
      </c>
      <c r="F515" s="5">
        <f>INDEX('Route Data'!$D$7:$D$8,E515)</f>
        <v>1</v>
      </c>
      <c r="G515" s="5" t="str">
        <f>INDEX('Route Data'!$A$7:$A$8,E515)</f>
        <v>u18</v>
      </c>
      <c r="H515" s="5">
        <f>EnergyCoeff(INDEX('Route Data'!$K$7:$K$8,E515),INDEX('Route Data'!$L$7:$L$8,E515)*2*PI()/60,INDEX('Route Data'!$F$7:$F$8,E515))</f>
        <v>0.19430699130049439</v>
      </c>
      <c r="I515" s="5">
        <f>DischargeCoeff(INDEX('Route Data'!$I$7:$I$8,E515), INDEX('Route Data'!$L$7:$L$8,E515)*2*PI()/60, INDEX('Route Data'!$F$7:$F$8,E515))</f>
        <v>0.15939200179827354</v>
      </c>
      <c r="J515" s="8">
        <f>FlowAngleRel(INDEX('Route Data'!$J$7:$J$8,E515)*INDEX('Route Data'!$I$7:$I$8,E515), INDEX('Route Data'!$L$7:$L$8,E515)*2*PI()/60, INDEX('Route Data'!$F$7:$F$8,E515),INDEX('Route Data'!$O$7:$O$8,E515), INDEX('Route Data'!$P$7:$P$8,E515),INDEX('Route Data'!$M$7:$M$8,E515))</f>
        <v>1.130811765868994</v>
      </c>
      <c r="K515" s="8">
        <f>FlowAngleAbsT(INDEX('Route Data'!$K$7:$K$8,E515), INDEX('Route Data'!$I$7:$I$8,E515), INDEX('Route Data'!$I$7:$I$8,E515)*INDEX('Route Data'!$J$7:$J$8,E515), INDEX('Route Data'!$L$7:$L$8,E515)*2*PI()/60, INDEX('Route Data'!$F$7:$F$8,E515),INDEX('Route Data'!$O$7:$O$8,E515), INDEX('Route Data'!$P$7:$P$8,E515), INDEX('Route Data'!$H$7:$H$8,E515), INDEX('Route Data'!$Q$7:$Q$8,E515), INDEX('Route Data'!$M$7:$M$8,E515))</f>
        <v>0.51617226640175828</v>
      </c>
      <c r="L515" s="5">
        <f>INDEX('Route Data'!$N$7:$N$8,E515)</f>
        <v>0.4</v>
      </c>
      <c r="M515" s="8">
        <v>0.61061972379684448</v>
      </c>
      <c r="N515" s="8">
        <f>ProbStrikeFrancis(K515, I515, L515, INDEX('Route Data'!$G$7:$G$8,E515),C515, INDEX('Route Data'!$F$7:$F$8,E515), INDEX('Route Data'!$O$7:$O$8,E515), INDEX('Route Data'!$H$7:$H$18,E515))</f>
        <v>1</v>
      </c>
      <c r="O515" s="5" t="str">
        <f>IF(F515&gt;=1,IF(M515&lt;=N515,"STRIKE","pass"),IF(M515&lt;=INDEX('Route Data'!$R$7:$R$8,E515),"NO PASS","pass"))</f>
        <v>STRIKE</v>
      </c>
      <c r="P515" s="5">
        <f>IF(F515&gt;=1,IF(M515&lt;=N515,1,0),IF(M515&lt;=INDEX('Route Data'!$R$7:$R$8,E515),-1,0))</f>
        <v>1</v>
      </c>
    </row>
    <row r="516" spans="1:16">
      <c r="A516" s="5">
        <v>506</v>
      </c>
      <c r="B516" s="12">
        <v>19.62</v>
      </c>
      <c r="C516" s="12">
        <f t="shared" si="7"/>
        <v>1.64</v>
      </c>
      <c r="D516" s="8">
        <v>0.41653645038604736</v>
      </c>
      <c r="E516" s="5">
        <f>MATCH(D516,'Route Data'!$C$7:$C$8,1)</f>
        <v>2</v>
      </c>
      <c r="F516" s="5">
        <f>INDEX('Route Data'!$D$7:$D$8,E516)</f>
        <v>1</v>
      </c>
      <c r="G516" s="5" t="str">
        <f>INDEX('Route Data'!$A$7:$A$8,E516)</f>
        <v>u18</v>
      </c>
      <c r="H516" s="5">
        <f>EnergyCoeff(INDEX('Route Data'!$K$7:$K$8,E516),INDEX('Route Data'!$L$7:$L$8,E516)*2*PI()/60,INDEX('Route Data'!$F$7:$F$8,E516))</f>
        <v>0.19430699130049439</v>
      </c>
      <c r="I516" s="5">
        <f>DischargeCoeff(INDEX('Route Data'!$I$7:$I$8,E516), INDEX('Route Data'!$L$7:$L$8,E516)*2*PI()/60, INDEX('Route Data'!$F$7:$F$8,E516))</f>
        <v>0.15939200179827354</v>
      </c>
      <c r="J516" s="8">
        <f>FlowAngleRel(INDEX('Route Data'!$J$7:$J$8,E516)*INDEX('Route Data'!$I$7:$I$8,E516), INDEX('Route Data'!$L$7:$L$8,E516)*2*PI()/60, INDEX('Route Data'!$F$7:$F$8,E516),INDEX('Route Data'!$O$7:$O$8,E516), INDEX('Route Data'!$P$7:$P$8,E516),INDEX('Route Data'!$M$7:$M$8,E516))</f>
        <v>1.130811765868994</v>
      </c>
      <c r="K516" s="8">
        <f>FlowAngleAbsT(INDEX('Route Data'!$K$7:$K$8,E516), INDEX('Route Data'!$I$7:$I$8,E516), INDEX('Route Data'!$I$7:$I$8,E516)*INDEX('Route Data'!$J$7:$J$8,E516), INDEX('Route Data'!$L$7:$L$8,E516)*2*PI()/60, INDEX('Route Data'!$F$7:$F$8,E516),INDEX('Route Data'!$O$7:$O$8,E516), INDEX('Route Data'!$P$7:$P$8,E516), INDEX('Route Data'!$H$7:$H$8,E516), INDEX('Route Data'!$Q$7:$Q$8,E516), INDEX('Route Data'!$M$7:$M$8,E516))</f>
        <v>0.51617226640175828</v>
      </c>
      <c r="L516" s="5">
        <f>INDEX('Route Data'!$N$7:$N$8,E516)</f>
        <v>0.4</v>
      </c>
      <c r="M516" s="8">
        <v>0.21136534214019775</v>
      </c>
      <c r="N516" s="8">
        <f>ProbStrikeFrancis(K516, I516, L516, INDEX('Route Data'!$G$7:$G$8,E516),C516, INDEX('Route Data'!$F$7:$F$8,E516), INDEX('Route Data'!$O$7:$O$8,E516), INDEX('Route Data'!$H$7:$H$18,E516))</f>
        <v>1</v>
      </c>
      <c r="O516" s="5" t="str">
        <f>IF(F516&gt;=1,IF(M516&lt;=N516,"STRIKE","pass"),IF(M516&lt;=INDEX('Route Data'!$R$7:$R$8,E516),"NO PASS","pass"))</f>
        <v>STRIKE</v>
      </c>
      <c r="P516" s="5">
        <f>IF(F516&gt;=1,IF(M516&lt;=N516,1,0),IF(M516&lt;=INDEX('Route Data'!$R$7:$R$8,E516),-1,0))</f>
        <v>1</v>
      </c>
    </row>
    <row r="517" spans="1:16">
      <c r="A517" s="5">
        <v>507</v>
      </c>
      <c r="B517" s="12">
        <v>27.99</v>
      </c>
      <c r="C517" s="12">
        <f t="shared" si="7"/>
        <v>2.33</v>
      </c>
      <c r="D517" s="8">
        <v>0.53807622194290161</v>
      </c>
      <c r="E517" s="5">
        <f>MATCH(D517,'Route Data'!$C$7:$C$8,1)</f>
        <v>2</v>
      </c>
      <c r="F517" s="5">
        <f>INDEX('Route Data'!$D$7:$D$8,E517)</f>
        <v>1</v>
      </c>
      <c r="G517" s="5" t="str">
        <f>INDEX('Route Data'!$A$7:$A$8,E517)</f>
        <v>u18</v>
      </c>
      <c r="H517" s="5">
        <f>EnergyCoeff(INDEX('Route Data'!$K$7:$K$8,E517),INDEX('Route Data'!$L$7:$L$8,E517)*2*PI()/60,INDEX('Route Data'!$F$7:$F$8,E517))</f>
        <v>0.19430699130049439</v>
      </c>
      <c r="I517" s="5">
        <f>DischargeCoeff(INDEX('Route Data'!$I$7:$I$8,E517), INDEX('Route Data'!$L$7:$L$8,E517)*2*PI()/60, INDEX('Route Data'!$F$7:$F$8,E517))</f>
        <v>0.15939200179827354</v>
      </c>
      <c r="J517" s="8">
        <f>FlowAngleRel(INDEX('Route Data'!$J$7:$J$8,E517)*INDEX('Route Data'!$I$7:$I$8,E517), INDEX('Route Data'!$L$7:$L$8,E517)*2*PI()/60, INDEX('Route Data'!$F$7:$F$8,E517),INDEX('Route Data'!$O$7:$O$8,E517), INDEX('Route Data'!$P$7:$P$8,E517),INDEX('Route Data'!$M$7:$M$8,E517))</f>
        <v>1.130811765868994</v>
      </c>
      <c r="K517" s="8">
        <f>FlowAngleAbsT(INDEX('Route Data'!$K$7:$K$8,E517), INDEX('Route Data'!$I$7:$I$8,E517), INDEX('Route Data'!$I$7:$I$8,E517)*INDEX('Route Data'!$J$7:$J$8,E517), INDEX('Route Data'!$L$7:$L$8,E517)*2*PI()/60, INDEX('Route Data'!$F$7:$F$8,E517),INDEX('Route Data'!$O$7:$O$8,E517), INDEX('Route Data'!$P$7:$P$8,E517), INDEX('Route Data'!$H$7:$H$8,E517), INDEX('Route Data'!$Q$7:$Q$8,E517), INDEX('Route Data'!$M$7:$M$8,E517))</f>
        <v>0.51617226640175828</v>
      </c>
      <c r="L517" s="5">
        <f>INDEX('Route Data'!$N$7:$N$8,E517)</f>
        <v>0.4</v>
      </c>
      <c r="M517" s="8">
        <v>0.67470771074295044</v>
      </c>
      <c r="N517" s="8">
        <f>ProbStrikeFrancis(K517, I517, L517, INDEX('Route Data'!$G$7:$G$8,E517),C517, INDEX('Route Data'!$F$7:$F$8,E517), INDEX('Route Data'!$O$7:$O$8,E517), INDEX('Route Data'!$H$7:$H$18,E517))</f>
        <v>1</v>
      </c>
      <c r="O517" s="5" t="str">
        <f>IF(F517&gt;=1,IF(M517&lt;=N517,"STRIKE","pass"),IF(M517&lt;=INDEX('Route Data'!$R$7:$R$8,E517),"NO PASS","pass"))</f>
        <v>STRIKE</v>
      </c>
      <c r="P517" s="5">
        <f>IF(F517&gt;=1,IF(M517&lt;=N517,1,0),IF(M517&lt;=INDEX('Route Data'!$R$7:$R$8,E517),-1,0))</f>
        <v>1</v>
      </c>
    </row>
    <row r="518" spans="1:16">
      <c r="A518" s="5">
        <v>508</v>
      </c>
      <c r="B518" s="12">
        <v>21.28</v>
      </c>
      <c r="C518" s="12">
        <f t="shared" si="7"/>
        <v>1.77</v>
      </c>
      <c r="D518" s="8">
        <v>0.90787768363952637</v>
      </c>
      <c r="E518" s="5">
        <f>MATCH(D518,'Route Data'!$C$7:$C$8,1)</f>
        <v>2</v>
      </c>
      <c r="F518" s="5">
        <f>INDEX('Route Data'!$D$7:$D$8,E518)</f>
        <v>1</v>
      </c>
      <c r="G518" s="5" t="str">
        <f>INDEX('Route Data'!$A$7:$A$8,E518)</f>
        <v>u18</v>
      </c>
      <c r="H518" s="5">
        <f>EnergyCoeff(INDEX('Route Data'!$K$7:$K$8,E518),INDEX('Route Data'!$L$7:$L$8,E518)*2*PI()/60,INDEX('Route Data'!$F$7:$F$8,E518))</f>
        <v>0.19430699130049439</v>
      </c>
      <c r="I518" s="5">
        <f>DischargeCoeff(INDEX('Route Data'!$I$7:$I$8,E518), INDEX('Route Data'!$L$7:$L$8,E518)*2*PI()/60, INDEX('Route Data'!$F$7:$F$8,E518))</f>
        <v>0.15939200179827354</v>
      </c>
      <c r="J518" s="8">
        <f>FlowAngleRel(INDEX('Route Data'!$J$7:$J$8,E518)*INDEX('Route Data'!$I$7:$I$8,E518), INDEX('Route Data'!$L$7:$L$8,E518)*2*PI()/60, INDEX('Route Data'!$F$7:$F$8,E518),INDEX('Route Data'!$O$7:$O$8,E518), INDEX('Route Data'!$P$7:$P$8,E518),INDEX('Route Data'!$M$7:$M$8,E518))</f>
        <v>1.130811765868994</v>
      </c>
      <c r="K518" s="8">
        <f>FlowAngleAbsT(INDEX('Route Data'!$K$7:$K$8,E518), INDEX('Route Data'!$I$7:$I$8,E518), INDEX('Route Data'!$I$7:$I$8,E518)*INDEX('Route Data'!$J$7:$J$8,E518), INDEX('Route Data'!$L$7:$L$8,E518)*2*PI()/60, INDEX('Route Data'!$F$7:$F$8,E518),INDEX('Route Data'!$O$7:$O$8,E518), INDEX('Route Data'!$P$7:$P$8,E518), INDEX('Route Data'!$H$7:$H$8,E518), INDEX('Route Data'!$Q$7:$Q$8,E518), INDEX('Route Data'!$M$7:$M$8,E518))</f>
        <v>0.51617226640175828</v>
      </c>
      <c r="L518" s="5">
        <f>INDEX('Route Data'!$N$7:$N$8,E518)</f>
        <v>0.4</v>
      </c>
      <c r="M518" s="8">
        <v>1.9101381301879883E-2</v>
      </c>
      <c r="N518" s="8">
        <f>ProbStrikeFrancis(K518, I518, L518, INDEX('Route Data'!$G$7:$G$8,E518),C518, INDEX('Route Data'!$F$7:$F$8,E518), INDEX('Route Data'!$O$7:$O$8,E518), INDEX('Route Data'!$H$7:$H$18,E518))</f>
        <v>1</v>
      </c>
      <c r="O518" s="5" t="str">
        <f>IF(F518&gt;=1,IF(M518&lt;=N518,"STRIKE","pass"),IF(M518&lt;=INDEX('Route Data'!$R$7:$R$8,E518),"NO PASS","pass"))</f>
        <v>STRIKE</v>
      </c>
      <c r="P518" s="5">
        <f>IF(F518&gt;=1,IF(M518&lt;=N518,1,0),IF(M518&lt;=INDEX('Route Data'!$R$7:$R$8,E518),-1,0))</f>
        <v>1</v>
      </c>
    </row>
    <row r="519" spans="1:16">
      <c r="A519" s="5">
        <v>509</v>
      </c>
      <c r="B519" s="12">
        <v>19.489999999999998</v>
      </c>
      <c r="C519" s="12">
        <f t="shared" si="7"/>
        <v>1.62</v>
      </c>
      <c r="D519" s="8">
        <v>6.40525221824646E-2</v>
      </c>
      <c r="E519" s="5">
        <f>MATCH(D519,'Route Data'!$C$7:$C$8,1)</f>
        <v>2</v>
      </c>
      <c r="F519" s="5">
        <f>INDEX('Route Data'!$D$7:$D$8,E519)</f>
        <v>1</v>
      </c>
      <c r="G519" s="5" t="str">
        <f>INDEX('Route Data'!$A$7:$A$8,E519)</f>
        <v>u18</v>
      </c>
      <c r="H519" s="5">
        <f>EnergyCoeff(INDEX('Route Data'!$K$7:$K$8,E519),INDEX('Route Data'!$L$7:$L$8,E519)*2*PI()/60,INDEX('Route Data'!$F$7:$F$8,E519))</f>
        <v>0.19430699130049439</v>
      </c>
      <c r="I519" s="5">
        <f>DischargeCoeff(INDEX('Route Data'!$I$7:$I$8,E519), INDEX('Route Data'!$L$7:$L$8,E519)*2*PI()/60, INDEX('Route Data'!$F$7:$F$8,E519))</f>
        <v>0.15939200179827354</v>
      </c>
      <c r="J519" s="8">
        <f>FlowAngleRel(INDEX('Route Data'!$J$7:$J$8,E519)*INDEX('Route Data'!$I$7:$I$8,E519), INDEX('Route Data'!$L$7:$L$8,E519)*2*PI()/60, INDEX('Route Data'!$F$7:$F$8,E519),INDEX('Route Data'!$O$7:$O$8,E519), INDEX('Route Data'!$P$7:$P$8,E519),INDEX('Route Data'!$M$7:$M$8,E519))</f>
        <v>1.130811765868994</v>
      </c>
      <c r="K519" s="8">
        <f>FlowAngleAbsT(INDEX('Route Data'!$K$7:$K$8,E519), INDEX('Route Data'!$I$7:$I$8,E519), INDEX('Route Data'!$I$7:$I$8,E519)*INDEX('Route Data'!$J$7:$J$8,E519), INDEX('Route Data'!$L$7:$L$8,E519)*2*PI()/60, INDEX('Route Data'!$F$7:$F$8,E519),INDEX('Route Data'!$O$7:$O$8,E519), INDEX('Route Data'!$P$7:$P$8,E519), INDEX('Route Data'!$H$7:$H$8,E519), INDEX('Route Data'!$Q$7:$Q$8,E519), INDEX('Route Data'!$M$7:$M$8,E519))</f>
        <v>0.51617226640175828</v>
      </c>
      <c r="L519" s="5">
        <f>INDEX('Route Data'!$N$7:$N$8,E519)</f>
        <v>0.4</v>
      </c>
      <c r="M519" s="8">
        <v>0.51707881689071655</v>
      </c>
      <c r="N519" s="8">
        <f>ProbStrikeFrancis(K519, I519, L519, INDEX('Route Data'!$G$7:$G$8,E519),C519, INDEX('Route Data'!$F$7:$F$8,E519), INDEX('Route Data'!$O$7:$O$8,E519), INDEX('Route Data'!$H$7:$H$18,E519))</f>
        <v>1</v>
      </c>
      <c r="O519" s="5" t="str">
        <f>IF(F519&gt;=1,IF(M519&lt;=N519,"STRIKE","pass"),IF(M519&lt;=INDEX('Route Data'!$R$7:$R$8,E519),"NO PASS","pass"))</f>
        <v>STRIKE</v>
      </c>
      <c r="P519" s="5">
        <f>IF(F519&gt;=1,IF(M519&lt;=N519,1,0),IF(M519&lt;=INDEX('Route Data'!$R$7:$R$8,E519),-1,0))</f>
        <v>1</v>
      </c>
    </row>
    <row r="520" spans="1:16">
      <c r="A520" s="5">
        <v>510</v>
      </c>
      <c r="B520" s="12">
        <v>30.71</v>
      </c>
      <c r="C520" s="12">
        <f t="shared" si="7"/>
        <v>2.56</v>
      </c>
      <c r="D520" s="8">
        <v>0.8611072301864624</v>
      </c>
      <c r="E520" s="5">
        <f>MATCH(D520,'Route Data'!$C$7:$C$8,1)</f>
        <v>2</v>
      </c>
      <c r="F520" s="5">
        <f>INDEX('Route Data'!$D$7:$D$8,E520)</f>
        <v>1</v>
      </c>
      <c r="G520" s="5" t="str">
        <f>INDEX('Route Data'!$A$7:$A$8,E520)</f>
        <v>u18</v>
      </c>
      <c r="H520" s="5">
        <f>EnergyCoeff(INDEX('Route Data'!$K$7:$K$8,E520),INDEX('Route Data'!$L$7:$L$8,E520)*2*PI()/60,INDEX('Route Data'!$F$7:$F$8,E520))</f>
        <v>0.19430699130049439</v>
      </c>
      <c r="I520" s="5">
        <f>DischargeCoeff(INDEX('Route Data'!$I$7:$I$8,E520), INDEX('Route Data'!$L$7:$L$8,E520)*2*PI()/60, INDEX('Route Data'!$F$7:$F$8,E520))</f>
        <v>0.15939200179827354</v>
      </c>
      <c r="J520" s="8">
        <f>FlowAngleRel(INDEX('Route Data'!$J$7:$J$8,E520)*INDEX('Route Data'!$I$7:$I$8,E520), INDEX('Route Data'!$L$7:$L$8,E520)*2*PI()/60, INDEX('Route Data'!$F$7:$F$8,E520),INDEX('Route Data'!$O$7:$O$8,E520), INDEX('Route Data'!$P$7:$P$8,E520),INDEX('Route Data'!$M$7:$M$8,E520))</f>
        <v>1.130811765868994</v>
      </c>
      <c r="K520" s="8">
        <f>FlowAngleAbsT(INDEX('Route Data'!$K$7:$K$8,E520), INDEX('Route Data'!$I$7:$I$8,E520), INDEX('Route Data'!$I$7:$I$8,E520)*INDEX('Route Data'!$J$7:$J$8,E520), INDEX('Route Data'!$L$7:$L$8,E520)*2*PI()/60, INDEX('Route Data'!$F$7:$F$8,E520),INDEX('Route Data'!$O$7:$O$8,E520), INDEX('Route Data'!$P$7:$P$8,E520), INDEX('Route Data'!$H$7:$H$8,E520), INDEX('Route Data'!$Q$7:$Q$8,E520), INDEX('Route Data'!$M$7:$M$8,E520))</f>
        <v>0.51617226640175828</v>
      </c>
      <c r="L520" s="5">
        <f>INDEX('Route Data'!$N$7:$N$8,E520)</f>
        <v>0.4</v>
      </c>
      <c r="M520" s="8">
        <v>2.3146510124206543E-2</v>
      </c>
      <c r="N520" s="8">
        <f>ProbStrikeFrancis(K520, I520, L520, INDEX('Route Data'!$G$7:$G$8,E520),C520, INDEX('Route Data'!$F$7:$F$8,E520), INDEX('Route Data'!$O$7:$O$8,E520), INDEX('Route Data'!$H$7:$H$18,E520))</f>
        <v>1</v>
      </c>
      <c r="O520" s="5" t="str">
        <f>IF(F520&gt;=1,IF(M520&lt;=N520,"STRIKE","pass"),IF(M520&lt;=INDEX('Route Data'!$R$7:$R$8,E520),"NO PASS","pass"))</f>
        <v>STRIKE</v>
      </c>
      <c r="P520" s="5">
        <f>IF(F520&gt;=1,IF(M520&lt;=N520,1,0),IF(M520&lt;=INDEX('Route Data'!$R$7:$R$8,E520),-1,0))</f>
        <v>1</v>
      </c>
    </row>
    <row r="521" spans="1:16">
      <c r="A521" s="5">
        <v>511</v>
      </c>
      <c r="B521" s="12">
        <v>23.12</v>
      </c>
      <c r="C521" s="12">
        <f t="shared" si="7"/>
        <v>1.93</v>
      </c>
      <c r="D521" s="8">
        <v>0.46994310617446899</v>
      </c>
      <c r="E521" s="5">
        <f>MATCH(D521,'Route Data'!$C$7:$C$8,1)</f>
        <v>2</v>
      </c>
      <c r="F521" s="5">
        <f>INDEX('Route Data'!$D$7:$D$8,E521)</f>
        <v>1</v>
      </c>
      <c r="G521" s="5" t="str">
        <f>INDEX('Route Data'!$A$7:$A$8,E521)</f>
        <v>u18</v>
      </c>
      <c r="H521" s="5">
        <f>EnergyCoeff(INDEX('Route Data'!$K$7:$K$8,E521),INDEX('Route Data'!$L$7:$L$8,E521)*2*PI()/60,INDEX('Route Data'!$F$7:$F$8,E521))</f>
        <v>0.19430699130049439</v>
      </c>
      <c r="I521" s="5">
        <f>DischargeCoeff(INDEX('Route Data'!$I$7:$I$8,E521), INDEX('Route Data'!$L$7:$L$8,E521)*2*PI()/60, INDEX('Route Data'!$F$7:$F$8,E521))</f>
        <v>0.15939200179827354</v>
      </c>
      <c r="J521" s="8">
        <f>FlowAngleRel(INDEX('Route Data'!$J$7:$J$8,E521)*INDEX('Route Data'!$I$7:$I$8,E521), INDEX('Route Data'!$L$7:$L$8,E521)*2*PI()/60, INDEX('Route Data'!$F$7:$F$8,E521),INDEX('Route Data'!$O$7:$O$8,E521), INDEX('Route Data'!$P$7:$P$8,E521),INDEX('Route Data'!$M$7:$M$8,E521))</f>
        <v>1.130811765868994</v>
      </c>
      <c r="K521" s="8">
        <f>FlowAngleAbsT(INDEX('Route Data'!$K$7:$K$8,E521), INDEX('Route Data'!$I$7:$I$8,E521), INDEX('Route Data'!$I$7:$I$8,E521)*INDEX('Route Data'!$J$7:$J$8,E521), INDEX('Route Data'!$L$7:$L$8,E521)*2*PI()/60, INDEX('Route Data'!$F$7:$F$8,E521),INDEX('Route Data'!$O$7:$O$8,E521), INDEX('Route Data'!$P$7:$P$8,E521), INDEX('Route Data'!$H$7:$H$8,E521), INDEX('Route Data'!$Q$7:$Q$8,E521), INDEX('Route Data'!$M$7:$M$8,E521))</f>
        <v>0.51617226640175828</v>
      </c>
      <c r="L521" s="5">
        <f>INDEX('Route Data'!$N$7:$N$8,E521)</f>
        <v>0.4</v>
      </c>
      <c r="M521" s="8">
        <v>0.23936420679092407</v>
      </c>
      <c r="N521" s="8">
        <f>ProbStrikeFrancis(K521, I521, L521, INDEX('Route Data'!$G$7:$G$8,E521),C521, INDEX('Route Data'!$F$7:$F$8,E521), INDEX('Route Data'!$O$7:$O$8,E521), INDEX('Route Data'!$H$7:$H$18,E521))</f>
        <v>1</v>
      </c>
      <c r="O521" s="5" t="str">
        <f>IF(F521&gt;=1,IF(M521&lt;=N521,"STRIKE","pass"),IF(M521&lt;=INDEX('Route Data'!$R$7:$R$8,E521),"NO PASS","pass"))</f>
        <v>STRIKE</v>
      </c>
      <c r="P521" s="5">
        <f>IF(F521&gt;=1,IF(M521&lt;=N521,1,0),IF(M521&lt;=INDEX('Route Data'!$R$7:$R$8,E521),-1,0))</f>
        <v>1</v>
      </c>
    </row>
    <row r="522" spans="1:16">
      <c r="A522" s="5">
        <v>512</v>
      </c>
      <c r="B522" s="12">
        <v>24.9</v>
      </c>
      <c r="C522" s="12">
        <f t="shared" si="7"/>
        <v>2.08</v>
      </c>
      <c r="D522" s="8">
        <v>0.37785625457763672</v>
      </c>
      <c r="E522" s="5">
        <f>MATCH(D522,'Route Data'!$C$7:$C$8,1)</f>
        <v>2</v>
      </c>
      <c r="F522" s="5">
        <f>INDEX('Route Data'!$D$7:$D$8,E522)</f>
        <v>1</v>
      </c>
      <c r="G522" s="5" t="str">
        <f>INDEX('Route Data'!$A$7:$A$8,E522)</f>
        <v>u18</v>
      </c>
      <c r="H522" s="5">
        <f>EnergyCoeff(INDEX('Route Data'!$K$7:$K$8,E522),INDEX('Route Data'!$L$7:$L$8,E522)*2*PI()/60,INDEX('Route Data'!$F$7:$F$8,E522))</f>
        <v>0.19430699130049439</v>
      </c>
      <c r="I522" s="5">
        <f>DischargeCoeff(INDEX('Route Data'!$I$7:$I$8,E522), INDEX('Route Data'!$L$7:$L$8,E522)*2*PI()/60, INDEX('Route Data'!$F$7:$F$8,E522))</f>
        <v>0.15939200179827354</v>
      </c>
      <c r="J522" s="8">
        <f>FlowAngleRel(INDEX('Route Data'!$J$7:$J$8,E522)*INDEX('Route Data'!$I$7:$I$8,E522), INDEX('Route Data'!$L$7:$L$8,E522)*2*PI()/60, INDEX('Route Data'!$F$7:$F$8,E522),INDEX('Route Data'!$O$7:$O$8,E522), INDEX('Route Data'!$P$7:$P$8,E522),INDEX('Route Data'!$M$7:$M$8,E522))</f>
        <v>1.130811765868994</v>
      </c>
      <c r="K522" s="8">
        <f>FlowAngleAbsT(INDEX('Route Data'!$K$7:$K$8,E522), INDEX('Route Data'!$I$7:$I$8,E522), INDEX('Route Data'!$I$7:$I$8,E522)*INDEX('Route Data'!$J$7:$J$8,E522), INDEX('Route Data'!$L$7:$L$8,E522)*2*PI()/60, INDEX('Route Data'!$F$7:$F$8,E522),INDEX('Route Data'!$O$7:$O$8,E522), INDEX('Route Data'!$P$7:$P$8,E522), INDEX('Route Data'!$H$7:$H$8,E522), INDEX('Route Data'!$Q$7:$Q$8,E522), INDEX('Route Data'!$M$7:$M$8,E522))</f>
        <v>0.51617226640175828</v>
      </c>
      <c r="L522" s="5">
        <f>INDEX('Route Data'!$N$7:$N$8,E522)</f>
        <v>0.4</v>
      </c>
      <c r="M522" s="8">
        <v>0.12186956405639648</v>
      </c>
      <c r="N522" s="8">
        <f>ProbStrikeFrancis(K522, I522, L522, INDEX('Route Data'!$G$7:$G$8,E522),C522, INDEX('Route Data'!$F$7:$F$8,E522), INDEX('Route Data'!$O$7:$O$8,E522), INDEX('Route Data'!$H$7:$H$18,E522))</f>
        <v>1</v>
      </c>
      <c r="O522" s="5" t="str">
        <f>IF(F522&gt;=1,IF(M522&lt;=N522,"STRIKE","pass"),IF(M522&lt;=INDEX('Route Data'!$R$7:$R$8,E522),"NO PASS","pass"))</f>
        <v>STRIKE</v>
      </c>
      <c r="P522" s="5">
        <f>IF(F522&gt;=1,IF(M522&lt;=N522,1,0),IF(M522&lt;=INDEX('Route Data'!$R$7:$R$8,E522),-1,0))</f>
        <v>1</v>
      </c>
    </row>
    <row r="523" spans="1:16">
      <c r="A523" s="5">
        <v>513</v>
      </c>
      <c r="B523" s="12">
        <v>22.08</v>
      </c>
      <c r="C523" s="12">
        <f t="shared" ref="C523:C586" si="8">ROUND(B523/12,2)</f>
        <v>1.84</v>
      </c>
      <c r="D523" s="8">
        <v>0.38853758573532104</v>
      </c>
      <c r="E523" s="5">
        <f>MATCH(D523,'Route Data'!$C$7:$C$8,1)</f>
        <v>2</v>
      </c>
      <c r="F523" s="5">
        <f>INDEX('Route Data'!$D$7:$D$8,E523)</f>
        <v>1</v>
      </c>
      <c r="G523" s="5" t="str">
        <f>INDEX('Route Data'!$A$7:$A$8,E523)</f>
        <v>u18</v>
      </c>
      <c r="H523" s="5">
        <f>EnergyCoeff(INDEX('Route Data'!$K$7:$K$8,E523),INDEX('Route Data'!$L$7:$L$8,E523)*2*PI()/60,INDEX('Route Data'!$F$7:$F$8,E523))</f>
        <v>0.19430699130049439</v>
      </c>
      <c r="I523" s="5">
        <f>DischargeCoeff(INDEX('Route Data'!$I$7:$I$8,E523), INDEX('Route Data'!$L$7:$L$8,E523)*2*PI()/60, INDEX('Route Data'!$F$7:$F$8,E523))</f>
        <v>0.15939200179827354</v>
      </c>
      <c r="J523" s="8">
        <f>FlowAngleRel(INDEX('Route Data'!$J$7:$J$8,E523)*INDEX('Route Data'!$I$7:$I$8,E523), INDEX('Route Data'!$L$7:$L$8,E523)*2*PI()/60, INDEX('Route Data'!$F$7:$F$8,E523),INDEX('Route Data'!$O$7:$O$8,E523), INDEX('Route Data'!$P$7:$P$8,E523),INDEX('Route Data'!$M$7:$M$8,E523))</f>
        <v>1.130811765868994</v>
      </c>
      <c r="K523" s="8">
        <f>FlowAngleAbsT(INDEX('Route Data'!$K$7:$K$8,E523), INDEX('Route Data'!$I$7:$I$8,E523), INDEX('Route Data'!$I$7:$I$8,E523)*INDEX('Route Data'!$J$7:$J$8,E523), INDEX('Route Data'!$L$7:$L$8,E523)*2*PI()/60, INDEX('Route Data'!$F$7:$F$8,E523),INDEX('Route Data'!$O$7:$O$8,E523), INDEX('Route Data'!$P$7:$P$8,E523), INDEX('Route Data'!$H$7:$H$8,E523), INDEX('Route Data'!$Q$7:$Q$8,E523), INDEX('Route Data'!$M$7:$M$8,E523))</f>
        <v>0.51617226640175828</v>
      </c>
      <c r="L523" s="5">
        <f>INDEX('Route Data'!$N$7:$N$8,E523)</f>
        <v>0.4</v>
      </c>
      <c r="M523" s="8">
        <v>0.47435349225997925</v>
      </c>
      <c r="N523" s="8">
        <f>ProbStrikeFrancis(K523, I523, L523, INDEX('Route Data'!$G$7:$G$8,E523),C523, INDEX('Route Data'!$F$7:$F$8,E523), INDEX('Route Data'!$O$7:$O$8,E523), INDEX('Route Data'!$H$7:$H$18,E523))</f>
        <v>1</v>
      </c>
      <c r="O523" s="5" t="str">
        <f>IF(F523&gt;=1,IF(M523&lt;=N523,"STRIKE","pass"),IF(M523&lt;=INDEX('Route Data'!$R$7:$R$8,E523),"NO PASS","pass"))</f>
        <v>STRIKE</v>
      </c>
      <c r="P523" s="5">
        <f>IF(F523&gt;=1,IF(M523&lt;=N523,1,0),IF(M523&lt;=INDEX('Route Data'!$R$7:$R$8,E523),-1,0))</f>
        <v>1</v>
      </c>
    </row>
    <row r="524" spans="1:16">
      <c r="A524" s="5">
        <v>514</v>
      </c>
      <c r="B524" s="12">
        <v>22.03</v>
      </c>
      <c r="C524" s="12">
        <f t="shared" si="8"/>
        <v>1.84</v>
      </c>
      <c r="D524" s="8">
        <v>0.35649359226226807</v>
      </c>
      <c r="E524" s="5">
        <f>MATCH(D524,'Route Data'!$C$7:$C$8,1)</f>
        <v>2</v>
      </c>
      <c r="F524" s="5">
        <f>INDEX('Route Data'!$D$7:$D$8,E524)</f>
        <v>1</v>
      </c>
      <c r="G524" s="5" t="str">
        <f>INDEX('Route Data'!$A$7:$A$8,E524)</f>
        <v>u18</v>
      </c>
      <c r="H524" s="5">
        <f>EnergyCoeff(INDEX('Route Data'!$K$7:$K$8,E524),INDEX('Route Data'!$L$7:$L$8,E524)*2*PI()/60,INDEX('Route Data'!$F$7:$F$8,E524))</f>
        <v>0.19430699130049439</v>
      </c>
      <c r="I524" s="5">
        <f>DischargeCoeff(INDEX('Route Data'!$I$7:$I$8,E524), INDEX('Route Data'!$L$7:$L$8,E524)*2*PI()/60, INDEX('Route Data'!$F$7:$F$8,E524))</f>
        <v>0.15939200179827354</v>
      </c>
      <c r="J524" s="8">
        <f>FlowAngleRel(INDEX('Route Data'!$J$7:$J$8,E524)*INDEX('Route Data'!$I$7:$I$8,E524), INDEX('Route Data'!$L$7:$L$8,E524)*2*PI()/60, INDEX('Route Data'!$F$7:$F$8,E524),INDEX('Route Data'!$O$7:$O$8,E524), INDEX('Route Data'!$P$7:$P$8,E524),INDEX('Route Data'!$M$7:$M$8,E524))</f>
        <v>1.130811765868994</v>
      </c>
      <c r="K524" s="8">
        <f>FlowAngleAbsT(INDEX('Route Data'!$K$7:$K$8,E524), INDEX('Route Data'!$I$7:$I$8,E524), INDEX('Route Data'!$I$7:$I$8,E524)*INDEX('Route Data'!$J$7:$J$8,E524), INDEX('Route Data'!$L$7:$L$8,E524)*2*PI()/60, INDEX('Route Data'!$F$7:$F$8,E524),INDEX('Route Data'!$O$7:$O$8,E524), INDEX('Route Data'!$P$7:$P$8,E524), INDEX('Route Data'!$H$7:$H$8,E524), INDEX('Route Data'!$Q$7:$Q$8,E524), INDEX('Route Data'!$M$7:$M$8,E524))</f>
        <v>0.51617226640175828</v>
      </c>
      <c r="L524" s="5">
        <f>INDEX('Route Data'!$N$7:$N$8,E524)</f>
        <v>0.4</v>
      </c>
      <c r="M524" s="8">
        <v>0.15132248401641846</v>
      </c>
      <c r="N524" s="8">
        <f>ProbStrikeFrancis(K524, I524, L524, INDEX('Route Data'!$G$7:$G$8,E524),C524, INDEX('Route Data'!$F$7:$F$8,E524), INDEX('Route Data'!$O$7:$O$8,E524), INDEX('Route Data'!$H$7:$H$18,E524))</f>
        <v>1</v>
      </c>
      <c r="O524" s="5" t="str">
        <f>IF(F524&gt;=1,IF(M524&lt;=N524,"STRIKE","pass"),IF(M524&lt;=INDEX('Route Data'!$R$7:$R$8,E524),"NO PASS","pass"))</f>
        <v>STRIKE</v>
      </c>
      <c r="P524" s="5">
        <f>IF(F524&gt;=1,IF(M524&lt;=N524,1,0),IF(M524&lt;=INDEX('Route Data'!$R$7:$R$8,E524),-1,0))</f>
        <v>1</v>
      </c>
    </row>
    <row r="525" spans="1:16">
      <c r="A525" s="5">
        <v>515</v>
      </c>
      <c r="B525" s="12">
        <v>19.86</v>
      </c>
      <c r="C525" s="12">
        <f t="shared" si="8"/>
        <v>1.66</v>
      </c>
      <c r="D525" s="8">
        <v>0.452625572681427</v>
      </c>
      <c r="E525" s="5">
        <f>MATCH(D525,'Route Data'!$C$7:$C$8,1)</f>
        <v>2</v>
      </c>
      <c r="F525" s="5">
        <f>INDEX('Route Data'!$D$7:$D$8,E525)</f>
        <v>1</v>
      </c>
      <c r="G525" s="5" t="str">
        <f>INDEX('Route Data'!$A$7:$A$8,E525)</f>
        <v>u18</v>
      </c>
      <c r="H525" s="5">
        <f>EnergyCoeff(INDEX('Route Data'!$K$7:$K$8,E525),INDEX('Route Data'!$L$7:$L$8,E525)*2*PI()/60,INDEX('Route Data'!$F$7:$F$8,E525))</f>
        <v>0.19430699130049439</v>
      </c>
      <c r="I525" s="5">
        <f>DischargeCoeff(INDEX('Route Data'!$I$7:$I$8,E525), INDEX('Route Data'!$L$7:$L$8,E525)*2*PI()/60, INDEX('Route Data'!$F$7:$F$8,E525))</f>
        <v>0.15939200179827354</v>
      </c>
      <c r="J525" s="8">
        <f>FlowAngleRel(INDEX('Route Data'!$J$7:$J$8,E525)*INDEX('Route Data'!$I$7:$I$8,E525), INDEX('Route Data'!$L$7:$L$8,E525)*2*PI()/60, INDEX('Route Data'!$F$7:$F$8,E525),INDEX('Route Data'!$O$7:$O$8,E525), INDEX('Route Data'!$P$7:$P$8,E525),INDEX('Route Data'!$M$7:$M$8,E525))</f>
        <v>1.130811765868994</v>
      </c>
      <c r="K525" s="8">
        <f>FlowAngleAbsT(INDEX('Route Data'!$K$7:$K$8,E525), INDEX('Route Data'!$I$7:$I$8,E525), INDEX('Route Data'!$I$7:$I$8,E525)*INDEX('Route Data'!$J$7:$J$8,E525), INDEX('Route Data'!$L$7:$L$8,E525)*2*PI()/60, INDEX('Route Data'!$F$7:$F$8,E525),INDEX('Route Data'!$O$7:$O$8,E525), INDEX('Route Data'!$P$7:$P$8,E525), INDEX('Route Data'!$H$7:$H$8,E525), INDEX('Route Data'!$Q$7:$Q$8,E525), INDEX('Route Data'!$M$7:$M$8,E525))</f>
        <v>0.51617226640175828</v>
      </c>
      <c r="L525" s="5">
        <f>INDEX('Route Data'!$N$7:$N$8,E525)</f>
        <v>0.4</v>
      </c>
      <c r="M525" s="8">
        <v>0.58925706148147583</v>
      </c>
      <c r="N525" s="8">
        <f>ProbStrikeFrancis(K525, I525, L525, INDEX('Route Data'!$G$7:$G$8,E525),C525, INDEX('Route Data'!$F$7:$F$8,E525), INDEX('Route Data'!$O$7:$O$8,E525), INDEX('Route Data'!$H$7:$H$18,E525))</f>
        <v>1</v>
      </c>
      <c r="O525" s="5" t="str">
        <f>IF(F525&gt;=1,IF(M525&lt;=N525,"STRIKE","pass"),IF(M525&lt;=INDEX('Route Data'!$R$7:$R$8,E525),"NO PASS","pass"))</f>
        <v>STRIKE</v>
      </c>
      <c r="P525" s="5">
        <f>IF(F525&gt;=1,IF(M525&lt;=N525,1,0),IF(M525&lt;=INDEX('Route Data'!$R$7:$R$8,E525),-1,0))</f>
        <v>1</v>
      </c>
    </row>
    <row r="526" spans="1:16">
      <c r="A526" s="5">
        <v>516</v>
      </c>
      <c r="B526" s="12">
        <v>19.89</v>
      </c>
      <c r="C526" s="12">
        <f t="shared" si="8"/>
        <v>1.66</v>
      </c>
      <c r="D526" s="8">
        <v>0.1642296314239502</v>
      </c>
      <c r="E526" s="5">
        <f>MATCH(D526,'Route Data'!$C$7:$C$8,1)</f>
        <v>2</v>
      </c>
      <c r="F526" s="5">
        <f>INDEX('Route Data'!$D$7:$D$8,E526)</f>
        <v>1</v>
      </c>
      <c r="G526" s="5" t="str">
        <f>INDEX('Route Data'!$A$7:$A$8,E526)</f>
        <v>u18</v>
      </c>
      <c r="H526" s="5">
        <f>EnergyCoeff(INDEX('Route Data'!$K$7:$K$8,E526),INDEX('Route Data'!$L$7:$L$8,E526)*2*PI()/60,INDEX('Route Data'!$F$7:$F$8,E526))</f>
        <v>0.19430699130049439</v>
      </c>
      <c r="I526" s="5">
        <f>DischargeCoeff(INDEX('Route Data'!$I$7:$I$8,E526), INDEX('Route Data'!$L$7:$L$8,E526)*2*PI()/60, INDEX('Route Data'!$F$7:$F$8,E526))</f>
        <v>0.15939200179827354</v>
      </c>
      <c r="J526" s="8">
        <f>FlowAngleRel(INDEX('Route Data'!$J$7:$J$8,E526)*INDEX('Route Data'!$I$7:$I$8,E526), INDEX('Route Data'!$L$7:$L$8,E526)*2*PI()/60, INDEX('Route Data'!$F$7:$F$8,E526),INDEX('Route Data'!$O$7:$O$8,E526), INDEX('Route Data'!$P$7:$P$8,E526),INDEX('Route Data'!$M$7:$M$8,E526))</f>
        <v>1.130811765868994</v>
      </c>
      <c r="K526" s="8">
        <f>FlowAngleAbsT(INDEX('Route Data'!$K$7:$K$8,E526), INDEX('Route Data'!$I$7:$I$8,E526), INDEX('Route Data'!$I$7:$I$8,E526)*INDEX('Route Data'!$J$7:$J$8,E526), INDEX('Route Data'!$L$7:$L$8,E526)*2*PI()/60, INDEX('Route Data'!$F$7:$F$8,E526),INDEX('Route Data'!$O$7:$O$8,E526), INDEX('Route Data'!$P$7:$P$8,E526), INDEX('Route Data'!$H$7:$H$8,E526), INDEX('Route Data'!$Q$7:$Q$8,E526), INDEX('Route Data'!$M$7:$M$8,E526))</f>
        <v>0.51617226640175828</v>
      </c>
      <c r="L526" s="5">
        <f>INDEX('Route Data'!$N$7:$N$8,E526)</f>
        <v>0.4</v>
      </c>
      <c r="M526" s="8">
        <v>0.27545332908630371</v>
      </c>
      <c r="N526" s="8">
        <f>ProbStrikeFrancis(K526, I526, L526, INDEX('Route Data'!$G$7:$G$8,E526),C526, INDEX('Route Data'!$F$7:$F$8,E526), INDEX('Route Data'!$O$7:$O$8,E526), INDEX('Route Data'!$H$7:$H$18,E526))</f>
        <v>1</v>
      </c>
      <c r="O526" s="5" t="str">
        <f>IF(F526&gt;=1,IF(M526&lt;=N526,"STRIKE","pass"),IF(M526&lt;=INDEX('Route Data'!$R$7:$R$8,E526),"NO PASS","pass"))</f>
        <v>STRIKE</v>
      </c>
      <c r="P526" s="5">
        <f>IF(F526&gt;=1,IF(M526&lt;=N526,1,0),IF(M526&lt;=INDEX('Route Data'!$R$7:$R$8,E526),-1,0))</f>
        <v>1</v>
      </c>
    </row>
    <row r="527" spans="1:16">
      <c r="A527" s="5">
        <v>517</v>
      </c>
      <c r="B527" s="12">
        <v>24.33</v>
      </c>
      <c r="C527" s="12">
        <f t="shared" si="8"/>
        <v>2.0299999999999998</v>
      </c>
      <c r="D527" s="8">
        <v>0.29499667882919312</v>
      </c>
      <c r="E527" s="5">
        <f>MATCH(D527,'Route Data'!$C$7:$C$8,1)</f>
        <v>2</v>
      </c>
      <c r="F527" s="5">
        <f>INDEX('Route Data'!$D$7:$D$8,E527)</f>
        <v>1</v>
      </c>
      <c r="G527" s="5" t="str">
        <f>INDEX('Route Data'!$A$7:$A$8,E527)</f>
        <v>u18</v>
      </c>
      <c r="H527" s="5">
        <f>EnergyCoeff(INDEX('Route Data'!$K$7:$K$8,E527),INDEX('Route Data'!$L$7:$L$8,E527)*2*PI()/60,INDEX('Route Data'!$F$7:$F$8,E527))</f>
        <v>0.19430699130049439</v>
      </c>
      <c r="I527" s="5">
        <f>DischargeCoeff(INDEX('Route Data'!$I$7:$I$8,E527), INDEX('Route Data'!$L$7:$L$8,E527)*2*PI()/60, INDEX('Route Data'!$F$7:$F$8,E527))</f>
        <v>0.15939200179827354</v>
      </c>
      <c r="J527" s="8">
        <f>FlowAngleRel(INDEX('Route Data'!$J$7:$J$8,E527)*INDEX('Route Data'!$I$7:$I$8,E527), INDEX('Route Data'!$L$7:$L$8,E527)*2*PI()/60, INDEX('Route Data'!$F$7:$F$8,E527),INDEX('Route Data'!$O$7:$O$8,E527), INDEX('Route Data'!$P$7:$P$8,E527),INDEX('Route Data'!$M$7:$M$8,E527))</f>
        <v>1.130811765868994</v>
      </c>
      <c r="K527" s="8">
        <f>FlowAngleAbsT(INDEX('Route Data'!$K$7:$K$8,E527), INDEX('Route Data'!$I$7:$I$8,E527), INDEX('Route Data'!$I$7:$I$8,E527)*INDEX('Route Data'!$J$7:$J$8,E527), INDEX('Route Data'!$L$7:$L$8,E527)*2*PI()/60, INDEX('Route Data'!$F$7:$F$8,E527),INDEX('Route Data'!$O$7:$O$8,E527), INDEX('Route Data'!$P$7:$P$8,E527), INDEX('Route Data'!$H$7:$H$8,E527), INDEX('Route Data'!$Q$7:$Q$8,E527), INDEX('Route Data'!$M$7:$M$8,E527))</f>
        <v>0.51617226640175828</v>
      </c>
      <c r="L527" s="5">
        <f>INDEX('Route Data'!$N$7:$N$8,E527)</f>
        <v>0.4</v>
      </c>
      <c r="M527" s="8">
        <v>0.48244374990463257</v>
      </c>
      <c r="N527" s="8">
        <f>ProbStrikeFrancis(K527, I527, L527, INDEX('Route Data'!$G$7:$G$8,E527),C527, INDEX('Route Data'!$F$7:$F$8,E527), INDEX('Route Data'!$O$7:$O$8,E527), INDEX('Route Data'!$H$7:$H$18,E527))</f>
        <v>1</v>
      </c>
      <c r="O527" s="5" t="str">
        <f>IF(F527&gt;=1,IF(M527&lt;=N527,"STRIKE","pass"),IF(M527&lt;=INDEX('Route Data'!$R$7:$R$8,E527),"NO PASS","pass"))</f>
        <v>STRIKE</v>
      </c>
      <c r="P527" s="5">
        <f>IF(F527&gt;=1,IF(M527&lt;=N527,1,0),IF(M527&lt;=INDEX('Route Data'!$R$7:$R$8,E527),-1,0))</f>
        <v>1</v>
      </c>
    </row>
    <row r="528" spans="1:16">
      <c r="A528" s="5">
        <v>518</v>
      </c>
      <c r="B528" s="12">
        <v>26.32</v>
      </c>
      <c r="C528" s="12">
        <f t="shared" si="8"/>
        <v>2.19</v>
      </c>
      <c r="D528" s="8">
        <v>0.43385398387908936</v>
      </c>
      <c r="E528" s="5">
        <f>MATCH(D528,'Route Data'!$C$7:$C$8,1)</f>
        <v>2</v>
      </c>
      <c r="F528" s="5">
        <f>INDEX('Route Data'!$D$7:$D$8,E528)</f>
        <v>1</v>
      </c>
      <c r="G528" s="5" t="str">
        <f>INDEX('Route Data'!$A$7:$A$8,E528)</f>
        <v>u18</v>
      </c>
      <c r="H528" s="5">
        <f>EnergyCoeff(INDEX('Route Data'!$K$7:$K$8,E528),INDEX('Route Data'!$L$7:$L$8,E528)*2*PI()/60,INDEX('Route Data'!$F$7:$F$8,E528))</f>
        <v>0.19430699130049439</v>
      </c>
      <c r="I528" s="5">
        <f>DischargeCoeff(INDEX('Route Data'!$I$7:$I$8,E528), INDEX('Route Data'!$L$7:$L$8,E528)*2*PI()/60, INDEX('Route Data'!$F$7:$F$8,E528))</f>
        <v>0.15939200179827354</v>
      </c>
      <c r="J528" s="8">
        <f>FlowAngleRel(INDEX('Route Data'!$J$7:$J$8,E528)*INDEX('Route Data'!$I$7:$I$8,E528), INDEX('Route Data'!$L$7:$L$8,E528)*2*PI()/60, INDEX('Route Data'!$F$7:$F$8,E528),INDEX('Route Data'!$O$7:$O$8,E528), INDEX('Route Data'!$P$7:$P$8,E528),INDEX('Route Data'!$M$7:$M$8,E528))</f>
        <v>1.130811765868994</v>
      </c>
      <c r="K528" s="8">
        <f>FlowAngleAbsT(INDEX('Route Data'!$K$7:$K$8,E528), INDEX('Route Data'!$I$7:$I$8,E528), INDEX('Route Data'!$I$7:$I$8,E528)*INDEX('Route Data'!$J$7:$J$8,E528), INDEX('Route Data'!$L$7:$L$8,E528)*2*PI()/60, INDEX('Route Data'!$F$7:$F$8,E528),INDEX('Route Data'!$O$7:$O$8,E528), INDEX('Route Data'!$P$7:$P$8,E528), INDEX('Route Data'!$H$7:$H$8,E528), INDEX('Route Data'!$Q$7:$Q$8,E528), INDEX('Route Data'!$M$7:$M$8,E528))</f>
        <v>0.51617226640175828</v>
      </c>
      <c r="L528" s="5">
        <f>INDEX('Route Data'!$N$7:$N$8,E528)</f>
        <v>0.4</v>
      </c>
      <c r="M528" s="8">
        <v>0.5958932638168335</v>
      </c>
      <c r="N528" s="8">
        <f>ProbStrikeFrancis(K528, I528, L528, INDEX('Route Data'!$G$7:$G$8,E528),C528, INDEX('Route Data'!$F$7:$F$8,E528), INDEX('Route Data'!$O$7:$O$8,E528), INDEX('Route Data'!$H$7:$H$18,E528))</f>
        <v>1</v>
      </c>
      <c r="O528" s="5" t="str">
        <f>IF(F528&gt;=1,IF(M528&lt;=N528,"STRIKE","pass"),IF(M528&lt;=INDEX('Route Data'!$R$7:$R$8,E528),"NO PASS","pass"))</f>
        <v>STRIKE</v>
      </c>
      <c r="P528" s="5">
        <f>IF(F528&gt;=1,IF(M528&lt;=N528,1,0),IF(M528&lt;=INDEX('Route Data'!$R$7:$R$8,E528),-1,0))</f>
        <v>1</v>
      </c>
    </row>
    <row r="529" spans="1:16">
      <c r="A529" s="5">
        <v>519</v>
      </c>
      <c r="B529" s="12">
        <v>19.03</v>
      </c>
      <c r="C529" s="12">
        <f t="shared" si="8"/>
        <v>1.59</v>
      </c>
      <c r="D529" s="8">
        <v>0.75170284509658813</v>
      </c>
      <c r="E529" s="5">
        <f>MATCH(D529,'Route Data'!$C$7:$C$8,1)</f>
        <v>2</v>
      </c>
      <c r="F529" s="5">
        <f>INDEX('Route Data'!$D$7:$D$8,E529)</f>
        <v>1</v>
      </c>
      <c r="G529" s="5" t="str">
        <f>INDEX('Route Data'!$A$7:$A$8,E529)</f>
        <v>u18</v>
      </c>
      <c r="H529" s="5">
        <f>EnergyCoeff(INDEX('Route Data'!$K$7:$K$8,E529),INDEX('Route Data'!$L$7:$L$8,E529)*2*PI()/60,INDEX('Route Data'!$F$7:$F$8,E529))</f>
        <v>0.19430699130049439</v>
      </c>
      <c r="I529" s="5">
        <f>DischargeCoeff(INDEX('Route Data'!$I$7:$I$8,E529), INDEX('Route Data'!$L$7:$L$8,E529)*2*PI()/60, INDEX('Route Data'!$F$7:$F$8,E529))</f>
        <v>0.15939200179827354</v>
      </c>
      <c r="J529" s="8">
        <f>FlowAngleRel(INDEX('Route Data'!$J$7:$J$8,E529)*INDEX('Route Data'!$I$7:$I$8,E529), INDEX('Route Data'!$L$7:$L$8,E529)*2*PI()/60, INDEX('Route Data'!$F$7:$F$8,E529),INDEX('Route Data'!$O$7:$O$8,E529), INDEX('Route Data'!$P$7:$P$8,E529),INDEX('Route Data'!$M$7:$M$8,E529))</f>
        <v>1.130811765868994</v>
      </c>
      <c r="K529" s="8">
        <f>FlowAngleAbsT(INDEX('Route Data'!$K$7:$K$8,E529), INDEX('Route Data'!$I$7:$I$8,E529), INDEX('Route Data'!$I$7:$I$8,E529)*INDEX('Route Data'!$J$7:$J$8,E529), INDEX('Route Data'!$L$7:$L$8,E529)*2*PI()/60, INDEX('Route Data'!$F$7:$F$8,E529),INDEX('Route Data'!$O$7:$O$8,E529), INDEX('Route Data'!$P$7:$P$8,E529), INDEX('Route Data'!$H$7:$H$8,E529), INDEX('Route Data'!$Q$7:$Q$8,E529), INDEX('Route Data'!$M$7:$M$8,E529))</f>
        <v>0.51617226640175828</v>
      </c>
      <c r="L529" s="5">
        <f>INDEX('Route Data'!$N$7:$N$8,E529)</f>
        <v>0.4</v>
      </c>
      <c r="M529" s="8">
        <v>0.52112394571304321</v>
      </c>
      <c r="N529" s="8">
        <f>ProbStrikeFrancis(K529, I529, L529, INDEX('Route Data'!$G$7:$G$8,E529),C529, INDEX('Route Data'!$F$7:$F$8,E529), INDEX('Route Data'!$O$7:$O$8,E529), INDEX('Route Data'!$H$7:$H$18,E529))</f>
        <v>1</v>
      </c>
      <c r="O529" s="5" t="str">
        <f>IF(F529&gt;=1,IF(M529&lt;=N529,"STRIKE","pass"),IF(M529&lt;=INDEX('Route Data'!$R$7:$R$8,E529),"NO PASS","pass"))</f>
        <v>STRIKE</v>
      </c>
      <c r="P529" s="5">
        <f>IF(F529&gt;=1,IF(M529&lt;=N529,1,0),IF(M529&lt;=INDEX('Route Data'!$R$7:$R$8,E529),-1,0))</f>
        <v>1</v>
      </c>
    </row>
    <row r="530" spans="1:16">
      <c r="A530" s="5">
        <v>520</v>
      </c>
      <c r="B530" s="12">
        <v>23.84</v>
      </c>
      <c r="C530" s="12">
        <f t="shared" si="8"/>
        <v>1.99</v>
      </c>
      <c r="D530" s="8">
        <v>0.2669978141784668</v>
      </c>
      <c r="E530" s="5">
        <f>MATCH(D530,'Route Data'!$C$7:$C$8,1)</f>
        <v>2</v>
      </c>
      <c r="F530" s="5">
        <f>INDEX('Route Data'!$D$7:$D$8,E530)</f>
        <v>1</v>
      </c>
      <c r="G530" s="5" t="str">
        <f>INDEX('Route Data'!$A$7:$A$8,E530)</f>
        <v>u18</v>
      </c>
      <c r="H530" s="5">
        <f>EnergyCoeff(INDEX('Route Data'!$K$7:$K$8,E530),INDEX('Route Data'!$L$7:$L$8,E530)*2*PI()/60,INDEX('Route Data'!$F$7:$F$8,E530))</f>
        <v>0.19430699130049439</v>
      </c>
      <c r="I530" s="5">
        <f>DischargeCoeff(INDEX('Route Data'!$I$7:$I$8,E530), INDEX('Route Data'!$L$7:$L$8,E530)*2*PI()/60, INDEX('Route Data'!$F$7:$F$8,E530))</f>
        <v>0.15939200179827354</v>
      </c>
      <c r="J530" s="8">
        <f>FlowAngleRel(INDEX('Route Data'!$J$7:$J$8,E530)*INDEX('Route Data'!$I$7:$I$8,E530), INDEX('Route Data'!$L$7:$L$8,E530)*2*PI()/60, INDEX('Route Data'!$F$7:$F$8,E530),INDEX('Route Data'!$O$7:$O$8,E530), INDEX('Route Data'!$P$7:$P$8,E530),INDEX('Route Data'!$M$7:$M$8,E530))</f>
        <v>1.130811765868994</v>
      </c>
      <c r="K530" s="8">
        <f>FlowAngleAbsT(INDEX('Route Data'!$K$7:$K$8,E530), INDEX('Route Data'!$I$7:$I$8,E530), INDEX('Route Data'!$I$7:$I$8,E530)*INDEX('Route Data'!$J$7:$J$8,E530), INDEX('Route Data'!$L$7:$L$8,E530)*2*PI()/60, INDEX('Route Data'!$F$7:$F$8,E530),INDEX('Route Data'!$O$7:$O$8,E530), INDEX('Route Data'!$P$7:$P$8,E530), INDEX('Route Data'!$H$7:$H$8,E530), INDEX('Route Data'!$Q$7:$Q$8,E530), INDEX('Route Data'!$M$7:$M$8,E530))</f>
        <v>0.51617226640175828</v>
      </c>
      <c r="L530" s="5">
        <f>INDEX('Route Data'!$N$7:$N$8,E530)</f>
        <v>0.4</v>
      </c>
      <c r="M530" s="8">
        <v>0.74543190002441406</v>
      </c>
      <c r="N530" s="8">
        <f>ProbStrikeFrancis(K530, I530, L530, INDEX('Route Data'!$G$7:$G$8,E530),C530, INDEX('Route Data'!$F$7:$F$8,E530), INDEX('Route Data'!$O$7:$O$8,E530), INDEX('Route Data'!$H$7:$H$18,E530))</f>
        <v>1</v>
      </c>
      <c r="O530" s="5" t="str">
        <f>IF(F530&gt;=1,IF(M530&lt;=N530,"STRIKE","pass"),IF(M530&lt;=INDEX('Route Data'!$R$7:$R$8,E530),"NO PASS","pass"))</f>
        <v>STRIKE</v>
      </c>
      <c r="P530" s="5">
        <f>IF(F530&gt;=1,IF(M530&lt;=N530,1,0),IF(M530&lt;=INDEX('Route Data'!$R$7:$R$8,E530),-1,0))</f>
        <v>1</v>
      </c>
    </row>
    <row r="531" spans="1:16">
      <c r="A531" s="5">
        <v>521</v>
      </c>
      <c r="B531" s="12">
        <v>17.510000000000002</v>
      </c>
      <c r="C531" s="12">
        <f t="shared" si="8"/>
        <v>1.46</v>
      </c>
      <c r="D531" s="8">
        <v>0.25227135419845581</v>
      </c>
      <c r="E531" s="5">
        <f>MATCH(D531,'Route Data'!$C$7:$C$8,1)</f>
        <v>2</v>
      </c>
      <c r="F531" s="5">
        <f>INDEX('Route Data'!$D$7:$D$8,E531)</f>
        <v>1</v>
      </c>
      <c r="G531" s="5" t="str">
        <f>INDEX('Route Data'!$A$7:$A$8,E531)</f>
        <v>u18</v>
      </c>
      <c r="H531" s="5">
        <f>EnergyCoeff(INDEX('Route Data'!$K$7:$K$8,E531),INDEX('Route Data'!$L$7:$L$8,E531)*2*PI()/60,INDEX('Route Data'!$F$7:$F$8,E531))</f>
        <v>0.19430699130049439</v>
      </c>
      <c r="I531" s="5">
        <f>DischargeCoeff(INDEX('Route Data'!$I$7:$I$8,E531), INDEX('Route Data'!$L$7:$L$8,E531)*2*PI()/60, INDEX('Route Data'!$F$7:$F$8,E531))</f>
        <v>0.15939200179827354</v>
      </c>
      <c r="J531" s="8">
        <f>FlowAngleRel(INDEX('Route Data'!$J$7:$J$8,E531)*INDEX('Route Data'!$I$7:$I$8,E531), INDEX('Route Data'!$L$7:$L$8,E531)*2*PI()/60, INDEX('Route Data'!$F$7:$F$8,E531),INDEX('Route Data'!$O$7:$O$8,E531), INDEX('Route Data'!$P$7:$P$8,E531),INDEX('Route Data'!$M$7:$M$8,E531))</f>
        <v>1.130811765868994</v>
      </c>
      <c r="K531" s="8">
        <f>FlowAngleAbsT(INDEX('Route Data'!$K$7:$K$8,E531), INDEX('Route Data'!$I$7:$I$8,E531), INDEX('Route Data'!$I$7:$I$8,E531)*INDEX('Route Data'!$J$7:$J$8,E531), INDEX('Route Data'!$L$7:$L$8,E531)*2*PI()/60, INDEX('Route Data'!$F$7:$F$8,E531),INDEX('Route Data'!$O$7:$O$8,E531), INDEX('Route Data'!$P$7:$P$8,E531), INDEX('Route Data'!$H$7:$H$8,E531), INDEX('Route Data'!$Q$7:$Q$8,E531), INDEX('Route Data'!$M$7:$M$8,E531))</f>
        <v>0.51617226640175828</v>
      </c>
      <c r="L531" s="5">
        <f>INDEX('Route Data'!$N$7:$N$8,E531)</f>
        <v>0.4</v>
      </c>
      <c r="M531" s="8">
        <v>7.2508037090301514E-2</v>
      </c>
      <c r="N531" s="8">
        <f>ProbStrikeFrancis(K531, I531, L531, INDEX('Route Data'!$G$7:$G$8,E531),C531, INDEX('Route Data'!$F$7:$F$8,E531), INDEX('Route Data'!$O$7:$O$8,E531), INDEX('Route Data'!$H$7:$H$18,E531))</f>
        <v>1</v>
      </c>
      <c r="O531" s="5" t="str">
        <f>IF(F531&gt;=1,IF(M531&lt;=N531,"STRIKE","pass"),IF(M531&lt;=INDEX('Route Data'!$R$7:$R$8,E531),"NO PASS","pass"))</f>
        <v>STRIKE</v>
      </c>
      <c r="P531" s="5">
        <f>IF(F531&gt;=1,IF(M531&lt;=N531,1,0),IF(M531&lt;=INDEX('Route Data'!$R$7:$R$8,E531),-1,0))</f>
        <v>1</v>
      </c>
    </row>
    <row r="532" spans="1:16">
      <c r="A532" s="5">
        <v>522</v>
      </c>
      <c r="B532" s="12">
        <v>23.66</v>
      </c>
      <c r="C532" s="12">
        <f t="shared" si="8"/>
        <v>1.97</v>
      </c>
      <c r="D532" s="8">
        <v>0.56202995777130127</v>
      </c>
      <c r="E532" s="5">
        <f>MATCH(D532,'Route Data'!$C$7:$C$8,1)</f>
        <v>2</v>
      </c>
      <c r="F532" s="5">
        <f>INDEX('Route Data'!$D$7:$D$8,E532)</f>
        <v>1</v>
      </c>
      <c r="G532" s="5" t="str">
        <f>INDEX('Route Data'!$A$7:$A$8,E532)</f>
        <v>u18</v>
      </c>
      <c r="H532" s="5">
        <f>EnergyCoeff(INDEX('Route Data'!$K$7:$K$8,E532),INDEX('Route Data'!$L$7:$L$8,E532)*2*PI()/60,INDEX('Route Data'!$F$7:$F$8,E532))</f>
        <v>0.19430699130049439</v>
      </c>
      <c r="I532" s="5">
        <f>DischargeCoeff(INDEX('Route Data'!$I$7:$I$8,E532), INDEX('Route Data'!$L$7:$L$8,E532)*2*PI()/60, INDEX('Route Data'!$F$7:$F$8,E532))</f>
        <v>0.15939200179827354</v>
      </c>
      <c r="J532" s="8">
        <f>FlowAngleRel(INDEX('Route Data'!$J$7:$J$8,E532)*INDEX('Route Data'!$I$7:$I$8,E532), INDEX('Route Data'!$L$7:$L$8,E532)*2*PI()/60, INDEX('Route Data'!$F$7:$F$8,E532),INDEX('Route Data'!$O$7:$O$8,E532), INDEX('Route Data'!$P$7:$P$8,E532),INDEX('Route Data'!$M$7:$M$8,E532))</f>
        <v>1.130811765868994</v>
      </c>
      <c r="K532" s="8">
        <f>FlowAngleAbsT(INDEX('Route Data'!$K$7:$K$8,E532), INDEX('Route Data'!$I$7:$I$8,E532), INDEX('Route Data'!$I$7:$I$8,E532)*INDEX('Route Data'!$J$7:$J$8,E532), INDEX('Route Data'!$L$7:$L$8,E532)*2*PI()/60, INDEX('Route Data'!$F$7:$F$8,E532),INDEX('Route Data'!$O$7:$O$8,E532), INDEX('Route Data'!$P$7:$P$8,E532), INDEX('Route Data'!$H$7:$H$8,E532), INDEX('Route Data'!$Q$7:$Q$8,E532), INDEX('Route Data'!$M$7:$M$8,E532))</f>
        <v>0.51617226640175828</v>
      </c>
      <c r="L532" s="5">
        <f>INDEX('Route Data'!$N$7:$N$8,E532)</f>
        <v>0.4</v>
      </c>
      <c r="M532" s="8">
        <v>0.35685884952545166</v>
      </c>
      <c r="N532" s="8">
        <f>ProbStrikeFrancis(K532, I532, L532, INDEX('Route Data'!$G$7:$G$8,E532),C532, INDEX('Route Data'!$F$7:$F$8,E532), INDEX('Route Data'!$O$7:$O$8,E532), INDEX('Route Data'!$H$7:$H$18,E532))</f>
        <v>1</v>
      </c>
      <c r="O532" s="5" t="str">
        <f>IF(F532&gt;=1,IF(M532&lt;=N532,"STRIKE","pass"),IF(M532&lt;=INDEX('Route Data'!$R$7:$R$8,E532),"NO PASS","pass"))</f>
        <v>STRIKE</v>
      </c>
      <c r="P532" s="5">
        <f>IF(F532&gt;=1,IF(M532&lt;=N532,1,0),IF(M532&lt;=INDEX('Route Data'!$R$7:$R$8,E532),-1,0))</f>
        <v>1</v>
      </c>
    </row>
    <row r="533" spans="1:16">
      <c r="A533" s="5">
        <v>523</v>
      </c>
      <c r="B533" s="12">
        <v>18.78</v>
      </c>
      <c r="C533" s="12">
        <f t="shared" si="8"/>
        <v>1.57</v>
      </c>
      <c r="D533" s="8">
        <v>0.36717492341995239</v>
      </c>
      <c r="E533" s="5">
        <f>MATCH(D533,'Route Data'!$C$7:$C$8,1)</f>
        <v>2</v>
      </c>
      <c r="F533" s="5">
        <f>INDEX('Route Data'!$D$7:$D$8,E533)</f>
        <v>1</v>
      </c>
      <c r="G533" s="5" t="str">
        <f>INDEX('Route Data'!$A$7:$A$8,E533)</f>
        <v>u18</v>
      </c>
      <c r="H533" s="5">
        <f>EnergyCoeff(INDEX('Route Data'!$K$7:$K$8,E533),INDEX('Route Data'!$L$7:$L$8,E533)*2*PI()/60,INDEX('Route Data'!$F$7:$F$8,E533))</f>
        <v>0.19430699130049439</v>
      </c>
      <c r="I533" s="5">
        <f>DischargeCoeff(INDEX('Route Data'!$I$7:$I$8,E533), INDEX('Route Data'!$L$7:$L$8,E533)*2*PI()/60, INDEX('Route Data'!$F$7:$F$8,E533))</f>
        <v>0.15939200179827354</v>
      </c>
      <c r="J533" s="8">
        <f>FlowAngleRel(INDEX('Route Data'!$J$7:$J$8,E533)*INDEX('Route Data'!$I$7:$I$8,E533), INDEX('Route Data'!$L$7:$L$8,E533)*2*PI()/60, INDEX('Route Data'!$F$7:$F$8,E533),INDEX('Route Data'!$O$7:$O$8,E533), INDEX('Route Data'!$P$7:$P$8,E533),INDEX('Route Data'!$M$7:$M$8,E533))</f>
        <v>1.130811765868994</v>
      </c>
      <c r="K533" s="8">
        <f>FlowAngleAbsT(INDEX('Route Data'!$K$7:$K$8,E533), INDEX('Route Data'!$I$7:$I$8,E533), INDEX('Route Data'!$I$7:$I$8,E533)*INDEX('Route Data'!$J$7:$J$8,E533), INDEX('Route Data'!$L$7:$L$8,E533)*2*PI()/60, INDEX('Route Data'!$F$7:$F$8,E533),INDEX('Route Data'!$O$7:$O$8,E533), INDEX('Route Data'!$P$7:$P$8,E533), INDEX('Route Data'!$H$7:$H$8,E533), INDEX('Route Data'!$Q$7:$Q$8,E533), INDEX('Route Data'!$M$7:$M$8,E533))</f>
        <v>0.51617226640175828</v>
      </c>
      <c r="L533" s="5">
        <f>INDEX('Route Data'!$N$7:$N$8,E533)</f>
        <v>0.4</v>
      </c>
      <c r="M533" s="8">
        <v>0.50380641222000122</v>
      </c>
      <c r="N533" s="8">
        <f>ProbStrikeFrancis(K533, I533, L533, INDEX('Route Data'!$G$7:$G$8,E533),C533, INDEX('Route Data'!$F$7:$F$8,E533), INDEX('Route Data'!$O$7:$O$8,E533), INDEX('Route Data'!$H$7:$H$18,E533))</f>
        <v>1</v>
      </c>
      <c r="O533" s="5" t="str">
        <f>IF(F533&gt;=1,IF(M533&lt;=N533,"STRIKE","pass"),IF(M533&lt;=INDEX('Route Data'!$R$7:$R$8,E533),"NO PASS","pass"))</f>
        <v>STRIKE</v>
      </c>
      <c r="P533" s="5">
        <f>IF(F533&gt;=1,IF(M533&lt;=N533,1,0),IF(M533&lt;=INDEX('Route Data'!$R$7:$R$8,E533),-1,0))</f>
        <v>1</v>
      </c>
    </row>
    <row r="534" spans="1:16">
      <c r="A534" s="5">
        <v>524</v>
      </c>
      <c r="B534" s="12">
        <v>22.13</v>
      </c>
      <c r="C534" s="12">
        <f t="shared" si="8"/>
        <v>1.84</v>
      </c>
      <c r="D534" s="8">
        <v>0.42058157920837402</v>
      </c>
      <c r="E534" s="5">
        <f>MATCH(D534,'Route Data'!$C$7:$C$8,1)</f>
        <v>2</v>
      </c>
      <c r="F534" s="5">
        <f>INDEX('Route Data'!$D$7:$D$8,E534)</f>
        <v>1</v>
      </c>
      <c r="G534" s="5" t="str">
        <f>INDEX('Route Data'!$A$7:$A$8,E534)</f>
        <v>u18</v>
      </c>
      <c r="H534" s="5">
        <f>EnergyCoeff(INDEX('Route Data'!$K$7:$K$8,E534),INDEX('Route Data'!$L$7:$L$8,E534)*2*PI()/60,INDEX('Route Data'!$F$7:$F$8,E534))</f>
        <v>0.19430699130049439</v>
      </c>
      <c r="I534" s="5">
        <f>DischargeCoeff(INDEX('Route Data'!$I$7:$I$8,E534), INDEX('Route Data'!$L$7:$L$8,E534)*2*PI()/60, INDEX('Route Data'!$F$7:$F$8,E534))</f>
        <v>0.15939200179827354</v>
      </c>
      <c r="J534" s="8">
        <f>FlowAngleRel(INDEX('Route Data'!$J$7:$J$8,E534)*INDEX('Route Data'!$I$7:$I$8,E534), INDEX('Route Data'!$L$7:$L$8,E534)*2*PI()/60, INDEX('Route Data'!$F$7:$F$8,E534),INDEX('Route Data'!$O$7:$O$8,E534), INDEX('Route Data'!$P$7:$P$8,E534),INDEX('Route Data'!$M$7:$M$8,E534))</f>
        <v>1.130811765868994</v>
      </c>
      <c r="K534" s="8">
        <f>FlowAngleAbsT(INDEX('Route Data'!$K$7:$K$8,E534), INDEX('Route Data'!$I$7:$I$8,E534), INDEX('Route Data'!$I$7:$I$8,E534)*INDEX('Route Data'!$J$7:$J$8,E534), INDEX('Route Data'!$L$7:$L$8,E534)*2*PI()/60, INDEX('Route Data'!$F$7:$F$8,E534),INDEX('Route Data'!$O$7:$O$8,E534), INDEX('Route Data'!$P$7:$P$8,E534), INDEX('Route Data'!$H$7:$H$8,E534), INDEX('Route Data'!$Q$7:$Q$8,E534), INDEX('Route Data'!$M$7:$M$8,E534))</f>
        <v>0.51617226640175828</v>
      </c>
      <c r="L534" s="5">
        <f>INDEX('Route Data'!$N$7:$N$8,E534)</f>
        <v>0.4</v>
      </c>
      <c r="M534" s="8">
        <v>0.53180527687072754</v>
      </c>
      <c r="N534" s="8">
        <f>ProbStrikeFrancis(K534, I534, L534, INDEX('Route Data'!$G$7:$G$8,E534),C534, INDEX('Route Data'!$F$7:$F$8,E534), INDEX('Route Data'!$O$7:$O$8,E534), INDEX('Route Data'!$H$7:$H$18,E534))</f>
        <v>1</v>
      </c>
      <c r="O534" s="5" t="str">
        <f>IF(F534&gt;=1,IF(M534&lt;=N534,"STRIKE","pass"),IF(M534&lt;=INDEX('Route Data'!$R$7:$R$8,E534),"NO PASS","pass"))</f>
        <v>STRIKE</v>
      </c>
      <c r="P534" s="5">
        <f>IF(F534&gt;=1,IF(M534&lt;=N534,1,0),IF(M534&lt;=INDEX('Route Data'!$R$7:$R$8,E534),-1,0))</f>
        <v>1</v>
      </c>
    </row>
    <row r="535" spans="1:16">
      <c r="A535" s="5">
        <v>525</v>
      </c>
      <c r="B535" s="12">
        <v>24.01</v>
      </c>
      <c r="C535" s="12">
        <f t="shared" si="8"/>
        <v>2</v>
      </c>
      <c r="D535" s="8">
        <v>0.26036161184310913</v>
      </c>
      <c r="E535" s="5">
        <f>MATCH(D535,'Route Data'!$C$7:$C$8,1)</f>
        <v>2</v>
      </c>
      <c r="F535" s="5">
        <f>INDEX('Route Data'!$D$7:$D$8,E535)</f>
        <v>1</v>
      </c>
      <c r="G535" s="5" t="str">
        <f>INDEX('Route Data'!$A$7:$A$8,E535)</f>
        <v>u18</v>
      </c>
      <c r="H535" s="5">
        <f>EnergyCoeff(INDEX('Route Data'!$K$7:$K$8,E535),INDEX('Route Data'!$L$7:$L$8,E535)*2*PI()/60,INDEX('Route Data'!$F$7:$F$8,E535))</f>
        <v>0.19430699130049439</v>
      </c>
      <c r="I535" s="5">
        <f>DischargeCoeff(INDEX('Route Data'!$I$7:$I$8,E535), INDEX('Route Data'!$L$7:$L$8,E535)*2*PI()/60, INDEX('Route Data'!$F$7:$F$8,E535))</f>
        <v>0.15939200179827354</v>
      </c>
      <c r="J535" s="8">
        <f>FlowAngleRel(INDEX('Route Data'!$J$7:$J$8,E535)*INDEX('Route Data'!$I$7:$I$8,E535), INDEX('Route Data'!$L$7:$L$8,E535)*2*PI()/60, INDEX('Route Data'!$F$7:$F$8,E535),INDEX('Route Data'!$O$7:$O$8,E535), INDEX('Route Data'!$P$7:$P$8,E535),INDEX('Route Data'!$M$7:$M$8,E535))</f>
        <v>1.130811765868994</v>
      </c>
      <c r="K535" s="8">
        <f>FlowAngleAbsT(INDEX('Route Data'!$K$7:$K$8,E535), INDEX('Route Data'!$I$7:$I$8,E535), INDEX('Route Data'!$I$7:$I$8,E535)*INDEX('Route Data'!$J$7:$J$8,E535), INDEX('Route Data'!$L$7:$L$8,E535)*2*PI()/60, INDEX('Route Data'!$F$7:$F$8,E535),INDEX('Route Data'!$O$7:$O$8,E535), INDEX('Route Data'!$P$7:$P$8,E535), INDEX('Route Data'!$H$7:$H$8,E535), INDEX('Route Data'!$Q$7:$Q$8,E535), INDEX('Route Data'!$M$7:$M$8,E535))</f>
        <v>0.51617226640175828</v>
      </c>
      <c r="L535" s="5">
        <f>INDEX('Route Data'!$N$7:$N$8,E535)</f>
        <v>0.4</v>
      </c>
      <c r="M535" s="8">
        <v>0.71338790655136108</v>
      </c>
      <c r="N535" s="8">
        <f>ProbStrikeFrancis(K535, I535, L535, INDEX('Route Data'!$G$7:$G$8,E535),C535, INDEX('Route Data'!$F$7:$F$8,E535), INDEX('Route Data'!$O$7:$O$8,E535), INDEX('Route Data'!$H$7:$H$18,E535))</f>
        <v>1</v>
      </c>
      <c r="O535" s="5" t="str">
        <f>IF(F535&gt;=1,IF(M535&lt;=N535,"STRIKE","pass"),IF(M535&lt;=INDEX('Route Data'!$R$7:$R$8,E535),"NO PASS","pass"))</f>
        <v>STRIKE</v>
      </c>
      <c r="P535" s="5">
        <f>IF(F535&gt;=1,IF(M535&lt;=N535,1,0),IF(M535&lt;=INDEX('Route Data'!$R$7:$R$8,E535),-1,0))</f>
        <v>1</v>
      </c>
    </row>
    <row r="536" spans="1:16">
      <c r="A536" s="5">
        <v>526</v>
      </c>
      <c r="B536" s="12">
        <v>22.16</v>
      </c>
      <c r="C536" s="12">
        <f t="shared" si="8"/>
        <v>1.85</v>
      </c>
      <c r="D536" s="8">
        <v>0.74102151393890381</v>
      </c>
      <c r="E536" s="5">
        <f>MATCH(D536,'Route Data'!$C$7:$C$8,1)</f>
        <v>2</v>
      </c>
      <c r="F536" s="5">
        <f>INDEX('Route Data'!$D$7:$D$8,E536)</f>
        <v>1</v>
      </c>
      <c r="G536" s="5" t="str">
        <f>INDEX('Route Data'!$A$7:$A$8,E536)</f>
        <v>u18</v>
      </c>
      <c r="H536" s="5">
        <f>EnergyCoeff(INDEX('Route Data'!$K$7:$K$8,E536),INDEX('Route Data'!$L$7:$L$8,E536)*2*PI()/60,INDEX('Route Data'!$F$7:$F$8,E536))</f>
        <v>0.19430699130049439</v>
      </c>
      <c r="I536" s="5">
        <f>DischargeCoeff(INDEX('Route Data'!$I$7:$I$8,E536), INDEX('Route Data'!$L$7:$L$8,E536)*2*PI()/60, INDEX('Route Data'!$F$7:$F$8,E536))</f>
        <v>0.15939200179827354</v>
      </c>
      <c r="J536" s="8">
        <f>FlowAngleRel(INDEX('Route Data'!$J$7:$J$8,E536)*INDEX('Route Data'!$I$7:$I$8,E536), INDEX('Route Data'!$L$7:$L$8,E536)*2*PI()/60, INDEX('Route Data'!$F$7:$F$8,E536),INDEX('Route Data'!$O$7:$O$8,E536), INDEX('Route Data'!$P$7:$P$8,E536),INDEX('Route Data'!$M$7:$M$8,E536))</f>
        <v>1.130811765868994</v>
      </c>
      <c r="K536" s="8">
        <f>FlowAngleAbsT(INDEX('Route Data'!$K$7:$K$8,E536), INDEX('Route Data'!$I$7:$I$8,E536), INDEX('Route Data'!$I$7:$I$8,E536)*INDEX('Route Data'!$J$7:$J$8,E536), INDEX('Route Data'!$L$7:$L$8,E536)*2*PI()/60, INDEX('Route Data'!$F$7:$F$8,E536),INDEX('Route Data'!$O$7:$O$8,E536), INDEX('Route Data'!$P$7:$P$8,E536), INDEX('Route Data'!$H$7:$H$8,E536), INDEX('Route Data'!$Q$7:$Q$8,E536), INDEX('Route Data'!$M$7:$M$8,E536))</f>
        <v>0.51617226640175828</v>
      </c>
      <c r="L536" s="5">
        <f>INDEX('Route Data'!$N$7:$N$8,E536)</f>
        <v>0.4</v>
      </c>
      <c r="M536" s="8">
        <v>0.16864001750946045</v>
      </c>
      <c r="N536" s="8">
        <f>ProbStrikeFrancis(K536, I536, L536, INDEX('Route Data'!$G$7:$G$8,E536),C536, INDEX('Route Data'!$F$7:$F$8,E536), INDEX('Route Data'!$O$7:$O$8,E536), INDEX('Route Data'!$H$7:$H$18,E536))</f>
        <v>1</v>
      </c>
      <c r="O536" s="5" t="str">
        <f>IF(F536&gt;=1,IF(M536&lt;=N536,"STRIKE","pass"),IF(M536&lt;=INDEX('Route Data'!$R$7:$R$8,E536),"NO PASS","pass"))</f>
        <v>STRIKE</v>
      </c>
      <c r="P536" s="5">
        <f>IF(F536&gt;=1,IF(M536&lt;=N536,1,0),IF(M536&lt;=INDEX('Route Data'!$R$7:$R$8,E536),-1,0))</f>
        <v>1</v>
      </c>
    </row>
    <row r="537" spans="1:16">
      <c r="A537" s="5">
        <v>527</v>
      </c>
      <c r="B537" s="12">
        <v>21.78</v>
      </c>
      <c r="C537" s="12">
        <f t="shared" si="8"/>
        <v>1.82</v>
      </c>
      <c r="D537" s="8">
        <v>0.29904180765151978</v>
      </c>
      <c r="E537" s="5">
        <f>MATCH(D537,'Route Data'!$C$7:$C$8,1)</f>
        <v>2</v>
      </c>
      <c r="F537" s="5">
        <f>INDEX('Route Data'!$D$7:$D$8,E537)</f>
        <v>1</v>
      </c>
      <c r="G537" s="5" t="str">
        <f>INDEX('Route Data'!$A$7:$A$8,E537)</f>
        <v>u18</v>
      </c>
      <c r="H537" s="5">
        <f>EnergyCoeff(INDEX('Route Data'!$K$7:$K$8,E537),INDEX('Route Data'!$L$7:$L$8,E537)*2*PI()/60,INDEX('Route Data'!$F$7:$F$8,E537))</f>
        <v>0.19430699130049439</v>
      </c>
      <c r="I537" s="5">
        <f>DischargeCoeff(INDEX('Route Data'!$I$7:$I$8,E537), INDEX('Route Data'!$L$7:$L$8,E537)*2*PI()/60, INDEX('Route Data'!$F$7:$F$8,E537))</f>
        <v>0.15939200179827354</v>
      </c>
      <c r="J537" s="8">
        <f>FlowAngleRel(INDEX('Route Data'!$J$7:$J$8,E537)*INDEX('Route Data'!$I$7:$I$8,E537), INDEX('Route Data'!$L$7:$L$8,E537)*2*PI()/60, INDEX('Route Data'!$F$7:$F$8,E537),INDEX('Route Data'!$O$7:$O$8,E537), INDEX('Route Data'!$P$7:$P$8,E537),INDEX('Route Data'!$M$7:$M$8,E537))</f>
        <v>1.130811765868994</v>
      </c>
      <c r="K537" s="8">
        <f>FlowAngleAbsT(INDEX('Route Data'!$K$7:$K$8,E537), INDEX('Route Data'!$I$7:$I$8,E537), INDEX('Route Data'!$I$7:$I$8,E537)*INDEX('Route Data'!$J$7:$J$8,E537), INDEX('Route Data'!$L$7:$L$8,E537)*2*PI()/60, INDEX('Route Data'!$F$7:$F$8,E537),INDEX('Route Data'!$O$7:$O$8,E537), INDEX('Route Data'!$P$7:$P$8,E537), INDEX('Route Data'!$H$7:$H$8,E537), INDEX('Route Data'!$Q$7:$Q$8,E537), INDEX('Route Data'!$M$7:$M$8,E537))</f>
        <v>0.51617226640175828</v>
      </c>
      <c r="L537" s="5">
        <f>INDEX('Route Data'!$N$7:$N$8,E537)</f>
        <v>0.4</v>
      </c>
      <c r="M537" s="8">
        <v>6.8462908267974854E-2</v>
      </c>
      <c r="N537" s="8">
        <f>ProbStrikeFrancis(K537, I537, L537, INDEX('Route Data'!$G$7:$G$8,E537),C537, INDEX('Route Data'!$F$7:$F$8,E537), INDEX('Route Data'!$O$7:$O$8,E537), INDEX('Route Data'!$H$7:$H$18,E537))</f>
        <v>1</v>
      </c>
      <c r="O537" s="5" t="str">
        <f>IF(F537&gt;=1,IF(M537&lt;=N537,"STRIKE","pass"),IF(M537&lt;=INDEX('Route Data'!$R$7:$R$8,E537),"NO PASS","pass"))</f>
        <v>STRIKE</v>
      </c>
      <c r="P537" s="5">
        <f>IF(F537&gt;=1,IF(M537&lt;=N537,1,0),IF(M537&lt;=INDEX('Route Data'!$R$7:$R$8,E537),-1,0))</f>
        <v>1</v>
      </c>
    </row>
    <row r="538" spans="1:16">
      <c r="A538" s="5">
        <v>528</v>
      </c>
      <c r="B538" s="12">
        <v>20.8</v>
      </c>
      <c r="C538" s="12">
        <f t="shared" si="8"/>
        <v>1.73</v>
      </c>
      <c r="D538" s="8">
        <v>0.89056015014648438</v>
      </c>
      <c r="E538" s="5">
        <f>MATCH(D538,'Route Data'!$C$7:$C$8,1)</f>
        <v>2</v>
      </c>
      <c r="F538" s="5">
        <f>INDEX('Route Data'!$D$7:$D$8,E538)</f>
        <v>1</v>
      </c>
      <c r="G538" s="5" t="str">
        <f>INDEX('Route Data'!$A$7:$A$8,E538)</f>
        <v>u18</v>
      </c>
      <c r="H538" s="5">
        <f>EnergyCoeff(INDEX('Route Data'!$K$7:$K$8,E538),INDEX('Route Data'!$L$7:$L$8,E538)*2*PI()/60,INDEX('Route Data'!$F$7:$F$8,E538))</f>
        <v>0.19430699130049439</v>
      </c>
      <c r="I538" s="5">
        <f>DischargeCoeff(INDEX('Route Data'!$I$7:$I$8,E538), INDEX('Route Data'!$L$7:$L$8,E538)*2*PI()/60, INDEX('Route Data'!$F$7:$F$8,E538))</f>
        <v>0.15939200179827354</v>
      </c>
      <c r="J538" s="8">
        <f>FlowAngleRel(INDEX('Route Data'!$J$7:$J$8,E538)*INDEX('Route Data'!$I$7:$I$8,E538), INDEX('Route Data'!$L$7:$L$8,E538)*2*PI()/60, INDEX('Route Data'!$F$7:$F$8,E538),INDEX('Route Data'!$O$7:$O$8,E538), INDEX('Route Data'!$P$7:$P$8,E538),INDEX('Route Data'!$M$7:$M$8,E538))</f>
        <v>1.130811765868994</v>
      </c>
      <c r="K538" s="8">
        <f>FlowAngleAbsT(INDEX('Route Data'!$K$7:$K$8,E538), INDEX('Route Data'!$I$7:$I$8,E538), INDEX('Route Data'!$I$7:$I$8,E538)*INDEX('Route Data'!$J$7:$J$8,E538), INDEX('Route Data'!$L$7:$L$8,E538)*2*PI()/60, INDEX('Route Data'!$F$7:$F$8,E538),INDEX('Route Data'!$O$7:$O$8,E538), INDEX('Route Data'!$P$7:$P$8,E538), INDEX('Route Data'!$H$7:$H$8,E538), INDEX('Route Data'!$Q$7:$Q$8,E538), INDEX('Route Data'!$M$7:$M$8,E538))</f>
        <v>0.51617226640175828</v>
      </c>
      <c r="L538" s="5">
        <f>INDEX('Route Data'!$N$7:$N$8,E538)</f>
        <v>0.4</v>
      </c>
      <c r="M538" s="8">
        <v>0.63457345962524414</v>
      </c>
      <c r="N538" s="8">
        <f>ProbStrikeFrancis(K538, I538, L538, INDEX('Route Data'!$G$7:$G$8,E538),C538, INDEX('Route Data'!$F$7:$F$8,E538), INDEX('Route Data'!$O$7:$O$8,E538), INDEX('Route Data'!$H$7:$H$18,E538))</f>
        <v>1</v>
      </c>
      <c r="O538" s="5" t="str">
        <f>IF(F538&gt;=1,IF(M538&lt;=N538,"STRIKE","pass"),IF(M538&lt;=INDEX('Route Data'!$R$7:$R$8,E538),"NO PASS","pass"))</f>
        <v>STRIKE</v>
      </c>
      <c r="P538" s="5">
        <f>IF(F538&gt;=1,IF(M538&lt;=N538,1,0),IF(M538&lt;=INDEX('Route Data'!$R$7:$R$8,E538),-1,0))</f>
        <v>1</v>
      </c>
    </row>
    <row r="539" spans="1:16">
      <c r="A539" s="5">
        <v>529</v>
      </c>
      <c r="B539" s="12">
        <v>23.64</v>
      </c>
      <c r="C539" s="12">
        <f t="shared" si="8"/>
        <v>1.97</v>
      </c>
      <c r="D539" s="8">
        <v>0.85042589902877808</v>
      </c>
      <c r="E539" s="5">
        <f>MATCH(D539,'Route Data'!$C$7:$C$8,1)</f>
        <v>2</v>
      </c>
      <c r="F539" s="5">
        <f>INDEX('Route Data'!$D$7:$D$8,E539)</f>
        <v>1</v>
      </c>
      <c r="G539" s="5" t="str">
        <f>INDEX('Route Data'!$A$7:$A$8,E539)</f>
        <v>u18</v>
      </c>
      <c r="H539" s="5">
        <f>EnergyCoeff(INDEX('Route Data'!$K$7:$K$8,E539),INDEX('Route Data'!$L$7:$L$8,E539)*2*PI()/60,INDEX('Route Data'!$F$7:$F$8,E539))</f>
        <v>0.19430699130049439</v>
      </c>
      <c r="I539" s="5">
        <f>DischargeCoeff(INDEX('Route Data'!$I$7:$I$8,E539), INDEX('Route Data'!$L$7:$L$8,E539)*2*PI()/60, INDEX('Route Data'!$F$7:$F$8,E539))</f>
        <v>0.15939200179827354</v>
      </c>
      <c r="J539" s="8">
        <f>FlowAngleRel(INDEX('Route Data'!$J$7:$J$8,E539)*INDEX('Route Data'!$I$7:$I$8,E539), INDEX('Route Data'!$L$7:$L$8,E539)*2*PI()/60, INDEX('Route Data'!$F$7:$F$8,E539),INDEX('Route Data'!$O$7:$O$8,E539), INDEX('Route Data'!$P$7:$P$8,E539),INDEX('Route Data'!$M$7:$M$8,E539))</f>
        <v>1.130811765868994</v>
      </c>
      <c r="K539" s="8">
        <f>FlowAngleAbsT(INDEX('Route Data'!$K$7:$K$8,E539), INDEX('Route Data'!$I$7:$I$8,E539), INDEX('Route Data'!$I$7:$I$8,E539)*INDEX('Route Data'!$J$7:$J$8,E539), INDEX('Route Data'!$L$7:$L$8,E539)*2*PI()/60, INDEX('Route Data'!$F$7:$F$8,E539),INDEX('Route Data'!$O$7:$O$8,E539), INDEX('Route Data'!$P$7:$P$8,E539), INDEX('Route Data'!$H$7:$H$8,E539), INDEX('Route Data'!$Q$7:$Q$8,E539), INDEX('Route Data'!$M$7:$M$8,E539))</f>
        <v>0.51617226640175828</v>
      </c>
      <c r="L539" s="5">
        <f>INDEX('Route Data'!$N$7:$N$8,E539)</f>
        <v>0.4</v>
      </c>
      <c r="M539" s="8">
        <v>0.67066258192062378</v>
      </c>
      <c r="N539" s="8">
        <f>ProbStrikeFrancis(K539, I539, L539, INDEX('Route Data'!$G$7:$G$8,E539),C539, INDEX('Route Data'!$F$7:$F$8,E539), INDEX('Route Data'!$O$7:$O$8,E539), INDEX('Route Data'!$H$7:$H$18,E539))</f>
        <v>1</v>
      </c>
      <c r="O539" s="5" t="str">
        <f>IF(F539&gt;=1,IF(M539&lt;=N539,"STRIKE","pass"),IF(M539&lt;=INDEX('Route Data'!$R$7:$R$8,E539),"NO PASS","pass"))</f>
        <v>STRIKE</v>
      </c>
      <c r="P539" s="5">
        <f>IF(F539&gt;=1,IF(M539&lt;=N539,1,0),IF(M539&lt;=INDEX('Route Data'!$R$7:$R$8,E539),-1,0))</f>
        <v>1</v>
      </c>
    </row>
    <row r="540" spans="1:16">
      <c r="A540" s="5">
        <v>530</v>
      </c>
      <c r="B540" s="12">
        <v>23.17</v>
      </c>
      <c r="C540" s="12">
        <f t="shared" si="8"/>
        <v>1.93</v>
      </c>
      <c r="D540" s="8">
        <v>0.50198709964752197</v>
      </c>
      <c r="E540" s="5">
        <f>MATCH(D540,'Route Data'!$C$7:$C$8,1)</f>
        <v>2</v>
      </c>
      <c r="F540" s="5">
        <f>INDEX('Route Data'!$D$7:$D$8,E540)</f>
        <v>1</v>
      </c>
      <c r="G540" s="5" t="str">
        <f>INDEX('Route Data'!$A$7:$A$8,E540)</f>
        <v>u18</v>
      </c>
      <c r="H540" s="5">
        <f>EnergyCoeff(INDEX('Route Data'!$K$7:$K$8,E540),INDEX('Route Data'!$L$7:$L$8,E540)*2*PI()/60,INDEX('Route Data'!$F$7:$F$8,E540))</f>
        <v>0.19430699130049439</v>
      </c>
      <c r="I540" s="5">
        <f>DischargeCoeff(INDEX('Route Data'!$I$7:$I$8,E540), INDEX('Route Data'!$L$7:$L$8,E540)*2*PI()/60, INDEX('Route Data'!$F$7:$F$8,E540))</f>
        <v>0.15939200179827354</v>
      </c>
      <c r="J540" s="8">
        <f>FlowAngleRel(INDEX('Route Data'!$J$7:$J$8,E540)*INDEX('Route Data'!$I$7:$I$8,E540), INDEX('Route Data'!$L$7:$L$8,E540)*2*PI()/60, INDEX('Route Data'!$F$7:$F$8,E540),INDEX('Route Data'!$O$7:$O$8,E540), INDEX('Route Data'!$P$7:$P$8,E540),INDEX('Route Data'!$M$7:$M$8,E540))</f>
        <v>1.130811765868994</v>
      </c>
      <c r="K540" s="8">
        <f>FlowAngleAbsT(INDEX('Route Data'!$K$7:$K$8,E540), INDEX('Route Data'!$I$7:$I$8,E540), INDEX('Route Data'!$I$7:$I$8,E540)*INDEX('Route Data'!$J$7:$J$8,E540), INDEX('Route Data'!$L$7:$L$8,E540)*2*PI()/60, INDEX('Route Data'!$F$7:$F$8,E540),INDEX('Route Data'!$O$7:$O$8,E540), INDEX('Route Data'!$P$7:$P$8,E540), INDEX('Route Data'!$H$7:$H$8,E540), INDEX('Route Data'!$Q$7:$Q$8,E540), INDEX('Route Data'!$M$7:$M$8,E540))</f>
        <v>0.51617226640175828</v>
      </c>
      <c r="L540" s="5">
        <f>INDEX('Route Data'!$N$7:$N$8,E540)</f>
        <v>0.4</v>
      </c>
      <c r="M540" s="8">
        <v>0.29681599140167236</v>
      </c>
      <c r="N540" s="8">
        <f>ProbStrikeFrancis(K540, I540, L540, INDEX('Route Data'!$G$7:$G$8,E540),C540, INDEX('Route Data'!$F$7:$F$8,E540), INDEX('Route Data'!$O$7:$O$8,E540), INDEX('Route Data'!$H$7:$H$18,E540))</f>
        <v>1</v>
      </c>
      <c r="O540" s="5" t="str">
        <f>IF(F540&gt;=1,IF(M540&lt;=N540,"STRIKE","pass"),IF(M540&lt;=INDEX('Route Data'!$R$7:$R$8,E540),"NO PASS","pass"))</f>
        <v>STRIKE</v>
      </c>
      <c r="P540" s="5">
        <f>IF(F540&gt;=1,IF(M540&lt;=N540,1,0),IF(M540&lt;=INDEX('Route Data'!$R$7:$R$8,E540),-1,0))</f>
        <v>1</v>
      </c>
    </row>
    <row r="541" spans="1:16">
      <c r="A541" s="5">
        <v>531</v>
      </c>
      <c r="B541" s="12">
        <v>16.82</v>
      </c>
      <c r="C541" s="12">
        <f t="shared" si="8"/>
        <v>1.4</v>
      </c>
      <c r="D541" s="8">
        <v>0.28172427415847778</v>
      </c>
      <c r="E541" s="5">
        <f>MATCH(D541,'Route Data'!$C$7:$C$8,1)</f>
        <v>2</v>
      </c>
      <c r="F541" s="5">
        <f>INDEX('Route Data'!$D$7:$D$8,E541)</f>
        <v>1</v>
      </c>
      <c r="G541" s="5" t="str">
        <f>INDEX('Route Data'!$A$7:$A$8,E541)</f>
        <v>u18</v>
      </c>
      <c r="H541" s="5">
        <f>EnergyCoeff(INDEX('Route Data'!$K$7:$K$8,E541),INDEX('Route Data'!$L$7:$L$8,E541)*2*PI()/60,INDEX('Route Data'!$F$7:$F$8,E541))</f>
        <v>0.19430699130049439</v>
      </c>
      <c r="I541" s="5">
        <f>DischargeCoeff(INDEX('Route Data'!$I$7:$I$8,E541), INDEX('Route Data'!$L$7:$L$8,E541)*2*PI()/60, INDEX('Route Data'!$F$7:$F$8,E541))</f>
        <v>0.15939200179827354</v>
      </c>
      <c r="J541" s="8">
        <f>FlowAngleRel(INDEX('Route Data'!$J$7:$J$8,E541)*INDEX('Route Data'!$I$7:$I$8,E541), INDEX('Route Data'!$L$7:$L$8,E541)*2*PI()/60, INDEX('Route Data'!$F$7:$F$8,E541),INDEX('Route Data'!$O$7:$O$8,E541), INDEX('Route Data'!$P$7:$P$8,E541),INDEX('Route Data'!$M$7:$M$8,E541))</f>
        <v>1.130811765868994</v>
      </c>
      <c r="K541" s="8">
        <f>FlowAngleAbsT(INDEX('Route Data'!$K$7:$K$8,E541), INDEX('Route Data'!$I$7:$I$8,E541), INDEX('Route Data'!$I$7:$I$8,E541)*INDEX('Route Data'!$J$7:$J$8,E541), INDEX('Route Data'!$L$7:$L$8,E541)*2*PI()/60, INDEX('Route Data'!$F$7:$F$8,E541),INDEX('Route Data'!$O$7:$O$8,E541), INDEX('Route Data'!$P$7:$P$8,E541), INDEX('Route Data'!$H$7:$H$8,E541), INDEX('Route Data'!$Q$7:$Q$8,E541), INDEX('Route Data'!$M$7:$M$8,E541))</f>
        <v>0.51617226640175828</v>
      </c>
      <c r="L541" s="5">
        <f>INDEX('Route Data'!$N$7:$N$8,E541)</f>
        <v>0.4</v>
      </c>
      <c r="M541" s="8">
        <v>0.41835576295852661</v>
      </c>
      <c r="N541" s="8">
        <f>ProbStrikeFrancis(K541, I541, L541, INDEX('Route Data'!$G$7:$G$8,E541),C541, INDEX('Route Data'!$F$7:$F$8,E541), INDEX('Route Data'!$O$7:$O$8,E541), INDEX('Route Data'!$H$7:$H$18,E541))</f>
        <v>1</v>
      </c>
      <c r="O541" s="5" t="str">
        <f>IF(F541&gt;=1,IF(M541&lt;=N541,"STRIKE","pass"),IF(M541&lt;=INDEX('Route Data'!$R$7:$R$8,E541),"NO PASS","pass"))</f>
        <v>STRIKE</v>
      </c>
      <c r="P541" s="5">
        <f>IF(F541&gt;=1,IF(M541&lt;=N541,1,0),IF(M541&lt;=INDEX('Route Data'!$R$7:$R$8,E541),-1,0))</f>
        <v>1</v>
      </c>
    </row>
    <row r="542" spans="1:16">
      <c r="A542" s="5">
        <v>532</v>
      </c>
      <c r="B542" s="12">
        <v>24.23</v>
      </c>
      <c r="C542" s="12">
        <f t="shared" si="8"/>
        <v>2.02</v>
      </c>
      <c r="D542" s="8">
        <v>0.67693352699279785</v>
      </c>
      <c r="E542" s="5">
        <f>MATCH(D542,'Route Data'!$C$7:$C$8,1)</f>
        <v>2</v>
      </c>
      <c r="F542" s="5">
        <f>INDEX('Route Data'!$D$7:$D$8,E542)</f>
        <v>1</v>
      </c>
      <c r="G542" s="5" t="str">
        <f>INDEX('Route Data'!$A$7:$A$8,E542)</f>
        <v>u18</v>
      </c>
      <c r="H542" s="5">
        <f>EnergyCoeff(INDEX('Route Data'!$K$7:$K$8,E542),INDEX('Route Data'!$L$7:$L$8,E542)*2*PI()/60,INDEX('Route Data'!$F$7:$F$8,E542))</f>
        <v>0.19430699130049439</v>
      </c>
      <c r="I542" s="5">
        <f>DischargeCoeff(INDEX('Route Data'!$I$7:$I$8,E542), INDEX('Route Data'!$L$7:$L$8,E542)*2*PI()/60, INDEX('Route Data'!$F$7:$F$8,E542))</f>
        <v>0.15939200179827354</v>
      </c>
      <c r="J542" s="8">
        <f>FlowAngleRel(INDEX('Route Data'!$J$7:$J$8,E542)*INDEX('Route Data'!$I$7:$I$8,E542), INDEX('Route Data'!$L$7:$L$8,E542)*2*PI()/60, INDEX('Route Data'!$F$7:$F$8,E542),INDEX('Route Data'!$O$7:$O$8,E542), INDEX('Route Data'!$P$7:$P$8,E542),INDEX('Route Data'!$M$7:$M$8,E542))</f>
        <v>1.130811765868994</v>
      </c>
      <c r="K542" s="8">
        <f>FlowAngleAbsT(INDEX('Route Data'!$K$7:$K$8,E542), INDEX('Route Data'!$I$7:$I$8,E542), INDEX('Route Data'!$I$7:$I$8,E542)*INDEX('Route Data'!$J$7:$J$8,E542), INDEX('Route Data'!$L$7:$L$8,E542)*2*PI()/60, INDEX('Route Data'!$F$7:$F$8,E542),INDEX('Route Data'!$O$7:$O$8,E542), INDEX('Route Data'!$P$7:$P$8,E542), INDEX('Route Data'!$H$7:$H$8,E542), INDEX('Route Data'!$Q$7:$Q$8,E542), INDEX('Route Data'!$M$7:$M$8,E542))</f>
        <v>0.51617226640175828</v>
      </c>
      <c r="L542" s="5">
        <f>INDEX('Route Data'!$N$7:$N$8,E542)</f>
        <v>0.4</v>
      </c>
      <c r="M542" s="8">
        <v>0.78815722465515137</v>
      </c>
      <c r="N542" s="8">
        <f>ProbStrikeFrancis(K542, I542, L542, INDEX('Route Data'!$G$7:$G$8,E542),C542, INDEX('Route Data'!$F$7:$F$8,E542), INDEX('Route Data'!$O$7:$O$8,E542), INDEX('Route Data'!$H$7:$H$18,E542))</f>
        <v>1</v>
      </c>
      <c r="O542" s="5" t="str">
        <f>IF(F542&gt;=1,IF(M542&lt;=N542,"STRIKE","pass"),IF(M542&lt;=INDEX('Route Data'!$R$7:$R$8,E542),"NO PASS","pass"))</f>
        <v>STRIKE</v>
      </c>
      <c r="P542" s="5">
        <f>IF(F542&gt;=1,IF(M542&lt;=N542,1,0),IF(M542&lt;=INDEX('Route Data'!$R$7:$R$8,E542),-1,0))</f>
        <v>1</v>
      </c>
    </row>
    <row r="543" spans="1:16">
      <c r="A543" s="5">
        <v>533</v>
      </c>
      <c r="B543" s="12">
        <v>26.95</v>
      </c>
      <c r="C543" s="12">
        <f t="shared" si="8"/>
        <v>2.25</v>
      </c>
      <c r="D543" s="8">
        <v>0.49130576848983765</v>
      </c>
      <c r="E543" s="5">
        <f>MATCH(D543,'Route Data'!$C$7:$C$8,1)</f>
        <v>2</v>
      </c>
      <c r="F543" s="5">
        <f>INDEX('Route Data'!$D$7:$D$8,E543)</f>
        <v>1</v>
      </c>
      <c r="G543" s="5" t="str">
        <f>INDEX('Route Data'!$A$7:$A$8,E543)</f>
        <v>u18</v>
      </c>
      <c r="H543" s="5">
        <f>EnergyCoeff(INDEX('Route Data'!$K$7:$K$8,E543),INDEX('Route Data'!$L$7:$L$8,E543)*2*PI()/60,INDEX('Route Data'!$F$7:$F$8,E543))</f>
        <v>0.19430699130049439</v>
      </c>
      <c r="I543" s="5">
        <f>DischargeCoeff(INDEX('Route Data'!$I$7:$I$8,E543), INDEX('Route Data'!$L$7:$L$8,E543)*2*PI()/60, INDEX('Route Data'!$F$7:$F$8,E543))</f>
        <v>0.15939200179827354</v>
      </c>
      <c r="J543" s="8">
        <f>FlowAngleRel(INDEX('Route Data'!$J$7:$J$8,E543)*INDEX('Route Data'!$I$7:$I$8,E543), INDEX('Route Data'!$L$7:$L$8,E543)*2*PI()/60, INDEX('Route Data'!$F$7:$F$8,E543),INDEX('Route Data'!$O$7:$O$8,E543), INDEX('Route Data'!$P$7:$P$8,E543),INDEX('Route Data'!$M$7:$M$8,E543))</f>
        <v>1.130811765868994</v>
      </c>
      <c r="K543" s="8">
        <f>FlowAngleAbsT(INDEX('Route Data'!$K$7:$K$8,E543), INDEX('Route Data'!$I$7:$I$8,E543), INDEX('Route Data'!$I$7:$I$8,E543)*INDEX('Route Data'!$J$7:$J$8,E543), INDEX('Route Data'!$L$7:$L$8,E543)*2*PI()/60, INDEX('Route Data'!$F$7:$F$8,E543),INDEX('Route Data'!$O$7:$O$8,E543), INDEX('Route Data'!$P$7:$P$8,E543), INDEX('Route Data'!$H$7:$H$8,E543), INDEX('Route Data'!$Q$7:$Q$8,E543), INDEX('Route Data'!$M$7:$M$8,E543))</f>
        <v>0.51617226640175828</v>
      </c>
      <c r="L543" s="5">
        <f>INDEX('Route Data'!$N$7:$N$8,E543)</f>
        <v>0.4</v>
      </c>
      <c r="M543" s="8">
        <v>0.9443320631980896</v>
      </c>
      <c r="N543" s="8">
        <f>ProbStrikeFrancis(K543, I543, L543, INDEX('Route Data'!$G$7:$G$8,E543),C543, INDEX('Route Data'!$F$7:$F$8,E543), INDEX('Route Data'!$O$7:$O$8,E543), INDEX('Route Data'!$H$7:$H$18,E543))</f>
        <v>1</v>
      </c>
      <c r="O543" s="5" t="str">
        <f>IF(F543&gt;=1,IF(M543&lt;=N543,"STRIKE","pass"),IF(M543&lt;=INDEX('Route Data'!$R$7:$R$8,E543),"NO PASS","pass"))</f>
        <v>STRIKE</v>
      </c>
      <c r="P543" s="5">
        <f>IF(F543&gt;=1,IF(M543&lt;=N543,1,0),IF(M543&lt;=INDEX('Route Data'!$R$7:$R$8,E543),-1,0))</f>
        <v>1</v>
      </c>
    </row>
    <row r="544" spans="1:16">
      <c r="A544" s="5">
        <v>534</v>
      </c>
      <c r="B544" s="12">
        <v>17.059999999999999</v>
      </c>
      <c r="C544" s="12">
        <f t="shared" si="8"/>
        <v>1.42</v>
      </c>
      <c r="D544" s="8">
        <v>0.31376826763153076</v>
      </c>
      <c r="E544" s="5">
        <f>MATCH(D544,'Route Data'!$C$7:$C$8,1)</f>
        <v>2</v>
      </c>
      <c r="F544" s="5">
        <f>INDEX('Route Data'!$D$7:$D$8,E544)</f>
        <v>1</v>
      </c>
      <c r="G544" s="5" t="str">
        <f>INDEX('Route Data'!$A$7:$A$8,E544)</f>
        <v>u18</v>
      </c>
      <c r="H544" s="5">
        <f>EnergyCoeff(INDEX('Route Data'!$K$7:$K$8,E544),INDEX('Route Data'!$L$7:$L$8,E544)*2*PI()/60,INDEX('Route Data'!$F$7:$F$8,E544))</f>
        <v>0.19430699130049439</v>
      </c>
      <c r="I544" s="5">
        <f>DischargeCoeff(INDEX('Route Data'!$I$7:$I$8,E544), INDEX('Route Data'!$L$7:$L$8,E544)*2*PI()/60, INDEX('Route Data'!$F$7:$F$8,E544))</f>
        <v>0.15939200179827354</v>
      </c>
      <c r="J544" s="8">
        <f>FlowAngleRel(INDEX('Route Data'!$J$7:$J$8,E544)*INDEX('Route Data'!$I$7:$I$8,E544), INDEX('Route Data'!$L$7:$L$8,E544)*2*PI()/60, INDEX('Route Data'!$F$7:$F$8,E544),INDEX('Route Data'!$O$7:$O$8,E544), INDEX('Route Data'!$P$7:$P$8,E544),INDEX('Route Data'!$M$7:$M$8,E544))</f>
        <v>1.130811765868994</v>
      </c>
      <c r="K544" s="8">
        <f>FlowAngleAbsT(INDEX('Route Data'!$K$7:$K$8,E544), INDEX('Route Data'!$I$7:$I$8,E544), INDEX('Route Data'!$I$7:$I$8,E544)*INDEX('Route Data'!$J$7:$J$8,E544), INDEX('Route Data'!$L$7:$L$8,E544)*2*PI()/60, INDEX('Route Data'!$F$7:$F$8,E544),INDEX('Route Data'!$O$7:$O$8,E544), INDEX('Route Data'!$P$7:$P$8,E544), INDEX('Route Data'!$H$7:$H$8,E544), INDEX('Route Data'!$Q$7:$Q$8,E544), INDEX('Route Data'!$M$7:$M$8,E544))</f>
        <v>0.51617226640175828</v>
      </c>
      <c r="L544" s="5">
        <f>INDEX('Route Data'!$N$7:$N$8,E544)</f>
        <v>0.4</v>
      </c>
      <c r="M544" s="8">
        <v>0.7413867712020874</v>
      </c>
      <c r="N544" s="8">
        <f>ProbStrikeFrancis(K544, I544, L544, INDEX('Route Data'!$G$7:$G$8,E544),C544, INDEX('Route Data'!$F$7:$F$8,E544), INDEX('Route Data'!$O$7:$O$8,E544), INDEX('Route Data'!$H$7:$H$18,E544))</f>
        <v>1</v>
      </c>
      <c r="O544" s="5" t="str">
        <f>IF(F544&gt;=1,IF(M544&lt;=N544,"STRIKE","pass"),IF(M544&lt;=INDEX('Route Data'!$R$7:$R$8,E544),"NO PASS","pass"))</f>
        <v>STRIKE</v>
      </c>
      <c r="P544" s="5">
        <f>IF(F544&gt;=1,IF(M544&lt;=N544,1,0),IF(M544&lt;=INDEX('Route Data'!$R$7:$R$8,E544),-1,0))</f>
        <v>1</v>
      </c>
    </row>
    <row r="545" spans="1:16">
      <c r="A545" s="5">
        <v>535</v>
      </c>
      <c r="B545" s="12">
        <v>28.13</v>
      </c>
      <c r="C545" s="12">
        <f t="shared" si="8"/>
        <v>2.34</v>
      </c>
      <c r="D545" s="8">
        <v>0.58080154657363892</v>
      </c>
      <c r="E545" s="5">
        <f>MATCH(D545,'Route Data'!$C$7:$C$8,1)</f>
        <v>2</v>
      </c>
      <c r="F545" s="5">
        <f>INDEX('Route Data'!$D$7:$D$8,E545)</f>
        <v>1</v>
      </c>
      <c r="G545" s="5" t="str">
        <f>INDEX('Route Data'!$A$7:$A$8,E545)</f>
        <v>u18</v>
      </c>
      <c r="H545" s="5">
        <f>EnergyCoeff(INDEX('Route Data'!$K$7:$K$8,E545),INDEX('Route Data'!$L$7:$L$8,E545)*2*PI()/60,INDEX('Route Data'!$F$7:$F$8,E545))</f>
        <v>0.19430699130049439</v>
      </c>
      <c r="I545" s="5">
        <f>DischargeCoeff(INDEX('Route Data'!$I$7:$I$8,E545), INDEX('Route Data'!$L$7:$L$8,E545)*2*PI()/60, INDEX('Route Data'!$F$7:$F$8,E545))</f>
        <v>0.15939200179827354</v>
      </c>
      <c r="J545" s="8">
        <f>FlowAngleRel(INDEX('Route Data'!$J$7:$J$8,E545)*INDEX('Route Data'!$I$7:$I$8,E545), INDEX('Route Data'!$L$7:$L$8,E545)*2*PI()/60, INDEX('Route Data'!$F$7:$F$8,E545),INDEX('Route Data'!$O$7:$O$8,E545), INDEX('Route Data'!$P$7:$P$8,E545),INDEX('Route Data'!$M$7:$M$8,E545))</f>
        <v>1.130811765868994</v>
      </c>
      <c r="K545" s="8">
        <f>FlowAngleAbsT(INDEX('Route Data'!$K$7:$K$8,E545), INDEX('Route Data'!$I$7:$I$8,E545), INDEX('Route Data'!$I$7:$I$8,E545)*INDEX('Route Data'!$J$7:$J$8,E545), INDEX('Route Data'!$L$7:$L$8,E545)*2*PI()/60, INDEX('Route Data'!$F$7:$F$8,E545),INDEX('Route Data'!$O$7:$O$8,E545), INDEX('Route Data'!$P$7:$P$8,E545), INDEX('Route Data'!$H$7:$H$8,E545), INDEX('Route Data'!$Q$7:$Q$8,E545), INDEX('Route Data'!$M$7:$M$8,E545))</f>
        <v>0.51617226640175828</v>
      </c>
      <c r="L545" s="5">
        <f>INDEX('Route Data'!$N$7:$N$8,E545)</f>
        <v>0.4</v>
      </c>
      <c r="M545" s="8">
        <v>0.35022264719009399</v>
      </c>
      <c r="N545" s="8">
        <f>ProbStrikeFrancis(K545, I545, L545, INDEX('Route Data'!$G$7:$G$8,E545),C545, INDEX('Route Data'!$F$7:$F$8,E545), INDEX('Route Data'!$O$7:$O$8,E545), INDEX('Route Data'!$H$7:$H$18,E545))</f>
        <v>1</v>
      </c>
      <c r="O545" s="5" t="str">
        <f>IF(F545&gt;=1,IF(M545&lt;=N545,"STRIKE","pass"),IF(M545&lt;=INDEX('Route Data'!$R$7:$R$8,E545),"NO PASS","pass"))</f>
        <v>STRIKE</v>
      </c>
      <c r="P545" s="5">
        <f>IF(F545&gt;=1,IF(M545&lt;=N545,1,0),IF(M545&lt;=INDEX('Route Data'!$R$7:$R$8,E545),-1,0))</f>
        <v>1</v>
      </c>
    </row>
    <row r="546" spans="1:16">
      <c r="A546" s="5">
        <v>536</v>
      </c>
      <c r="B546" s="12">
        <v>19.7</v>
      </c>
      <c r="C546" s="12">
        <f t="shared" si="8"/>
        <v>1.64</v>
      </c>
      <c r="D546" s="8">
        <v>0.77970170974731445</v>
      </c>
      <c r="E546" s="5">
        <f>MATCH(D546,'Route Data'!$C$7:$C$8,1)</f>
        <v>2</v>
      </c>
      <c r="F546" s="5">
        <f>INDEX('Route Data'!$D$7:$D$8,E546)</f>
        <v>1</v>
      </c>
      <c r="G546" s="5" t="str">
        <f>INDEX('Route Data'!$A$7:$A$8,E546)</f>
        <v>u18</v>
      </c>
      <c r="H546" s="5">
        <f>EnergyCoeff(INDEX('Route Data'!$K$7:$K$8,E546),INDEX('Route Data'!$L$7:$L$8,E546)*2*PI()/60,INDEX('Route Data'!$F$7:$F$8,E546))</f>
        <v>0.19430699130049439</v>
      </c>
      <c r="I546" s="5">
        <f>DischargeCoeff(INDEX('Route Data'!$I$7:$I$8,E546), INDEX('Route Data'!$L$7:$L$8,E546)*2*PI()/60, INDEX('Route Data'!$F$7:$F$8,E546))</f>
        <v>0.15939200179827354</v>
      </c>
      <c r="J546" s="8">
        <f>FlowAngleRel(INDEX('Route Data'!$J$7:$J$8,E546)*INDEX('Route Data'!$I$7:$I$8,E546), INDEX('Route Data'!$L$7:$L$8,E546)*2*PI()/60, INDEX('Route Data'!$F$7:$F$8,E546),INDEX('Route Data'!$O$7:$O$8,E546), INDEX('Route Data'!$P$7:$P$8,E546),INDEX('Route Data'!$M$7:$M$8,E546))</f>
        <v>1.130811765868994</v>
      </c>
      <c r="K546" s="8">
        <f>FlowAngleAbsT(INDEX('Route Data'!$K$7:$K$8,E546), INDEX('Route Data'!$I$7:$I$8,E546), INDEX('Route Data'!$I$7:$I$8,E546)*INDEX('Route Data'!$J$7:$J$8,E546), INDEX('Route Data'!$L$7:$L$8,E546)*2*PI()/60, INDEX('Route Data'!$F$7:$F$8,E546),INDEX('Route Data'!$O$7:$O$8,E546), INDEX('Route Data'!$P$7:$P$8,E546), INDEX('Route Data'!$H$7:$H$8,E546), INDEX('Route Data'!$Q$7:$Q$8,E546), INDEX('Route Data'!$M$7:$M$8,E546))</f>
        <v>0.51617226640175828</v>
      </c>
      <c r="L546" s="5">
        <f>INDEX('Route Data'!$N$7:$N$8,E546)</f>
        <v>0.4</v>
      </c>
      <c r="M546" s="8">
        <v>0.25813579559326172</v>
      </c>
      <c r="N546" s="8">
        <f>ProbStrikeFrancis(K546, I546, L546, INDEX('Route Data'!$G$7:$G$8,E546),C546, INDEX('Route Data'!$F$7:$F$8,E546), INDEX('Route Data'!$O$7:$O$8,E546), INDEX('Route Data'!$H$7:$H$18,E546))</f>
        <v>1</v>
      </c>
      <c r="O546" s="5" t="str">
        <f>IF(F546&gt;=1,IF(M546&lt;=N546,"STRIKE","pass"),IF(M546&lt;=INDEX('Route Data'!$R$7:$R$8,E546),"NO PASS","pass"))</f>
        <v>STRIKE</v>
      </c>
      <c r="P546" s="5">
        <f>IF(F546&gt;=1,IF(M546&lt;=N546,1,0),IF(M546&lt;=INDEX('Route Data'!$R$7:$R$8,E546),-1,0))</f>
        <v>1</v>
      </c>
    </row>
    <row r="547" spans="1:16">
      <c r="A547" s="5">
        <v>537</v>
      </c>
      <c r="B547" s="12">
        <v>22.55</v>
      </c>
      <c r="C547" s="12">
        <f t="shared" si="8"/>
        <v>1.88</v>
      </c>
      <c r="D547" s="8">
        <v>0.44858044385910034</v>
      </c>
      <c r="E547" s="5">
        <f>MATCH(D547,'Route Data'!$C$7:$C$8,1)</f>
        <v>2</v>
      </c>
      <c r="F547" s="5">
        <f>INDEX('Route Data'!$D$7:$D$8,E547)</f>
        <v>1</v>
      </c>
      <c r="G547" s="5" t="str">
        <f>INDEX('Route Data'!$A$7:$A$8,E547)</f>
        <v>u18</v>
      </c>
      <c r="H547" s="5">
        <f>EnergyCoeff(INDEX('Route Data'!$K$7:$K$8,E547),INDEX('Route Data'!$L$7:$L$8,E547)*2*PI()/60,INDEX('Route Data'!$F$7:$F$8,E547))</f>
        <v>0.19430699130049439</v>
      </c>
      <c r="I547" s="5">
        <f>DischargeCoeff(INDEX('Route Data'!$I$7:$I$8,E547), INDEX('Route Data'!$L$7:$L$8,E547)*2*PI()/60, INDEX('Route Data'!$F$7:$F$8,E547))</f>
        <v>0.15939200179827354</v>
      </c>
      <c r="J547" s="8">
        <f>FlowAngleRel(INDEX('Route Data'!$J$7:$J$8,E547)*INDEX('Route Data'!$I$7:$I$8,E547), INDEX('Route Data'!$L$7:$L$8,E547)*2*PI()/60, INDEX('Route Data'!$F$7:$F$8,E547),INDEX('Route Data'!$O$7:$O$8,E547), INDEX('Route Data'!$P$7:$P$8,E547),INDEX('Route Data'!$M$7:$M$8,E547))</f>
        <v>1.130811765868994</v>
      </c>
      <c r="K547" s="8">
        <f>FlowAngleAbsT(INDEX('Route Data'!$K$7:$K$8,E547), INDEX('Route Data'!$I$7:$I$8,E547), INDEX('Route Data'!$I$7:$I$8,E547)*INDEX('Route Data'!$J$7:$J$8,E547), INDEX('Route Data'!$L$7:$L$8,E547)*2*PI()/60, INDEX('Route Data'!$F$7:$F$8,E547),INDEX('Route Data'!$O$7:$O$8,E547), INDEX('Route Data'!$P$7:$P$8,E547), INDEX('Route Data'!$H$7:$H$8,E547), INDEX('Route Data'!$Q$7:$Q$8,E547), INDEX('Route Data'!$M$7:$M$8,E547))</f>
        <v>0.51617226640175828</v>
      </c>
      <c r="L547" s="5">
        <f>INDEX('Route Data'!$N$7:$N$8,E547)</f>
        <v>0.4</v>
      </c>
      <c r="M547" s="8">
        <v>0.26881712675094604</v>
      </c>
      <c r="N547" s="8">
        <f>ProbStrikeFrancis(K547, I547, L547, INDEX('Route Data'!$G$7:$G$8,E547),C547, INDEX('Route Data'!$F$7:$F$8,E547), INDEX('Route Data'!$O$7:$O$8,E547), INDEX('Route Data'!$H$7:$H$18,E547))</f>
        <v>1</v>
      </c>
      <c r="O547" s="5" t="str">
        <f>IF(F547&gt;=1,IF(M547&lt;=N547,"STRIKE","pass"),IF(M547&lt;=INDEX('Route Data'!$R$7:$R$8,E547),"NO PASS","pass"))</f>
        <v>STRIKE</v>
      </c>
      <c r="P547" s="5">
        <f>IF(F547&gt;=1,IF(M547&lt;=N547,1,0),IF(M547&lt;=INDEX('Route Data'!$R$7:$R$8,E547),-1,0))</f>
        <v>1</v>
      </c>
    </row>
    <row r="548" spans="1:16">
      <c r="A548" s="5">
        <v>538</v>
      </c>
      <c r="B548" s="12">
        <v>22.69</v>
      </c>
      <c r="C548" s="12">
        <f t="shared" si="8"/>
        <v>1.89</v>
      </c>
      <c r="D548" s="8">
        <v>0.44194424152374268</v>
      </c>
      <c r="E548" s="5">
        <f>MATCH(D548,'Route Data'!$C$7:$C$8,1)</f>
        <v>2</v>
      </c>
      <c r="F548" s="5">
        <f>INDEX('Route Data'!$D$7:$D$8,E548)</f>
        <v>1</v>
      </c>
      <c r="G548" s="5" t="str">
        <f>INDEX('Route Data'!$A$7:$A$8,E548)</f>
        <v>u18</v>
      </c>
      <c r="H548" s="5">
        <f>EnergyCoeff(INDEX('Route Data'!$K$7:$K$8,E548),INDEX('Route Data'!$L$7:$L$8,E548)*2*PI()/60,INDEX('Route Data'!$F$7:$F$8,E548))</f>
        <v>0.19430699130049439</v>
      </c>
      <c r="I548" s="5">
        <f>DischargeCoeff(INDEX('Route Data'!$I$7:$I$8,E548), INDEX('Route Data'!$L$7:$L$8,E548)*2*PI()/60, INDEX('Route Data'!$F$7:$F$8,E548))</f>
        <v>0.15939200179827354</v>
      </c>
      <c r="J548" s="8">
        <f>FlowAngleRel(INDEX('Route Data'!$J$7:$J$8,E548)*INDEX('Route Data'!$I$7:$I$8,E548), INDEX('Route Data'!$L$7:$L$8,E548)*2*PI()/60, INDEX('Route Data'!$F$7:$F$8,E548),INDEX('Route Data'!$O$7:$O$8,E548), INDEX('Route Data'!$P$7:$P$8,E548),INDEX('Route Data'!$M$7:$M$8,E548))</f>
        <v>1.130811765868994</v>
      </c>
      <c r="K548" s="8">
        <f>FlowAngleAbsT(INDEX('Route Data'!$K$7:$K$8,E548), INDEX('Route Data'!$I$7:$I$8,E548), INDEX('Route Data'!$I$7:$I$8,E548)*INDEX('Route Data'!$J$7:$J$8,E548), INDEX('Route Data'!$L$7:$L$8,E548)*2*PI()/60, INDEX('Route Data'!$F$7:$F$8,E548),INDEX('Route Data'!$O$7:$O$8,E548), INDEX('Route Data'!$P$7:$P$8,E548), INDEX('Route Data'!$H$7:$H$8,E548), INDEX('Route Data'!$Q$7:$Q$8,E548), INDEX('Route Data'!$M$7:$M$8,E548))</f>
        <v>0.51617226640175828</v>
      </c>
      <c r="L548" s="5">
        <f>INDEX('Route Data'!$N$7:$N$8,E548)</f>
        <v>0.4</v>
      </c>
      <c r="M548" s="8">
        <v>0.23677313327789307</v>
      </c>
      <c r="N548" s="8">
        <f>ProbStrikeFrancis(K548, I548, L548, INDEX('Route Data'!$G$7:$G$8,E548),C548, INDEX('Route Data'!$F$7:$F$8,E548), INDEX('Route Data'!$O$7:$O$8,E548), INDEX('Route Data'!$H$7:$H$18,E548))</f>
        <v>1</v>
      </c>
      <c r="O548" s="5" t="str">
        <f>IF(F548&gt;=1,IF(M548&lt;=N548,"STRIKE","pass"),IF(M548&lt;=INDEX('Route Data'!$R$7:$R$8,E548),"NO PASS","pass"))</f>
        <v>STRIKE</v>
      </c>
      <c r="P548" s="5">
        <f>IF(F548&gt;=1,IF(M548&lt;=N548,1,0),IF(M548&lt;=INDEX('Route Data'!$R$7:$R$8,E548),-1,0))</f>
        <v>1</v>
      </c>
    </row>
    <row r="549" spans="1:16">
      <c r="A549" s="5">
        <v>539</v>
      </c>
      <c r="B549" s="12">
        <v>27.51</v>
      </c>
      <c r="C549" s="12">
        <f t="shared" si="8"/>
        <v>2.29</v>
      </c>
      <c r="D549" s="8">
        <v>0.19627362489700317</v>
      </c>
      <c r="E549" s="5">
        <f>MATCH(D549,'Route Data'!$C$7:$C$8,1)</f>
        <v>2</v>
      </c>
      <c r="F549" s="5">
        <f>INDEX('Route Data'!$D$7:$D$8,E549)</f>
        <v>1</v>
      </c>
      <c r="G549" s="5" t="str">
        <f>INDEX('Route Data'!$A$7:$A$8,E549)</f>
        <v>u18</v>
      </c>
      <c r="H549" s="5">
        <f>EnergyCoeff(INDEX('Route Data'!$K$7:$K$8,E549),INDEX('Route Data'!$L$7:$L$8,E549)*2*PI()/60,INDEX('Route Data'!$F$7:$F$8,E549))</f>
        <v>0.19430699130049439</v>
      </c>
      <c r="I549" s="5">
        <f>DischargeCoeff(INDEX('Route Data'!$I$7:$I$8,E549), INDEX('Route Data'!$L$7:$L$8,E549)*2*PI()/60, INDEX('Route Data'!$F$7:$F$8,E549))</f>
        <v>0.15939200179827354</v>
      </c>
      <c r="J549" s="8">
        <f>FlowAngleRel(INDEX('Route Data'!$J$7:$J$8,E549)*INDEX('Route Data'!$I$7:$I$8,E549), INDEX('Route Data'!$L$7:$L$8,E549)*2*PI()/60, INDEX('Route Data'!$F$7:$F$8,E549),INDEX('Route Data'!$O$7:$O$8,E549), INDEX('Route Data'!$P$7:$P$8,E549),INDEX('Route Data'!$M$7:$M$8,E549))</f>
        <v>1.130811765868994</v>
      </c>
      <c r="K549" s="8">
        <f>FlowAngleAbsT(INDEX('Route Data'!$K$7:$K$8,E549), INDEX('Route Data'!$I$7:$I$8,E549), INDEX('Route Data'!$I$7:$I$8,E549)*INDEX('Route Data'!$J$7:$J$8,E549), INDEX('Route Data'!$L$7:$L$8,E549)*2*PI()/60, INDEX('Route Data'!$F$7:$F$8,E549),INDEX('Route Data'!$O$7:$O$8,E549), INDEX('Route Data'!$P$7:$P$8,E549), INDEX('Route Data'!$H$7:$H$8,E549), INDEX('Route Data'!$Q$7:$Q$8,E549), INDEX('Route Data'!$M$7:$M$8,E549))</f>
        <v>0.51617226640175828</v>
      </c>
      <c r="L549" s="5">
        <f>INDEX('Route Data'!$N$7:$N$8,E549)</f>
        <v>0.4</v>
      </c>
      <c r="M549" s="8">
        <v>0.332905113697052</v>
      </c>
      <c r="N549" s="8">
        <f>ProbStrikeFrancis(K549, I549, L549, INDEX('Route Data'!$G$7:$G$8,E549),C549, INDEX('Route Data'!$F$7:$F$8,E549), INDEX('Route Data'!$O$7:$O$8,E549), INDEX('Route Data'!$H$7:$H$18,E549))</f>
        <v>1</v>
      </c>
      <c r="O549" s="5" t="str">
        <f>IF(F549&gt;=1,IF(M549&lt;=N549,"STRIKE","pass"),IF(M549&lt;=INDEX('Route Data'!$R$7:$R$8,E549),"NO PASS","pass"))</f>
        <v>STRIKE</v>
      </c>
      <c r="P549" s="5">
        <f>IF(F549&gt;=1,IF(M549&lt;=N549,1,0),IF(M549&lt;=INDEX('Route Data'!$R$7:$R$8,E549),-1,0))</f>
        <v>1</v>
      </c>
    </row>
    <row r="550" spans="1:16">
      <c r="A550" s="5">
        <v>540</v>
      </c>
      <c r="B550" s="12">
        <v>28.67</v>
      </c>
      <c r="C550" s="12">
        <f t="shared" si="8"/>
        <v>2.39</v>
      </c>
      <c r="D550" s="8">
        <v>0.19886469841003418</v>
      </c>
      <c r="E550" s="5">
        <f>MATCH(D550,'Route Data'!$C$7:$C$8,1)</f>
        <v>2</v>
      </c>
      <c r="F550" s="5">
        <f>INDEX('Route Data'!$D$7:$D$8,E550)</f>
        <v>1</v>
      </c>
      <c r="G550" s="5" t="str">
        <f>INDEX('Route Data'!$A$7:$A$8,E550)</f>
        <v>u18</v>
      </c>
      <c r="H550" s="5">
        <f>EnergyCoeff(INDEX('Route Data'!$K$7:$K$8,E550),INDEX('Route Data'!$L$7:$L$8,E550)*2*PI()/60,INDEX('Route Data'!$F$7:$F$8,E550))</f>
        <v>0.19430699130049439</v>
      </c>
      <c r="I550" s="5">
        <f>DischargeCoeff(INDEX('Route Data'!$I$7:$I$8,E550), INDEX('Route Data'!$L$7:$L$8,E550)*2*PI()/60, INDEX('Route Data'!$F$7:$F$8,E550))</f>
        <v>0.15939200179827354</v>
      </c>
      <c r="J550" s="8">
        <f>FlowAngleRel(INDEX('Route Data'!$J$7:$J$8,E550)*INDEX('Route Data'!$I$7:$I$8,E550), INDEX('Route Data'!$L$7:$L$8,E550)*2*PI()/60, INDEX('Route Data'!$F$7:$F$8,E550),INDEX('Route Data'!$O$7:$O$8,E550), INDEX('Route Data'!$P$7:$P$8,E550),INDEX('Route Data'!$M$7:$M$8,E550))</f>
        <v>1.130811765868994</v>
      </c>
      <c r="K550" s="8">
        <f>FlowAngleAbsT(INDEX('Route Data'!$K$7:$K$8,E550), INDEX('Route Data'!$I$7:$I$8,E550), INDEX('Route Data'!$I$7:$I$8,E550)*INDEX('Route Data'!$J$7:$J$8,E550), INDEX('Route Data'!$L$7:$L$8,E550)*2*PI()/60, INDEX('Route Data'!$F$7:$F$8,E550),INDEX('Route Data'!$O$7:$O$8,E550), INDEX('Route Data'!$P$7:$P$8,E550), INDEX('Route Data'!$H$7:$H$8,E550), INDEX('Route Data'!$Q$7:$Q$8,E550), INDEX('Route Data'!$M$7:$M$8,E550))</f>
        <v>0.51617226640175828</v>
      </c>
      <c r="L550" s="5">
        <f>INDEX('Route Data'!$N$7:$N$8,E550)</f>
        <v>0.4</v>
      </c>
      <c r="M550" s="8">
        <v>4.4509172439575195E-2</v>
      </c>
      <c r="N550" s="8">
        <f>ProbStrikeFrancis(K550, I550, L550, INDEX('Route Data'!$G$7:$G$8,E550),C550, INDEX('Route Data'!$F$7:$F$8,E550), INDEX('Route Data'!$O$7:$O$8,E550), INDEX('Route Data'!$H$7:$H$18,E550))</f>
        <v>1</v>
      </c>
      <c r="O550" s="5" t="str">
        <f>IF(F550&gt;=1,IF(M550&lt;=N550,"STRIKE","pass"),IF(M550&lt;=INDEX('Route Data'!$R$7:$R$8,E550),"NO PASS","pass"))</f>
        <v>STRIKE</v>
      </c>
      <c r="P550" s="5">
        <f>IF(F550&gt;=1,IF(M550&lt;=N550,1,0),IF(M550&lt;=INDEX('Route Data'!$R$7:$R$8,E550),-1,0))</f>
        <v>1</v>
      </c>
    </row>
    <row r="551" spans="1:16">
      <c r="A551" s="5">
        <v>541</v>
      </c>
      <c r="B551" s="12">
        <v>19.32</v>
      </c>
      <c r="C551" s="12">
        <f t="shared" si="8"/>
        <v>1.61</v>
      </c>
      <c r="D551" s="8">
        <v>0.72224992513656616</v>
      </c>
      <c r="E551" s="5">
        <f>MATCH(D551,'Route Data'!$C$7:$C$8,1)</f>
        <v>2</v>
      </c>
      <c r="F551" s="5">
        <f>INDEX('Route Data'!$D$7:$D$8,E551)</f>
        <v>1</v>
      </c>
      <c r="G551" s="5" t="str">
        <f>INDEX('Route Data'!$A$7:$A$8,E551)</f>
        <v>u18</v>
      </c>
      <c r="H551" s="5">
        <f>EnergyCoeff(INDEX('Route Data'!$K$7:$K$8,E551),INDEX('Route Data'!$L$7:$L$8,E551)*2*PI()/60,INDEX('Route Data'!$F$7:$F$8,E551))</f>
        <v>0.19430699130049439</v>
      </c>
      <c r="I551" s="5">
        <f>DischargeCoeff(INDEX('Route Data'!$I$7:$I$8,E551), INDEX('Route Data'!$L$7:$L$8,E551)*2*PI()/60, INDEX('Route Data'!$F$7:$F$8,E551))</f>
        <v>0.15939200179827354</v>
      </c>
      <c r="J551" s="8">
        <f>FlowAngleRel(INDEX('Route Data'!$J$7:$J$8,E551)*INDEX('Route Data'!$I$7:$I$8,E551), INDEX('Route Data'!$L$7:$L$8,E551)*2*PI()/60, INDEX('Route Data'!$F$7:$F$8,E551),INDEX('Route Data'!$O$7:$O$8,E551), INDEX('Route Data'!$P$7:$P$8,E551),INDEX('Route Data'!$M$7:$M$8,E551))</f>
        <v>1.130811765868994</v>
      </c>
      <c r="K551" s="8">
        <f>FlowAngleAbsT(INDEX('Route Data'!$K$7:$K$8,E551), INDEX('Route Data'!$I$7:$I$8,E551), INDEX('Route Data'!$I$7:$I$8,E551)*INDEX('Route Data'!$J$7:$J$8,E551), INDEX('Route Data'!$L$7:$L$8,E551)*2*PI()/60, INDEX('Route Data'!$F$7:$F$8,E551),INDEX('Route Data'!$O$7:$O$8,E551), INDEX('Route Data'!$P$7:$P$8,E551), INDEX('Route Data'!$H$7:$H$8,E551), INDEX('Route Data'!$Q$7:$Q$8,E551), INDEX('Route Data'!$M$7:$M$8,E551))</f>
        <v>0.51617226640175828</v>
      </c>
      <c r="L551" s="5">
        <f>INDEX('Route Data'!$N$7:$N$8,E551)</f>
        <v>0.4</v>
      </c>
      <c r="M551" s="8">
        <v>0.17527621984481812</v>
      </c>
      <c r="N551" s="8">
        <f>ProbStrikeFrancis(K551, I551, L551, INDEX('Route Data'!$G$7:$G$8,E551),C551, INDEX('Route Data'!$F$7:$F$8,E551), INDEX('Route Data'!$O$7:$O$8,E551), INDEX('Route Data'!$H$7:$H$18,E551))</f>
        <v>1</v>
      </c>
      <c r="O551" s="5" t="str">
        <f>IF(F551&gt;=1,IF(M551&lt;=N551,"STRIKE","pass"),IF(M551&lt;=INDEX('Route Data'!$R$7:$R$8,E551),"NO PASS","pass"))</f>
        <v>STRIKE</v>
      </c>
      <c r="P551" s="5">
        <f>IF(F551&gt;=1,IF(M551&lt;=N551,1,0),IF(M551&lt;=INDEX('Route Data'!$R$7:$R$8,E551),-1,0))</f>
        <v>1</v>
      </c>
    </row>
    <row r="552" spans="1:16">
      <c r="A552" s="5">
        <v>542</v>
      </c>
      <c r="B552" s="12">
        <v>23.31</v>
      </c>
      <c r="C552" s="12">
        <f t="shared" si="8"/>
        <v>1.94</v>
      </c>
      <c r="D552" s="8">
        <v>0.88651502132415771</v>
      </c>
      <c r="E552" s="5">
        <f>MATCH(D552,'Route Data'!$C$7:$C$8,1)</f>
        <v>2</v>
      </c>
      <c r="F552" s="5">
        <f>INDEX('Route Data'!$D$7:$D$8,E552)</f>
        <v>1</v>
      </c>
      <c r="G552" s="5" t="str">
        <f>INDEX('Route Data'!$A$7:$A$8,E552)</f>
        <v>u18</v>
      </c>
      <c r="H552" s="5">
        <f>EnergyCoeff(INDEX('Route Data'!$K$7:$K$8,E552),INDEX('Route Data'!$L$7:$L$8,E552)*2*PI()/60,INDEX('Route Data'!$F$7:$F$8,E552))</f>
        <v>0.19430699130049439</v>
      </c>
      <c r="I552" s="5">
        <f>DischargeCoeff(INDEX('Route Data'!$I$7:$I$8,E552), INDEX('Route Data'!$L$7:$L$8,E552)*2*PI()/60, INDEX('Route Data'!$F$7:$F$8,E552))</f>
        <v>0.15939200179827354</v>
      </c>
      <c r="J552" s="8">
        <f>FlowAngleRel(INDEX('Route Data'!$J$7:$J$8,E552)*INDEX('Route Data'!$I$7:$I$8,E552), INDEX('Route Data'!$L$7:$L$8,E552)*2*PI()/60, INDEX('Route Data'!$F$7:$F$8,E552),INDEX('Route Data'!$O$7:$O$8,E552), INDEX('Route Data'!$P$7:$P$8,E552),INDEX('Route Data'!$M$7:$M$8,E552))</f>
        <v>1.130811765868994</v>
      </c>
      <c r="K552" s="8">
        <f>FlowAngleAbsT(INDEX('Route Data'!$K$7:$K$8,E552), INDEX('Route Data'!$I$7:$I$8,E552), INDEX('Route Data'!$I$7:$I$8,E552)*INDEX('Route Data'!$J$7:$J$8,E552), INDEX('Route Data'!$L$7:$L$8,E552)*2*PI()/60, INDEX('Route Data'!$F$7:$F$8,E552),INDEX('Route Data'!$O$7:$O$8,E552), INDEX('Route Data'!$P$7:$P$8,E552), INDEX('Route Data'!$H$7:$H$8,E552), INDEX('Route Data'!$Q$7:$Q$8,E552), INDEX('Route Data'!$M$7:$M$8,E552))</f>
        <v>0.51617226640175828</v>
      </c>
      <c r="L552" s="5">
        <f>INDEX('Route Data'!$N$7:$N$8,E552)</f>
        <v>0.4</v>
      </c>
      <c r="M552" s="8">
        <v>0.31413352489471436</v>
      </c>
      <c r="N552" s="8">
        <f>ProbStrikeFrancis(K552, I552, L552, INDEX('Route Data'!$G$7:$G$8,E552),C552, INDEX('Route Data'!$F$7:$F$8,E552), INDEX('Route Data'!$O$7:$O$8,E552), INDEX('Route Data'!$H$7:$H$18,E552))</f>
        <v>1</v>
      </c>
      <c r="O552" s="5" t="str">
        <f>IF(F552&gt;=1,IF(M552&lt;=N552,"STRIKE","pass"),IF(M552&lt;=INDEX('Route Data'!$R$7:$R$8,E552),"NO PASS","pass"))</f>
        <v>STRIKE</v>
      </c>
      <c r="P552" s="5">
        <f>IF(F552&gt;=1,IF(M552&lt;=N552,1,0),IF(M552&lt;=INDEX('Route Data'!$R$7:$R$8,E552),-1,0))</f>
        <v>1</v>
      </c>
    </row>
    <row r="553" spans="1:16">
      <c r="A553" s="5">
        <v>543</v>
      </c>
      <c r="B553" s="12">
        <v>20.3</v>
      </c>
      <c r="C553" s="12">
        <f t="shared" si="8"/>
        <v>1.69</v>
      </c>
      <c r="D553" s="8">
        <v>0.12814050912857056</v>
      </c>
      <c r="E553" s="5">
        <f>MATCH(D553,'Route Data'!$C$7:$C$8,1)</f>
        <v>2</v>
      </c>
      <c r="F553" s="5">
        <f>INDEX('Route Data'!$D$7:$D$8,E553)</f>
        <v>1</v>
      </c>
      <c r="G553" s="5" t="str">
        <f>INDEX('Route Data'!$A$7:$A$8,E553)</f>
        <v>u18</v>
      </c>
      <c r="H553" s="5">
        <f>EnergyCoeff(INDEX('Route Data'!$K$7:$K$8,E553),INDEX('Route Data'!$L$7:$L$8,E553)*2*PI()/60,INDEX('Route Data'!$F$7:$F$8,E553))</f>
        <v>0.19430699130049439</v>
      </c>
      <c r="I553" s="5">
        <f>DischargeCoeff(INDEX('Route Data'!$I$7:$I$8,E553), INDEX('Route Data'!$L$7:$L$8,E553)*2*PI()/60, INDEX('Route Data'!$F$7:$F$8,E553))</f>
        <v>0.15939200179827354</v>
      </c>
      <c r="J553" s="8">
        <f>FlowAngleRel(INDEX('Route Data'!$J$7:$J$8,E553)*INDEX('Route Data'!$I$7:$I$8,E553), INDEX('Route Data'!$L$7:$L$8,E553)*2*PI()/60, INDEX('Route Data'!$F$7:$F$8,E553),INDEX('Route Data'!$O$7:$O$8,E553), INDEX('Route Data'!$P$7:$P$8,E553),INDEX('Route Data'!$M$7:$M$8,E553))</f>
        <v>1.130811765868994</v>
      </c>
      <c r="K553" s="8">
        <f>FlowAngleAbsT(INDEX('Route Data'!$K$7:$K$8,E553), INDEX('Route Data'!$I$7:$I$8,E553), INDEX('Route Data'!$I$7:$I$8,E553)*INDEX('Route Data'!$J$7:$J$8,E553), INDEX('Route Data'!$L$7:$L$8,E553)*2*PI()/60, INDEX('Route Data'!$F$7:$F$8,E553),INDEX('Route Data'!$O$7:$O$8,E553), INDEX('Route Data'!$P$7:$P$8,E553), INDEX('Route Data'!$H$7:$H$8,E553), INDEX('Route Data'!$Q$7:$Q$8,E553), INDEX('Route Data'!$M$7:$M$8,E553))</f>
        <v>0.51617226640175828</v>
      </c>
      <c r="L553" s="5">
        <f>INDEX('Route Data'!$N$7:$N$8,E553)</f>
        <v>0.4</v>
      </c>
      <c r="M553" s="8">
        <v>0.63198238611221313</v>
      </c>
      <c r="N553" s="8">
        <f>ProbStrikeFrancis(K553, I553, L553, INDEX('Route Data'!$G$7:$G$8,E553),C553, INDEX('Route Data'!$F$7:$F$8,E553), INDEX('Route Data'!$O$7:$O$8,E553), INDEX('Route Data'!$H$7:$H$18,E553))</f>
        <v>1</v>
      </c>
      <c r="O553" s="5" t="str">
        <f>IF(F553&gt;=1,IF(M553&lt;=N553,"STRIKE","pass"),IF(M553&lt;=INDEX('Route Data'!$R$7:$R$8,E553),"NO PASS","pass"))</f>
        <v>STRIKE</v>
      </c>
      <c r="P553" s="5">
        <f>IF(F553&gt;=1,IF(M553&lt;=N553,1,0),IF(M553&lt;=INDEX('Route Data'!$R$7:$R$8,E553),-1,0))</f>
        <v>1</v>
      </c>
    </row>
    <row r="554" spans="1:16">
      <c r="A554" s="5">
        <v>544</v>
      </c>
      <c r="B554" s="12">
        <v>25.19</v>
      </c>
      <c r="C554" s="12">
        <f t="shared" si="8"/>
        <v>2.1</v>
      </c>
      <c r="D554" s="8">
        <v>0.66884326934814453</v>
      </c>
      <c r="E554" s="5">
        <f>MATCH(D554,'Route Data'!$C$7:$C$8,1)</f>
        <v>2</v>
      </c>
      <c r="F554" s="5">
        <f>INDEX('Route Data'!$D$7:$D$8,E554)</f>
        <v>1</v>
      </c>
      <c r="G554" s="5" t="str">
        <f>INDEX('Route Data'!$A$7:$A$8,E554)</f>
        <v>u18</v>
      </c>
      <c r="H554" s="5">
        <f>EnergyCoeff(INDEX('Route Data'!$K$7:$K$8,E554),INDEX('Route Data'!$L$7:$L$8,E554)*2*PI()/60,INDEX('Route Data'!$F$7:$F$8,E554))</f>
        <v>0.19430699130049439</v>
      </c>
      <c r="I554" s="5">
        <f>DischargeCoeff(INDEX('Route Data'!$I$7:$I$8,E554), INDEX('Route Data'!$L$7:$L$8,E554)*2*PI()/60, INDEX('Route Data'!$F$7:$F$8,E554))</f>
        <v>0.15939200179827354</v>
      </c>
      <c r="J554" s="8">
        <f>FlowAngleRel(INDEX('Route Data'!$J$7:$J$8,E554)*INDEX('Route Data'!$I$7:$I$8,E554), INDEX('Route Data'!$L$7:$L$8,E554)*2*PI()/60, INDEX('Route Data'!$F$7:$F$8,E554),INDEX('Route Data'!$O$7:$O$8,E554), INDEX('Route Data'!$P$7:$P$8,E554),INDEX('Route Data'!$M$7:$M$8,E554))</f>
        <v>1.130811765868994</v>
      </c>
      <c r="K554" s="8">
        <f>FlowAngleAbsT(INDEX('Route Data'!$K$7:$K$8,E554), INDEX('Route Data'!$I$7:$I$8,E554), INDEX('Route Data'!$I$7:$I$8,E554)*INDEX('Route Data'!$J$7:$J$8,E554), INDEX('Route Data'!$L$7:$L$8,E554)*2*PI()/60, INDEX('Route Data'!$F$7:$F$8,E554),INDEX('Route Data'!$O$7:$O$8,E554), INDEX('Route Data'!$P$7:$P$8,E554), INDEX('Route Data'!$H$7:$H$8,E554), INDEX('Route Data'!$Q$7:$Q$8,E554), INDEX('Route Data'!$M$7:$M$8,E554))</f>
        <v>0.51617226640175828</v>
      </c>
      <c r="L554" s="5">
        <f>INDEX('Route Data'!$N$7:$N$8,E554)</f>
        <v>0.4</v>
      </c>
      <c r="M554" s="8">
        <v>0.1472773551940918</v>
      </c>
      <c r="N554" s="8">
        <f>ProbStrikeFrancis(K554, I554, L554, INDEX('Route Data'!$G$7:$G$8,E554),C554, INDEX('Route Data'!$F$7:$F$8,E554), INDEX('Route Data'!$O$7:$O$8,E554), INDEX('Route Data'!$H$7:$H$18,E554))</f>
        <v>1</v>
      </c>
      <c r="O554" s="5" t="str">
        <f>IF(F554&gt;=1,IF(M554&lt;=N554,"STRIKE","pass"),IF(M554&lt;=INDEX('Route Data'!$R$7:$R$8,E554),"NO PASS","pass"))</f>
        <v>STRIKE</v>
      </c>
      <c r="P554" s="5">
        <f>IF(F554&gt;=1,IF(M554&lt;=N554,1,0),IF(M554&lt;=INDEX('Route Data'!$R$7:$R$8,E554),-1,0))</f>
        <v>1</v>
      </c>
    </row>
    <row r="555" spans="1:16">
      <c r="A555" s="5">
        <v>545</v>
      </c>
      <c r="B555" s="12">
        <v>18.71</v>
      </c>
      <c r="C555" s="12">
        <f t="shared" si="8"/>
        <v>1.56</v>
      </c>
      <c r="D555" s="8">
        <v>4.6734988689422607E-2</v>
      </c>
      <c r="E555" s="5">
        <f>MATCH(D555,'Route Data'!$C$7:$C$8,1)</f>
        <v>2</v>
      </c>
      <c r="F555" s="5">
        <f>INDEX('Route Data'!$D$7:$D$8,E555)</f>
        <v>1</v>
      </c>
      <c r="G555" s="5" t="str">
        <f>INDEX('Route Data'!$A$7:$A$8,E555)</f>
        <v>u18</v>
      </c>
      <c r="H555" s="5">
        <f>EnergyCoeff(INDEX('Route Data'!$K$7:$K$8,E555),INDEX('Route Data'!$L$7:$L$8,E555)*2*PI()/60,INDEX('Route Data'!$F$7:$F$8,E555))</f>
        <v>0.19430699130049439</v>
      </c>
      <c r="I555" s="5">
        <f>DischargeCoeff(INDEX('Route Data'!$I$7:$I$8,E555), INDEX('Route Data'!$L$7:$L$8,E555)*2*PI()/60, INDEX('Route Data'!$F$7:$F$8,E555))</f>
        <v>0.15939200179827354</v>
      </c>
      <c r="J555" s="8">
        <f>FlowAngleRel(INDEX('Route Data'!$J$7:$J$8,E555)*INDEX('Route Data'!$I$7:$I$8,E555), INDEX('Route Data'!$L$7:$L$8,E555)*2*PI()/60, INDEX('Route Data'!$F$7:$F$8,E555),INDEX('Route Data'!$O$7:$O$8,E555), INDEX('Route Data'!$P$7:$P$8,E555),INDEX('Route Data'!$M$7:$M$8,E555))</f>
        <v>1.130811765868994</v>
      </c>
      <c r="K555" s="8">
        <f>FlowAngleAbsT(INDEX('Route Data'!$K$7:$K$8,E555), INDEX('Route Data'!$I$7:$I$8,E555), INDEX('Route Data'!$I$7:$I$8,E555)*INDEX('Route Data'!$J$7:$J$8,E555), INDEX('Route Data'!$L$7:$L$8,E555)*2*PI()/60, INDEX('Route Data'!$F$7:$F$8,E555),INDEX('Route Data'!$O$7:$O$8,E555), INDEX('Route Data'!$P$7:$P$8,E555), INDEX('Route Data'!$H$7:$H$8,E555), INDEX('Route Data'!$Q$7:$Q$8,E555), INDEX('Route Data'!$M$7:$M$8,E555))</f>
        <v>0.51617226640175828</v>
      </c>
      <c r="L555" s="5">
        <f>INDEX('Route Data'!$N$7:$N$8,E555)</f>
        <v>0.4</v>
      </c>
      <c r="M555" s="8">
        <v>0.13255089521408081</v>
      </c>
      <c r="N555" s="8">
        <f>ProbStrikeFrancis(K555, I555, L555, INDEX('Route Data'!$G$7:$G$8,E555),C555, INDEX('Route Data'!$F$7:$F$8,E555), INDEX('Route Data'!$O$7:$O$8,E555), INDEX('Route Data'!$H$7:$H$18,E555))</f>
        <v>1</v>
      </c>
      <c r="O555" s="5" t="str">
        <f>IF(F555&gt;=1,IF(M555&lt;=N555,"STRIKE","pass"),IF(M555&lt;=INDEX('Route Data'!$R$7:$R$8,E555),"NO PASS","pass"))</f>
        <v>STRIKE</v>
      </c>
      <c r="P555" s="5">
        <f>IF(F555&gt;=1,IF(M555&lt;=N555,1,0),IF(M555&lt;=INDEX('Route Data'!$R$7:$R$8,E555),-1,0))</f>
        <v>1</v>
      </c>
    </row>
    <row r="556" spans="1:16">
      <c r="A556" s="5">
        <v>546</v>
      </c>
      <c r="B556" s="12">
        <v>24.43</v>
      </c>
      <c r="C556" s="12">
        <f t="shared" si="8"/>
        <v>2.04</v>
      </c>
      <c r="D556" s="8">
        <v>0.64748060703277588</v>
      </c>
      <c r="E556" s="5">
        <f>MATCH(D556,'Route Data'!$C$7:$C$8,1)</f>
        <v>2</v>
      </c>
      <c r="F556" s="5">
        <f>INDEX('Route Data'!$D$7:$D$8,E556)</f>
        <v>1</v>
      </c>
      <c r="G556" s="5" t="str">
        <f>INDEX('Route Data'!$A$7:$A$8,E556)</f>
        <v>u18</v>
      </c>
      <c r="H556" s="5">
        <f>EnergyCoeff(INDEX('Route Data'!$K$7:$K$8,E556),INDEX('Route Data'!$L$7:$L$8,E556)*2*PI()/60,INDEX('Route Data'!$F$7:$F$8,E556))</f>
        <v>0.19430699130049439</v>
      </c>
      <c r="I556" s="5">
        <f>DischargeCoeff(INDEX('Route Data'!$I$7:$I$8,E556), INDEX('Route Data'!$L$7:$L$8,E556)*2*PI()/60, INDEX('Route Data'!$F$7:$F$8,E556))</f>
        <v>0.15939200179827354</v>
      </c>
      <c r="J556" s="8">
        <f>FlowAngleRel(INDEX('Route Data'!$J$7:$J$8,E556)*INDEX('Route Data'!$I$7:$I$8,E556), INDEX('Route Data'!$L$7:$L$8,E556)*2*PI()/60, INDEX('Route Data'!$F$7:$F$8,E556),INDEX('Route Data'!$O$7:$O$8,E556), INDEX('Route Data'!$P$7:$P$8,E556),INDEX('Route Data'!$M$7:$M$8,E556))</f>
        <v>1.130811765868994</v>
      </c>
      <c r="K556" s="8">
        <f>FlowAngleAbsT(INDEX('Route Data'!$K$7:$K$8,E556), INDEX('Route Data'!$I$7:$I$8,E556), INDEX('Route Data'!$I$7:$I$8,E556)*INDEX('Route Data'!$J$7:$J$8,E556), INDEX('Route Data'!$L$7:$L$8,E556)*2*PI()/60, INDEX('Route Data'!$F$7:$F$8,E556),INDEX('Route Data'!$O$7:$O$8,E556), INDEX('Route Data'!$P$7:$P$8,E556), INDEX('Route Data'!$H$7:$H$8,E556), INDEX('Route Data'!$Q$7:$Q$8,E556), INDEX('Route Data'!$M$7:$M$8,E556))</f>
        <v>0.51617226640175828</v>
      </c>
      <c r="L556" s="5">
        <f>INDEX('Route Data'!$N$7:$N$8,E556)</f>
        <v>0.4</v>
      </c>
      <c r="M556" s="8">
        <v>0.44230949878692627</v>
      </c>
      <c r="N556" s="8">
        <f>ProbStrikeFrancis(K556, I556, L556, INDEX('Route Data'!$G$7:$G$8,E556),C556, INDEX('Route Data'!$F$7:$F$8,E556), INDEX('Route Data'!$O$7:$O$8,E556), INDEX('Route Data'!$H$7:$H$18,E556))</f>
        <v>1</v>
      </c>
      <c r="O556" s="5" t="str">
        <f>IF(F556&gt;=1,IF(M556&lt;=N556,"STRIKE","pass"),IF(M556&lt;=INDEX('Route Data'!$R$7:$R$8,E556),"NO PASS","pass"))</f>
        <v>STRIKE</v>
      </c>
      <c r="P556" s="5">
        <f>IF(F556&gt;=1,IF(M556&lt;=N556,1,0),IF(M556&lt;=INDEX('Route Data'!$R$7:$R$8,E556),-1,0))</f>
        <v>1</v>
      </c>
    </row>
    <row r="557" spans="1:16">
      <c r="A557" s="5">
        <v>547</v>
      </c>
      <c r="B557" s="12">
        <v>25.82</v>
      </c>
      <c r="C557" s="12">
        <f t="shared" si="8"/>
        <v>2.15</v>
      </c>
      <c r="D557" s="8">
        <v>0.11082297563552856</v>
      </c>
      <c r="E557" s="5">
        <f>MATCH(D557,'Route Data'!$C$7:$C$8,1)</f>
        <v>2</v>
      </c>
      <c r="F557" s="5">
        <f>INDEX('Route Data'!$D$7:$D$8,E557)</f>
        <v>1</v>
      </c>
      <c r="G557" s="5" t="str">
        <f>INDEX('Route Data'!$A$7:$A$8,E557)</f>
        <v>u18</v>
      </c>
      <c r="H557" s="5">
        <f>EnergyCoeff(INDEX('Route Data'!$K$7:$K$8,E557),INDEX('Route Data'!$L$7:$L$8,E557)*2*PI()/60,INDEX('Route Data'!$F$7:$F$8,E557))</f>
        <v>0.19430699130049439</v>
      </c>
      <c r="I557" s="5">
        <f>DischargeCoeff(INDEX('Route Data'!$I$7:$I$8,E557), INDEX('Route Data'!$L$7:$L$8,E557)*2*PI()/60, INDEX('Route Data'!$F$7:$F$8,E557))</f>
        <v>0.15939200179827354</v>
      </c>
      <c r="J557" s="8">
        <f>FlowAngleRel(INDEX('Route Data'!$J$7:$J$8,E557)*INDEX('Route Data'!$I$7:$I$8,E557), INDEX('Route Data'!$L$7:$L$8,E557)*2*PI()/60, INDEX('Route Data'!$F$7:$F$8,E557),INDEX('Route Data'!$O$7:$O$8,E557), INDEX('Route Data'!$P$7:$P$8,E557),INDEX('Route Data'!$M$7:$M$8,E557))</f>
        <v>1.130811765868994</v>
      </c>
      <c r="K557" s="8">
        <f>FlowAngleAbsT(INDEX('Route Data'!$K$7:$K$8,E557), INDEX('Route Data'!$I$7:$I$8,E557), INDEX('Route Data'!$I$7:$I$8,E557)*INDEX('Route Data'!$J$7:$J$8,E557), INDEX('Route Data'!$L$7:$L$8,E557)*2*PI()/60, INDEX('Route Data'!$F$7:$F$8,E557),INDEX('Route Data'!$O$7:$O$8,E557), INDEX('Route Data'!$P$7:$P$8,E557), INDEX('Route Data'!$H$7:$H$8,E557), INDEX('Route Data'!$Q$7:$Q$8,E557), INDEX('Route Data'!$M$7:$M$8,E557))</f>
        <v>0.51617226640175828</v>
      </c>
      <c r="L557" s="5">
        <f>INDEX('Route Data'!$N$7:$N$8,E557)</f>
        <v>0.4</v>
      </c>
      <c r="M557" s="8">
        <v>0.24745446443557739</v>
      </c>
      <c r="N557" s="8">
        <f>ProbStrikeFrancis(K557, I557, L557, INDEX('Route Data'!$G$7:$G$8,E557),C557, INDEX('Route Data'!$F$7:$F$8,E557), INDEX('Route Data'!$O$7:$O$8,E557), INDEX('Route Data'!$H$7:$H$18,E557))</f>
        <v>1</v>
      </c>
      <c r="O557" s="5" t="str">
        <f>IF(F557&gt;=1,IF(M557&lt;=N557,"STRIKE","pass"),IF(M557&lt;=INDEX('Route Data'!$R$7:$R$8,E557),"NO PASS","pass"))</f>
        <v>STRIKE</v>
      </c>
      <c r="P557" s="5">
        <f>IF(F557&gt;=1,IF(M557&lt;=N557,1,0),IF(M557&lt;=INDEX('Route Data'!$R$7:$R$8,E557),-1,0))</f>
        <v>1</v>
      </c>
    </row>
    <row r="558" spans="1:16">
      <c r="A558" s="5">
        <v>548</v>
      </c>
      <c r="B558" s="12">
        <v>20.16</v>
      </c>
      <c r="C558" s="12">
        <f t="shared" si="8"/>
        <v>1.68</v>
      </c>
      <c r="D558" s="8">
        <v>0.45521664619445801</v>
      </c>
      <c r="E558" s="5">
        <f>MATCH(D558,'Route Data'!$C$7:$C$8,1)</f>
        <v>2</v>
      </c>
      <c r="F558" s="5">
        <f>INDEX('Route Data'!$D$7:$D$8,E558)</f>
        <v>1</v>
      </c>
      <c r="G558" s="5" t="str">
        <f>INDEX('Route Data'!$A$7:$A$8,E558)</f>
        <v>u18</v>
      </c>
      <c r="H558" s="5">
        <f>EnergyCoeff(INDEX('Route Data'!$K$7:$K$8,E558),INDEX('Route Data'!$L$7:$L$8,E558)*2*PI()/60,INDEX('Route Data'!$F$7:$F$8,E558))</f>
        <v>0.19430699130049439</v>
      </c>
      <c r="I558" s="5">
        <f>DischargeCoeff(INDEX('Route Data'!$I$7:$I$8,E558), INDEX('Route Data'!$L$7:$L$8,E558)*2*PI()/60, INDEX('Route Data'!$F$7:$F$8,E558))</f>
        <v>0.15939200179827354</v>
      </c>
      <c r="J558" s="8">
        <f>FlowAngleRel(INDEX('Route Data'!$J$7:$J$8,E558)*INDEX('Route Data'!$I$7:$I$8,E558), INDEX('Route Data'!$L$7:$L$8,E558)*2*PI()/60, INDEX('Route Data'!$F$7:$F$8,E558),INDEX('Route Data'!$O$7:$O$8,E558), INDEX('Route Data'!$P$7:$P$8,E558),INDEX('Route Data'!$M$7:$M$8,E558))</f>
        <v>1.130811765868994</v>
      </c>
      <c r="K558" s="8">
        <f>FlowAngleAbsT(INDEX('Route Data'!$K$7:$K$8,E558), INDEX('Route Data'!$I$7:$I$8,E558), INDEX('Route Data'!$I$7:$I$8,E558)*INDEX('Route Data'!$J$7:$J$8,E558), INDEX('Route Data'!$L$7:$L$8,E558)*2*PI()/60, INDEX('Route Data'!$F$7:$F$8,E558),INDEX('Route Data'!$O$7:$O$8,E558), INDEX('Route Data'!$P$7:$P$8,E558), INDEX('Route Data'!$H$7:$H$8,E558), INDEX('Route Data'!$Q$7:$Q$8,E558), INDEX('Route Data'!$M$7:$M$8,E558))</f>
        <v>0.51617226640175828</v>
      </c>
      <c r="L558" s="5">
        <f>INDEX('Route Data'!$N$7:$N$8,E558)</f>
        <v>0.4</v>
      </c>
      <c r="M558" s="8">
        <v>0.30086112022399902</v>
      </c>
      <c r="N558" s="8">
        <f>ProbStrikeFrancis(K558, I558, L558, INDEX('Route Data'!$G$7:$G$8,E558),C558, INDEX('Route Data'!$F$7:$F$8,E558), INDEX('Route Data'!$O$7:$O$8,E558), INDEX('Route Data'!$H$7:$H$18,E558))</f>
        <v>1</v>
      </c>
      <c r="O558" s="5" t="str">
        <f>IF(F558&gt;=1,IF(M558&lt;=N558,"STRIKE","pass"),IF(M558&lt;=INDEX('Route Data'!$R$7:$R$8,E558),"NO PASS","pass"))</f>
        <v>STRIKE</v>
      </c>
      <c r="P558" s="5">
        <f>IF(F558&gt;=1,IF(M558&lt;=N558,1,0),IF(M558&lt;=INDEX('Route Data'!$R$7:$R$8,E558),-1,0))</f>
        <v>1</v>
      </c>
    </row>
    <row r="559" spans="1:16">
      <c r="A559" s="5">
        <v>549</v>
      </c>
      <c r="B559" s="12">
        <v>21.54</v>
      </c>
      <c r="C559" s="12">
        <f t="shared" si="8"/>
        <v>1.8</v>
      </c>
      <c r="D559" s="8">
        <v>0.68761485815048218</v>
      </c>
      <c r="E559" s="5">
        <f>MATCH(D559,'Route Data'!$C$7:$C$8,1)</f>
        <v>2</v>
      </c>
      <c r="F559" s="5">
        <f>INDEX('Route Data'!$D$7:$D$8,E559)</f>
        <v>1</v>
      </c>
      <c r="G559" s="5" t="str">
        <f>INDEX('Route Data'!$A$7:$A$8,E559)</f>
        <v>u18</v>
      </c>
      <c r="H559" s="5">
        <f>EnergyCoeff(INDEX('Route Data'!$K$7:$K$8,E559),INDEX('Route Data'!$L$7:$L$8,E559)*2*PI()/60,INDEX('Route Data'!$F$7:$F$8,E559))</f>
        <v>0.19430699130049439</v>
      </c>
      <c r="I559" s="5">
        <f>DischargeCoeff(INDEX('Route Data'!$I$7:$I$8,E559), INDEX('Route Data'!$L$7:$L$8,E559)*2*PI()/60, INDEX('Route Data'!$F$7:$F$8,E559))</f>
        <v>0.15939200179827354</v>
      </c>
      <c r="J559" s="8">
        <f>FlowAngleRel(INDEX('Route Data'!$J$7:$J$8,E559)*INDEX('Route Data'!$I$7:$I$8,E559), INDEX('Route Data'!$L$7:$L$8,E559)*2*PI()/60, INDEX('Route Data'!$F$7:$F$8,E559),INDEX('Route Data'!$O$7:$O$8,E559), INDEX('Route Data'!$P$7:$P$8,E559),INDEX('Route Data'!$M$7:$M$8,E559))</f>
        <v>1.130811765868994</v>
      </c>
      <c r="K559" s="8">
        <f>FlowAngleAbsT(INDEX('Route Data'!$K$7:$K$8,E559), INDEX('Route Data'!$I$7:$I$8,E559), INDEX('Route Data'!$I$7:$I$8,E559)*INDEX('Route Data'!$J$7:$J$8,E559), INDEX('Route Data'!$L$7:$L$8,E559)*2*PI()/60, INDEX('Route Data'!$F$7:$F$8,E559),INDEX('Route Data'!$O$7:$O$8,E559), INDEX('Route Data'!$P$7:$P$8,E559), INDEX('Route Data'!$H$7:$H$8,E559), INDEX('Route Data'!$Q$7:$Q$8,E559), INDEX('Route Data'!$M$7:$M$8,E559))</f>
        <v>0.51617226640175828</v>
      </c>
      <c r="L559" s="5">
        <f>INDEX('Route Data'!$N$7:$N$8,E559)</f>
        <v>0.4</v>
      </c>
      <c r="M559" s="8">
        <v>0.14064115285873413</v>
      </c>
      <c r="N559" s="8">
        <f>ProbStrikeFrancis(K559, I559, L559, INDEX('Route Data'!$G$7:$G$8,E559),C559, INDEX('Route Data'!$F$7:$F$8,E559), INDEX('Route Data'!$O$7:$O$8,E559), INDEX('Route Data'!$H$7:$H$18,E559))</f>
        <v>1</v>
      </c>
      <c r="O559" s="5" t="str">
        <f>IF(F559&gt;=1,IF(M559&lt;=N559,"STRIKE","pass"),IF(M559&lt;=INDEX('Route Data'!$R$7:$R$8,E559),"NO PASS","pass"))</f>
        <v>STRIKE</v>
      </c>
      <c r="P559" s="5">
        <f>IF(F559&gt;=1,IF(M559&lt;=N559,1,0),IF(M559&lt;=INDEX('Route Data'!$R$7:$R$8,E559),-1,0))</f>
        <v>1</v>
      </c>
    </row>
    <row r="560" spans="1:16">
      <c r="A560" s="5">
        <v>550</v>
      </c>
      <c r="B560" s="12">
        <v>19.66</v>
      </c>
      <c r="C560" s="12">
        <f t="shared" si="8"/>
        <v>1.64</v>
      </c>
      <c r="D560" s="8">
        <v>0.45926177501678467</v>
      </c>
      <c r="E560" s="5">
        <f>MATCH(D560,'Route Data'!$C$7:$C$8,1)</f>
        <v>2</v>
      </c>
      <c r="F560" s="5">
        <f>INDEX('Route Data'!$D$7:$D$8,E560)</f>
        <v>1</v>
      </c>
      <c r="G560" s="5" t="str">
        <f>INDEX('Route Data'!$A$7:$A$8,E560)</f>
        <v>u18</v>
      </c>
      <c r="H560" s="5">
        <f>EnergyCoeff(INDEX('Route Data'!$K$7:$K$8,E560),INDEX('Route Data'!$L$7:$L$8,E560)*2*PI()/60,INDEX('Route Data'!$F$7:$F$8,E560))</f>
        <v>0.19430699130049439</v>
      </c>
      <c r="I560" s="5">
        <f>DischargeCoeff(INDEX('Route Data'!$I$7:$I$8,E560), INDEX('Route Data'!$L$7:$L$8,E560)*2*PI()/60, INDEX('Route Data'!$F$7:$F$8,E560))</f>
        <v>0.15939200179827354</v>
      </c>
      <c r="J560" s="8">
        <f>FlowAngleRel(INDEX('Route Data'!$J$7:$J$8,E560)*INDEX('Route Data'!$I$7:$I$8,E560), INDEX('Route Data'!$L$7:$L$8,E560)*2*PI()/60, INDEX('Route Data'!$F$7:$F$8,E560),INDEX('Route Data'!$O$7:$O$8,E560), INDEX('Route Data'!$P$7:$P$8,E560),INDEX('Route Data'!$M$7:$M$8,E560))</f>
        <v>1.130811765868994</v>
      </c>
      <c r="K560" s="8">
        <f>FlowAngleAbsT(INDEX('Route Data'!$K$7:$K$8,E560), INDEX('Route Data'!$I$7:$I$8,E560), INDEX('Route Data'!$I$7:$I$8,E560)*INDEX('Route Data'!$J$7:$J$8,E560), INDEX('Route Data'!$L$7:$L$8,E560)*2*PI()/60, INDEX('Route Data'!$F$7:$F$8,E560),INDEX('Route Data'!$O$7:$O$8,E560), INDEX('Route Data'!$P$7:$P$8,E560), INDEX('Route Data'!$H$7:$H$8,E560), INDEX('Route Data'!$Q$7:$Q$8,E560), INDEX('Route Data'!$M$7:$M$8,E560))</f>
        <v>0.51617226640175828</v>
      </c>
      <c r="L560" s="5">
        <f>INDEX('Route Data'!$N$7:$N$8,E560)</f>
        <v>0.4</v>
      </c>
      <c r="M560" s="8">
        <v>0.62130105495452881</v>
      </c>
      <c r="N560" s="8">
        <f>ProbStrikeFrancis(K560, I560, L560, INDEX('Route Data'!$G$7:$G$8,E560),C560, INDEX('Route Data'!$F$7:$F$8,E560), INDEX('Route Data'!$O$7:$O$8,E560), INDEX('Route Data'!$H$7:$H$18,E560))</f>
        <v>1</v>
      </c>
      <c r="O560" s="5" t="str">
        <f>IF(F560&gt;=1,IF(M560&lt;=N560,"STRIKE","pass"),IF(M560&lt;=INDEX('Route Data'!$R$7:$R$8,E560),"NO PASS","pass"))</f>
        <v>STRIKE</v>
      </c>
      <c r="P560" s="5">
        <f>IF(F560&gt;=1,IF(M560&lt;=N560,1,0),IF(M560&lt;=INDEX('Route Data'!$R$7:$R$8,E560),-1,0))</f>
        <v>1</v>
      </c>
    </row>
    <row r="561" spans="1:16">
      <c r="A561" s="5">
        <v>551</v>
      </c>
      <c r="B561" s="12">
        <v>24.97</v>
      </c>
      <c r="C561" s="12">
        <f t="shared" si="8"/>
        <v>2.08</v>
      </c>
      <c r="D561" s="8">
        <v>0.4099002480506897</v>
      </c>
      <c r="E561" s="5">
        <f>MATCH(D561,'Route Data'!$C$7:$C$8,1)</f>
        <v>2</v>
      </c>
      <c r="F561" s="5">
        <f>INDEX('Route Data'!$D$7:$D$8,E561)</f>
        <v>1</v>
      </c>
      <c r="G561" s="5" t="str">
        <f>INDEX('Route Data'!$A$7:$A$8,E561)</f>
        <v>u18</v>
      </c>
      <c r="H561" s="5">
        <f>EnergyCoeff(INDEX('Route Data'!$K$7:$K$8,E561),INDEX('Route Data'!$L$7:$L$8,E561)*2*PI()/60,INDEX('Route Data'!$F$7:$F$8,E561))</f>
        <v>0.19430699130049439</v>
      </c>
      <c r="I561" s="5">
        <f>DischargeCoeff(INDEX('Route Data'!$I$7:$I$8,E561), INDEX('Route Data'!$L$7:$L$8,E561)*2*PI()/60, INDEX('Route Data'!$F$7:$F$8,E561))</f>
        <v>0.15939200179827354</v>
      </c>
      <c r="J561" s="8">
        <f>FlowAngleRel(INDEX('Route Data'!$J$7:$J$8,E561)*INDEX('Route Data'!$I$7:$I$8,E561), INDEX('Route Data'!$L$7:$L$8,E561)*2*PI()/60, INDEX('Route Data'!$F$7:$F$8,E561),INDEX('Route Data'!$O$7:$O$8,E561), INDEX('Route Data'!$P$7:$P$8,E561),INDEX('Route Data'!$M$7:$M$8,E561))</f>
        <v>1.130811765868994</v>
      </c>
      <c r="K561" s="8">
        <f>FlowAngleAbsT(INDEX('Route Data'!$K$7:$K$8,E561), INDEX('Route Data'!$I$7:$I$8,E561), INDEX('Route Data'!$I$7:$I$8,E561)*INDEX('Route Data'!$J$7:$J$8,E561), INDEX('Route Data'!$L$7:$L$8,E561)*2*PI()/60, INDEX('Route Data'!$F$7:$F$8,E561),INDEX('Route Data'!$O$7:$O$8,E561), INDEX('Route Data'!$P$7:$P$8,E561), INDEX('Route Data'!$H$7:$H$8,E561), INDEX('Route Data'!$Q$7:$Q$8,E561), INDEX('Route Data'!$M$7:$M$8,E561))</f>
        <v>0.51617226640175828</v>
      </c>
      <c r="L561" s="5">
        <f>INDEX('Route Data'!$N$7:$N$8,E561)</f>
        <v>0.4</v>
      </c>
      <c r="M561" s="8">
        <v>0.17932134866714478</v>
      </c>
      <c r="N561" s="8">
        <f>ProbStrikeFrancis(K561, I561, L561, INDEX('Route Data'!$G$7:$G$8,E561),C561, INDEX('Route Data'!$F$7:$F$8,E561), INDEX('Route Data'!$O$7:$O$8,E561), INDEX('Route Data'!$H$7:$H$18,E561))</f>
        <v>1</v>
      </c>
      <c r="O561" s="5" t="str">
        <f>IF(F561&gt;=1,IF(M561&lt;=N561,"STRIKE","pass"),IF(M561&lt;=INDEX('Route Data'!$R$7:$R$8,E561),"NO PASS","pass"))</f>
        <v>STRIKE</v>
      </c>
      <c r="P561" s="5">
        <f>IF(F561&gt;=1,IF(M561&lt;=N561,1,0),IF(M561&lt;=INDEX('Route Data'!$R$7:$R$8,E561),-1,0))</f>
        <v>1</v>
      </c>
    </row>
    <row r="562" spans="1:16">
      <c r="A562" s="5">
        <v>552</v>
      </c>
      <c r="B562" s="12">
        <v>24.07</v>
      </c>
      <c r="C562" s="12">
        <f t="shared" si="8"/>
        <v>2.0099999999999998</v>
      </c>
      <c r="D562" s="8">
        <v>0.29240560531616211</v>
      </c>
      <c r="E562" s="5">
        <f>MATCH(D562,'Route Data'!$C$7:$C$8,1)</f>
        <v>2</v>
      </c>
      <c r="F562" s="5">
        <f>INDEX('Route Data'!$D$7:$D$8,E562)</f>
        <v>1</v>
      </c>
      <c r="G562" s="5" t="str">
        <f>INDEX('Route Data'!$A$7:$A$8,E562)</f>
        <v>u18</v>
      </c>
      <c r="H562" s="5">
        <f>EnergyCoeff(INDEX('Route Data'!$K$7:$K$8,E562),INDEX('Route Data'!$L$7:$L$8,E562)*2*PI()/60,INDEX('Route Data'!$F$7:$F$8,E562))</f>
        <v>0.19430699130049439</v>
      </c>
      <c r="I562" s="5">
        <f>DischargeCoeff(INDEX('Route Data'!$I$7:$I$8,E562), INDEX('Route Data'!$L$7:$L$8,E562)*2*PI()/60, INDEX('Route Data'!$F$7:$F$8,E562))</f>
        <v>0.15939200179827354</v>
      </c>
      <c r="J562" s="8">
        <f>FlowAngleRel(INDEX('Route Data'!$J$7:$J$8,E562)*INDEX('Route Data'!$I$7:$I$8,E562), INDEX('Route Data'!$L$7:$L$8,E562)*2*PI()/60, INDEX('Route Data'!$F$7:$F$8,E562),INDEX('Route Data'!$O$7:$O$8,E562), INDEX('Route Data'!$P$7:$P$8,E562),INDEX('Route Data'!$M$7:$M$8,E562))</f>
        <v>1.130811765868994</v>
      </c>
      <c r="K562" s="8">
        <f>FlowAngleAbsT(INDEX('Route Data'!$K$7:$K$8,E562), INDEX('Route Data'!$I$7:$I$8,E562), INDEX('Route Data'!$I$7:$I$8,E562)*INDEX('Route Data'!$J$7:$J$8,E562), INDEX('Route Data'!$L$7:$L$8,E562)*2*PI()/60, INDEX('Route Data'!$F$7:$F$8,E562),INDEX('Route Data'!$O$7:$O$8,E562), INDEX('Route Data'!$P$7:$P$8,E562), INDEX('Route Data'!$H$7:$H$8,E562), INDEX('Route Data'!$Q$7:$Q$8,E562), INDEX('Route Data'!$M$7:$M$8,E562))</f>
        <v>0.51617226640175828</v>
      </c>
      <c r="L562" s="5">
        <f>INDEX('Route Data'!$N$7:$N$8,E562)</f>
        <v>0.4</v>
      </c>
      <c r="M562" s="8">
        <v>0.77083969116210938</v>
      </c>
      <c r="N562" s="8">
        <f>ProbStrikeFrancis(K562, I562, L562, INDEX('Route Data'!$G$7:$G$8,E562),C562, INDEX('Route Data'!$F$7:$F$8,E562), INDEX('Route Data'!$O$7:$O$8,E562), INDEX('Route Data'!$H$7:$H$18,E562))</f>
        <v>1</v>
      </c>
      <c r="O562" s="5" t="str">
        <f>IF(F562&gt;=1,IF(M562&lt;=N562,"STRIKE","pass"),IF(M562&lt;=INDEX('Route Data'!$R$7:$R$8,E562),"NO PASS","pass"))</f>
        <v>STRIKE</v>
      </c>
      <c r="P562" s="5">
        <f>IF(F562&gt;=1,IF(M562&lt;=N562,1,0),IF(M562&lt;=INDEX('Route Data'!$R$7:$R$8,E562),-1,0))</f>
        <v>1</v>
      </c>
    </row>
    <row r="563" spans="1:16">
      <c r="A563" s="5">
        <v>553</v>
      </c>
      <c r="B563" s="12">
        <v>24.16</v>
      </c>
      <c r="C563" s="12">
        <f t="shared" si="8"/>
        <v>2.0099999999999998</v>
      </c>
      <c r="D563" s="8">
        <v>0.52025574445724487</v>
      </c>
      <c r="E563" s="5">
        <f>MATCH(D563,'Route Data'!$C$7:$C$8,1)</f>
        <v>2</v>
      </c>
      <c r="F563" s="5">
        <f>INDEX('Route Data'!$D$7:$D$8,E563)</f>
        <v>1</v>
      </c>
      <c r="G563" s="5" t="str">
        <f>INDEX('Route Data'!$A$7:$A$8,E563)</f>
        <v>u18</v>
      </c>
      <c r="H563" s="5">
        <f>EnergyCoeff(INDEX('Route Data'!$K$7:$K$8,E563),INDEX('Route Data'!$L$7:$L$8,E563)*2*PI()/60,INDEX('Route Data'!$F$7:$F$8,E563))</f>
        <v>0.19430699130049439</v>
      </c>
      <c r="I563" s="5">
        <f>DischargeCoeff(INDEX('Route Data'!$I$7:$I$8,E563), INDEX('Route Data'!$L$7:$L$8,E563)*2*PI()/60, INDEX('Route Data'!$F$7:$F$8,E563))</f>
        <v>0.15939200179827354</v>
      </c>
      <c r="J563" s="8">
        <f>FlowAngleRel(INDEX('Route Data'!$J$7:$J$8,E563)*INDEX('Route Data'!$I$7:$I$8,E563), INDEX('Route Data'!$L$7:$L$8,E563)*2*PI()/60, INDEX('Route Data'!$F$7:$F$8,E563),INDEX('Route Data'!$O$7:$O$8,E563), INDEX('Route Data'!$P$7:$P$8,E563),INDEX('Route Data'!$M$7:$M$8,E563))</f>
        <v>1.130811765868994</v>
      </c>
      <c r="K563" s="8">
        <f>FlowAngleAbsT(INDEX('Route Data'!$K$7:$K$8,E563), INDEX('Route Data'!$I$7:$I$8,E563), INDEX('Route Data'!$I$7:$I$8,E563)*INDEX('Route Data'!$J$7:$J$8,E563), INDEX('Route Data'!$L$7:$L$8,E563)*2*PI()/60, INDEX('Route Data'!$F$7:$F$8,E563),INDEX('Route Data'!$O$7:$O$8,E563), INDEX('Route Data'!$P$7:$P$8,E563), INDEX('Route Data'!$H$7:$H$8,E563), INDEX('Route Data'!$Q$7:$Q$8,E563), INDEX('Route Data'!$M$7:$M$8,E563))</f>
        <v>0.51617226640175828</v>
      </c>
      <c r="L563" s="5">
        <f>INDEX('Route Data'!$N$7:$N$8,E563)</f>
        <v>0.4</v>
      </c>
      <c r="M563" s="8">
        <v>0.73070544004440308</v>
      </c>
      <c r="N563" s="8">
        <f>ProbStrikeFrancis(K563, I563, L563, INDEX('Route Data'!$G$7:$G$8,E563),C563, INDEX('Route Data'!$F$7:$F$8,E563), INDEX('Route Data'!$O$7:$O$8,E563), INDEX('Route Data'!$H$7:$H$18,E563))</f>
        <v>1</v>
      </c>
      <c r="O563" s="5" t="str">
        <f>IF(F563&gt;=1,IF(M563&lt;=N563,"STRIKE","pass"),IF(M563&lt;=INDEX('Route Data'!$R$7:$R$8,E563),"NO PASS","pass"))</f>
        <v>STRIKE</v>
      </c>
      <c r="P563" s="5">
        <f>IF(F563&gt;=1,IF(M563&lt;=N563,1,0),IF(M563&lt;=INDEX('Route Data'!$R$7:$R$8,E563),-1,0))</f>
        <v>1</v>
      </c>
    </row>
    <row r="564" spans="1:16">
      <c r="A564" s="5">
        <v>554</v>
      </c>
      <c r="B564" s="12">
        <v>23.88</v>
      </c>
      <c r="C564" s="12">
        <f t="shared" si="8"/>
        <v>1.99</v>
      </c>
      <c r="D564" s="8">
        <v>0.46280395984649658</v>
      </c>
      <c r="E564" s="5">
        <f>MATCH(D564,'Route Data'!$C$7:$C$8,1)</f>
        <v>2</v>
      </c>
      <c r="F564" s="5">
        <f>INDEX('Route Data'!$D$7:$D$8,E564)</f>
        <v>1</v>
      </c>
      <c r="G564" s="5" t="str">
        <f>INDEX('Route Data'!$A$7:$A$8,E564)</f>
        <v>u18</v>
      </c>
      <c r="H564" s="5">
        <f>EnergyCoeff(INDEX('Route Data'!$K$7:$K$8,E564),INDEX('Route Data'!$L$7:$L$8,E564)*2*PI()/60,INDEX('Route Data'!$F$7:$F$8,E564))</f>
        <v>0.19430699130049439</v>
      </c>
      <c r="I564" s="5">
        <f>DischargeCoeff(INDEX('Route Data'!$I$7:$I$8,E564), INDEX('Route Data'!$L$7:$L$8,E564)*2*PI()/60, INDEX('Route Data'!$F$7:$F$8,E564))</f>
        <v>0.15939200179827354</v>
      </c>
      <c r="J564" s="8">
        <f>FlowAngleRel(INDEX('Route Data'!$J$7:$J$8,E564)*INDEX('Route Data'!$I$7:$I$8,E564), INDEX('Route Data'!$L$7:$L$8,E564)*2*PI()/60, INDEX('Route Data'!$F$7:$F$8,E564),INDEX('Route Data'!$O$7:$O$8,E564), INDEX('Route Data'!$P$7:$P$8,E564),INDEX('Route Data'!$M$7:$M$8,E564))</f>
        <v>1.130811765868994</v>
      </c>
      <c r="K564" s="8">
        <f>FlowAngleAbsT(INDEX('Route Data'!$K$7:$K$8,E564), INDEX('Route Data'!$I$7:$I$8,E564), INDEX('Route Data'!$I$7:$I$8,E564)*INDEX('Route Data'!$J$7:$J$8,E564), INDEX('Route Data'!$L$7:$L$8,E564)*2*PI()/60, INDEX('Route Data'!$F$7:$F$8,E564),INDEX('Route Data'!$O$7:$O$8,E564), INDEX('Route Data'!$P$7:$P$8,E564), INDEX('Route Data'!$H$7:$H$8,E564), INDEX('Route Data'!$Q$7:$Q$8,E564), INDEX('Route Data'!$M$7:$M$8,E564))</f>
        <v>0.51617226640175828</v>
      </c>
      <c r="L564" s="5">
        <f>INDEX('Route Data'!$N$7:$N$8,E564)</f>
        <v>0.4</v>
      </c>
      <c r="M564" s="8">
        <v>0.38226664066314697</v>
      </c>
      <c r="N564" s="8">
        <f>ProbStrikeFrancis(K564, I564, L564, INDEX('Route Data'!$G$7:$G$8,E564),C564, INDEX('Route Data'!$F$7:$F$8,E564), INDEX('Route Data'!$O$7:$O$8,E564), INDEX('Route Data'!$H$7:$H$18,E564))</f>
        <v>1</v>
      </c>
      <c r="O564" s="5" t="str">
        <f>IF(F564&gt;=1,IF(M564&lt;=N564,"STRIKE","pass"),IF(M564&lt;=INDEX('Route Data'!$R$7:$R$8,E564),"NO PASS","pass"))</f>
        <v>STRIKE</v>
      </c>
      <c r="P564" s="5">
        <f>IF(F564&gt;=1,IF(M564&lt;=N564,1,0),IF(M564&lt;=INDEX('Route Data'!$R$7:$R$8,E564),-1,0))</f>
        <v>1</v>
      </c>
    </row>
    <row r="565" spans="1:16">
      <c r="A565" s="5">
        <v>555</v>
      </c>
      <c r="B565" s="12">
        <v>24.79</v>
      </c>
      <c r="C565" s="12">
        <f t="shared" si="8"/>
        <v>2.0699999999999998</v>
      </c>
      <c r="D565" s="8">
        <v>0.90073853731155396</v>
      </c>
      <c r="E565" s="5">
        <f>MATCH(D565,'Route Data'!$C$7:$C$8,1)</f>
        <v>2</v>
      </c>
      <c r="F565" s="5">
        <f>INDEX('Route Data'!$D$7:$D$8,E565)</f>
        <v>1</v>
      </c>
      <c r="G565" s="5" t="str">
        <f>INDEX('Route Data'!$A$7:$A$8,E565)</f>
        <v>u18</v>
      </c>
      <c r="H565" s="5">
        <f>EnergyCoeff(INDEX('Route Data'!$K$7:$K$8,E565),INDEX('Route Data'!$L$7:$L$8,E565)*2*PI()/60,INDEX('Route Data'!$F$7:$F$8,E565))</f>
        <v>0.19430699130049439</v>
      </c>
      <c r="I565" s="5">
        <f>DischargeCoeff(INDEX('Route Data'!$I$7:$I$8,E565), INDEX('Route Data'!$L$7:$L$8,E565)*2*PI()/60, INDEX('Route Data'!$F$7:$F$8,E565))</f>
        <v>0.15939200179827354</v>
      </c>
      <c r="J565" s="8">
        <f>FlowAngleRel(INDEX('Route Data'!$J$7:$J$8,E565)*INDEX('Route Data'!$I$7:$I$8,E565), INDEX('Route Data'!$L$7:$L$8,E565)*2*PI()/60, INDEX('Route Data'!$F$7:$F$8,E565),INDEX('Route Data'!$O$7:$O$8,E565), INDEX('Route Data'!$P$7:$P$8,E565),INDEX('Route Data'!$M$7:$M$8,E565))</f>
        <v>1.130811765868994</v>
      </c>
      <c r="K565" s="8">
        <f>FlowAngleAbsT(INDEX('Route Data'!$K$7:$K$8,E565), INDEX('Route Data'!$I$7:$I$8,E565), INDEX('Route Data'!$I$7:$I$8,E565)*INDEX('Route Data'!$J$7:$J$8,E565), INDEX('Route Data'!$L$7:$L$8,E565)*2*PI()/60, INDEX('Route Data'!$F$7:$F$8,E565),INDEX('Route Data'!$O$7:$O$8,E565), INDEX('Route Data'!$P$7:$P$8,E565), INDEX('Route Data'!$H$7:$H$8,E565), INDEX('Route Data'!$Q$7:$Q$8,E565), INDEX('Route Data'!$M$7:$M$8,E565))</f>
        <v>0.51617226640175828</v>
      </c>
      <c r="L565" s="5">
        <f>INDEX('Route Data'!$N$7:$N$8,E565)</f>
        <v>0.4</v>
      </c>
      <c r="M565" s="8">
        <v>0.16200381517410278</v>
      </c>
      <c r="N565" s="8">
        <f>ProbStrikeFrancis(K565, I565, L565, INDEX('Route Data'!$G$7:$G$8,E565),C565, INDEX('Route Data'!$F$7:$F$8,E565), INDEX('Route Data'!$O$7:$O$8,E565), INDEX('Route Data'!$H$7:$H$18,E565))</f>
        <v>1</v>
      </c>
      <c r="O565" s="5" t="str">
        <f>IF(F565&gt;=1,IF(M565&lt;=N565,"STRIKE","pass"),IF(M565&lt;=INDEX('Route Data'!$R$7:$R$8,E565),"NO PASS","pass"))</f>
        <v>STRIKE</v>
      </c>
      <c r="P565" s="5">
        <f>IF(F565&gt;=1,IF(M565&lt;=N565,1,0),IF(M565&lt;=INDEX('Route Data'!$R$7:$R$8,E565),-1,0))</f>
        <v>1</v>
      </c>
    </row>
    <row r="566" spans="1:16">
      <c r="A566" s="5">
        <v>556</v>
      </c>
      <c r="B566" s="12">
        <v>22.33</v>
      </c>
      <c r="C566" s="12">
        <f t="shared" si="8"/>
        <v>1.86</v>
      </c>
      <c r="D566" s="8">
        <v>0.58693480491638184</v>
      </c>
      <c r="E566" s="5">
        <f>MATCH(D566,'Route Data'!$C$7:$C$8,1)</f>
        <v>2</v>
      </c>
      <c r="F566" s="5">
        <f>INDEX('Route Data'!$D$7:$D$8,E566)</f>
        <v>1</v>
      </c>
      <c r="G566" s="5" t="str">
        <f>INDEX('Route Data'!$A$7:$A$8,E566)</f>
        <v>u18</v>
      </c>
      <c r="H566" s="5">
        <f>EnergyCoeff(INDEX('Route Data'!$K$7:$K$8,E566),INDEX('Route Data'!$L$7:$L$8,E566)*2*PI()/60,INDEX('Route Data'!$F$7:$F$8,E566))</f>
        <v>0.19430699130049439</v>
      </c>
      <c r="I566" s="5">
        <f>DischargeCoeff(INDEX('Route Data'!$I$7:$I$8,E566), INDEX('Route Data'!$L$7:$L$8,E566)*2*PI()/60, INDEX('Route Data'!$F$7:$F$8,E566))</f>
        <v>0.15939200179827354</v>
      </c>
      <c r="J566" s="8">
        <f>FlowAngleRel(INDEX('Route Data'!$J$7:$J$8,E566)*INDEX('Route Data'!$I$7:$I$8,E566), INDEX('Route Data'!$L$7:$L$8,E566)*2*PI()/60, INDEX('Route Data'!$F$7:$F$8,E566),INDEX('Route Data'!$O$7:$O$8,E566), INDEX('Route Data'!$P$7:$P$8,E566),INDEX('Route Data'!$M$7:$M$8,E566))</f>
        <v>1.130811765868994</v>
      </c>
      <c r="K566" s="8">
        <f>FlowAngleAbsT(INDEX('Route Data'!$K$7:$K$8,E566), INDEX('Route Data'!$I$7:$I$8,E566), INDEX('Route Data'!$I$7:$I$8,E566)*INDEX('Route Data'!$J$7:$J$8,E566), INDEX('Route Data'!$L$7:$L$8,E566)*2*PI()/60, INDEX('Route Data'!$F$7:$F$8,E566),INDEX('Route Data'!$O$7:$O$8,E566), INDEX('Route Data'!$P$7:$P$8,E566), INDEX('Route Data'!$H$7:$H$8,E566), INDEX('Route Data'!$Q$7:$Q$8,E566), INDEX('Route Data'!$M$7:$M$8,E566))</f>
        <v>0.51617226640175828</v>
      </c>
      <c r="L566" s="5">
        <f>INDEX('Route Data'!$N$7:$N$8,E566)</f>
        <v>0.4</v>
      </c>
      <c r="M566" s="8">
        <v>0.55721306800842285</v>
      </c>
      <c r="N566" s="8">
        <f>ProbStrikeFrancis(K566, I566, L566, INDEX('Route Data'!$G$7:$G$8,E566),C566, INDEX('Route Data'!$F$7:$F$8,E566), INDEX('Route Data'!$O$7:$O$8,E566), INDEX('Route Data'!$H$7:$H$18,E566))</f>
        <v>1</v>
      </c>
      <c r="O566" s="5" t="str">
        <f>IF(F566&gt;=1,IF(M566&lt;=N566,"STRIKE","pass"),IF(M566&lt;=INDEX('Route Data'!$R$7:$R$8,E566),"NO PASS","pass"))</f>
        <v>STRIKE</v>
      </c>
      <c r="P566" s="5">
        <f>IF(F566&gt;=1,IF(M566&lt;=N566,1,0),IF(M566&lt;=INDEX('Route Data'!$R$7:$R$8,E566),-1,0))</f>
        <v>1</v>
      </c>
    </row>
    <row r="567" spans="1:16">
      <c r="A567" s="5">
        <v>557</v>
      </c>
      <c r="B567" s="12">
        <v>21.26</v>
      </c>
      <c r="C567" s="12">
        <f t="shared" si="8"/>
        <v>1.77</v>
      </c>
      <c r="D567" s="8">
        <v>0.79392522573471069</v>
      </c>
      <c r="E567" s="5">
        <f>MATCH(D567,'Route Data'!$C$7:$C$8,1)</f>
        <v>2</v>
      </c>
      <c r="F567" s="5">
        <f>INDEX('Route Data'!$D$7:$D$8,E567)</f>
        <v>1</v>
      </c>
      <c r="G567" s="5" t="str">
        <f>INDEX('Route Data'!$A$7:$A$8,E567)</f>
        <v>u18</v>
      </c>
      <c r="H567" s="5">
        <f>EnergyCoeff(INDEX('Route Data'!$K$7:$K$8,E567),INDEX('Route Data'!$L$7:$L$8,E567)*2*PI()/60,INDEX('Route Data'!$F$7:$F$8,E567))</f>
        <v>0.19430699130049439</v>
      </c>
      <c r="I567" s="5">
        <f>DischargeCoeff(INDEX('Route Data'!$I$7:$I$8,E567), INDEX('Route Data'!$L$7:$L$8,E567)*2*PI()/60, INDEX('Route Data'!$F$7:$F$8,E567))</f>
        <v>0.15939200179827354</v>
      </c>
      <c r="J567" s="8">
        <f>FlowAngleRel(INDEX('Route Data'!$J$7:$J$8,E567)*INDEX('Route Data'!$I$7:$I$8,E567), INDEX('Route Data'!$L$7:$L$8,E567)*2*PI()/60, INDEX('Route Data'!$F$7:$F$8,E567),INDEX('Route Data'!$O$7:$O$8,E567), INDEX('Route Data'!$P$7:$P$8,E567),INDEX('Route Data'!$M$7:$M$8,E567))</f>
        <v>1.130811765868994</v>
      </c>
      <c r="K567" s="8">
        <f>FlowAngleAbsT(INDEX('Route Data'!$K$7:$K$8,E567), INDEX('Route Data'!$I$7:$I$8,E567), INDEX('Route Data'!$I$7:$I$8,E567)*INDEX('Route Data'!$J$7:$J$8,E567), INDEX('Route Data'!$L$7:$L$8,E567)*2*PI()/60, INDEX('Route Data'!$F$7:$F$8,E567),INDEX('Route Data'!$O$7:$O$8,E567), INDEX('Route Data'!$P$7:$P$8,E567), INDEX('Route Data'!$H$7:$H$8,E567), INDEX('Route Data'!$Q$7:$Q$8,E567), INDEX('Route Data'!$M$7:$M$8,E567))</f>
        <v>0.51617226640175828</v>
      </c>
      <c r="L567" s="5">
        <f>INDEX('Route Data'!$N$7:$N$8,E567)</f>
        <v>0.4</v>
      </c>
      <c r="M567" s="8">
        <v>0.37158530950546265</v>
      </c>
      <c r="N567" s="8">
        <f>ProbStrikeFrancis(K567, I567, L567, INDEX('Route Data'!$G$7:$G$8,E567),C567, INDEX('Route Data'!$F$7:$F$8,E567), INDEX('Route Data'!$O$7:$O$8,E567), INDEX('Route Data'!$H$7:$H$18,E567))</f>
        <v>1</v>
      </c>
      <c r="O567" s="5" t="str">
        <f>IF(F567&gt;=1,IF(M567&lt;=N567,"STRIKE","pass"),IF(M567&lt;=INDEX('Route Data'!$R$7:$R$8,E567),"NO PASS","pass"))</f>
        <v>STRIKE</v>
      </c>
      <c r="P567" s="5">
        <f>IF(F567&gt;=1,IF(M567&lt;=N567,1,0),IF(M567&lt;=INDEX('Route Data'!$R$7:$R$8,E567),-1,0))</f>
        <v>1</v>
      </c>
    </row>
    <row r="568" spans="1:16">
      <c r="A568" s="5">
        <v>558</v>
      </c>
      <c r="B568" s="12">
        <v>22.36</v>
      </c>
      <c r="C568" s="12">
        <f t="shared" si="8"/>
        <v>1.86</v>
      </c>
      <c r="D568" s="8">
        <v>0.90737473964691162</v>
      </c>
      <c r="E568" s="5">
        <f>MATCH(D568,'Route Data'!$C$7:$C$8,1)</f>
        <v>2</v>
      </c>
      <c r="F568" s="5">
        <f>INDEX('Route Data'!$D$7:$D$8,E568)</f>
        <v>1</v>
      </c>
      <c r="G568" s="5" t="str">
        <f>INDEX('Route Data'!$A$7:$A$8,E568)</f>
        <v>u18</v>
      </c>
      <c r="H568" s="5">
        <f>EnergyCoeff(INDEX('Route Data'!$K$7:$K$8,E568),INDEX('Route Data'!$L$7:$L$8,E568)*2*PI()/60,INDEX('Route Data'!$F$7:$F$8,E568))</f>
        <v>0.19430699130049439</v>
      </c>
      <c r="I568" s="5">
        <f>DischargeCoeff(INDEX('Route Data'!$I$7:$I$8,E568), INDEX('Route Data'!$L$7:$L$8,E568)*2*PI()/60, INDEX('Route Data'!$F$7:$F$8,E568))</f>
        <v>0.15939200179827354</v>
      </c>
      <c r="J568" s="8">
        <f>FlowAngleRel(INDEX('Route Data'!$J$7:$J$8,E568)*INDEX('Route Data'!$I$7:$I$8,E568), INDEX('Route Data'!$L$7:$L$8,E568)*2*PI()/60, INDEX('Route Data'!$F$7:$F$8,E568),INDEX('Route Data'!$O$7:$O$8,E568), INDEX('Route Data'!$P$7:$P$8,E568),INDEX('Route Data'!$M$7:$M$8,E568))</f>
        <v>1.130811765868994</v>
      </c>
      <c r="K568" s="8">
        <f>FlowAngleAbsT(INDEX('Route Data'!$K$7:$K$8,E568), INDEX('Route Data'!$I$7:$I$8,E568), INDEX('Route Data'!$I$7:$I$8,E568)*INDEX('Route Data'!$J$7:$J$8,E568), INDEX('Route Data'!$L$7:$L$8,E568)*2*PI()/60, INDEX('Route Data'!$F$7:$F$8,E568),INDEX('Route Data'!$O$7:$O$8,E568), INDEX('Route Data'!$P$7:$P$8,E568), INDEX('Route Data'!$H$7:$H$8,E568), INDEX('Route Data'!$Q$7:$Q$8,E568), INDEX('Route Data'!$M$7:$M$8,E568))</f>
        <v>0.51617226640175828</v>
      </c>
      <c r="L568" s="5">
        <f>INDEX('Route Data'!$N$7:$N$8,E568)</f>
        <v>0.4</v>
      </c>
      <c r="M568" s="8">
        <v>0.19404780864715576</v>
      </c>
      <c r="N568" s="8">
        <f>ProbStrikeFrancis(K568, I568, L568, INDEX('Route Data'!$G$7:$G$8,E568),C568, INDEX('Route Data'!$F$7:$F$8,E568), INDEX('Route Data'!$O$7:$O$8,E568), INDEX('Route Data'!$H$7:$H$18,E568))</f>
        <v>1</v>
      </c>
      <c r="O568" s="5" t="str">
        <f>IF(F568&gt;=1,IF(M568&lt;=N568,"STRIKE","pass"),IF(M568&lt;=INDEX('Route Data'!$R$7:$R$8,E568),"NO PASS","pass"))</f>
        <v>STRIKE</v>
      </c>
      <c r="P568" s="5">
        <f>IF(F568&gt;=1,IF(M568&lt;=N568,1,0),IF(M568&lt;=INDEX('Route Data'!$R$7:$R$8,E568),-1,0))</f>
        <v>1</v>
      </c>
    </row>
    <row r="569" spans="1:16">
      <c r="A569" s="5">
        <v>559</v>
      </c>
      <c r="B569" s="12">
        <v>18.010000000000002</v>
      </c>
      <c r="C569" s="12">
        <f t="shared" si="8"/>
        <v>1.5</v>
      </c>
      <c r="D569" s="8">
        <v>0.83260542154312134</v>
      </c>
      <c r="E569" s="5">
        <f>MATCH(D569,'Route Data'!$C$7:$C$8,1)</f>
        <v>2</v>
      </c>
      <c r="F569" s="5">
        <f>INDEX('Route Data'!$D$7:$D$8,E569)</f>
        <v>1</v>
      </c>
      <c r="G569" s="5" t="str">
        <f>INDEX('Route Data'!$A$7:$A$8,E569)</f>
        <v>u18</v>
      </c>
      <c r="H569" s="5">
        <f>EnergyCoeff(INDEX('Route Data'!$K$7:$K$8,E569),INDEX('Route Data'!$L$7:$L$8,E569)*2*PI()/60,INDEX('Route Data'!$F$7:$F$8,E569))</f>
        <v>0.19430699130049439</v>
      </c>
      <c r="I569" s="5">
        <f>DischargeCoeff(INDEX('Route Data'!$I$7:$I$8,E569), INDEX('Route Data'!$L$7:$L$8,E569)*2*PI()/60, INDEX('Route Data'!$F$7:$F$8,E569))</f>
        <v>0.15939200179827354</v>
      </c>
      <c r="J569" s="8">
        <f>FlowAngleRel(INDEX('Route Data'!$J$7:$J$8,E569)*INDEX('Route Data'!$I$7:$I$8,E569), INDEX('Route Data'!$L$7:$L$8,E569)*2*PI()/60, INDEX('Route Data'!$F$7:$F$8,E569),INDEX('Route Data'!$O$7:$O$8,E569), INDEX('Route Data'!$P$7:$P$8,E569),INDEX('Route Data'!$M$7:$M$8,E569))</f>
        <v>1.130811765868994</v>
      </c>
      <c r="K569" s="8">
        <f>FlowAngleAbsT(INDEX('Route Data'!$K$7:$K$8,E569), INDEX('Route Data'!$I$7:$I$8,E569), INDEX('Route Data'!$I$7:$I$8,E569)*INDEX('Route Data'!$J$7:$J$8,E569), INDEX('Route Data'!$L$7:$L$8,E569)*2*PI()/60, INDEX('Route Data'!$F$7:$F$8,E569),INDEX('Route Data'!$O$7:$O$8,E569), INDEX('Route Data'!$P$7:$P$8,E569), INDEX('Route Data'!$H$7:$H$8,E569), INDEX('Route Data'!$Q$7:$Q$8,E569), INDEX('Route Data'!$M$7:$M$8,E569))</f>
        <v>0.51617226640175828</v>
      </c>
      <c r="L569" s="5">
        <f>INDEX('Route Data'!$N$7:$N$8,E569)</f>
        <v>0.4</v>
      </c>
      <c r="M569" s="8">
        <v>0.46108108758926392</v>
      </c>
      <c r="N569" s="8">
        <f>ProbStrikeFrancis(K569, I569, L569, INDEX('Route Data'!$G$7:$G$8,E569),C569, INDEX('Route Data'!$F$7:$F$8,E569), INDEX('Route Data'!$O$7:$O$8,E569), INDEX('Route Data'!$H$7:$H$18,E569))</f>
        <v>1</v>
      </c>
      <c r="O569" s="5" t="str">
        <f>IF(F569&gt;=1,IF(M569&lt;=N569,"STRIKE","pass"),IF(M569&lt;=INDEX('Route Data'!$R$7:$R$8,E569),"NO PASS","pass"))</f>
        <v>STRIKE</v>
      </c>
      <c r="P569" s="5">
        <f>IF(F569&gt;=1,IF(M569&lt;=N569,1,0),IF(M569&lt;=INDEX('Route Data'!$R$7:$R$8,E569),-1,0))</f>
        <v>1</v>
      </c>
    </row>
    <row r="570" spans="1:16">
      <c r="A570" s="5">
        <v>560</v>
      </c>
      <c r="B570" s="12">
        <v>23.14</v>
      </c>
      <c r="C570" s="12">
        <f t="shared" si="8"/>
        <v>1.93</v>
      </c>
      <c r="D570" s="8">
        <v>5.6913375854492188E-2</v>
      </c>
      <c r="E570" s="5">
        <f>MATCH(D570,'Route Data'!$C$7:$C$8,1)</f>
        <v>2</v>
      </c>
      <c r="F570" s="5">
        <f>INDEX('Route Data'!$D$7:$D$8,E570)</f>
        <v>1</v>
      </c>
      <c r="G570" s="5" t="str">
        <f>INDEX('Route Data'!$A$7:$A$8,E570)</f>
        <v>u18</v>
      </c>
      <c r="H570" s="5">
        <f>EnergyCoeff(INDEX('Route Data'!$K$7:$K$8,E570),INDEX('Route Data'!$L$7:$L$8,E570)*2*PI()/60,INDEX('Route Data'!$F$7:$F$8,E570))</f>
        <v>0.19430699130049439</v>
      </c>
      <c r="I570" s="5">
        <f>DischargeCoeff(INDEX('Route Data'!$I$7:$I$8,E570), INDEX('Route Data'!$L$7:$L$8,E570)*2*PI()/60, INDEX('Route Data'!$F$7:$F$8,E570))</f>
        <v>0.15939200179827354</v>
      </c>
      <c r="J570" s="8">
        <f>FlowAngleRel(INDEX('Route Data'!$J$7:$J$8,E570)*INDEX('Route Data'!$I$7:$I$8,E570), INDEX('Route Data'!$L$7:$L$8,E570)*2*PI()/60, INDEX('Route Data'!$F$7:$F$8,E570),INDEX('Route Data'!$O$7:$O$8,E570), INDEX('Route Data'!$P$7:$P$8,E570),INDEX('Route Data'!$M$7:$M$8,E570))</f>
        <v>1.130811765868994</v>
      </c>
      <c r="K570" s="8">
        <f>FlowAngleAbsT(INDEX('Route Data'!$K$7:$K$8,E570), INDEX('Route Data'!$I$7:$I$8,E570), INDEX('Route Data'!$I$7:$I$8,E570)*INDEX('Route Data'!$J$7:$J$8,E570), INDEX('Route Data'!$L$7:$L$8,E570)*2*PI()/60, INDEX('Route Data'!$F$7:$F$8,E570),INDEX('Route Data'!$O$7:$O$8,E570), INDEX('Route Data'!$P$7:$P$8,E570), INDEX('Route Data'!$H$7:$H$8,E570), INDEX('Route Data'!$Q$7:$Q$8,E570), INDEX('Route Data'!$M$7:$M$8,E570))</f>
        <v>0.51617226640175828</v>
      </c>
      <c r="L570" s="5">
        <f>INDEX('Route Data'!$N$7:$N$8,E570)</f>
        <v>0.4</v>
      </c>
      <c r="M570" s="8">
        <v>0.65998125076293945</v>
      </c>
      <c r="N570" s="8">
        <f>ProbStrikeFrancis(K570, I570, L570, INDEX('Route Data'!$G$7:$G$8,E570),C570, INDEX('Route Data'!$F$7:$F$8,E570), INDEX('Route Data'!$O$7:$O$8,E570), INDEX('Route Data'!$H$7:$H$18,E570))</f>
        <v>1</v>
      </c>
      <c r="O570" s="5" t="str">
        <f>IF(F570&gt;=1,IF(M570&lt;=N570,"STRIKE","pass"),IF(M570&lt;=INDEX('Route Data'!$R$7:$R$8,E570),"NO PASS","pass"))</f>
        <v>STRIKE</v>
      </c>
      <c r="P570" s="5">
        <f>IF(F570&gt;=1,IF(M570&lt;=N570,1,0),IF(M570&lt;=INDEX('Route Data'!$R$7:$R$8,E570),-1,0))</f>
        <v>1</v>
      </c>
    </row>
    <row r="571" spans="1:16">
      <c r="A571" s="5">
        <v>561</v>
      </c>
      <c r="B571" s="12">
        <v>20.89</v>
      </c>
      <c r="C571" s="12">
        <f t="shared" si="8"/>
        <v>1.74</v>
      </c>
      <c r="D571" s="8">
        <v>0.38398951292037964</v>
      </c>
      <c r="E571" s="5">
        <f>MATCH(D571,'Route Data'!$C$7:$C$8,1)</f>
        <v>2</v>
      </c>
      <c r="F571" s="5">
        <f>INDEX('Route Data'!$D$7:$D$8,E571)</f>
        <v>1</v>
      </c>
      <c r="G571" s="5" t="str">
        <f>INDEX('Route Data'!$A$7:$A$8,E571)</f>
        <v>u18</v>
      </c>
      <c r="H571" s="5">
        <f>EnergyCoeff(INDEX('Route Data'!$K$7:$K$8,E571),INDEX('Route Data'!$L$7:$L$8,E571)*2*PI()/60,INDEX('Route Data'!$F$7:$F$8,E571))</f>
        <v>0.19430699130049439</v>
      </c>
      <c r="I571" s="5">
        <f>DischargeCoeff(INDEX('Route Data'!$I$7:$I$8,E571), INDEX('Route Data'!$L$7:$L$8,E571)*2*PI()/60, INDEX('Route Data'!$F$7:$F$8,E571))</f>
        <v>0.15939200179827354</v>
      </c>
      <c r="J571" s="8">
        <f>FlowAngleRel(INDEX('Route Data'!$J$7:$J$8,E571)*INDEX('Route Data'!$I$7:$I$8,E571), INDEX('Route Data'!$L$7:$L$8,E571)*2*PI()/60, INDEX('Route Data'!$F$7:$F$8,E571),INDEX('Route Data'!$O$7:$O$8,E571), INDEX('Route Data'!$P$7:$P$8,E571),INDEX('Route Data'!$M$7:$M$8,E571))</f>
        <v>1.130811765868994</v>
      </c>
      <c r="K571" s="8">
        <f>FlowAngleAbsT(INDEX('Route Data'!$K$7:$K$8,E571), INDEX('Route Data'!$I$7:$I$8,E571), INDEX('Route Data'!$I$7:$I$8,E571)*INDEX('Route Data'!$J$7:$J$8,E571), INDEX('Route Data'!$L$7:$L$8,E571)*2*PI()/60, INDEX('Route Data'!$F$7:$F$8,E571),INDEX('Route Data'!$O$7:$O$8,E571), INDEX('Route Data'!$P$7:$P$8,E571), INDEX('Route Data'!$H$7:$H$8,E571), INDEX('Route Data'!$Q$7:$Q$8,E571), INDEX('Route Data'!$M$7:$M$8,E571))</f>
        <v>0.51617226640175828</v>
      </c>
      <c r="L571" s="5">
        <f>INDEX('Route Data'!$N$7:$N$8,E571)</f>
        <v>0.4</v>
      </c>
      <c r="M571" s="8">
        <v>0.32885998487472534</v>
      </c>
      <c r="N571" s="8">
        <f>ProbStrikeFrancis(K571, I571, L571, INDEX('Route Data'!$G$7:$G$8,E571),C571, INDEX('Route Data'!$F$7:$F$8,E571), INDEX('Route Data'!$O$7:$O$8,E571), INDEX('Route Data'!$H$7:$H$18,E571))</f>
        <v>1</v>
      </c>
      <c r="O571" s="5" t="str">
        <f>IF(F571&gt;=1,IF(M571&lt;=N571,"STRIKE","pass"),IF(M571&lt;=INDEX('Route Data'!$R$7:$R$8,E571),"NO PASS","pass"))</f>
        <v>STRIKE</v>
      </c>
      <c r="P571" s="5">
        <f>IF(F571&gt;=1,IF(M571&lt;=N571,1,0),IF(M571&lt;=INDEX('Route Data'!$R$7:$R$8,E571),-1,0))</f>
        <v>1</v>
      </c>
    </row>
    <row r="572" spans="1:16">
      <c r="A572" s="5">
        <v>562</v>
      </c>
      <c r="B572" s="12">
        <v>23.37</v>
      </c>
      <c r="C572" s="12">
        <f t="shared" si="8"/>
        <v>1.95</v>
      </c>
      <c r="D572" s="8">
        <v>0.40276110172271729</v>
      </c>
      <c r="E572" s="5">
        <f>MATCH(D572,'Route Data'!$C$7:$C$8,1)</f>
        <v>2</v>
      </c>
      <c r="F572" s="5">
        <f>INDEX('Route Data'!$D$7:$D$8,E572)</f>
        <v>1</v>
      </c>
      <c r="G572" s="5" t="str">
        <f>INDEX('Route Data'!$A$7:$A$8,E572)</f>
        <v>u18</v>
      </c>
      <c r="H572" s="5">
        <f>EnergyCoeff(INDEX('Route Data'!$K$7:$K$8,E572),INDEX('Route Data'!$L$7:$L$8,E572)*2*PI()/60,INDEX('Route Data'!$F$7:$F$8,E572))</f>
        <v>0.19430699130049439</v>
      </c>
      <c r="I572" s="5">
        <f>DischargeCoeff(INDEX('Route Data'!$I$7:$I$8,E572), INDEX('Route Data'!$L$7:$L$8,E572)*2*PI()/60, INDEX('Route Data'!$F$7:$F$8,E572))</f>
        <v>0.15939200179827354</v>
      </c>
      <c r="J572" s="8">
        <f>FlowAngleRel(INDEX('Route Data'!$J$7:$J$8,E572)*INDEX('Route Data'!$I$7:$I$8,E572), INDEX('Route Data'!$L$7:$L$8,E572)*2*PI()/60, INDEX('Route Data'!$F$7:$F$8,E572),INDEX('Route Data'!$O$7:$O$8,E572), INDEX('Route Data'!$P$7:$P$8,E572),INDEX('Route Data'!$M$7:$M$8,E572))</f>
        <v>1.130811765868994</v>
      </c>
      <c r="K572" s="8">
        <f>FlowAngleAbsT(INDEX('Route Data'!$K$7:$K$8,E572), INDEX('Route Data'!$I$7:$I$8,E572), INDEX('Route Data'!$I$7:$I$8,E572)*INDEX('Route Data'!$J$7:$J$8,E572), INDEX('Route Data'!$L$7:$L$8,E572)*2*PI()/60, INDEX('Route Data'!$F$7:$F$8,E572),INDEX('Route Data'!$O$7:$O$8,E572), INDEX('Route Data'!$P$7:$P$8,E572), INDEX('Route Data'!$H$7:$H$8,E572), INDEX('Route Data'!$Q$7:$Q$8,E572), INDEX('Route Data'!$M$7:$M$8,E572))</f>
        <v>0.51617226640175828</v>
      </c>
      <c r="L572" s="5">
        <f>INDEX('Route Data'!$N$7:$N$8,E572)</f>
        <v>0.4</v>
      </c>
      <c r="M572" s="8">
        <v>0.32222378253936768</v>
      </c>
      <c r="N572" s="8">
        <f>ProbStrikeFrancis(K572, I572, L572, INDEX('Route Data'!$G$7:$G$8,E572),C572, INDEX('Route Data'!$F$7:$F$8,E572), INDEX('Route Data'!$O$7:$O$8,E572), INDEX('Route Data'!$H$7:$H$18,E572))</f>
        <v>1</v>
      </c>
      <c r="O572" s="5" t="str">
        <f>IF(F572&gt;=1,IF(M572&lt;=N572,"STRIKE","pass"),IF(M572&lt;=INDEX('Route Data'!$R$7:$R$8,E572),"NO PASS","pass"))</f>
        <v>STRIKE</v>
      </c>
      <c r="P572" s="5">
        <f>IF(F572&gt;=1,IF(M572&lt;=N572,1,0),IF(M572&lt;=INDEX('Route Data'!$R$7:$R$8,E572),-1,0))</f>
        <v>1</v>
      </c>
    </row>
    <row r="573" spans="1:16">
      <c r="A573" s="5">
        <v>563</v>
      </c>
      <c r="B573" s="12">
        <v>23.97</v>
      </c>
      <c r="C573" s="12">
        <f t="shared" si="8"/>
        <v>2</v>
      </c>
      <c r="D573" s="8">
        <v>0.81528788805007935</v>
      </c>
      <c r="E573" s="5">
        <f>MATCH(D573,'Route Data'!$C$7:$C$8,1)</f>
        <v>2</v>
      </c>
      <c r="F573" s="5">
        <f>INDEX('Route Data'!$D$7:$D$8,E573)</f>
        <v>1</v>
      </c>
      <c r="G573" s="5" t="str">
        <f>INDEX('Route Data'!$A$7:$A$8,E573)</f>
        <v>u18</v>
      </c>
      <c r="H573" s="5">
        <f>EnergyCoeff(INDEX('Route Data'!$K$7:$K$8,E573),INDEX('Route Data'!$L$7:$L$8,E573)*2*PI()/60,INDEX('Route Data'!$F$7:$F$8,E573))</f>
        <v>0.19430699130049439</v>
      </c>
      <c r="I573" s="5">
        <f>DischargeCoeff(INDEX('Route Data'!$I$7:$I$8,E573), INDEX('Route Data'!$L$7:$L$8,E573)*2*PI()/60, INDEX('Route Data'!$F$7:$F$8,E573))</f>
        <v>0.15939200179827354</v>
      </c>
      <c r="J573" s="8">
        <f>FlowAngleRel(INDEX('Route Data'!$J$7:$J$8,E573)*INDEX('Route Data'!$I$7:$I$8,E573), INDEX('Route Data'!$L$7:$L$8,E573)*2*PI()/60, INDEX('Route Data'!$F$7:$F$8,E573),INDEX('Route Data'!$O$7:$O$8,E573), INDEX('Route Data'!$P$7:$P$8,E573),INDEX('Route Data'!$M$7:$M$8,E573))</f>
        <v>1.130811765868994</v>
      </c>
      <c r="K573" s="8">
        <f>FlowAngleAbsT(INDEX('Route Data'!$K$7:$K$8,E573), INDEX('Route Data'!$I$7:$I$8,E573), INDEX('Route Data'!$I$7:$I$8,E573)*INDEX('Route Data'!$J$7:$J$8,E573), INDEX('Route Data'!$L$7:$L$8,E573)*2*PI()/60, INDEX('Route Data'!$F$7:$F$8,E573),INDEX('Route Data'!$O$7:$O$8,E573), INDEX('Route Data'!$P$7:$P$8,E573), INDEX('Route Data'!$H$7:$H$8,E573), INDEX('Route Data'!$Q$7:$Q$8,E573), INDEX('Route Data'!$M$7:$M$8,E573))</f>
        <v>0.51617226640175828</v>
      </c>
      <c r="L573" s="5">
        <f>INDEX('Route Data'!$N$7:$N$8,E573)</f>
        <v>0.4</v>
      </c>
      <c r="M573" s="8">
        <v>7.6553165912628174E-2</v>
      </c>
      <c r="N573" s="8">
        <f>ProbStrikeFrancis(K573, I573, L573, INDEX('Route Data'!$G$7:$G$8,E573),C573, INDEX('Route Data'!$F$7:$F$8,E573), INDEX('Route Data'!$O$7:$O$8,E573), INDEX('Route Data'!$H$7:$H$18,E573))</f>
        <v>1</v>
      </c>
      <c r="O573" s="5" t="str">
        <f>IF(F573&gt;=1,IF(M573&lt;=N573,"STRIKE","pass"),IF(M573&lt;=INDEX('Route Data'!$R$7:$R$8,E573),"NO PASS","pass"))</f>
        <v>STRIKE</v>
      </c>
      <c r="P573" s="5">
        <f>IF(F573&gt;=1,IF(M573&lt;=N573,1,0),IF(M573&lt;=INDEX('Route Data'!$R$7:$R$8,E573),-1,0))</f>
        <v>1</v>
      </c>
    </row>
    <row r="574" spans="1:16">
      <c r="A574" s="5">
        <v>564</v>
      </c>
      <c r="B574" s="12">
        <v>24.47</v>
      </c>
      <c r="C574" s="12">
        <f t="shared" si="8"/>
        <v>2.04</v>
      </c>
      <c r="D574" s="8">
        <v>0.84328675270080566</v>
      </c>
      <c r="E574" s="5">
        <f>MATCH(D574,'Route Data'!$C$7:$C$8,1)</f>
        <v>2</v>
      </c>
      <c r="F574" s="5">
        <f>INDEX('Route Data'!$D$7:$D$8,E574)</f>
        <v>1</v>
      </c>
      <c r="G574" s="5" t="str">
        <f>INDEX('Route Data'!$A$7:$A$8,E574)</f>
        <v>u18</v>
      </c>
      <c r="H574" s="5">
        <f>EnergyCoeff(INDEX('Route Data'!$K$7:$K$8,E574),INDEX('Route Data'!$L$7:$L$8,E574)*2*PI()/60,INDEX('Route Data'!$F$7:$F$8,E574))</f>
        <v>0.19430699130049439</v>
      </c>
      <c r="I574" s="5">
        <f>DischargeCoeff(INDEX('Route Data'!$I$7:$I$8,E574), INDEX('Route Data'!$L$7:$L$8,E574)*2*PI()/60, INDEX('Route Data'!$F$7:$F$8,E574))</f>
        <v>0.15939200179827354</v>
      </c>
      <c r="J574" s="8">
        <f>FlowAngleRel(INDEX('Route Data'!$J$7:$J$8,E574)*INDEX('Route Data'!$I$7:$I$8,E574), INDEX('Route Data'!$L$7:$L$8,E574)*2*PI()/60, INDEX('Route Data'!$F$7:$F$8,E574),INDEX('Route Data'!$O$7:$O$8,E574), INDEX('Route Data'!$P$7:$P$8,E574),INDEX('Route Data'!$M$7:$M$8,E574))</f>
        <v>1.130811765868994</v>
      </c>
      <c r="K574" s="8">
        <f>FlowAngleAbsT(INDEX('Route Data'!$K$7:$K$8,E574), INDEX('Route Data'!$I$7:$I$8,E574), INDEX('Route Data'!$I$7:$I$8,E574)*INDEX('Route Data'!$J$7:$J$8,E574), INDEX('Route Data'!$L$7:$L$8,E574)*2*PI()/60, INDEX('Route Data'!$F$7:$F$8,E574),INDEX('Route Data'!$O$7:$O$8,E574), INDEX('Route Data'!$P$7:$P$8,E574), INDEX('Route Data'!$H$7:$H$8,E574), INDEX('Route Data'!$Q$7:$Q$8,E574), INDEX('Route Data'!$M$7:$M$8,E574))</f>
        <v>0.51617226640175828</v>
      </c>
      <c r="L574" s="5">
        <f>INDEX('Route Data'!$N$7:$N$8,E574)</f>
        <v>0.4</v>
      </c>
      <c r="M574" s="8">
        <v>7.914423942565918E-2</v>
      </c>
      <c r="N574" s="8">
        <f>ProbStrikeFrancis(K574, I574, L574, INDEX('Route Data'!$G$7:$G$8,E574),C574, INDEX('Route Data'!$F$7:$F$8,E574), INDEX('Route Data'!$O$7:$O$8,E574), INDEX('Route Data'!$H$7:$H$18,E574))</f>
        <v>1</v>
      </c>
      <c r="O574" s="5" t="str">
        <f>IF(F574&gt;=1,IF(M574&lt;=N574,"STRIKE","pass"),IF(M574&lt;=INDEX('Route Data'!$R$7:$R$8,E574),"NO PASS","pass"))</f>
        <v>STRIKE</v>
      </c>
      <c r="P574" s="5">
        <f>IF(F574&gt;=1,IF(M574&lt;=N574,1,0),IF(M574&lt;=INDEX('Route Data'!$R$7:$R$8,E574),-1,0))</f>
        <v>1</v>
      </c>
    </row>
    <row r="575" spans="1:16">
      <c r="A575" s="5">
        <v>565</v>
      </c>
      <c r="B575" s="12">
        <v>23.08</v>
      </c>
      <c r="C575" s="12">
        <f t="shared" si="8"/>
        <v>1.92</v>
      </c>
      <c r="D575" s="8">
        <v>2.4869382381439209E-2</v>
      </c>
      <c r="E575" s="5">
        <f>MATCH(D575,'Route Data'!$C$7:$C$8,1)</f>
        <v>2</v>
      </c>
      <c r="F575" s="5">
        <f>INDEX('Route Data'!$D$7:$D$8,E575)</f>
        <v>1</v>
      </c>
      <c r="G575" s="5" t="str">
        <f>INDEX('Route Data'!$A$7:$A$8,E575)</f>
        <v>u18</v>
      </c>
      <c r="H575" s="5">
        <f>EnergyCoeff(INDEX('Route Data'!$K$7:$K$8,E575),INDEX('Route Data'!$L$7:$L$8,E575)*2*PI()/60,INDEX('Route Data'!$F$7:$F$8,E575))</f>
        <v>0.19430699130049439</v>
      </c>
      <c r="I575" s="5">
        <f>DischargeCoeff(INDEX('Route Data'!$I$7:$I$8,E575), INDEX('Route Data'!$L$7:$L$8,E575)*2*PI()/60, INDEX('Route Data'!$F$7:$F$8,E575))</f>
        <v>0.15939200179827354</v>
      </c>
      <c r="J575" s="8">
        <f>FlowAngleRel(INDEX('Route Data'!$J$7:$J$8,E575)*INDEX('Route Data'!$I$7:$I$8,E575), INDEX('Route Data'!$L$7:$L$8,E575)*2*PI()/60, INDEX('Route Data'!$F$7:$F$8,E575),INDEX('Route Data'!$O$7:$O$8,E575), INDEX('Route Data'!$P$7:$P$8,E575),INDEX('Route Data'!$M$7:$M$8,E575))</f>
        <v>1.130811765868994</v>
      </c>
      <c r="K575" s="8">
        <f>FlowAngleAbsT(INDEX('Route Data'!$K$7:$K$8,E575), INDEX('Route Data'!$I$7:$I$8,E575), INDEX('Route Data'!$I$7:$I$8,E575)*INDEX('Route Data'!$J$7:$J$8,E575), INDEX('Route Data'!$L$7:$L$8,E575)*2*PI()/60, INDEX('Route Data'!$F$7:$F$8,E575),INDEX('Route Data'!$O$7:$O$8,E575), INDEX('Route Data'!$P$7:$P$8,E575), INDEX('Route Data'!$H$7:$H$8,E575), INDEX('Route Data'!$Q$7:$Q$8,E575), INDEX('Route Data'!$M$7:$M$8,E575))</f>
        <v>0.51617226640175828</v>
      </c>
      <c r="L575" s="5">
        <f>INDEX('Route Data'!$N$7:$N$8,E575)</f>
        <v>0.4</v>
      </c>
      <c r="M575" s="8">
        <v>0.60252946615219116</v>
      </c>
      <c r="N575" s="8">
        <f>ProbStrikeFrancis(K575, I575, L575, INDEX('Route Data'!$G$7:$G$8,E575),C575, INDEX('Route Data'!$F$7:$F$8,E575), INDEX('Route Data'!$O$7:$O$8,E575), INDEX('Route Data'!$H$7:$H$18,E575))</f>
        <v>1</v>
      </c>
      <c r="O575" s="5" t="str">
        <f>IF(F575&gt;=1,IF(M575&lt;=N575,"STRIKE","pass"),IF(M575&lt;=INDEX('Route Data'!$R$7:$R$8,E575),"NO PASS","pass"))</f>
        <v>STRIKE</v>
      </c>
      <c r="P575" s="5">
        <f>IF(F575&gt;=1,IF(M575&lt;=N575,1,0),IF(M575&lt;=INDEX('Route Data'!$R$7:$R$8,E575),-1,0))</f>
        <v>1</v>
      </c>
    </row>
    <row r="576" spans="1:16">
      <c r="A576" s="5">
        <v>566</v>
      </c>
      <c r="B576" s="12">
        <v>17.78</v>
      </c>
      <c r="C576" s="12">
        <f t="shared" si="8"/>
        <v>1.48</v>
      </c>
      <c r="D576" s="8">
        <v>0.48012149333953857</v>
      </c>
      <c r="E576" s="5">
        <f>MATCH(D576,'Route Data'!$C$7:$C$8,1)</f>
        <v>2</v>
      </c>
      <c r="F576" s="5">
        <f>INDEX('Route Data'!$D$7:$D$8,E576)</f>
        <v>1</v>
      </c>
      <c r="G576" s="5" t="str">
        <f>INDEX('Route Data'!$A$7:$A$8,E576)</f>
        <v>u18</v>
      </c>
      <c r="H576" s="5">
        <f>EnergyCoeff(INDEX('Route Data'!$K$7:$K$8,E576),INDEX('Route Data'!$L$7:$L$8,E576)*2*PI()/60,INDEX('Route Data'!$F$7:$F$8,E576))</f>
        <v>0.19430699130049439</v>
      </c>
      <c r="I576" s="5">
        <f>DischargeCoeff(INDEX('Route Data'!$I$7:$I$8,E576), INDEX('Route Data'!$L$7:$L$8,E576)*2*PI()/60, INDEX('Route Data'!$F$7:$F$8,E576))</f>
        <v>0.15939200179827354</v>
      </c>
      <c r="J576" s="8">
        <f>FlowAngleRel(INDEX('Route Data'!$J$7:$J$8,E576)*INDEX('Route Data'!$I$7:$I$8,E576), INDEX('Route Data'!$L$7:$L$8,E576)*2*PI()/60, INDEX('Route Data'!$F$7:$F$8,E576),INDEX('Route Data'!$O$7:$O$8,E576), INDEX('Route Data'!$P$7:$P$8,E576),INDEX('Route Data'!$M$7:$M$8,E576))</f>
        <v>1.130811765868994</v>
      </c>
      <c r="K576" s="8">
        <f>FlowAngleAbsT(INDEX('Route Data'!$K$7:$K$8,E576), INDEX('Route Data'!$I$7:$I$8,E576), INDEX('Route Data'!$I$7:$I$8,E576)*INDEX('Route Data'!$J$7:$J$8,E576), INDEX('Route Data'!$L$7:$L$8,E576)*2*PI()/60, INDEX('Route Data'!$F$7:$F$8,E576),INDEX('Route Data'!$O$7:$O$8,E576), INDEX('Route Data'!$P$7:$P$8,E576), INDEX('Route Data'!$H$7:$H$8,E576), INDEX('Route Data'!$Q$7:$Q$8,E576), INDEX('Route Data'!$M$7:$M$8,E576))</f>
        <v>0.51617226640175828</v>
      </c>
      <c r="L576" s="5">
        <f>INDEX('Route Data'!$N$7:$N$8,E576)</f>
        <v>0.4</v>
      </c>
      <c r="M576" s="8">
        <v>0.76679456233978271</v>
      </c>
      <c r="N576" s="8">
        <f>ProbStrikeFrancis(K576, I576, L576, INDEX('Route Data'!$G$7:$G$8,E576),C576, INDEX('Route Data'!$F$7:$F$8,E576), INDEX('Route Data'!$O$7:$O$8,E576), INDEX('Route Data'!$H$7:$H$18,E576))</f>
        <v>1</v>
      </c>
      <c r="O576" s="5" t="str">
        <f>IF(F576&gt;=1,IF(M576&lt;=N576,"STRIKE","pass"),IF(M576&lt;=INDEX('Route Data'!$R$7:$R$8,E576),"NO PASS","pass"))</f>
        <v>STRIKE</v>
      </c>
      <c r="P576" s="5">
        <f>IF(F576&gt;=1,IF(M576&lt;=N576,1,0),IF(M576&lt;=INDEX('Route Data'!$R$7:$R$8,E576),-1,0))</f>
        <v>1</v>
      </c>
    </row>
    <row r="577" spans="1:16">
      <c r="A577" s="5">
        <v>567</v>
      </c>
      <c r="B577" s="12">
        <v>23.4</v>
      </c>
      <c r="C577" s="12">
        <f t="shared" si="8"/>
        <v>1.95</v>
      </c>
      <c r="D577" s="8">
        <v>0.11436516046524048</v>
      </c>
      <c r="E577" s="5">
        <f>MATCH(D577,'Route Data'!$C$7:$C$8,1)</f>
        <v>2</v>
      </c>
      <c r="F577" s="5">
        <f>INDEX('Route Data'!$D$7:$D$8,E577)</f>
        <v>1</v>
      </c>
      <c r="G577" s="5" t="str">
        <f>INDEX('Route Data'!$A$7:$A$8,E577)</f>
        <v>u18</v>
      </c>
      <c r="H577" s="5">
        <f>EnergyCoeff(INDEX('Route Data'!$K$7:$K$8,E577),INDEX('Route Data'!$L$7:$L$8,E577)*2*PI()/60,INDEX('Route Data'!$F$7:$F$8,E577))</f>
        <v>0.19430699130049439</v>
      </c>
      <c r="I577" s="5">
        <f>DischargeCoeff(INDEX('Route Data'!$I$7:$I$8,E577), INDEX('Route Data'!$L$7:$L$8,E577)*2*PI()/60, INDEX('Route Data'!$F$7:$F$8,E577))</f>
        <v>0.15939200179827354</v>
      </c>
      <c r="J577" s="8">
        <f>FlowAngleRel(INDEX('Route Data'!$J$7:$J$8,E577)*INDEX('Route Data'!$I$7:$I$8,E577), INDEX('Route Data'!$L$7:$L$8,E577)*2*PI()/60, INDEX('Route Data'!$F$7:$F$8,E577),INDEX('Route Data'!$O$7:$O$8,E577), INDEX('Route Data'!$P$7:$P$8,E577),INDEX('Route Data'!$M$7:$M$8,E577))</f>
        <v>1.130811765868994</v>
      </c>
      <c r="K577" s="8">
        <f>FlowAngleAbsT(INDEX('Route Data'!$K$7:$K$8,E577), INDEX('Route Data'!$I$7:$I$8,E577), INDEX('Route Data'!$I$7:$I$8,E577)*INDEX('Route Data'!$J$7:$J$8,E577), INDEX('Route Data'!$L$7:$L$8,E577)*2*PI()/60, INDEX('Route Data'!$F$7:$F$8,E577),INDEX('Route Data'!$O$7:$O$8,E577), INDEX('Route Data'!$P$7:$P$8,E577), INDEX('Route Data'!$H$7:$H$8,E577), INDEX('Route Data'!$Q$7:$Q$8,E577), INDEX('Route Data'!$M$7:$M$8,E577))</f>
        <v>0.51617226640175828</v>
      </c>
      <c r="L577" s="5">
        <f>INDEX('Route Data'!$N$7:$N$8,E577)</f>
        <v>0.4</v>
      </c>
      <c r="M577" s="8">
        <v>0.88378626108169556</v>
      </c>
      <c r="N577" s="8">
        <f>ProbStrikeFrancis(K577, I577, L577, INDEX('Route Data'!$G$7:$G$8,E577),C577, INDEX('Route Data'!$F$7:$F$8,E577), INDEX('Route Data'!$O$7:$O$8,E577), INDEX('Route Data'!$H$7:$H$18,E577))</f>
        <v>1</v>
      </c>
      <c r="O577" s="5" t="str">
        <f>IF(F577&gt;=1,IF(M577&lt;=N577,"STRIKE","pass"),IF(M577&lt;=INDEX('Route Data'!$R$7:$R$8,E577),"NO PASS","pass"))</f>
        <v>STRIKE</v>
      </c>
      <c r="P577" s="5">
        <f>IF(F577&gt;=1,IF(M577&lt;=N577,1,0),IF(M577&lt;=INDEX('Route Data'!$R$7:$R$8,E577),-1,0))</f>
        <v>1</v>
      </c>
    </row>
    <row r="578" spans="1:16">
      <c r="A578" s="5">
        <v>568</v>
      </c>
      <c r="B578" s="12">
        <v>19.98</v>
      </c>
      <c r="C578" s="12">
        <f t="shared" si="8"/>
        <v>1.67</v>
      </c>
      <c r="D578" s="8">
        <v>0.68047571182250977</v>
      </c>
      <c r="E578" s="5">
        <f>MATCH(D578,'Route Data'!$C$7:$C$8,1)</f>
        <v>2</v>
      </c>
      <c r="F578" s="5">
        <f>INDEX('Route Data'!$D$7:$D$8,E578)</f>
        <v>1</v>
      </c>
      <c r="G578" s="5" t="str">
        <f>INDEX('Route Data'!$A$7:$A$8,E578)</f>
        <v>u18</v>
      </c>
      <c r="H578" s="5">
        <f>EnergyCoeff(INDEX('Route Data'!$K$7:$K$8,E578),INDEX('Route Data'!$L$7:$L$8,E578)*2*PI()/60,INDEX('Route Data'!$F$7:$F$8,E578))</f>
        <v>0.19430699130049439</v>
      </c>
      <c r="I578" s="5">
        <f>DischargeCoeff(INDEX('Route Data'!$I$7:$I$8,E578), INDEX('Route Data'!$L$7:$L$8,E578)*2*PI()/60, INDEX('Route Data'!$F$7:$F$8,E578))</f>
        <v>0.15939200179827354</v>
      </c>
      <c r="J578" s="8">
        <f>FlowAngleRel(INDEX('Route Data'!$J$7:$J$8,E578)*INDEX('Route Data'!$I$7:$I$8,E578), INDEX('Route Data'!$L$7:$L$8,E578)*2*PI()/60, INDEX('Route Data'!$F$7:$F$8,E578),INDEX('Route Data'!$O$7:$O$8,E578), INDEX('Route Data'!$P$7:$P$8,E578),INDEX('Route Data'!$M$7:$M$8,E578))</f>
        <v>1.130811765868994</v>
      </c>
      <c r="K578" s="8">
        <f>FlowAngleAbsT(INDEX('Route Data'!$K$7:$K$8,E578), INDEX('Route Data'!$I$7:$I$8,E578), INDEX('Route Data'!$I$7:$I$8,E578)*INDEX('Route Data'!$J$7:$J$8,E578), INDEX('Route Data'!$L$7:$L$8,E578)*2*PI()/60, INDEX('Route Data'!$F$7:$F$8,E578),INDEX('Route Data'!$O$7:$O$8,E578), INDEX('Route Data'!$P$7:$P$8,E578), INDEX('Route Data'!$H$7:$H$8,E578), INDEX('Route Data'!$Q$7:$Q$8,E578), INDEX('Route Data'!$M$7:$M$8,E578))</f>
        <v>0.51617226640175828</v>
      </c>
      <c r="L578" s="5">
        <f>INDEX('Route Data'!$N$7:$N$8,E578)</f>
        <v>0.4</v>
      </c>
      <c r="M578" s="8">
        <v>0.42448902130126953</v>
      </c>
      <c r="N578" s="8">
        <f>ProbStrikeFrancis(K578, I578, L578, INDEX('Route Data'!$G$7:$G$8,E578),C578, INDEX('Route Data'!$F$7:$F$8,E578), INDEX('Route Data'!$O$7:$O$8,E578), INDEX('Route Data'!$H$7:$H$18,E578))</f>
        <v>1</v>
      </c>
      <c r="O578" s="5" t="str">
        <f>IF(F578&gt;=1,IF(M578&lt;=N578,"STRIKE","pass"),IF(M578&lt;=INDEX('Route Data'!$R$7:$R$8,E578),"NO PASS","pass"))</f>
        <v>STRIKE</v>
      </c>
      <c r="P578" s="5">
        <f>IF(F578&gt;=1,IF(M578&lt;=N578,1,0),IF(M578&lt;=INDEX('Route Data'!$R$7:$R$8,E578),-1,0))</f>
        <v>1</v>
      </c>
    </row>
    <row r="579" spans="1:16">
      <c r="A579" s="5">
        <v>569</v>
      </c>
      <c r="B579" s="12">
        <v>26.59</v>
      </c>
      <c r="C579" s="12">
        <f t="shared" si="8"/>
        <v>2.2200000000000002</v>
      </c>
      <c r="D579" s="8">
        <v>0.9821440577507019</v>
      </c>
      <c r="E579" s="5">
        <f>MATCH(D579,'Route Data'!$C$7:$C$8,1)</f>
        <v>2</v>
      </c>
      <c r="F579" s="5">
        <f>INDEX('Route Data'!$D$7:$D$8,E579)</f>
        <v>1</v>
      </c>
      <c r="G579" s="5" t="str">
        <f>INDEX('Route Data'!$A$7:$A$8,E579)</f>
        <v>u18</v>
      </c>
      <c r="H579" s="5">
        <f>EnergyCoeff(INDEX('Route Data'!$K$7:$K$8,E579),INDEX('Route Data'!$L$7:$L$8,E579)*2*PI()/60,INDEX('Route Data'!$F$7:$F$8,E579))</f>
        <v>0.19430699130049439</v>
      </c>
      <c r="I579" s="5">
        <f>DischargeCoeff(INDEX('Route Data'!$I$7:$I$8,E579), INDEX('Route Data'!$L$7:$L$8,E579)*2*PI()/60, INDEX('Route Data'!$F$7:$F$8,E579))</f>
        <v>0.15939200179827354</v>
      </c>
      <c r="J579" s="8">
        <f>FlowAngleRel(INDEX('Route Data'!$J$7:$J$8,E579)*INDEX('Route Data'!$I$7:$I$8,E579), INDEX('Route Data'!$L$7:$L$8,E579)*2*PI()/60, INDEX('Route Data'!$F$7:$F$8,E579),INDEX('Route Data'!$O$7:$O$8,E579), INDEX('Route Data'!$P$7:$P$8,E579),INDEX('Route Data'!$M$7:$M$8,E579))</f>
        <v>1.130811765868994</v>
      </c>
      <c r="K579" s="8">
        <f>FlowAngleAbsT(INDEX('Route Data'!$K$7:$K$8,E579), INDEX('Route Data'!$I$7:$I$8,E579), INDEX('Route Data'!$I$7:$I$8,E579)*INDEX('Route Data'!$J$7:$J$8,E579), INDEX('Route Data'!$L$7:$L$8,E579)*2*PI()/60, INDEX('Route Data'!$F$7:$F$8,E579),INDEX('Route Data'!$O$7:$O$8,E579), INDEX('Route Data'!$P$7:$P$8,E579), INDEX('Route Data'!$H$7:$H$8,E579), INDEX('Route Data'!$Q$7:$Q$8,E579), INDEX('Route Data'!$M$7:$M$8,E579))</f>
        <v>0.51617226640175828</v>
      </c>
      <c r="L579" s="5">
        <f>INDEX('Route Data'!$N$7:$N$8,E579)</f>
        <v>0.4</v>
      </c>
      <c r="M579" s="8">
        <v>0.81869238615036011</v>
      </c>
      <c r="N579" s="8">
        <f>ProbStrikeFrancis(K579, I579, L579, INDEX('Route Data'!$G$7:$G$8,E579),C579, INDEX('Route Data'!$F$7:$F$8,E579), INDEX('Route Data'!$O$7:$O$8,E579), INDEX('Route Data'!$H$7:$H$18,E579))</f>
        <v>1</v>
      </c>
      <c r="O579" s="5" t="str">
        <f>IF(F579&gt;=1,IF(M579&lt;=N579,"STRIKE","pass"),IF(M579&lt;=INDEX('Route Data'!$R$7:$R$8,E579),"NO PASS","pass"))</f>
        <v>STRIKE</v>
      </c>
      <c r="P579" s="5">
        <f>IF(F579&gt;=1,IF(M579&lt;=N579,1,0),IF(M579&lt;=INDEX('Route Data'!$R$7:$R$8,E579),-1,0))</f>
        <v>1</v>
      </c>
    </row>
    <row r="580" spans="1:16">
      <c r="A580" s="5">
        <v>570</v>
      </c>
      <c r="B580" s="12">
        <v>25.34</v>
      </c>
      <c r="C580" s="12">
        <f t="shared" si="8"/>
        <v>2.11</v>
      </c>
      <c r="D580" s="8">
        <v>0.60829746723175049</v>
      </c>
      <c r="E580" s="5">
        <f>MATCH(D580,'Route Data'!$C$7:$C$8,1)</f>
        <v>2</v>
      </c>
      <c r="F580" s="5">
        <f>INDEX('Route Data'!$D$7:$D$8,E580)</f>
        <v>1</v>
      </c>
      <c r="G580" s="5" t="str">
        <f>INDEX('Route Data'!$A$7:$A$8,E580)</f>
        <v>u18</v>
      </c>
      <c r="H580" s="5">
        <f>EnergyCoeff(INDEX('Route Data'!$K$7:$K$8,E580),INDEX('Route Data'!$L$7:$L$8,E580)*2*PI()/60,INDEX('Route Data'!$F$7:$F$8,E580))</f>
        <v>0.19430699130049439</v>
      </c>
      <c r="I580" s="5">
        <f>DischargeCoeff(INDEX('Route Data'!$I$7:$I$8,E580), INDEX('Route Data'!$L$7:$L$8,E580)*2*PI()/60, INDEX('Route Data'!$F$7:$F$8,E580))</f>
        <v>0.15939200179827354</v>
      </c>
      <c r="J580" s="8">
        <f>FlowAngleRel(INDEX('Route Data'!$J$7:$J$8,E580)*INDEX('Route Data'!$I$7:$I$8,E580), INDEX('Route Data'!$L$7:$L$8,E580)*2*PI()/60, INDEX('Route Data'!$F$7:$F$8,E580),INDEX('Route Data'!$O$7:$O$8,E580), INDEX('Route Data'!$P$7:$P$8,E580),INDEX('Route Data'!$M$7:$M$8,E580))</f>
        <v>1.130811765868994</v>
      </c>
      <c r="K580" s="8">
        <f>FlowAngleAbsT(INDEX('Route Data'!$K$7:$K$8,E580), INDEX('Route Data'!$I$7:$I$8,E580), INDEX('Route Data'!$I$7:$I$8,E580)*INDEX('Route Data'!$J$7:$J$8,E580), INDEX('Route Data'!$L$7:$L$8,E580)*2*PI()/60, INDEX('Route Data'!$F$7:$F$8,E580),INDEX('Route Data'!$O$7:$O$8,E580), INDEX('Route Data'!$P$7:$P$8,E580), INDEX('Route Data'!$H$7:$H$8,E580), INDEX('Route Data'!$Q$7:$Q$8,E580), INDEX('Route Data'!$M$7:$M$8,E580))</f>
        <v>0.51617226640175828</v>
      </c>
      <c r="L580" s="5">
        <f>INDEX('Route Data'!$N$7:$N$8,E580)</f>
        <v>0.4</v>
      </c>
      <c r="M580" s="8">
        <v>0.41943800449371338</v>
      </c>
      <c r="N580" s="8">
        <f>ProbStrikeFrancis(K580, I580, L580, INDEX('Route Data'!$G$7:$G$8,E580),C580, INDEX('Route Data'!$F$7:$F$8,E580), INDEX('Route Data'!$O$7:$O$8,E580), INDEX('Route Data'!$H$7:$H$18,E580))</f>
        <v>1</v>
      </c>
      <c r="O580" s="5" t="str">
        <f>IF(F580&gt;=1,IF(M580&lt;=N580,"STRIKE","pass"),IF(M580&lt;=INDEX('Route Data'!$R$7:$R$8,E580),"NO PASS","pass"))</f>
        <v>STRIKE</v>
      </c>
      <c r="P580" s="5">
        <f>IF(F580&gt;=1,IF(M580&lt;=N580,1,0),IF(M580&lt;=INDEX('Route Data'!$R$7:$R$8,E580),-1,0))</f>
        <v>1</v>
      </c>
    </row>
    <row r="581" spans="1:16">
      <c r="A581" s="5">
        <v>571</v>
      </c>
      <c r="B581" s="12">
        <v>23.25</v>
      </c>
      <c r="C581" s="12">
        <f t="shared" si="8"/>
        <v>1.94</v>
      </c>
      <c r="D581" s="8">
        <v>0.72983723878860474</v>
      </c>
      <c r="E581" s="5">
        <f>MATCH(D581,'Route Data'!$C$7:$C$8,1)</f>
        <v>2</v>
      </c>
      <c r="F581" s="5">
        <f>INDEX('Route Data'!$D$7:$D$8,E581)</f>
        <v>1</v>
      </c>
      <c r="G581" s="5" t="str">
        <f>INDEX('Route Data'!$A$7:$A$8,E581)</f>
        <v>u18</v>
      </c>
      <c r="H581" s="5">
        <f>EnergyCoeff(INDEX('Route Data'!$K$7:$K$8,E581),INDEX('Route Data'!$L$7:$L$8,E581)*2*PI()/60,INDEX('Route Data'!$F$7:$F$8,E581))</f>
        <v>0.19430699130049439</v>
      </c>
      <c r="I581" s="5">
        <f>DischargeCoeff(INDEX('Route Data'!$I$7:$I$8,E581), INDEX('Route Data'!$L$7:$L$8,E581)*2*PI()/60, INDEX('Route Data'!$F$7:$F$8,E581))</f>
        <v>0.15939200179827354</v>
      </c>
      <c r="J581" s="8">
        <f>FlowAngleRel(INDEX('Route Data'!$J$7:$J$8,E581)*INDEX('Route Data'!$I$7:$I$8,E581), INDEX('Route Data'!$L$7:$L$8,E581)*2*PI()/60, INDEX('Route Data'!$F$7:$F$8,E581),INDEX('Route Data'!$O$7:$O$8,E581), INDEX('Route Data'!$P$7:$P$8,E581),INDEX('Route Data'!$M$7:$M$8,E581))</f>
        <v>1.130811765868994</v>
      </c>
      <c r="K581" s="8">
        <f>FlowAngleAbsT(INDEX('Route Data'!$K$7:$K$8,E581), INDEX('Route Data'!$I$7:$I$8,E581), INDEX('Route Data'!$I$7:$I$8,E581)*INDEX('Route Data'!$J$7:$J$8,E581), INDEX('Route Data'!$L$7:$L$8,E581)*2*PI()/60, INDEX('Route Data'!$F$7:$F$8,E581),INDEX('Route Data'!$O$7:$O$8,E581), INDEX('Route Data'!$P$7:$P$8,E581), INDEX('Route Data'!$H$7:$H$8,E581), INDEX('Route Data'!$Q$7:$Q$8,E581), INDEX('Route Data'!$M$7:$M$8,E581))</f>
        <v>0.51617226640175828</v>
      </c>
      <c r="L581" s="5">
        <f>INDEX('Route Data'!$N$7:$N$8,E581)</f>
        <v>0.4</v>
      </c>
      <c r="M581" s="8">
        <v>0.88278037309646606</v>
      </c>
      <c r="N581" s="8">
        <f>ProbStrikeFrancis(K581, I581, L581, INDEX('Route Data'!$G$7:$G$8,E581),C581, INDEX('Route Data'!$F$7:$F$8,E581), INDEX('Route Data'!$O$7:$O$8,E581), INDEX('Route Data'!$H$7:$H$18,E581))</f>
        <v>1</v>
      </c>
      <c r="O581" s="5" t="str">
        <f>IF(F581&gt;=1,IF(M581&lt;=N581,"STRIKE","pass"),IF(M581&lt;=INDEX('Route Data'!$R$7:$R$8,E581),"NO PASS","pass"))</f>
        <v>STRIKE</v>
      </c>
      <c r="P581" s="5">
        <f>IF(F581&gt;=1,IF(M581&lt;=N581,1,0),IF(M581&lt;=INDEX('Route Data'!$R$7:$R$8,E581),-1,0))</f>
        <v>1</v>
      </c>
    </row>
    <row r="582" spans="1:16">
      <c r="A582" s="5">
        <v>572</v>
      </c>
      <c r="B582" s="12">
        <v>14.12</v>
      </c>
      <c r="C582" s="12">
        <f t="shared" si="8"/>
        <v>1.18</v>
      </c>
      <c r="D582" s="8">
        <v>9.9638700485229492E-2</v>
      </c>
      <c r="E582" s="5">
        <f>MATCH(D582,'Route Data'!$C$7:$C$8,1)</f>
        <v>2</v>
      </c>
      <c r="F582" s="5">
        <f>INDEX('Route Data'!$D$7:$D$8,E582)</f>
        <v>1</v>
      </c>
      <c r="G582" s="5" t="str">
        <f>INDEX('Route Data'!$A$7:$A$8,E582)</f>
        <v>u18</v>
      </c>
      <c r="H582" s="5">
        <f>EnergyCoeff(INDEX('Route Data'!$K$7:$K$8,E582),INDEX('Route Data'!$L$7:$L$8,E582)*2*PI()/60,INDEX('Route Data'!$F$7:$F$8,E582))</f>
        <v>0.19430699130049439</v>
      </c>
      <c r="I582" s="5">
        <f>DischargeCoeff(INDEX('Route Data'!$I$7:$I$8,E582), INDEX('Route Data'!$L$7:$L$8,E582)*2*PI()/60, INDEX('Route Data'!$F$7:$F$8,E582))</f>
        <v>0.15939200179827354</v>
      </c>
      <c r="J582" s="8">
        <f>FlowAngleRel(INDEX('Route Data'!$J$7:$J$8,E582)*INDEX('Route Data'!$I$7:$I$8,E582), INDEX('Route Data'!$L$7:$L$8,E582)*2*PI()/60, INDEX('Route Data'!$F$7:$F$8,E582),INDEX('Route Data'!$O$7:$O$8,E582), INDEX('Route Data'!$P$7:$P$8,E582),INDEX('Route Data'!$M$7:$M$8,E582))</f>
        <v>1.130811765868994</v>
      </c>
      <c r="K582" s="8">
        <f>FlowAngleAbsT(INDEX('Route Data'!$K$7:$K$8,E582), INDEX('Route Data'!$I$7:$I$8,E582), INDEX('Route Data'!$I$7:$I$8,E582)*INDEX('Route Data'!$J$7:$J$8,E582), INDEX('Route Data'!$L$7:$L$8,E582)*2*PI()/60, INDEX('Route Data'!$F$7:$F$8,E582),INDEX('Route Data'!$O$7:$O$8,E582), INDEX('Route Data'!$P$7:$P$8,E582), INDEX('Route Data'!$H$7:$H$8,E582), INDEX('Route Data'!$Q$7:$Q$8,E582), INDEX('Route Data'!$M$7:$M$8,E582))</f>
        <v>0.51617226640175828</v>
      </c>
      <c r="L582" s="5">
        <f>INDEX('Route Data'!$N$7:$N$8,E582)</f>
        <v>0.4</v>
      </c>
      <c r="M582" s="8">
        <v>0.22717404365539551</v>
      </c>
      <c r="N582" s="8">
        <f>ProbStrikeFrancis(K582, I582, L582, INDEX('Route Data'!$G$7:$G$8,E582),C582, INDEX('Route Data'!$F$7:$F$8,E582), INDEX('Route Data'!$O$7:$O$8,E582), INDEX('Route Data'!$H$7:$H$18,E582))</f>
        <v>0.96355266866693856</v>
      </c>
      <c r="O582" s="5" t="str">
        <f>IF(F582&gt;=1,IF(M582&lt;=N582,"STRIKE","pass"),IF(M582&lt;=INDEX('Route Data'!$R$7:$R$8,E582),"NO PASS","pass"))</f>
        <v>STRIKE</v>
      </c>
      <c r="P582" s="5">
        <f>IF(F582&gt;=1,IF(M582&lt;=N582,1,0),IF(M582&lt;=INDEX('Route Data'!$R$7:$R$8,E582),-1,0))</f>
        <v>1</v>
      </c>
    </row>
    <row r="583" spans="1:16">
      <c r="A583" s="5">
        <v>573</v>
      </c>
      <c r="B583" s="12">
        <v>25.22</v>
      </c>
      <c r="C583" s="12">
        <f t="shared" si="8"/>
        <v>2.1</v>
      </c>
      <c r="D583" s="8">
        <v>0.25581353902816772</v>
      </c>
      <c r="E583" s="5">
        <f>MATCH(D583,'Route Data'!$C$7:$C$8,1)</f>
        <v>2</v>
      </c>
      <c r="F583" s="5">
        <f>INDEX('Route Data'!$D$7:$D$8,E583)</f>
        <v>1</v>
      </c>
      <c r="G583" s="5" t="str">
        <f>INDEX('Route Data'!$A$7:$A$8,E583)</f>
        <v>u18</v>
      </c>
      <c r="H583" s="5">
        <f>EnergyCoeff(INDEX('Route Data'!$K$7:$K$8,E583),INDEX('Route Data'!$L$7:$L$8,E583)*2*PI()/60,INDEX('Route Data'!$F$7:$F$8,E583))</f>
        <v>0.19430699130049439</v>
      </c>
      <c r="I583" s="5">
        <f>DischargeCoeff(INDEX('Route Data'!$I$7:$I$8,E583), INDEX('Route Data'!$L$7:$L$8,E583)*2*PI()/60, INDEX('Route Data'!$F$7:$F$8,E583))</f>
        <v>0.15939200179827354</v>
      </c>
      <c r="J583" s="8">
        <f>FlowAngleRel(INDEX('Route Data'!$J$7:$J$8,E583)*INDEX('Route Data'!$I$7:$I$8,E583), INDEX('Route Data'!$L$7:$L$8,E583)*2*PI()/60, INDEX('Route Data'!$F$7:$F$8,E583),INDEX('Route Data'!$O$7:$O$8,E583), INDEX('Route Data'!$P$7:$P$8,E583),INDEX('Route Data'!$M$7:$M$8,E583))</f>
        <v>1.130811765868994</v>
      </c>
      <c r="K583" s="8">
        <f>FlowAngleAbsT(INDEX('Route Data'!$K$7:$K$8,E583), INDEX('Route Data'!$I$7:$I$8,E583), INDEX('Route Data'!$I$7:$I$8,E583)*INDEX('Route Data'!$J$7:$J$8,E583), INDEX('Route Data'!$L$7:$L$8,E583)*2*PI()/60, INDEX('Route Data'!$F$7:$F$8,E583),INDEX('Route Data'!$O$7:$O$8,E583), INDEX('Route Data'!$P$7:$P$8,E583), INDEX('Route Data'!$H$7:$H$8,E583), INDEX('Route Data'!$Q$7:$Q$8,E583), INDEX('Route Data'!$M$7:$M$8,E583))</f>
        <v>0.51617226640175828</v>
      </c>
      <c r="L583" s="5">
        <f>INDEX('Route Data'!$N$7:$N$8,E583)</f>
        <v>0.4</v>
      </c>
      <c r="M583" s="8">
        <v>0.45957225561141968</v>
      </c>
      <c r="N583" s="8">
        <f>ProbStrikeFrancis(K583, I583, L583, INDEX('Route Data'!$G$7:$G$8,E583),C583, INDEX('Route Data'!$F$7:$F$8,E583), INDEX('Route Data'!$O$7:$O$8,E583), INDEX('Route Data'!$H$7:$H$18,E583))</f>
        <v>1</v>
      </c>
      <c r="O583" s="5" t="str">
        <f>IF(F583&gt;=1,IF(M583&lt;=N583,"STRIKE","pass"),IF(M583&lt;=INDEX('Route Data'!$R$7:$R$8,E583),"NO PASS","pass"))</f>
        <v>STRIKE</v>
      </c>
      <c r="P583" s="5">
        <f>IF(F583&gt;=1,IF(M583&lt;=N583,1,0),IF(M583&lt;=INDEX('Route Data'!$R$7:$R$8,E583),-1,0))</f>
        <v>1</v>
      </c>
    </row>
    <row r="584" spans="1:16">
      <c r="A584" s="5">
        <v>574</v>
      </c>
      <c r="B584" s="12">
        <v>23.52</v>
      </c>
      <c r="C584" s="12">
        <f t="shared" si="8"/>
        <v>1.96</v>
      </c>
      <c r="D584" s="8">
        <v>5.2868247032165527E-2</v>
      </c>
      <c r="E584" s="5">
        <f>MATCH(D584,'Route Data'!$C$7:$C$8,1)</f>
        <v>2</v>
      </c>
      <c r="F584" s="5">
        <f>INDEX('Route Data'!$D$7:$D$8,E584)</f>
        <v>1</v>
      </c>
      <c r="G584" s="5" t="str">
        <f>INDEX('Route Data'!$A$7:$A$8,E584)</f>
        <v>u18</v>
      </c>
      <c r="H584" s="5">
        <f>EnergyCoeff(INDEX('Route Data'!$K$7:$K$8,E584),INDEX('Route Data'!$L$7:$L$8,E584)*2*PI()/60,INDEX('Route Data'!$F$7:$F$8,E584))</f>
        <v>0.19430699130049439</v>
      </c>
      <c r="I584" s="5">
        <f>DischargeCoeff(INDEX('Route Data'!$I$7:$I$8,E584), INDEX('Route Data'!$L$7:$L$8,E584)*2*PI()/60, INDEX('Route Data'!$F$7:$F$8,E584))</f>
        <v>0.15939200179827354</v>
      </c>
      <c r="J584" s="8">
        <f>FlowAngleRel(INDEX('Route Data'!$J$7:$J$8,E584)*INDEX('Route Data'!$I$7:$I$8,E584), INDEX('Route Data'!$L$7:$L$8,E584)*2*PI()/60, INDEX('Route Data'!$F$7:$F$8,E584),INDEX('Route Data'!$O$7:$O$8,E584), INDEX('Route Data'!$P$7:$P$8,E584),INDEX('Route Data'!$M$7:$M$8,E584))</f>
        <v>1.130811765868994</v>
      </c>
      <c r="K584" s="8">
        <f>FlowAngleAbsT(INDEX('Route Data'!$K$7:$K$8,E584), INDEX('Route Data'!$I$7:$I$8,E584), INDEX('Route Data'!$I$7:$I$8,E584)*INDEX('Route Data'!$J$7:$J$8,E584), INDEX('Route Data'!$L$7:$L$8,E584)*2*PI()/60, INDEX('Route Data'!$F$7:$F$8,E584),INDEX('Route Data'!$O$7:$O$8,E584), INDEX('Route Data'!$P$7:$P$8,E584), INDEX('Route Data'!$H$7:$H$8,E584), INDEX('Route Data'!$Q$7:$Q$8,E584), INDEX('Route Data'!$M$7:$M$8,E584))</f>
        <v>0.51617226640175828</v>
      </c>
      <c r="L584" s="5">
        <f>INDEX('Route Data'!$N$7:$N$8,E584)</f>
        <v>0.4</v>
      </c>
      <c r="M584" s="8">
        <v>0.23121917247772217</v>
      </c>
      <c r="N584" s="8">
        <f>ProbStrikeFrancis(K584, I584, L584, INDEX('Route Data'!$G$7:$G$8,E584),C584, INDEX('Route Data'!$F$7:$F$8,E584), INDEX('Route Data'!$O$7:$O$8,E584), INDEX('Route Data'!$H$7:$H$18,E584))</f>
        <v>1</v>
      </c>
      <c r="O584" s="5" t="str">
        <f>IF(F584&gt;=1,IF(M584&lt;=N584,"STRIKE","pass"),IF(M584&lt;=INDEX('Route Data'!$R$7:$R$8,E584),"NO PASS","pass"))</f>
        <v>STRIKE</v>
      </c>
      <c r="P584" s="5">
        <f>IF(F584&gt;=1,IF(M584&lt;=N584,1,0),IF(M584&lt;=INDEX('Route Data'!$R$7:$R$8,E584),-1,0))</f>
        <v>1</v>
      </c>
    </row>
    <row r="585" spans="1:16">
      <c r="A585" s="5">
        <v>575</v>
      </c>
      <c r="B585" s="12">
        <v>26.51</v>
      </c>
      <c r="C585" s="12">
        <f t="shared" si="8"/>
        <v>2.21</v>
      </c>
      <c r="D585" s="8">
        <v>0.66170412302017212</v>
      </c>
      <c r="E585" s="5">
        <f>MATCH(D585,'Route Data'!$C$7:$C$8,1)</f>
        <v>2</v>
      </c>
      <c r="F585" s="5">
        <f>INDEX('Route Data'!$D$7:$D$8,E585)</f>
        <v>1</v>
      </c>
      <c r="G585" s="5" t="str">
        <f>INDEX('Route Data'!$A$7:$A$8,E585)</f>
        <v>u18</v>
      </c>
      <c r="H585" s="5">
        <f>EnergyCoeff(INDEX('Route Data'!$K$7:$K$8,E585),INDEX('Route Data'!$L$7:$L$8,E585)*2*PI()/60,INDEX('Route Data'!$F$7:$F$8,E585))</f>
        <v>0.19430699130049439</v>
      </c>
      <c r="I585" s="5">
        <f>DischargeCoeff(INDEX('Route Data'!$I$7:$I$8,E585), INDEX('Route Data'!$L$7:$L$8,E585)*2*PI()/60, INDEX('Route Data'!$F$7:$F$8,E585))</f>
        <v>0.15939200179827354</v>
      </c>
      <c r="J585" s="8">
        <f>FlowAngleRel(INDEX('Route Data'!$J$7:$J$8,E585)*INDEX('Route Data'!$I$7:$I$8,E585), INDEX('Route Data'!$L$7:$L$8,E585)*2*PI()/60, INDEX('Route Data'!$F$7:$F$8,E585),INDEX('Route Data'!$O$7:$O$8,E585), INDEX('Route Data'!$P$7:$P$8,E585),INDEX('Route Data'!$M$7:$M$8,E585))</f>
        <v>1.130811765868994</v>
      </c>
      <c r="K585" s="8">
        <f>FlowAngleAbsT(INDEX('Route Data'!$K$7:$K$8,E585), INDEX('Route Data'!$I$7:$I$8,E585), INDEX('Route Data'!$I$7:$I$8,E585)*INDEX('Route Data'!$J$7:$J$8,E585), INDEX('Route Data'!$L$7:$L$8,E585)*2*PI()/60, INDEX('Route Data'!$F$7:$F$8,E585),INDEX('Route Data'!$O$7:$O$8,E585), INDEX('Route Data'!$P$7:$P$8,E585), INDEX('Route Data'!$H$7:$H$8,E585), INDEX('Route Data'!$Q$7:$Q$8,E585), INDEX('Route Data'!$M$7:$M$8,E585))</f>
        <v>0.51617226640175828</v>
      </c>
      <c r="L585" s="5">
        <f>INDEX('Route Data'!$N$7:$N$8,E585)</f>
        <v>0.4</v>
      </c>
      <c r="M585" s="8">
        <v>0.1818576455116272</v>
      </c>
      <c r="N585" s="8">
        <f>ProbStrikeFrancis(K585, I585, L585, INDEX('Route Data'!$G$7:$G$8,E585),C585, INDEX('Route Data'!$F$7:$F$8,E585), INDEX('Route Data'!$O$7:$O$8,E585), INDEX('Route Data'!$H$7:$H$18,E585))</f>
        <v>1</v>
      </c>
      <c r="O585" s="5" t="str">
        <f>IF(F585&gt;=1,IF(M585&lt;=N585,"STRIKE","pass"),IF(M585&lt;=INDEX('Route Data'!$R$7:$R$8,E585),"NO PASS","pass"))</f>
        <v>STRIKE</v>
      </c>
      <c r="P585" s="5">
        <f>IF(F585&gt;=1,IF(M585&lt;=N585,1,0),IF(M585&lt;=INDEX('Route Data'!$R$7:$R$8,E585),-1,0))</f>
        <v>1</v>
      </c>
    </row>
    <row r="586" spans="1:16">
      <c r="A586" s="5">
        <v>576</v>
      </c>
      <c r="B586" s="12">
        <v>18.54</v>
      </c>
      <c r="C586" s="12">
        <f t="shared" si="8"/>
        <v>1.55</v>
      </c>
      <c r="D586" s="8">
        <v>0.56961727142333984</v>
      </c>
      <c r="E586" s="5">
        <f>MATCH(D586,'Route Data'!$C$7:$C$8,1)</f>
        <v>2</v>
      </c>
      <c r="F586" s="5">
        <f>INDEX('Route Data'!$D$7:$D$8,E586)</f>
        <v>1</v>
      </c>
      <c r="G586" s="5" t="str">
        <f>INDEX('Route Data'!$A$7:$A$8,E586)</f>
        <v>u18</v>
      </c>
      <c r="H586" s="5">
        <f>EnergyCoeff(INDEX('Route Data'!$K$7:$K$8,E586),INDEX('Route Data'!$L$7:$L$8,E586)*2*PI()/60,INDEX('Route Data'!$F$7:$F$8,E586))</f>
        <v>0.19430699130049439</v>
      </c>
      <c r="I586" s="5">
        <f>DischargeCoeff(INDEX('Route Data'!$I$7:$I$8,E586), INDEX('Route Data'!$L$7:$L$8,E586)*2*PI()/60, INDEX('Route Data'!$F$7:$F$8,E586))</f>
        <v>0.15939200179827354</v>
      </c>
      <c r="J586" s="8">
        <f>FlowAngleRel(INDEX('Route Data'!$J$7:$J$8,E586)*INDEX('Route Data'!$I$7:$I$8,E586), INDEX('Route Data'!$L$7:$L$8,E586)*2*PI()/60, INDEX('Route Data'!$F$7:$F$8,E586),INDEX('Route Data'!$O$7:$O$8,E586), INDEX('Route Data'!$P$7:$P$8,E586),INDEX('Route Data'!$M$7:$M$8,E586))</f>
        <v>1.130811765868994</v>
      </c>
      <c r="K586" s="8">
        <f>FlowAngleAbsT(INDEX('Route Data'!$K$7:$K$8,E586), INDEX('Route Data'!$I$7:$I$8,E586), INDEX('Route Data'!$I$7:$I$8,E586)*INDEX('Route Data'!$J$7:$J$8,E586), INDEX('Route Data'!$L$7:$L$8,E586)*2*PI()/60, INDEX('Route Data'!$F$7:$F$8,E586),INDEX('Route Data'!$O$7:$O$8,E586), INDEX('Route Data'!$P$7:$P$8,E586), INDEX('Route Data'!$H$7:$H$8,E586), INDEX('Route Data'!$Q$7:$Q$8,E586), INDEX('Route Data'!$M$7:$M$8,E586))</f>
        <v>0.51617226640175828</v>
      </c>
      <c r="L586" s="5">
        <f>INDEX('Route Data'!$N$7:$N$8,E586)</f>
        <v>0.4</v>
      </c>
      <c r="M586" s="8">
        <v>6.4363002777099609E-2</v>
      </c>
      <c r="N586" s="8">
        <f>ProbStrikeFrancis(K586, I586, L586, INDEX('Route Data'!$G$7:$G$8,E586),C586, INDEX('Route Data'!$F$7:$F$8,E586), INDEX('Route Data'!$O$7:$O$8,E586), INDEX('Route Data'!$H$7:$H$18,E586))</f>
        <v>1</v>
      </c>
      <c r="O586" s="5" t="str">
        <f>IF(F586&gt;=1,IF(M586&lt;=N586,"STRIKE","pass"),IF(M586&lt;=INDEX('Route Data'!$R$7:$R$8,E586),"NO PASS","pass"))</f>
        <v>STRIKE</v>
      </c>
      <c r="P586" s="5">
        <f>IF(F586&gt;=1,IF(M586&lt;=N586,1,0),IF(M586&lt;=INDEX('Route Data'!$R$7:$R$8,E586),-1,0))</f>
        <v>1</v>
      </c>
    </row>
    <row r="587" spans="1:16">
      <c r="A587" s="5">
        <v>577</v>
      </c>
      <c r="B587" s="12">
        <v>24.75</v>
      </c>
      <c r="C587" s="12">
        <f t="shared" ref="C587:C650" si="9">ROUND(B587/12,2)</f>
        <v>2.06</v>
      </c>
      <c r="D587" s="8">
        <v>0.58029860258102417</v>
      </c>
      <c r="E587" s="5">
        <f>MATCH(D587,'Route Data'!$C$7:$C$8,1)</f>
        <v>2</v>
      </c>
      <c r="F587" s="5">
        <f>INDEX('Route Data'!$D$7:$D$8,E587)</f>
        <v>1</v>
      </c>
      <c r="G587" s="5" t="str">
        <f>INDEX('Route Data'!$A$7:$A$8,E587)</f>
        <v>u18</v>
      </c>
      <c r="H587" s="5">
        <f>EnergyCoeff(INDEX('Route Data'!$K$7:$K$8,E587),INDEX('Route Data'!$L$7:$L$8,E587)*2*PI()/60,INDEX('Route Data'!$F$7:$F$8,E587))</f>
        <v>0.19430699130049439</v>
      </c>
      <c r="I587" s="5">
        <f>DischargeCoeff(INDEX('Route Data'!$I$7:$I$8,E587), INDEX('Route Data'!$L$7:$L$8,E587)*2*PI()/60, INDEX('Route Data'!$F$7:$F$8,E587))</f>
        <v>0.15939200179827354</v>
      </c>
      <c r="J587" s="8">
        <f>FlowAngleRel(INDEX('Route Data'!$J$7:$J$8,E587)*INDEX('Route Data'!$I$7:$I$8,E587), INDEX('Route Data'!$L$7:$L$8,E587)*2*PI()/60, INDEX('Route Data'!$F$7:$F$8,E587),INDEX('Route Data'!$O$7:$O$8,E587), INDEX('Route Data'!$P$7:$P$8,E587),INDEX('Route Data'!$M$7:$M$8,E587))</f>
        <v>1.130811765868994</v>
      </c>
      <c r="K587" s="8">
        <f>FlowAngleAbsT(INDEX('Route Data'!$K$7:$K$8,E587), INDEX('Route Data'!$I$7:$I$8,E587), INDEX('Route Data'!$I$7:$I$8,E587)*INDEX('Route Data'!$J$7:$J$8,E587), INDEX('Route Data'!$L$7:$L$8,E587)*2*PI()/60, INDEX('Route Data'!$F$7:$F$8,E587),INDEX('Route Data'!$O$7:$O$8,E587), INDEX('Route Data'!$P$7:$P$8,E587), INDEX('Route Data'!$H$7:$H$8,E587), INDEX('Route Data'!$Q$7:$Q$8,E587), INDEX('Route Data'!$M$7:$M$8,E587))</f>
        <v>0.51617226640175828</v>
      </c>
      <c r="L587" s="5">
        <f>INDEX('Route Data'!$N$7:$N$8,E587)</f>
        <v>0.4</v>
      </c>
      <c r="M587" s="8">
        <v>0.41684693098068237</v>
      </c>
      <c r="N587" s="8">
        <f>ProbStrikeFrancis(K587, I587, L587, INDEX('Route Data'!$G$7:$G$8,E587),C587, INDEX('Route Data'!$F$7:$F$8,E587), INDEX('Route Data'!$O$7:$O$8,E587), INDEX('Route Data'!$H$7:$H$18,E587))</f>
        <v>1</v>
      </c>
      <c r="O587" s="5" t="str">
        <f>IF(F587&gt;=1,IF(M587&lt;=N587,"STRIKE","pass"),IF(M587&lt;=INDEX('Route Data'!$R$7:$R$8,E587),"NO PASS","pass"))</f>
        <v>STRIKE</v>
      </c>
      <c r="P587" s="5">
        <f>IF(F587&gt;=1,IF(M587&lt;=N587,1,0),IF(M587&lt;=INDEX('Route Data'!$R$7:$R$8,E587),-1,0))</f>
        <v>1</v>
      </c>
    </row>
    <row r="588" spans="1:16">
      <c r="A588" s="5">
        <v>578</v>
      </c>
      <c r="B588" s="12">
        <v>24.68</v>
      </c>
      <c r="C588" s="12">
        <f t="shared" si="9"/>
        <v>2.06</v>
      </c>
      <c r="D588" s="8">
        <v>0.54825460910797119</v>
      </c>
      <c r="E588" s="5">
        <f>MATCH(D588,'Route Data'!$C$7:$C$8,1)</f>
        <v>2</v>
      </c>
      <c r="F588" s="5">
        <f>INDEX('Route Data'!$D$7:$D$8,E588)</f>
        <v>1</v>
      </c>
      <c r="G588" s="5" t="str">
        <f>INDEX('Route Data'!$A$7:$A$8,E588)</f>
        <v>u18</v>
      </c>
      <c r="H588" s="5">
        <f>EnergyCoeff(INDEX('Route Data'!$K$7:$K$8,E588),INDEX('Route Data'!$L$7:$L$8,E588)*2*PI()/60,INDEX('Route Data'!$F$7:$F$8,E588))</f>
        <v>0.19430699130049439</v>
      </c>
      <c r="I588" s="5">
        <f>DischargeCoeff(INDEX('Route Data'!$I$7:$I$8,E588), INDEX('Route Data'!$L$7:$L$8,E588)*2*PI()/60, INDEX('Route Data'!$F$7:$F$8,E588))</f>
        <v>0.15939200179827354</v>
      </c>
      <c r="J588" s="8">
        <f>FlowAngleRel(INDEX('Route Data'!$J$7:$J$8,E588)*INDEX('Route Data'!$I$7:$I$8,E588), INDEX('Route Data'!$L$7:$L$8,E588)*2*PI()/60, INDEX('Route Data'!$F$7:$F$8,E588),INDEX('Route Data'!$O$7:$O$8,E588), INDEX('Route Data'!$P$7:$P$8,E588),INDEX('Route Data'!$M$7:$M$8,E588))</f>
        <v>1.130811765868994</v>
      </c>
      <c r="K588" s="8">
        <f>FlowAngleAbsT(INDEX('Route Data'!$K$7:$K$8,E588), INDEX('Route Data'!$I$7:$I$8,E588), INDEX('Route Data'!$I$7:$I$8,E588)*INDEX('Route Data'!$J$7:$J$8,E588), INDEX('Route Data'!$L$7:$L$8,E588)*2*PI()/60, INDEX('Route Data'!$F$7:$F$8,E588),INDEX('Route Data'!$O$7:$O$8,E588), INDEX('Route Data'!$P$7:$P$8,E588), INDEX('Route Data'!$H$7:$H$8,E588), INDEX('Route Data'!$Q$7:$Q$8,E588), INDEX('Route Data'!$M$7:$M$8,E588))</f>
        <v>0.51617226640175828</v>
      </c>
      <c r="L588" s="5">
        <f>INDEX('Route Data'!$N$7:$N$8,E588)</f>
        <v>0.4</v>
      </c>
      <c r="M588" s="8">
        <v>0.35939514636993408</v>
      </c>
      <c r="N588" s="8">
        <f>ProbStrikeFrancis(K588, I588, L588, INDEX('Route Data'!$G$7:$G$8,E588),C588, INDEX('Route Data'!$F$7:$F$8,E588), INDEX('Route Data'!$O$7:$O$8,E588), INDEX('Route Data'!$H$7:$H$18,E588))</f>
        <v>1</v>
      </c>
      <c r="O588" s="5" t="str">
        <f>IF(F588&gt;=1,IF(M588&lt;=N588,"STRIKE","pass"),IF(M588&lt;=INDEX('Route Data'!$R$7:$R$8,E588),"NO PASS","pass"))</f>
        <v>STRIKE</v>
      </c>
      <c r="P588" s="5">
        <f>IF(F588&gt;=1,IF(M588&lt;=N588,1,0),IF(M588&lt;=INDEX('Route Data'!$R$7:$R$8,E588),-1,0))</f>
        <v>1</v>
      </c>
    </row>
    <row r="589" spans="1:16">
      <c r="A589" s="5">
        <v>579</v>
      </c>
      <c r="B589" s="12">
        <v>22.58</v>
      </c>
      <c r="C589" s="12">
        <f t="shared" si="9"/>
        <v>1.88</v>
      </c>
      <c r="D589" s="8">
        <v>0.64438658952713013</v>
      </c>
      <c r="E589" s="5">
        <f>MATCH(D589,'Route Data'!$C$7:$C$8,1)</f>
        <v>2</v>
      </c>
      <c r="F589" s="5">
        <f>INDEX('Route Data'!$D$7:$D$8,E589)</f>
        <v>1</v>
      </c>
      <c r="G589" s="5" t="str">
        <f>INDEX('Route Data'!$A$7:$A$8,E589)</f>
        <v>u18</v>
      </c>
      <c r="H589" s="5">
        <f>EnergyCoeff(INDEX('Route Data'!$K$7:$K$8,E589),INDEX('Route Data'!$L$7:$L$8,E589)*2*PI()/60,INDEX('Route Data'!$F$7:$F$8,E589))</f>
        <v>0.19430699130049439</v>
      </c>
      <c r="I589" s="5">
        <f>DischargeCoeff(INDEX('Route Data'!$I$7:$I$8,E589), INDEX('Route Data'!$L$7:$L$8,E589)*2*PI()/60, INDEX('Route Data'!$F$7:$F$8,E589))</f>
        <v>0.15939200179827354</v>
      </c>
      <c r="J589" s="8">
        <f>FlowAngleRel(INDEX('Route Data'!$J$7:$J$8,E589)*INDEX('Route Data'!$I$7:$I$8,E589), INDEX('Route Data'!$L$7:$L$8,E589)*2*PI()/60, INDEX('Route Data'!$F$7:$F$8,E589),INDEX('Route Data'!$O$7:$O$8,E589), INDEX('Route Data'!$P$7:$P$8,E589),INDEX('Route Data'!$M$7:$M$8,E589))</f>
        <v>1.130811765868994</v>
      </c>
      <c r="K589" s="8">
        <f>FlowAngleAbsT(INDEX('Route Data'!$K$7:$K$8,E589), INDEX('Route Data'!$I$7:$I$8,E589), INDEX('Route Data'!$I$7:$I$8,E589)*INDEX('Route Data'!$J$7:$J$8,E589), INDEX('Route Data'!$L$7:$L$8,E589)*2*PI()/60, INDEX('Route Data'!$F$7:$F$8,E589),INDEX('Route Data'!$O$7:$O$8,E589), INDEX('Route Data'!$P$7:$P$8,E589), INDEX('Route Data'!$H$7:$H$8,E589), INDEX('Route Data'!$Q$7:$Q$8,E589), INDEX('Route Data'!$M$7:$M$8,E589))</f>
        <v>0.51617226640175828</v>
      </c>
      <c r="L589" s="5">
        <f>INDEX('Route Data'!$N$7:$N$8,E589)</f>
        <v>0.4</v>
      </c>
      <c r="M589" s="8">
        <v>0.79732972383499146</v>
      </c>
      <c r="N589" s="8">
        <f>ProbStrikeFrancis(K589, I589, L589, INDEX('Route Data'!$G$7:$G$8,E589),C589, INDEX('Route Data'!$F$7:$F$8,E589), INDEX('Route Data'!$O$7:$O$8,E589), INDEX('Route Data'!$H$7:$H$18,E589))</f>
        <v>1</v>
      </c>
      <c r="O589" s="5" t="str">
        <f>IF(F589&gt;=1,IF(M589&lt;=N589,"STRIKE","pass"),IF(M589&lt;=INDEX('Route Data'!$R$7:$R$8,E589),"NO PASS","pass"))</f>
        <v>STRIKE</v>
      </c>
      <c r="P589" s="5">
        <f>IF(F589&gt;=1,IF(M589&lt;=N589,1,0),IF(M589&lt;=INDEX('Route Data'!$R$7:$R$8,E589),-1,0))</f>
        <v>1</v>
      </c>
    </row>
    <row r="590" spans="1:16">
      <c r="A590" s="5">
        <v>580</v>
      </c>
      <c r="B590" s="12">
        <v>20.41</v>
      </c>
      <c r="C590" s="12">
        <f t="shared" si="9"/>
        <v>1.7</v>
      </c>
      <c r="D590" s="8">
        <v>0.35599064826965332</v>
      </c>
      <c r="E590" s="5">
        <f>MATCH(D590,'Route Data'!$C$7:$C$8,1)</f>
        <v>2</v>
      </c>
      <c r="F590" s="5">
        <f>INDEX('Route Data'!$D$7:$D$8,E590)</f>
        <v>1</v>
      </c>
      <c r="G590" s="5" t="str">
        <f>INDEX('Route Data'!$A$7:$A$8,E590)</f>
        <v>u18</v>
      </c>
      <c r="H590" s="5">
        <f>EnergyCoeff(INDEX('Route Data'!$K$7:$K$8,E590),INDEX('Route Data'!$L$7:$L$8,E590)*2*PI()/60,INDEX('Route Data'!$F$7:$F$8,E590))</f>
        <v>0.19430699130049439</v>
      </c>
      <c r="I590" s="5">
        <f>DischargeCoeff(INDEX('Route Data'!$I$7:$I$8,E590), INDEX('Route Data'!$L$7:$L$8,E590)*2*PI()/60, INDEX('Route Data'!$F$7:$F$8,E590))</f>
        <v>0.15939200179827354</v>
      </c>
      <c r="J590" s="8">
        <f>FlowAngleRel(INDEX('Route Data'!$J$7:$J$8,E590)*INDEX('Route Data'!$I$7:$I$8,E590), INDEX('Route Data'!$L$7:$L$8,E590)*2*PI()/60, INDEX('Route Data'!$F$7:$F$8,E590),INDEX('Route Data'!$O$7:$O$8,E590), INDEX('Route Data'!$P$7:$P$8,E590),INDEX('Route Data'!$M$7:$M$8,E590))</f>
        <v>1.130811765868994</v>
      </c>
      <c r="K590" s="8">
        <f>FlowAngleAbsT(INDEX('Route Data'!$K$7:$K$8,E590), INDEX('Route Data'!$I$7:$I$8,E590), INDEX('Route Data'!$I$7:$I$8,E590)*INDEX('Route Data'!$J$7:$J$8,E590), INDEX('Route Data'!$L$7:$L$8,E590)*2*PI()/60, INDEX('Route Data'!$F$7:$F$8,E590),INDEX('Route Data'!$O$7:$O$8,E590), INDEX('Route Data'!$P$7:$P$8,E590), INDEX('Route Data'!$H$7:$H$8,E590), INDEX('Route Data'!$Q$7:$Q$8,E590), INDEX('Route Data'!$M$7:$M$8,E590))</f>
        <v>0.51617226640175828</v>
      </c>
      <c r="L590" s="5">
        <f>INDEX('Route Data'!$N$7:$N$8,E590)</f>
        <v>0.4</v>
      </c>
      <c r="M590" s="8">
        <v>0.48352599143981934</v>
      </c>
      <c r="N590" s="8">
        <f>ProbStrikeFrancis(K590, I590, L590, INDEX('Route Data'!$G$7:$G$8,E590),C590, INDEX('Route Data'!$F$7:$F$8,E590), INDEX('Route Data'!$O$7:$O$8,E590), INDEX('Route Data'!$H$7:$H$18,E590))</f>
        <v>1</v>
      </c>
      <c r="O590" s="5" t="str">
        <f>IF(F590&gt;=1,IF(M590&lt;=N590,"STRIKE","pass"),IF(M590&lt;=INDEX('Route Data'!$R$7:$R$8,E590),"NO PASS","pass"))</f>
        <v>STRIKE</v>
      </c>
      <c r="P590" s="5">
        <f>IF(F590&gt;=1,IF(M590&lt;=N590,1,0),IF(M590&lt;=INDEX('Route Data'!$R$7:$R$8,E590),-1,0))</f>
        <v>1</v>
      </c>
    </row>
    <row r="591" spans="1:16">
      <c r="A591" s="5">
        <v>581</v>
      </c>
      <c r="B591" s="12">
        <v>24.83</v>
      </c>
      <c r="C591" s="12">
        <f t="shared" si="9"/>
        <v>2.0699999999999998</v>
      </c>
      <c r="D591" s="8">
        <v>0.22117847204208374</v>
      </c>
      <c r="E591" s="5">
        <f>MATCH(D591,'Route Data'!$C$7:$C$8,1)</f>
        <v>2</v>
      </c>
      <c r="F591" s="5">
        <f>INDEX('Route Data'!$D$7:$D$8,E591)</f>
        <v>1</v>
      </c>
      <c r="G591" s="5" t="str">
        <f>INDEX('Route Data'!$A$7:$A$8,E591)</f>
        <v>u18</v>
      </c>
      <c r="H591" s="5">
        <f>EnergyCoeff(INDEX('Route Data'!$K$7:$K$8,E591),INDEX('Route Data'!$L$7:$L$8,E591)*2*PI()/60,INDEX('Route Data'!$F$7:$F$8,E591))</f>
        <v>0.19430699130049439</v>
      </c>
      <c r="I591" s="5">
        <f>DischargeCoeff(INDEX('Route Data'!$I$7:$I$8,E591), INDEX('Route Data'!$L$7:$L$8,E591)*2*PI()/60, INDEX('Route Data'!$F$7:$F$8,E591))</f>
        <v>0.15939200179827354</v>
      </c>
      <c r="J591" s="8">
        <f>FlowAngleRel(INDEX('Route Data'!$J$7:$J$8,E591)*INDEX('Route Data'!$I$7:$I$8,E591), INDEX('Route Data'!$L$7:$L$8,E591)*2*PI()/60, INDEX('Route Data'!$F$7:$F$8,E591),INDEX('Route Data'!$O$7:$O$8,E591), INDEX('Route Data'!$P$7:$P$8,E591),INDEX('Route Data'!$M$7:$M$8,E591))</f>
        <v>1.130811765868994</v>
      </c>
      <c r="K591" s="8">
        <f>FlowAngleAbsT(INDEX('Route Data'!$K$7:$K$8,E591), INDEX('Route Data'!$I$7:$I$8,E591), INDEX('Route Data'!$I$7:$I$8,E591)*INDEX('Route Data'!$J$7:$J$8,E591), INDEX('Route Data'!$L$7:$L$8,E591)*2*PI()/60, INDEX('Route Data'!$F$7:$F$8,E591),INDEX('Route Data'!$O$7:$O$8,E591), INDEX('Route Data'!$P$7:$P$8,E591), INDEX('Route Data'!$H$7:$H$8,E591), INDEX('Route Data'!$Q$7:$Q$8,E591), INDEX('Route Data'!$M$7:$M$8,E591))</f>
        <v>0.51617226640175828</v>
      </c>
      <c r="L591" s="5">
        <f>INDEX('Route Data'!$N$7:$N$8,E591)</f>
        <v>0.4</v>
      </c>
      <c r="M591" s="8">
        <v>0.69051641225814819</v>
      </c>
      <c r="N591" s="8">
        <f>ProbStrikeFrancis(K591, I591, L591, INDEX('Route Data'!$G$7:$G$8,E591),C591, INDEX('Route Data'!$F$7:$F$8,E591), INDEX('Route Data'!$O$7:$O$8,E591), INDEX('Route Data'!$H$7:$H$18,E591))</f>
        <v>1</v>
      </c>
      <c r="O591" s="5" t="str">
        <f>IF(F591&gt;=1,IF(M591&lt;=N591,"STRIKE","pass"),IF(M591&lt;=INDEX('Route Data'!$R$7:$R$8,E591),"NO PASS","pass"))</f>
        <v>STRIKE</v>
      </c>
      <c r="P591" s="5">
        <f>IF(F591&gt;=1,IF(M591&lt;=N591,1,0),IF(M591&lt;=INDEX('Route Data'!$R$7:$R$8,E591),-1,0))</f>
        <v>1</v>
      </c>
    </row>
    <row r="592" spans="1:16">
      <c r="A592" s="5">
        <v>582</v>
      </c>
      <c r="B592" s="12">
        <v>19.940000000000001</v>
      </c>
      <c r="C592" s="12">
        <f t="shared" si="9"/>
        <v>1.66</v>
      </c>
      <c r="D592" s="8">
        <v>0.36003577709197998</v>
      </c>
      <c r="E592" s="5">
        <f>MATCH(D592,'Route Data'!$C$7:$C$8,1)</f>
        <v>2</v>
      </c>
      <c r="F592" s="5">
        <f>INDEX('Route Data'!$D$7:$D$8,E592)</f>
        <v>1</v>
      </c>
      <c r="G592" s="5" t="str">
        <f>INDEX('Route Data'!$A$7:$A$8,E592)</f>
        <v>u18</v>
      </c>
      <c r="H592" s="5">
        <f>EnergyCoeff(INDEX('Route Data'!$K$7:$K$8,E592),INDEX('Route Data'!$L$7:$L$8,E592)*2*PI()/60,INDEX('Route Data'!$F$7:$F$8,E592))</f>
        <v>0.19430699130049439</v>
      </c>
      <c r="I592" s="5">
        <f>DischargeCoeff(INDEX('Route Data'!$I$7:$I$8,E592), INDEX('Route Data'!$L$7:$L$8,E592)*2*PI()/60, INDEX('Route Data'!$F$7:$F$8,E592))</f>
        <v>0.15939200179827354</v>
      </c>
      <c r="J592" s="8">
        <f>FlowAngleRel(INDEX('Route Data'!$J$7:$J$8,E592)*INDEX('Route Data'!$I$7:$I$8,E592), INDEX('Route Data'!$L$7:$L$8,E592)*2*PI()/60, INDEX('Route Data'!$F$7:$F$8,E592),INDEX('Route Data'!$O$7:$O$8,E592), INDEX('Route Data'!$P$7:$P$8,E592),INDEX('Route Data'!$M$7:$M$8,E592))</f>
        <v>1.130811765868994</v>
      </c>
      <c r="K592" s="8">
        <f>FlowAngleAbsT(INDEX('Route Data'!$K$7:$K$8,E592), INDEX('Route Data'!$I$7:$I$8,E592), INDEX('Route Data'!$I$7:$I$8,E592)*INDEX('Route Data'!$J$7:$J$8,E592), INDEX('Route Data'!$L$7:$L$8,E592)*2*PI()/60, INDEX('Route Data'!$F$7:$F$8,E592),INDEX('Route Data'!$O$7:$O$8,E592), INDEX('Route Data'!$P$7:$P$8,E592), INDEX('Route Data'!$H$7:$H$8,E592), INDEX('Route Data'!$Q$7:$Q$8,E592), INDEX('Route Data'!$M$7:$M$8,E592))</f>
        <v>0.51617226640175828</v>
      </c>
      <c r="L592" s="5">
        <f>INDEX('Route Data'!$N$7:$N$8,E592)</f>
        <v>0.4</v>
      </c>
      <c r="M592" s="8">
        <v>0.80396592617034912</v>
      </c>
      <c r="N592" s="8">
        <f>ProbStrikeFrancis(K592, I592, L592, INDEX('Route Data'!$G$7:$G$8,E592),C592, INDEX('Route Data'!$F$7:$F$8,E592), INDEX('Route Data'!$O$7:$O$8,E592), INDEX('Route Data'!$H$7:$H$18,E592))</f>
        <v>1</v>
      </c>
      <c r="O592" s="5" t="str">
        <f>IF(F592&gt;=1,IF(M592&lt;=N592,"STRIKE","pass"),IF(M592&lt;=INDEX('Route Data'!$R$7:$R$8,E592),"NO PASS","pass"))</f>
        <v>STRIKE</v>
      </c>
      <c r="P592" s="5">
        <f>IF(F592&gt;=1,IF(M592&lt;=N592,1,0),IF(M592&lt;=INDEX('Route Data'!$R$7:$R$8,E592),-1,0))</f>
        <v>1</v>
      </c>
    </row>
    <row r="593" spans="1:16">
      <c r="A593" s="5">
        <v>583</v>
      </c>
      <c r="B593" s="12">
        <v>22.05</v>
      </c>
      <c r="C593" s="12">
        <f t="shared" si="9"/>
        <v>1.84</v>
      </c>
      <c r="D593" s="8">
        <v>0.94346386194229126</v>
      </c>
      <c r="E593" s="5">
        <f>MATCH(D593,'Route Data'!$C$7:$C$8,1)</f>
        <v>2</v>
      </c>
      <c r="F593" s="5">
        <f>INDEX('Route Data'!$D$7:$D$8,E593)</f>
        <v>1</v>
      </c>
      <c r="G593" s="5" t="str">
        <f>INDEX('Route Data'!$A$7:$A$8,E593)</f>
        <v>u18</v>
      </c>
      <c r="H593" s="5">
        <f>EnergyCoeff(INDEX('Route Data'!$K$7:$K$8,E593),INDEX('Route Data'!$L$7:$L$8,E593)*2*PI()/60,INDEX('Route Data'!$F$7:$F$8,E593))</f>
        <v>0.19430699130049439</v>
      </c>
      <c r="I593" s="5">
        <f>DischargeCoeff(INDEX('Route Data'!$I$7:$I$8,E593), INDEX('Route Data'!$L$7:$L$8,E593)*2*PI()/60, INDEX('Route Data'!$F$7:$F$8,E593))</f>
        <v>0.15939200179827354</v>
      </c>
      <c r="J593" s="8">
        <f>FlowAngleRel(INDEX('Route Data'!$J$7:$J$8,E593)*INDEX('Route Data'!$I$7:$I$8,E593), INDEX('Route Data'!$L$7:$L$8,E593)*2*PI()/60, INDEX('Route Data'!$F$7:$F$8,E593),INDEX('Route Data'!$O$7:$O$8,E593), INDEX('Route Data'!$P$7:$P$8,E593),INDEX('Route Data'!$M$7:$M$8,E593))</f>
        <v>1.130811765868994</v>
      </c>
      <c r="K593" s="8">
        <f>FlowAngleAbsT(INDEX('Route Data'!$K$7:$K$8,E593), INDEX('Route Data'!$I$7:$I$8,E593), INDEX('Route Data'!$I$7:$I$8,E593)*INDEX('Route Data'!$J$7:$J$8,E593), INDEX('Route Data'!$L$7:$L$8,E593)*2*PI()/60, INDEX('Route Data'!$F$7:$F$8,E593),INDEX('Route Data'!$O$7:$O$8,E593), INDEX('Route Data'!$P$7:$P$8,E593), INDEX('Route Data'!$H$7:$H$8,E593), INDEX('Route Data'!$Q$7:$Q$8,E593), INDEX('Route Data'!$M$7:$M$8,E593))</f>
        <v>0.51617226640175828</v>
      </c>
      <c r="L593" s="5">
        <f>INDEX('Route Data'!$N$7:$N$8,E593)</f>
        <v>0.4</v>
      </c>
      <c r="M593" s="8">
        <v>0.72919660806655884</v>
      </c>
      <c r="N593" s="8">
        <f>ProbStrikeFrancis(K593, I593, L593, INDEX('Route Data'!$G$7:$G$8,E593),C593, INDEX('Route Data'!$F$7:$F$8,E593), INDEX('Route Data'!$O$7:$O$8,E593), INDEX('Route Data'!$H$7:$H$18,E593))</f>
        <v>1</v>
      </c>
      <c r="O593" s="5" t="str">
        <f>IF(F593&gt;=1,IF(M593&lt;=N593,"STRIKE","pass"),IF(M593&lt;=INDEX('Route Data'!$R$7:$R$8,E593),"NO PASS","pass"))</f>
        <v>STRIKE</v>
      </c>
      <c r="P593" s="5">
        <f>IF(F593&gt;=1,IF(M593&lt;=N593,1,0),IF(M593&lt;=INDEX('Route Data'!$R$7:$R$8,E593),-1,0))</f>
        <v>1</v>
      </c>
    </row>
    <row r="594" spans="1:16">
      <c r="A594" s="5">
        <v>584</v>
      </c>
      <c r="B594" s="12">
        <v>24.3</v>
      </c>
      <c r="C594" s="12">
        <f t="shared" si="9"/>
        <v>2.0299999999999998</v>
      </c>
      <c r="D594" s="8">
        <v>0.45875883102416992</v>
      </c>
      <c r="E594" s="5">
        <f>MATCH(D594,'Route Data'!$C$7:$C$8,1)</f>
        <v>2</v>
      </c>
      <c r="F594" s="5">
        <f>INDEX('Route Data'!$D$7:$D$8,E594)</f>
        <v>1</v>
      </c>
      <c r="G594" s="5" t="str">
        <f>INDEX('Route Data'!$A$7:$A$8,E594)</f>
        <v>u18</v>
      </c>
      <c r="H594" s="5">
        <f>EnergyCoeff(INDEX('Route Data'!$K$7:$K$8,E594),INDEX('Route Data'!$L$7:$L$8,E594)*2*PI()/60,INDEX('Route Data'!$F$7:$F$8,E594))</f>
        <v>0.19430699130049439</v>
      </c>
      <c r="I594" s="5">
        <f>DischargeCoeff(INDEX('Route Data'!$I$7:$I$8,E594), INDEX('Route Data'!$L$7:$L$8,E594)*2*PI()/60, INDEX('Route Data'!$F$7:$F$8,E594))</f>
        <v>0.15939200179827354</v>
      </c>
      <c r="J594" s="8">
        <f>FlowAngleRel(INDEX('Route Data'!$J$7:$J$8,E594)*INDEX('Route Data'!$I$7:$I$8,E594), INDEX('Route Data'!$L$7:$L$8,E594)*2*PI()/60, INDEX('Route Data'!$F$7:$F$8,E594),INDEX('Route Data'!$O$7:$O$8,E594), INDEX('Route Data'!$P$7:$P$8,E594),INDEX('Route Data'!$M$7:$M$8,E594))</f>
        <v>1.130811765868994</v>
      </c>
      <c r="K594" s="8">
        <f>FlowAngleAbsT(INDEX('Route Data'!$K$7:$K$8,E594), INDEX('Route Data'!$I$7:$I$8,E594), INDEX('Route Data'!$I$7:$I$8,E594)*INDEX('Route Data'!$J$7:$J$8,E594), INDEX('Route Data'!$L$7:$L$8,E594)*2*PI()/60, INDEX('Route Data'!$F$7:$F$8,E594),INDEX('Route Data'!$O$7:$O$8,E594), INDEX('Route Data'!$P$7:$P$8,E594), INDEX('Route Data'!$H$7:$H$8,E594), INDEX('Route Data'!$Q$7:$Q$8,E594), INDEX('Route Data'!$M$7:$M$8,E594))</f>
        <v>0.51617226640175828</v>
      </c>
      <c r="L594" s="5">
        <f>INDEX('Route Data'!$N$7:$N$8,E594)</f>
        <v>0.4</v>
      </c>
      <c r="M594" s="8">
        <v>0.95350456237792969</v>
      </c>
      <c r="N594" s="8">
        <f>ProbStrikeFrancis(K594, I594, L594, INDEX('Route Data'!$G$7:$G$8,E594),C594, INDEX('Route Data'!$F$7:$F$8,E594), INDEX('Route Data'!$O$7:$O$8,E594), INDEX('Route Data'!$H$7:$H$18,E594))</f>
        <v>1</v>
      </c>
      <c r="O594" s="5" t="str">
        <f>IF(F594&gt;=1,IF(M594&lt;=N594,"STRIKE","pass"),IF(M594&lt;=INDEX('Route Data'!$R$7:$R$8,E594),"NO PASS","pass"))</f>
        <v>STRIKE</v>
      </c>
      <c r="P594" s="5">
        <f>IF(F594&gt;=1,IF(M594&lt;=N594,1,0),IF(M594&lt;=INDEX('Route Data'!$R$7:$R$8,E594),-1,0))</f>
        <v>1</v>
      </c>
    </row>
    <row r="595" spans="1:16">
      <c r="A595" s="5">
        <v>585</v>
      </c>
      <c r="B595" s="12">
        <v>21.4</v>
      </c>
      <c r="C595" s="12">
        <f t="shared" si="9"/>
        <v>1.78</v>
      </c>
      <c r="D595" s="8">
        <v>0.17845314741134644</v>
      </c>
      <c r="E595" s="5">
        <f>MATCH(D595,'Route Data'!$C$7:$C$8,1)</f>
        <v>2</v>
      </c>
      <c r="F595" s="5">
        <f>INDEX('Route Data'!$D$7:$D$8,E595)</f>
        <v>1</v>
      </c>
      <c r="G595" s="5" t="str">
        <f>INDEX('Route Data'!$A$7:$A$8,E595)</f>
        <v>u18</v>
      </c>
      <c r="H595" s="5">
        <f>EnergyCoeff(INDEX('Route Data'!$K$7:$K$8,E595),INDEX('Route Data'!$L$7:$L$8,E595)*2*PI()/60,INDEX('Route Data'!$F$7:$F$8,E595))</f>
        <v>0.19430699130049439</v>
      </c>
      <c r="I595" s="5">
        <f>DischargeCoeff(INDEX('Route Data'!$I$7:$I$8,E595), INDEX('Route Data'!$L$7:$L$8,E595)*2*PI()/60, INDEX('Route Data'!$F$7:$F$8,E595))</f>
        <v>0.15939200179827354</v>
      </c>
      <c r="J595" s="8">
        <f>FlowAngleRel(INDEX('Route Data'!$J$7:$J$8,E595)*INDEX('Route Data'!$I$7:$I$8,E595), INDEX('Route Data'!$L$7:$L$8,E595)*2*PI()/60, INDEX('Route Data'!$F$7:$F$8,E595),INDEX('Route Data'!$O$7:$O$8,E595), INDEX('Route Data'!$P$7:$P$8,E595),INDEX('Route Data'!$M$7:$M$8,E595))</f>
        <v>1.130811765868994</v>
      </c>
      <c r="K595" s="8">
        <f>FlowAngleAbsT(INDEX('Route Data'!$K$7:$K$8,E595), INDEX('Route Data'!$I$7:$I$8,E595), INDEX('Route Data'!$I$7:$I$8,E595)*INDEX('Route Data'!$J$7:$J$8,E595), INDEX('Route Data'!$L$7:$L$8,E595)*2*PI()/60, INDEX('Route Data'!$F$7:$F$8,E595),INDEX('Route Data'!$O$7:$O$8,E595), INDEX('Route Data'!$P$7:$P$8,E595), INDEX('Route Data'!$H$7:$H$8,E595), INDEX('Route Data'!$Q$7:$Q$8,E595), INDEX('Route Data'!$M$7:$M$8,E595))</f>
        <v>0.51617226640175828</v>
      </c>
      <c r="L595" s="5">
        <f>INDEX('Route Data'!$N$7:$N$8,E595)</f>
        <v>0.4</v>
      </c>
      <c r="M595" s="8">
        <v>0.28058069944381714</v>
      </c>
      <c r="N595" s="8">
        <f>ProbStrikeFrancis(K595, I595, L595, INDEX('Route Data'!$G$7:$G$8,E595),C595, INDEX('Route Data'!$F$7:$F$8,E595), INDEX('Route Data'!$O$7:$O$8,E595), INDEX('Route Data'!$H$7:$H$18,E595))</f>
        <v>1</v>
      </c>
      <c r="O595" s="5" t="str">
        <f>IF(F595&gt;=1,IF(M595&lt;=N595,"STRIKE","pass"),IF(M595&lt;=INDEX('Route Data'!$R$7:$R$8,E595),"NO PASS","pass"))</f>
        <v>STRIKE</v>
      </c>
      <c r="P595" s="5">
        <f>IF(F595&gt;=1,IF(M595&lt;=N595,1,0),IF(M595&lt;=INDEX('Route Data'!$R$7:$R$8,E595),-1,0))</f>
        <v>1</v>
      </c>
    </row>
    <row r="596" spans="1:16">
      <c r="A596" s="5">
        <v>586</v>
      </c>
      <c r="B596" s="12">
        <v>24.1</v>
      </c>
      <c r="C596" s="12">
        <f t="shared" si="9"/>
        <v>2.0099999999999998</v>
      </c>
      <c r="D596" s="8">
        <v>0.48821175098419189</v>
      </c>
      <c r="E596" s="5">
        <f>MATCH(D596,'Route Data'!$C$7:$C$8,1)</f>
        <v>2</v>
      </c>
      <c r="F596" s="5">
        <f>INDEX('Route Data'!$D$7:$D$8,E596)</f>
        <v>1</v>
      </c>
      <c r="G596" s="5" t="str">
        <f>INDEX('Route Data'!$A$7:$A$8,E596)</f>
        <v>u18</v>
      </c>
      <c r="H596" s="5">
        <f>EnergyCoeff(INDEX('Route Data'!$K$7:$K$8,E596),INDEX('Route Data'!$L$7:$L$8,E596)*2*PI()/60,INDEX('Route Data'!$F$7:$F$8,E596))</f>
        <v>0.19430699130049439</v>
      </c>
      <c r="I596" s="5">
        <f>DischargeCoeff(INDEX('Route Data'!$I$7:$I$8,E596), INDEX('Route Data'!$L$7:$L$8,E596)*2*PI()/60, INDEX('Route Data'!$F$7:$F$8,E596))</f>
        <v>0.15939200179827354</v>
      </c>
      <c r="J596" s="8">
        <f>FlowAngleRel(INDEX('Route Data'!$J$7:$J$8,E596)*INDEX('Route Data'!$I$7:$I$8,E596), INDEX('Route Data'!$L$7:$L$8,E596)*2*PI()/60, INDEX('Route Data'!$F$7:$F$8,E596),INDEX('Route Data'!$O$7:$O$8,E596), INDEX('Route Data'!$P$7:$P$8,E596),INDEX('Route Data'!$M$7:$M$8,E596))</f>
        <v>1.130811765868994</v>
      </c>
      <c r="K596" s="8">
        <f>FlowAngleAbsT(INDEX('Route Data'!$K$7:$K$8,E596), INDEX('Route Data'!$I$7:$I$8,E596), INDEX('Route Data'!$I$7:$I$8,E596)*INDEX('Route Data'!$J$7:$J$8,E596), INDEX('Route Data'!$L$7:$L$8,E596)*2*PI()/60, INDEX('Route Data'!$F$7:$F$8,E596),INDEX('Route Data'!$O$7:$O$8,E596), INDEX('Route Data'!$P$7:$P$8,E596), INDEX('Route Data'!$H$7:$H$8,E596), INDEX('Route Data'!$Q$7:$Q$8,E596), INDEX('Route Data'!$M$7:$M$8,E596))</f>
        <v>0.51617226640175828</v>
      </c>
      <c r="L596" s="5">
        <f>INDEX('Route Data'!$N$7:$N$8,E596)</f>
        <v>0.4</v>
      </c>
      <c r="M596" s="8">
        <v>0.29935228824615479</v>
      </c>
      <c r="N596" s="8">
        <f>ProbStrikeFrancis(K596, I596, L596, INDEX('Route Data'!$G$7:$G$8,E596),C596, INDEX('Route Data'!$F$7:$F$8,E596), INDEX('Route Data'!$O$7:$O$8,E596), INDEX('Route Data'!$H$7:$H$18,E596))</f>
        <v>1</v>
      </c>
      <c r="O596" s="5" t="str">
        <f>IF(F596&gt;=1,IF(M596&lt;=N596,"STRIKE","pass"),IF(M596&lt;=INDEX('Route Data'!$R$7:$R$8,E596),"NO PASS","pass"))</f>
        <v>STRIKE</v>
      </c>
      <c r="P596" s="5">
        <f>IF(F596&gt;=1,IF(M596&lt;=N596,1,0),IF(M596&lt;=INDEX('Route Data'!$R$7:$R$8,E596),-1,0))</f>
        <v>1</v>
      </c>
    </row>
    <row r="597" spans="1:16">
      <c r="A597" s="5">
        <v>587</v>
      </c>
      <c r="B597" s="12">
        <v>21.91</v>
      </c>
      <c r="C597" s="12">
        <f t="shared" si="9"/>
        <v>1.83</v>
      </c>
      <c r="D597" s="8">
        <v>0.55893594026565552</v>
      </c>
      <c r="E597" s="5">
        <f>MATCH(D597,'Route Data'!$C$7:$C$8,1)</f>
        <v>2</v>
      </c>
      <c r="F597" s="5">
        <f>INDEX('Route Data'!$D$7:$D$8,E597)</f>
        <v>1</v>
      </c>
      <c r="G597" s="5" t="str">
        <f>INDEX('Route Data'!$A$7:$A$8,E597)</f>
        <v>u18</v>
      </c>
      <c r="H597" s="5">
        <f>EnergyCoeff(INDEX('Route Data'!$K$7:$K$8,E597),INDEX('Route Data'!$L$7:$L$8,E597)*2*PI()/60,INDEX('Route Data'!$F$7:$F$8,E597))</f>
        <v>0.19430699130049439</v>
      </c>
      <c r="I597" s="5">
        <f>DischargeCoeff(INDEX('Route Data'!$I$7:$I$8,E597), INDEX('Route Data'!$L$7:$L$8,E597)*2*PI()/60, INDEX('Route Data'!$F$7:$F$8,E597))</f>
        <v>0.15939200179827354</v>
      </c>
      <c r="J597" s="8">
        <f>FlowAngleRel(INDEX('Route Data'!$J$7:$J$8,E597)*INDEX('Route Data'!$I$7:$I$8,E597), INDEX('Route Data'!$L$7:$L$8,E597)*2*PI()/60, INDEX('Route Data'!$F$7:$F$8,E597),INDEX('Route Data'!$O$7:$O$8,E597), INDEX('Route Data'!$P$7:$P$8,E597),INDEX('Route Data'!$M$7:$M$8,E597))</f>
        <v>1.130811765868994</v>
      </c>
      <c r="K597" s="8">
        <f>FlowAngleAbsT(INDEX('Route Data'!$K$7:$K$8,E597), INDEX('Route Data'!$I$7:$I$8,E597), INDEX('Route Data'!$I$7:$I$8,E597)*INDEX('Route Data'!$J$7:$J$8,E597), INDEX('Route Data'!$L$7:$L$8,E597)*2*PI()/60, INDEX('Route Data'!$F$7:$F$8,E597),INDEX('Route Data'!$O$7:$O$8,E597), INDEX('Route Data'!$P$7:$P$8,E597), INDEX('Route Data'!$H$7:$H$8,E597), INDEX('Route Data'!$Q$7:$Q$8,E597), INDEX('Route Data'!$M$7:$M$8,E597))</f>
        <v>0.51617226640175828</v>
      </c>
      <c r="L597" s="5">
        <f>INDEX('Route Data'!$N$7:$N$8,E597)</f>
        <v>0.4</v>
      </c>
      <c r="M597" s="8">
        <v>0.71187907457351685</v>
      </c>
      <c r="N597" s="8">
        <f>ProbStrikeFrancis(K597, I597, L597, INDEX('Route Data'!$G$7:$G$8,E597),C597, INDEX('Route Data'!$F$7:$F$8,E597), INDEX('Route Data'!$O$7:$O$8,E597), INDEX('Route Data'!$H$7:$H$18,E597))</f>
        <v>1</v>
      </c>
      <c r="O597" s="5" t="str">
        <f>IF(F597&gt;=1,IF(M597&lt;=N597,"STRIKE","pass"),IF(M597&lt;=INDEX('Route Data'!$R$7:$R$8,E597),"NO PASS","pass"))</f>
        <v>STRIKE</v>
      </c>
      <c r="P597" s="5">
        <f>IF(F597&gt;=1,IF(M597&lt;=N597,1,0),IF(M597&lt;=INDEX('Route Data'!$R$7:$R$8,E597),-1,0))</f>
        <v>1</v>
      </c>
    </row>
    <row r="598" spans="1:16">
      <c r="A598" s="5">
        <v>588</v>
      </c>
      <c r="B598" s="12">
        <v>22.53</v>
      </c>
      <c r="C598" s="12">
        <f t="shared" si="9"/>
        <v>1.88</v>
      </c>
      <c r="D598" s="8">
        <v>0.61234259605407715</v>
      </c>
      <c r="E598" s="5">
        <f>MATCH(D598,'Route Data'!$C$7:$C$8,1)</f>
        <v>2</v>
      </c>
      <c r="F598" s="5">
        <f>INDEX('Route Data'!$D$7:$D$8,E598)</f>
        <v>1</v>
      </c>
      <c r="G598" s="5" t="str">
        <f>INDEX('Route Data'!$A$7:$A$8,E598)</f>
        <v>u18</v>
      </c>
      <c r="H598" s="5">
        <f>EnergyCoeff(INDEX('Route Data'!$K$7:$K$8,E598),INDEX('Route Data'!$L$7:$L$8,E598)*2*PI()/60,INDEX('Route Data'!$F$7:$F$8,E598))</f>
        <v>0.19430699130049439</v>
      </c>
      <c r="I598" s="5">
        <f>DischargeCoeff(INDEX('Route Data'!$I$7:$I$8,E598), INDEX('Route Data'!$L$7:$L$8,E598)*2*PI()/60, INDEX('Route Data'!$F$7:$F$8,E598))</f>
        <v>0.15939200179827354</v>
      </c>
      <c r="J598" s="8">
        <f>FlowAngleRel(INDEX('Route Data'!$J$7:$J$8,E598)*INDEX('Route Data'!$I$7:$I$8,E598), INDEX('Route Data'!$L$7:$L$8,E598)*2*PI()/60, INDEX('Route Data'!$F$7:$F$8,E598),INDEX('Route Data'!$O$7:$O$8,E598), INDEX('Route Data'!$P$7:$P$8,E598),INDEX('Route Data'!$M$7:$M$8,E598))</f>
        <v>1.130811765868994</v>
      </c>
      <c r="K598" s="8">
        <f>FlowAngleAbsT(INDEX('Route Data'!$K$7:$K$8,E598), INDEX('Route Data'!$I$7:$I$8,E598), INDEX('Route Data'!$I$7:$I$8,E598)*INDEX('Route Data'!$J$7:$J$8,E598), INDEX('Route Data'!$L$7:$L$8,E598)*2*PI()/60, INDEX('Route Data'!$F$7:$F$8,E598),INDEX('Route Data'!$O$7:$O$8,E598), INDEX('Route Data'!$P$7:$P$8,E598), INDEX('Route Data'!$H$7:$H$8,E598), INDEX('Route Data'!$Q$7:$Q$8,E598), INDEX('Route Data'!$M$7:$M$8,E598))</f>
        <v>0.51617226640175828</v>
      </c>
      <c r="L598" s="5">
        <f>INDEX('Route Data'!$N$7:$N$8,E598)</f>
        <v>0.4</v>
      </c>
      <c r="M598" s="8">
        <v>0.73987793922424316</v>
      </c>
      <c r="N598" s="8">
        <f>ProbStrikeFrancis(K598, I598, L598, INDEX('Route Data'!$G$7:$G$8,E598),C598, INDEX('Route Data'!$F$7:$F$8,E598), INDEX('Route Data'!$O$7:$O$8,E598), INDEX('Route Data'!$H$7:$H$18,E598))</f>
        <v>1</v>
      </c>
      <c r="O598" s="5" t="str">
        <f>IF(F598&gt;=1,IF(M598&lt;=N598,"STRIKE","pass"),IF(M598&lt;=INDEX('Route Data'!$R$7:$R$8,E598),"NO PASS","pass"))</f>
        <v>STRIKE</v>
      </c>
      <c r="P598" s="5">
        <f>IF(F598&gt;=1,IF(M598&lt;=N598,1,0),IF(M598&lt;=INDEX('Route Data'!$R$7:$R$8,E598),-1,0))</f>
        <v>1</v>
      </c>
    </row>
    <row r="599" spans="1:16">
      <c r="A599" s="5">
        <v>589</v>
      </c>
      <c r="B599" s="12">
        <v>15.63</v>
      </c>
      <c r="C599" s="12">
        <f t="shared" si="9"/>
        <v>1.3</v>
      </c>
      <c r="D599" s="8">
        <v>0.45212262868881226</v>
      </c>
      <c r="E599" s="5">
        <f>MATCH(D599,'Route Data'!$C$7:$C$8,1)</f>
        <v>2</v>
      </c>
      <c r="F599" s="5">
        <f>INDEX('Route Data'!$D$7:$D$8,E599)</f>
        <v>1</v>
      </c>
      <c r="G599" s="5" t="str">
        <f>INDEX('Route Data'!$A$7:$A$8,E599)</f>
        <v>u18</v>
      </c>
      <c r="H599" s="5">
        <f>EnergyCoeff(INDEX('Route Data'!$K$7:$K$8,E599),INDEX('Route Data'!$L$7:$L$8,E599)*2*PI()/60,INDEX('Route Data'!$F$7:$F$8,E599))</f>
        <v>0.19430699130049439</v>
      </c>
      <c r="I599" s="5">
        <f>DischargeCoeff(INDEX('Route Data'!$I$7:$I$8,E599), INDEX('Route Data'!$L$7:$L$8,E599)*2*PI()/60, INDEX('Route Data'!$F$7:$F$8,E599))</f>
        <v>0.15939200179827354</v>
      </c>
      <c r="J599" s="8">
        <f>FlowAngleRel(INDEX('Route Data'!$J$7:$J$8,E599)*INDEX('Route Data'!$I$7:$I$8,E599), INDEX('Route Data'!$L$7:$L$8,E599)*2*PI()/60, INDEX('Route Data'!$F$7:$F$8,E599),INDEX('Route Data'!$O$7:$O$8,E599), INDEX('Route Data'!$P$7:$P$8,E599),INDEX('Route Data'!$M$7:$M$8,E599))</f>
        <v>1.130811765868994</v>
      </c>
      <c r="K599" s="8">
        <f>FlowAngleAbsT(INDEX('Route Data'!$K$7:$K$8,E599), INDEX('Route Data'!$I$7:$I$8,E599), INDEX('Route Data'!$I$7:$I$8,E599)*INDEX('Route Data'!$J$7:$J$8,E599), INDEX('Route Data'!$L$7:$L$8,E599)*2*PI()/60, INDEX('Route Data'!$F$7:$F$8,E599),INDEX('Route Data'!$O$7:$O$8,E599), INDEX('Route Data'!$P$7:$P$8,E599), INDEX('Route Data'!$H$7:$H$8,E599), INDEX('Route Data'!$Q$7:$Q$8,E599), INDEX('Route Data'!$M$7:$M$8,E599))</f>
        <v>0.51617226640175828</v>
      </c>
      <c r="L599" s="5">
        <f>INDEX('Route Data'!$N$7:$N$8,E599)</f>
        <v>0.4</v>
      </c>
      <c r="M599" s="8">
        <v>0.92146056890487671</v>
      </c>
      <c r="N599" s="8">
        <f>ProbStrikeFrancis(K599, I599, L599, INDEX('Route Data'!$G$7:$G$8,E599),C599, INDEX('Route Data'!$F$7:$F$8,E599), INDEX('Route Data'!$O$7:$O$8,E599), INDEX('Route Data'!$H$7:$H$18,E599))</f>
        <v>1</v>
      </c>
      <c r="O599" s="5" t="str">
        <f>IF(F599&gt;=1,IF(M599&lt;=N599,"STRIKE","pass"),IF(M599&lt;=INDEX('Route Data'!$R$7:$R$8,E599),"NO PASS","pass"))</f>
        <v>STRIKE</v>
      </c>
      <c r="P599" s="5">
        <f>IF(F599&gt;=1,IF(M599&lt;=N599,1,0),IF(M599&lt;=INDEX('Route Data'!$R$7:$R$8,E599),-1,0))</f>
        <v>1</v>
      </c>
    </row>
    <row r="600" spans="1:16">
      <c r="A600" s="5">
        <v>590</v>
      </c>
      <c r="B600" s="12">
        <v>24.86</v>
      </c>
      <c r="C600" s="12">
        <f t="shared" si="9"/>
        <v>2.0699999999999998</v>
      </c>
      <c r="D600" s="8">
        <v>0.93278253078460693</v>
      </c>
      <c r="E600" s="5">
        <f>MATCH(D600,'Route Data'!$C$7:$C$8,1)</f>
        <v>2</v>
      </c>
      <c r="F600" s="5">
        <f>INDEX('Route Data'!$D$7:$D$8,E600)</f>
        <v>1</v>
      </c>
      <c r="G600" s="5" t="str">
        <f>INDEX('Route Data'!$A$7:$A$8,E600)</f>
        <v>u18</v>
      </c>
      <c r="H600" s="5">
        <f>EnergyCoeff(INDEX('Route Data'!$K$7:$K$8,E600),INDEX('Route Data'!$L$7:$L$8,E600)*2*PI()/60,INDEX('Route Data'!$F$7:$F$8,E600))</f>
        <v>0.19430699130049439</v>
      </c>
      <c r="I600" s="5">
        <f>DischargeCoeff(INDEX('Route Data'!$I$7:$I$8,E600), INDEX('Route Data'!$L$7:$L$8,E600)*2*PI()/60, INDEX('Route Data'!$F$7:$F$8,E600))</f>
        <v>0.15939200179827354</v>
      </c>
      <c r="J600" s="8">
        <f>FlowAngleRel(INDEX('Route Data'!$J$7:$J$8,E600)*INDEX('Route Data'!$I$7:$I$8,E600), INDEX('Route Data'!$L$7:$L$8,E600)*2*PI()/60, INDEX('Route Data'!$F$7:$F$8,E600),INDEX('Route Data'!$O$7:$O$8,E600), INDEX('Route Data'!$P$7:$P$8,E600),INDEX('Route Data'!$M$7:$M$8,E600))</f>
        <v>1.130811765868994</v>
      </c>
      <c r="K600" s="8">
        <f>FlowAngleAbsT(INDEX('Route Data'!$K$7:$K$8,E600), INDEX('Route Data'!$I$7:$I$8,E600), INDEX('Route Data'!$I$7:$I$8,E600)*INDEX('Route Data'!$J$7:$J$8,E600), INDEX('Route Data'!$L$7:$L$8,E600)*2*PI()/60, INDEX('Route Data'!$F$7:$F$8,E600),INDEX('Route Data'!$O$7:$O$8,E600), INDEX('Route Data'!$P$7:$P$8,E600), INDEX('Route Data'!$H$7:$H$8,E600), INDEX('Route Data'!$Q$7:$Q$8,E600), INDEX('Route Data'!$M$7:$M$8,E600))</f>
        <v>0.51617226640175828</v>
      </c>
      <c r="L600" s="5">
        <f>INDEX('Route Data'!$N$7:$N$8,E600)</f>
        <v>0.4</v>
      </c>
      <c r="M600" s="8">
        <v>0.37671267986297607</v>
      </c>
      <c r="N600" s="8">
        <f>ProbStrikeFrancis(K600, I600, L600, INDEX('Route Data'!$G$7:$G$8,E600),C600, INDEX('Route Data'!$F$7:$F$8,E600), INDEX('Route Data'!$O$7:$O$8,E600), INDEX('Route Data'!$H$7:$H$18,E600))</f>
        <v>1</v>
      </c>
      <c r="O600" s="5" t="str">
        <f>IF(F600&gt;=1,IF(M600&lt;=N600,"STRIKE","pass"),IF(M600&lt;=INDEX('Route Data'!$R$7:$R$8,E600),"NO PASS","pass"))</f>
        <v>STRIKE</v>
      </c>
      <c r="P600" s="5">
        <f>IF(F600&gt;=1,IF(M600&lt;=N600,1,0),IF(M600&lt;=INDEX('Route Data'!$R$7:$R$8,E600),-1,0))</f>
        <v>1</v>
      </c>
    </row>
    <row r="601" spans="1:16">
      <c r="A601" s="5">
        <v>591</v>
      </c>
      <c r="B601" s="12">
        <v>24.36</v>
      </c>
      <c r="C601" s="12">
        <f t="shared" si="9"/>
        <v>2.0299999999999998</v>
      </c>
      <c r="D601" s="8">
        <v>0.4908028244972229</v>
      </c>
      <c r="E601" s="5">
        <f>MATCH(D601,'Route Data'!$C$7:$C$8,1)</f>
        <v>2</v>
      </c>
      <c r="F601" s="5">
        <f>INDEX('Route Data'!$D$7:$D$8,E601)</f>
        <v>1</v>
      </c>
      <c r="G601" s="5" t="str">
        <f>INDEX('Route Data'!$A$7:$A$8,E601)</f>
        <v>u18</v>
      </c>
      <c r="H601" s="5">
        <f>EnergyCoeff(INDEX('Route Data'!$K$7:$K$8,E601),INDEX('Route Data'!$L$7:$L$8,E601)*2*PI()/60,INDEX('Route Data'!$F$7:$F$8,E601))</f>
        <v>0.19430699130049439</v>
      </c>
      <c r="I601" s="5">
        <f>DischargeCoeff(INDEX('Route Data'!$I$7:$I$8,E601), INDEX('Route Data'!$L$7:$L$8,E601)*2*PI()/60, INDEX('Route Data'!$F$7:$F$8,E601))</f>
        <v>0.15939200179827354</v>
      </c>
      <c r="J601" s="8">
        <f>FlowAngleRel(INDEX('Route Data'!$J$7:$J$8,E601)*INDEX('Route Data'!$I$7:$I$8,E601), INDEX('Route Data'!$L$7:$L$8,E601)*2*PI()/60, INDEX('Route Data'!$F$7:$F$8,E601),INDEX('Route Data'!$O$7:$O$8,E601), INDEX('Route Data'!$P$7:$P$8,E601),INDEX('Route Data'!$M$7:$M$8,E601))</f>
        <v>1.130811765868994</v>
      </c>
      <c r="K601" s="8">
        <f>FlowAngleAbsT(INDEX('Route Data'!$K$7:$K$8,E601), INDEX('Route Data'!$I$7:$I$8,E601), INDEX('Route Data'!$I$7:$I$8,E601)*INDEX('Route Data'!$J$7:$J$8,E601), INDEX('Route Data'!$L$7:$L$8,E601)*2*PI()/60, INDEX('Route Data'!$F$7:$F$8,E601),INDEX('Route Data'!$O$7:$O$8,E601), INDEX('Route Data'!$P$7:$P$8,E601), INDEX('Route Data'!$H$7:$H$8,E601), INDEX('Route Data'!$Q$7:$Q$8,E601), INDEX('Route Data'!$M$7:$M$8,E601))</f>
        <v>0.51617226640175828</v>
      </c>
      <c r="L601" s="5">
        <f>INDEX('Route Data'!$N$7:$N$8,E601)</f>
        <v>0.4</v>
      </c>
      <c r="M601" s="8">
        <v>1.0956346988677979E-2</v>
      </c>
      <c r="N601" s="8">
        <f>ProbStrikeFrancis(K601, I601, L601, INDEX('Route Data'!$G$7:$G$8,E601),C601, INDEX('Route Data'!$F$7:$F$8,E601), INDEX('Route Data'!$O$7:$O$8,E601), INDEX('Route Data'!$H$7:$H$18,E601))</f>
        <v>1</v>
      </c>
      <c r="O601" s="5" t="str">
        <f>IF(F601&gt;=1,IF(M601&lt;=N601,"STRIKE","pass"),IF(M601&lt;=INDEX('Route Data'!$R$7:$R$8,E601),"NO PASS","pass"))</f>
        <v>STRIKE</v>
      </c>
      <c r="P601" s="5">
        <f>IF(F601&gt;=1,IF(M601&lt;=N601,1,0),IF(M601&lt;=INDEX('Route Data'!$R$7:$R$8,E601),-1,0))</f>
        <v>1</v>
      </c>
    </row>
    <row r="602" spans="1:16">
      <c r="A602" s="5">
        <v>592</v>
      </c>
      <c r="B602" s="12">
        <v>23.34</v>
      </c>
      <c r="C602" s="12">
        <f t="shared" si="9"/>
        <v>1.95</v>
      </c>
      <c r="D602" s="8">
        <v>8.23211669921875E-2</v>
      </c>
      <c r="E602" s="5">
        <f>MATCH(D602,'Route Data'!$C$7:$C$8,1)</f>
        <v>2</v>
      </c>
      <c r="F602" s="5">
        <f>INDEX('Route Data'!$D$7:$D$8,E602)</f>
        <v>1</v>
      </c>
      <c r="G602" s="5" t="str">
        <f>INDEX('Route Data'!$A$7:$A$8,E602)</f>
        <v>u18</v>
      </c>
      <c r="H602" s="5">
        <f>EnergyCoeff(INDEX('Route Data'!$K$7:$K$8,E602),INDEX('Route Data'!$L$7:$L$8,E602)*2*PI()/60,INDEX('Route Data'!$F$7:$F$8,E602))</f>
        <v>0.19430699130049439</v>
      </c>
      <c r="I602" s="5">
        <f>DischargeCoeff(INDEX('Route Data'!$I$7:$I$8,E602), INDEX('Route Data'!$L$7:$L$8,E602)*2*PI()/60, INDEX('Route Data'!$F$7:$F$8,E602))</f>
        <v>0.15939200179827354</v>
      </c>
      <c r="J602" s="8">
        <f>FlowAngleRel(INDEX('Route Data'!$J$7:$J$8,E602)*INDEX('Route Data'!$I$7:$I$8,E602), INDEX('Route Data'!$L$7:$L$8,E602)*2*PI()/60, INDEX('Route Data'!$F$7:$F$8,E602),INDEX('Route Data'!$O$7:$O$8,E602), INDEX('Route Data'!$P$7:$P$8,E602),INDEX('Route Data'!$M$7:$M$8,E602))</f>
        <v>1.130811765868994</v>
      </c>
      <c r="K602" s="8">
        <f>FlowAngleAbsT(INDEX('Route Data'!$K$7:$K$8,E602), INDEX('Route Data'!$I$7:$I$8,E602), INDEX('Route Data'!$I$7:$I$8,E602)*INDEX('Route Data'!$J$7:$J$8,E602), INDEX('Route Data'!$L$7:$L$8,E602)*2*PI()/60, INDEX('Route Data'!$F$7:$F$8,E602),INDEX('Route Data'!$O$7:$O$8,E602), INDEX('Route Data'!$P$7:$P$8,E602), INDEX('Route Data'!$H$7:$H$8,E602), INDEX('Route Data'!$Q$7:$Q$8,E602), INDEX('Route Data'!$M$7:$M$8,E602))</f>
        <v>0.51617226640175828</v>
      </c>
      <c r="L602" s="5">
        <f>INDEX('Route Data'!$N$7:$N$8,E602)</f>
        <v>0.4</v>
      </c>
      <c r="M602" s="8">
        <v>0.57706689834594727</v>
      </c>
      <c r="N602" s="8">
        <f>ProbStrikeFrancis(K602, I602, L602, INDEX('Route Data'!$G$7:$G$8,E602),C602, INDEX('Route Data'!$F$7:$F$8,E602), INDEX('Route Data'!$O$7:$O$8,E602), INDEX('Route Data'!$H$7:$H$18,E602))</f>
        <v>1</v>
      </c>
      <c r="O602" s="5" t="str">
        <f>IF(F602&gt;=1,IF(M602&lt;=N602,"STRIKE","pass"),IF(M602&lt;=INDEX('Route Data'!$R$7:$R$8,E602),"NO PASS","pass"))</f>
        <v>STRIKE</v>
      </c>
      <c r="P602" s="5">
        <f>IF(F602&gt;=1,IF(M602&lt;=N602,1,0),IF(M602&lt;=INDEX('Route Data'!$R$7:$R$8,E602),-1,0))</f>
        <v>1</v>
      </c>
    </row>
    <row r="603" spans="1:16">
      <c r="A603" s="5">
        <v>593</v>
      </c>
      <c r="B603" s="12">
        <v>28.31</v>
      </c>
      <c r="C603" s="12">
        <f t="shared" si="9"/>
        <v>2.36</v>
      </c>
      <c r="D603" s="8">
        <v>0.7766076922416687</v>
      </c>
      <c r="E603" s="5">
        <f>MATCH(D603,'Route Data'!$C$7:$C$8,1)</f>
        <v>2</v>
      </c>
      <c r="F603" s="5">
        <f>INDEX('Route Data'!$D$7:$D$8,E603)</f>
        <v>1</v>
      </c>
      <c r="G603" s="5" t="str">
        <f>INDEX('Route Data'!$A$7:$A$8,E603)</f>
        <v>u18</v>
      </c>
      <c r="H603" s="5">
        <f>EnergyCoeff(INDEX('Route Data'!$K$7:$K$8,E603),INDEX('Route Data'!$L$7:$L$8,E603)*2*PI()/60,INDEX('Route Data'!$F$7:$F$8,E603))</f>
        <v>0.19430699130049439</v>
      </c>
      <c r="I603" s="5">
        <f>DischargeCoeff(INDEX('Route Data'!$I$7:$I$8,E603), INDEX('Route Data'!$L$7:$L$8,E603)*2*PI()/60, INDEX('Route Data'!$F$7:$F$8,E603))</f>
        <v>0.15939200179827354</v>
      </c>
      <c r="J603" s="8">
        <f>FlowAngleRel(INDEX('Route Data'!$J$7:$J$8,E603)*INDEX('Route Data'!$I$7:$I$8,E603), INDEX('Route Data'!$L$7:$L$8,E603)*2*PI()/60, INDEX('Route Data'!$F$7:$F$8,E603),INDEX('Route Data'!$O$7:$O$8,E603), INDEX('Route Data'!$P$7:$P$8,E603),INDEX('Route Data'!$M$7:$M$8,E603))</f>
        <v>1.130811765868994</v>
      </c>
      <c r="K603" s="8">
        <f>FlowAngleAbsT(INDEX('Route Data'!$K$7:$K$8,E603), INDEX('Route Data'!$I$7:$I$8,E603), INDEX('Route Data'!$I$7:$I$8,E603)*INDEX('Route Data'!$J$7:$J$8,E603), INDEX('Route Data'!$L$7:$L$8,E603)*2*PI()/60, INDEX('Route Data'!$F$7:$F$8,E603),INDEX('Route Data'!$O$7:$O$8,E603), INDEX('Route Data'!$P$7:$P$8,E603), INDEX('Route Data'!$H$7:$H$8,E603), INDEX('Route Data'!$Q$7:$Q$8,E603), INDEX('Route Data'!$M$7:$M$8,E603))</f>
        <v>0.51617226640175828</v>
      </c>
      <c r="L603" s="5">
        <f>INDEX('Route Data'!$N$7:$N$8,E603)</f>
        <v>0.4</v>
      </c>
      <c r="M603" s="8">
        <v>0.6754729151725769</v>
      </c>
      <c r="N603" s="8">
        <f>ProbStrikeFrancis(K603, I603, L603, INDEX('Route Data'!$G$7:$G$8,E603),C603, INDEX('Route Data'!$F$7:$F$8,E603), INDEX('Route Data'!$O$7:$O$8,E603), INDEX('Route Data'!$H$7:$H$18,E603))</f>
        <v>1</v>
      </c>
      <c r="O603" s="5" t="str">
        <f>IF(F603&gt;=1,IF(M603&lt;=N603,"STRIKE","pass"),IF(M603&lt;=INDEX('Route Data'!$R$7:$R$8,E603),"NO PASS","pass"))</f>
        <v>STRIKE</v>
      </c>
      <c r="P603" s="5">
        <f>IF(F603&gt;=1,IF(M603&lt;=N603,1,0),IF(M603&lt;=INDEX('Route Data'!$R$7:$R$8,E603),-1,0))</f>
        <v>1</v>
      </c>
    </row>
    <row r="604" spans="1:16">
      <c r="A604" s="5">
        <v>594</v>
      </c>
      <c r="B604" s="12">
        <v>26.64</v>
      </c>
      <c r="C604" s="12">
        <f t="shared" si="9"/>
        <v>2.2200000000000002</v>
      </c>
      <c r="D604" s="8">
        <v>0.6937481164932251</v>
      </c>
      <c r="E604" s="5">
        <f>MATCH(D604,'Route Data'!$C$7:$C$8,1)</f>
        <v>2</v>
      </c>
      <c r="F604" s="5">
        <f>INDEX('Route Data'!$D$7:$D$8,E604)</f>
        <v>1</v>
      </c>
      <c r="G604" s="5" t="str">
        <f>INDEX('Route Data'!$A$7:$A$8,E604)</f>
        <v>u18</v>
      </c>
      <c r="H604" s="5">
        <f>EnergyCoeff(INDEX('Route Data'!$K$7:$K$8,E604),INDEX('Route Data'!$L$7:$L$8,E604)*2*PI()/60,INDEX('Route Data'!$F$7:$F$8,E604))</f>
        <v>0.19430699130049439</v>
      </c>
      <c r="I604" s="5">
        <f>DischargeCoeff(INDEX('Route Data'!$I$7:$I$8,E604), INDEX('Route Data'!$L$7:$L$8,E604)*2*PI()/60, INDEX('Route Data'!$F$7:$F$8,E604))</f>
        <v>0.15939200179827354</v>
      </c>
      <c r="J604" s="8">
        <f>FlowAngleRel(INDEX('Route Data'!$J$7:$J$8,E604)*INDEX('Route Data'!$I$7:$I$8,E604), INDEX('Route Data'!$L$7:$L$8,E604)*2*PI()/60, INDEX('Route Data'!$F$7:$F$8,E604),INDEX('Route Data'!$O$7:$O$8,E604), INDEX('Route Data'!$P$7:$P$8,E604),INDEX('Route Data'!$M$7:$M$8,E604))</f>
        <v>1.130811765868994</v>
      </c>
      <c r="K604" s="8">
        <f>FlowAngleAbsT(INDEX('Route Data'!$K$7:$K$8,E604), INDEX('Route Data'!$I$7:$I$8,E604), INDEX('Route Data'!$I$7:$I$8,E604)*INDEX('Route Data'!$J$7:$J$8,E604), INDEX('Route Data'!$L$7:$L$8,E604)*2*PI()/60, INDEX('Route Data'!$F$7:$F$8,E604),INDEX('Route Data'!$O$7:$O$8,E604), INDEX('Route Data'!$P$7:$P$8,E604), INDEX('Route Data'!$H$7:$H$8,E604), INDEX('Route Data'!$Q$7:$Q$8,E604), INDEX('Route Data'!$M$7:$M$8,E604))</f>
        <v>0.51617226640175828</v>
      </c>
      <c r="L604" s="5">
        <f>INDEX('Route Data'!$N$7:$N$8,E604)</f>
        <v>0.4</v>
      </c>
      <c r="M604" s="8">
        <v>0.30162632465362549</v>
      </c>
      <c r="N604" s="8">
        <f>ProbStrikeFrancis(K604, I604, L604, INDEX('Route Data'!$G$7:$G$8,E604),C604, INDEX('Route Data'!$F$7:$F$8,E604), INDEX('Route Data'!$O$7:$O$8,E604), INDEX('Route Data'!$H$7:$H$18,E604))</f>
        <v>1</v>
      </c>
      <c r="O604" s="5" t="str">
        <f>IF(F604&gt;=1,IF(M604&lt;=N604,"STRIKE","pass"),IF(M604&lt;=INDEX('Route Data'!$R$7:$R$8,E604),"NO PASS","pass"))</f>
        <v>STRIKE</v>
      </c>
      <c r="P604" s="5">
        <f>IF(F604&gt;=1,IF(M604&lt;=N604,1,0),IF(M604&lt;=INDEX('Route Data'!$R$7:$R$8,E604),-1,0))</f>
        <v>1</v>
      </c>
    </row>
    <row r="605" spans="1:16">
      <c r="A605" s="5">
        <v>595</v>
      </c>
      <c r="B605" s="12">
        <v>21.22</v>
      </c>
      <c r="C605" s="12">
        <f t="shared" si="9"/>
        <v>1.77</v>
      </c>
      <c r="D605" s="8">
        <v>0.47348529100418091</v>
      </c>
      <c r="E605" s="5">
        <f>MATCH(D605,'Route Data'!$C$7:$C$8,1)</f>
        <v>2</v>
      </c>
      <c r="F605" s="5">
        <f>INDEX('Route Data'!$D$7:$D$8,E605)</f>
        <v>1</v>
      </c>
      <c r="G605" s="5" t="str">
        <f>INDEX('Route Data'!$A$7:$A$8,E605)</f>
        <v>u18</v>
      </c>
      <c r="H605" s="5">
        <f>EnergyCoeff(INDEX('Route Data'!$K$7:$K$8,E605),INDEX('Route Data'!$L$7:$L$8,E605)*2*PI()/60,INDEX('Route Data'!$F$7:$F$8,E605))</f>
        <v>0.19430699130049439</v>
      </c>
      <c r="I605" s="5">
        <f>DischargeCoeff(INDEX('Route Data'!$I$7:$I$8,E605), INDEX('Route Data'!$L$7:$L$8,E605)*2*PI()/60, INDEX('Route Data'!$F$7:$F$8,E605))</f>
        <v>0.15939200179827354</v>
      </c>
      <c r="J605" s="8">
        <f>FlowAngleRel(INDEX('Route Data'!$J$7:$J$8,E605)*INDEX('Route Data'!$I$7:$I$8,E605), INDEX('Route Data'!$L$7:$L$8,E605)*2*PI()/60, INDEX('Route Data'!$F$7:$F$8,E605),INDEX('Route Data'!$O$7:$O$8,E605), INDEX('Route Data'!$P$7:$P$8,E605),INDEX('Route Data'!$M$7:$M$8,E605))</f>
        <v>1.130811765868994</v>
      </c>
      <c r="K605" s="8">
        <f>FlowAngleAbsT(INDEX('Route Data'!$K$7:$K$8,E605), INDEX('Route Data'!$I$7:$I$8,E605), INDEX('Route Data'!$I$7:$I$8,E605)*INDEX('Route Data'!$J$7:$J$8,E605), INDEX('Route Data'!$L$7:$L$8,E605)*2*PI()/60, INDEX('Route Data'!$F$7:$F$8,E605),INDEX('Route Data'!$O$7:$O$8,E605), INDEX('Route Data'!$P$7:$P$8,E605), INDEX('Route Data'!$H$7:$H$8,E605), INDEX('Route Data'!$Q$7:$Q$8,E605), INDEX('Route Data'!$M$7:$M$8,E605))</f>
        <v>0.51617226640175828</v>
      </c>
      <c r="L605" s="5">
        <f>INDEX('Route Data'!$N$7:$N$8,E605)</f>
        <v>0.4</v>
      </c>
      <c r="M605" s="8">
        <v>0.42316609621047974</v>
      </c>
      <c r="N605" s="8">
        <f>ProbStrikeFrancis(K605, I605, L605, INDEX('Route Data'!$G$7:$G$8,E605),C605, INDEX('Route Data'!$F$7:$F$8,E605), INDEX('Route Data'!$O$7:$O$8,E605), INDEX('Route Data'!$H$7:$H$18,E605))</f>
        <v>1</v>
      </c>
      <c r="O605" s="5" t="str">
        <f>IF(F605&gt;=1,IF(M605&lt;=N605,"STRIKE","pass"),IF(M605&lt;=INDEX('Route Data'!$R$7:$R$8,E605),"NO PASS","pass"))</f>
        <v>STRIKE</v>
      </c>
      <c r="P605" s="5">
        <f>IF(F605&gt;=1,IF(M605&lt;=N605,1,0),IF(M605&lt;=INDEX('Route Data'!$R$7:$R$8,E605),-1,0))</f>
        <v>1</v>
      </c>
    </row>
    <row r="606" spans="1:16">
      <c r="A606" s="5">
        <v>596</v>
      </c>
      <c r="B606" s="12">
        <v>24.72</v>
      </c>
      <c r="C606" s="12">
        <f t="shared" si="9"/>
        <v>2.06</v>
      </c>
      <c r="D606" s="8">
        <v>0.86869454383850098</v>
      </c>
      <c r="E606" s="5">
        <f>MATCH(D606,'Route Data'!$C$7:$C$8,1)</f>
        <v>2</v>
      </c>
      <c r="F606" s="5">
        <f>INDEX('Route Data'!$D$7:$D$8,E606)</f>
        <v>1</v>
      </c>
      <c r="G606" s="5" t="str">
        <f>INDEX('Route Data'!$A$7:$A$8,E606)</f>
        <v>u18</v>
      </c>
      <c r="H606" s="5">
        <f>EnergyCoeff(INDEX('Route Data'!$K$7:$K$8,E606),INDEX('Route Data'!$L$7:$L$8,E606)*2*PI()/60,INDEX('Route Data'!$F$7:$F$8,E606))</f>
        <v>0.19430699130049439</v>
      </c>
      <c r="I606" s="5">
        <f>DischargeCoeff(INDEX('Route Data'!$I$7:$I$8,E606), INDEX('Route Data'!$L$7:$L$8,E606)*2*PI()/60, INDEX('Route Data'!$F$7:$F$8,E606))</f>
        <v>0.15939200179827354</v>
      </c>
      <c r="J606" s="8">
        <f>FlowAngleRel(INDEX('Route Data'!$J$7:$J$8,E606)*INDEX('Route Data'!$I$7:$I$8,E606), INDEX('Route Data'!$L$7:$L$8,E606)*2*PI()/60, INDEX('Route Data'!$F$7:$F$8,E606),INDEX('Route Data'!$O$7:$O$8,E606), INDEX('Route Data'!$P$7:$P$8,E606),INDEX('Route Data'!$M$7:$M$8,E606))</f>
        <v>1.130811765868994</v>
      </c>
      <c r="K606" s="8">
        <f>FlowAngleAbsT(INDEX('Route Data'!$K$7:$K$8,E606), INDEX('Route Data'!$I$7:$I$8,E606), INDEX('Route Data'!$I$7:$I$8,E606)*INDEX('Route Data'!$J$7:$J$8,E606), INDEX('Route Data'!$L$7:$L$8,E606)*2*PI()/60, INDEX('Route Data'!$F$7:$F$8,E606),INDEX('Route Data'!$O$7:$O$8,E606), INDEX('Route Data'!$P$7:$P$8,E606), INDEX('Route Data'!$H$7:$H$8,E606), INDEX('Route Data'!$Q$7:$Q$8,E606), INDEX('Route Data'!$M$7:$M$8,E606))</f>
        <v>0.51617226640175828</v>
      </c>
      <c r="L606" s="5">
        <f>INDEX('Route Data'!$N$7:$N$8,E606)</f>
        <v>0.4</v>
      </c>
      <c r="M606" s="8">
        <v>0.79296755790710449</v>
      </c>
      <c r="N606" s="8">
        <f>ProbStrikeFrancis(K606, I606, L606, INDEX('Route Data'!$G$7:$G$8,E606),C606, INDEX('Route Data'!$F$7:$F$8,E606), INDEX('Route Data'!$O$7:$O$8,E606), INDEX('Route Data'!$H$7:$H$18,E606))</f>
        <v>1</v>
      </c>
      <c r="O606" s="5" t="str">
        <f>IF(F606&gt;=1,IF(M606&lt;=N606,"STRIKE","pass"),IF(M606&lt;=INDEX('Route Data'!$R$7:$R$8,E606),"NO PASS","pass"))</f>
        <v>STRIKE</v>
      </c>
      <c r="P606" s="5">
        <f>IF(F606&gt;=1,IF(M606&lt;=N606,1,0),IF(M606&lt;=INDEX('Route Data'!$R$7:$R$8,E606),-1,0))</f>
        <v>1</v>
      </c>
    </row>
    <row r="607" spans="1:16">
      <c r="A607" s="5">
        <v>597</v>
      </c>
      <c r="B607" s="12">
        <v>20.260000000000002</v>
      </c>
      <c r="C607" s="12">
        <f t="shared" si="9"/>
        <v>1.69</v>
      </c>
      <c r="D607" s="8">
        <v>0.68306678533554077</v>
      </c>
      <c r="E607" s="5">
        <f>MATCH(D607,'Route Data'!$C$7:$C$8,1)</f>
        <v>2</v>
      </c>
      <c r="F607" s="5">
        <f>INDEX('Route Data'!$D$7:$D$8,E607)</f>
        <v>1</v>
      </c>
      <c r="G607" s="5" t="str">
        <f>INDEX('Route Data'!$A$7:$A$8,E607)</f>
        <v>u18</v>
      </c>
      <c r="H607" s="5">
        <f>EnergyCoeff(INDEX('Route Data'!$K$7:$K$8,E607),INDEX('Route Data'!$L$7:$L$8,E607)*2*PI()/60,INDEX('Route Data'!$F$7:$F$8,E607))</f>
        <v>0.19430699130049439</v>
      </c>
      <c r="I607" s="5">
        <f>DischargeCoeff(INDEX('Route Data'!$I$7:$I$8,E607), INDEX('Route Data'!$L$7:$L$8,E607)*2*PI()/60, INDEX('Route Data'!$F$7:$F$8,E607))</f>
        <v>0.15939200179827354</v>
      </c>
      <c r="J607" s="8">
        <f>FlowAngleRel(INDEX('Route Data'!$J$7:$J$8,E607)*INDEX('Route Data'!$I$7:$I$8,E607), INDEX('Route Data'!$L$7:$L$8,E607)*2*PI()/60, INDEX('Route Data'!$F$7:$F$8,E607),INDEX('Route Data'!$O$7:$O$8,E607), INDEX('Route Data'!$P$7:$P$8,E607),INDEX('Route Data'!$M$7:$M$8,E607))</f>
        <v>1.130811765868994</v>
      </c>
      <c r="K607" s="8">
        <f>FlowAngleAbsT(INDEX('Route Data'!$K$7:$K$8,E607), INDEX('Route Data'!$I$7:$I$8,E607), INDEX('Route Data'!$I$7:$I$8,E607)*INDEX('Route Data'!$J$7:$J$8,E607), INDEX('Route Data'!$L$7:$L$8,E607)*2*PI()/60, INDEX('Route Data'!$F$7:$F$8,E607),INDEX('Route Data'!$O$7:$O$8,E607), INDEX('Route Data'!$P$7:$P$8,E607), INDEX('Route Data'!$H$7:$H$8,E607), INDEX('Route Data'!$Q$7:$Q$8,E607), INDEX('Route Data'!$M$7:$M$8,E607))</f>
        <v>0.51617226640175828</v>
      </c>
      <c r="L607" s="5">
        <f>INDEX('Route Data'!$N$7:$N$8,E607)</f>
        <v>0.4</v>
      </c>
      <c r="M607" s="8">
        <v>0.94914239645004272</v>
      </c>
      <c r="N607" s="8">
        <f>ProbStrikeFrancis(K607, I607, L607, INDEX('Route Data'!$G$7:$G$8,E607),C607, INDEX('Route Data'!$F$7:$F$8,E607), INDEX('Route Data'!$O$7:$O$8,E607), INDEX('Route Data'!$H$7:$H$18,E607))</f>
        <v>1</v>
      </c>
      <c r="O607" s="5" t="str">
        <f>IF(F607&gt;=1,IF(M607&lt;=N607,"STRIKE","pass"),IF(M607&lt;=INDEX('Route Data'!$R$7:$R$8,E607),"NO PASS","pass"))</f>
        <v>STRIKE</v>
      </c>
      <c r="P607" s="5">
        <f>IF(F607&gt;=1,IF(M607&lt;=N607,1,0),IF(M607&lt;=INDEX('Route Data'!$R$7:$R$8,E607),-1,0))</f>
        <v>1</v>
      </c>
    </row>
    <row r="608" spans="1:16">
      <c r="A608" s="5">
        <v>598</v>
      </c>
      <c r="B608" s="12">
        <v>21.28</v>
      </c>
      <c r="C608" s="12">
        <f t="shared" si="9"/>
        <v>1.77</v>
      </c>
      <c r="D608" s="8">
        <v>0.50552928447723389</v>
      </c>
      <c r="E608" s="5">
        <f>MATCH(D608,'Route Data'!$C$7:$C$8,1)</f>
        <v>2</v>
      </c>
      <c r="F608" s="5">
        <f>INDEX('Route Data'!$D$7:$D$8,E608)</f>
        <v>1</v>
      </c>
      <c r="G608" s="5" t="str">
        <f>INDEX('Route Data'!$A$7:$A$8,E608)</f>
        <v>u18</v>
      </c>
      <c r="H608" s="5">
        <f>EnergyCoeff(INDEX('Route Data'!$K$7:$K$8,E608),INDEX('Route Data'!$L$7:$L$8,E608)*2*PI()/60,INDEX('Route Data'!$F$7:$F$8,E608))</f>
        <v>0.19430699130049439</v>
      </c>
      <c r="I608" s="5">
        <f>DischargeCoeff(INDEX('Route Data'!$I$7:$I$8,E608), INDEX('Route Data'!$L$7:$L$8,E608)*2*PI()/60, INDEX('Route Data'!$F$7:$F$8,E608))</f>
        <v>0.15939200179827354</v>
      </c>
      <c r="J608" s="8">
        <f>FlowAngleRel(INDEX('Route Data'!$J$7:$J$8,E608)*INDEX('Route Data'!$I$7:$I$8,E608), INDEX('Route Data'!$L$7:$L$8,E608)*2*PI()/60, INDEX('Route Data'!$F$7:$F$8,E608),INDEX('Route Data'!$O$7:$O$8,E608), INDEX('Route Data'!$P$7:$P$8,E608),INDEX('Route Data'!$M$7:$M$8,E608))</f>
        <v>1.130811765868994</v>
      </c>
      <c r="K608" s="8">
        <f>FlowAngleAbsT(INDEX('Route Data'!$K$7:$K$8,E608), INDEX('Route Data'!$I$7:$I$8,E608), INDEX('Route Data'!$I$7:$I$8,E608)*INDEX('Route Data'!$J$7:$J$8,E608), INDEX('Route Data'!$L$7:$L$8,E608)*2*PI()/60, INDEX('Route Data'!$F$7:$F$8,E608),INDEX('Route Data'!$O$7:$O$8,E608), INDEX('Route Data'!$P$7:$P$8,E608), INDEX('Route Data'!$H$7:$H$8,E608), INDEX('Route Data'!$Q$7:$Q$8,E608), INDEX('Route Data'!$M$7:$M$8,E608))</f>
        <v>0.51617226640175828</v>
      </c>
      <c r="L608" s="5">
        <f>INDEX('Route Data'!$N$7:$N$8,E608)</f>
        <v>0.4</v>
      </c>
      <c r="M608" s="8">
        <v>0.74619710445404053</v>
      </c>
      <c r="N608" s="8">
        <f>ProbStrikeFrancis(K608, I608, L608, INDEX('Route Data'!$G$7:$G$8,E608),C608, INDEX('Route Data'!$F$7:$F$8,E608), INDEX('Route Data'!$O$7:$O$8,E608), INDEX('Route Data'!$H$7:$H$18,E608))</f>
        <v>1</v>
      </c>
      <c r="O608" s="5" t="str">
        <f>IF(F608&gt;=1,IF(M608&lt;=N608,"STRIKE","pass"),IF(M608&lt;=INDEX('Route Data'!$R$7:$R$8,E608),"NO PASS","pass"))</f>
        <v>STRIKE</v>
      </c>
      <c r="P608" s="5">
        <f>IF(F608&gt;=1,IF(M608&lt;=N608,1,0),IF(M608&lt;=INDEX('Route Data'!$R$7:$R$8,E608),-1,0))</f>
        <v>1</v>
      </c>
    </row>
    <row r="609" spans="1:16">
      <c r="A609" s="5">
        <v>599</v>
      </c>
      <c r="B609" s="12">
        <v>20.63</v>
      </c>
      <c r="C609" s="12">
        <f t="shared" si="9"/>
        <v>1.72</v>
      </c>
      <c r="D609" s="8">
        <v>0.77256256341934204</v>
      </c>
      <c r="E609" s="5">
        <f>MATCH(D609,'Route Data'!$C$7:$C$8,1)</f>
        <v>2</v>
      </c>
      <c r="F609" s="5">
        <f>INDEX('Route Data'!$D$7:$D$8,E609)</f>
        <v>1</v>
      </c>
      <c r="G609" s="5" t="str">
        <f>INDEX('Route Data'!$A$7:$A$8,E609)</f>
        <v>u18</v>
      </c>
      <c r="H609" s="5">
        <f>EnergyCoeff(INDEX('Route Data'!$K$7:$K$8,E609),INDEX('Route Data'!$L$7:$L$8,E609)*2*PI()/60,INDEX('Route Data'!$F$7:$F$8,E609))</f>
        <v>0.19430699130049439</v>
      </c>
      <c r="I609" s="5">
        <f>DischargeCoeff(INDEX('Route Data'!$I$7:$I$8,E609), INDEX('Route Data'!$L$7:$L$8,E609)*2*PI()/60, INDEX('Route Data'!$F$7:$F$8,E609))</f>
        <v>0.15939200179827354</v>
      </c>
      <c r="J609" s="8">
        <f>FlowAngleRel(INDEX('Route Data'!$J$7:$J$8,E609)*INDEX('Route Data'!$I$7:$I$8,E609), INDEX('Route Data'!$L$7:$L$8,E609)*2*PI()/60, INDEX('Route Data'!$F$7:$F$8,E609),INDEX('Route Data'!$O$7:$O$8,E609), INDEX('Route Data'!$P$7:$P$8,E609),INDEX('Route Data'!$M$7:$M$8,E609))</f>
        <v>1.130811765868994</v>
      </c>
      <c r="K609" s="8">
        <f>FlowAngleAbsT(INDEX('Route Data'!$K$7:$K$8,E609), INDEX('Route Data'!$I$7:$I$8,E609), INDEX('Route Data'!$I$7:$I$8,E609)*INDEX('Route Data'!$J$7:$J$8,E609), INDEX('Route Data'!$L$7:$L$8,E609)*2*PI()/60, INDEX('Route Data'!$F$7:$F$8,E609),INDEX('Route Data'!$O$7:$O$8,E609), INDEX('Route Data'!$P$7:$P$8,E609), INDEX('Route Data'!$H$7:$H$8,E609), INDEX('Route Data'!$Q$7:$Q$8,E609), INDEX('Route Data'!$M$7:$M$8,E609))</f>
        <v>0.51617226640175828</v>
      </c>
      <c r="L609" s="5">
        <f>INDEX('Route Data'!$N$7:$N$8,E609)</f>
        <v>0.4</v>
      </c>
      <c r="M609" s="8">
        <v>0.35503298044204712</v>
      </c>
      <c r="N609" s="8">
        <f>ProbStrikeFrancis(K609, I609, L609, INDEX('Route Data'!$G$7:$G$8,E609),C609, INDEX('Route Data'!$F$7:$F$8,E609), INDEX('Route Data'!$O$7:$O$8,E609), INDEX('Route Data'!$H$7:$H$18,E609))</f>
        <v>1</v>
      </c>
      <c r="O609" s="5" t="str">
        <f>IF(F609&gt;=1,IF(M609&lt;=N609,"STRIKE","pass"),IF(M609&lt;=INDEX('Route Data'!$R$7:$R$8,E609),"NO PASS","pass"))</f>
        <v>STRIKE</v>
      </c>
      <c r="P609" s="5">
        <f>IF(F609&gt;=1,IF(M609&lt;=N609,1,0),IF(M609&lt;=INDEX('Route Data'!$R$7:$R$8,E609),-1,0))</f>
        <v>1</v>
      </c>
    </row>
    <row r="610" spans="1:16">
      <c r="A610" s="5">
        <v>600</v>
      </c>
      <c r="B610" s="12">
        <v>22.47</v>
      </c>
      <c r="C610" s="12">
        <f t="shared" si="9"/>
        <v>1.87</v>
      </c>
      <c r="D610" s="8">
        <v>0.97146272659301758</v>
      </c>
      <c r="E610" s="5">
        <f>MATCH(D610,'Route Data'!$C$7:$C$8,1)</f>
        <v>2</v>
      </c>
      <c r="F610" s="5">
        <f>INDEX('Route Data'!$D$7:$D$8,E610)</f>
        <v>1</v>
      </c>
      <c r="G610" s="5" t="str">
        <f>INDEX('Route Data'!$A$7:$A$8,E610)</f>
        <v>u18</v>
      </c>
      <c r="H610" s="5">
        <f>EnergyCoeff(INDEX('Route Data'!$K$7:$K$8,E610),INDEX('Route Data'!$L$7:$L$8,E610)*2*PI()/60,INDEX('Route Data'!$F$7:$F$8,E610))</f>
        <v>0.19430699130049439</v>
      </c>
      <c r="I610" s="5">
        <f>DischargeCoeff(INDEX('Route Data'!$I$7:$I$8,E610), INDEX('Route Data'!$L$7:$L$8,E610)*2*PI()/60, INDEX('Route Data'!$F$7:$F$8,E610))</f>
        <v>0.15939200179827354</v>
      </c>
      <c r="J610" s="8">
        <f>FlowAngleRel(INDEX('Route Data'!$J$7:$J$8,E610)*INDEX('Route Data'!$I$7:$I$8,E610), INDEX('Route Data'!$L$7:$L$8,E610)*2*PI()/60, INDEX('Route Data'!$F$7:$F$8,E610),INDEX('Route Data'!$O$7:$O$8,E610), INDEX('Route Data'!$P$7:$P$8,E610),INDEX('Route Data'!$M$7:$M$8,E610))</f>
        <v>1.130811765868994</v>
      </c>
      <c r="K610" s="8">
        <f>FlowAngleAbsT(INDEX('Route Data'!$K$7:$K$8,E610), INDEX('Route Data'!$I$7:$I$8,E610), INDEX('Route Data'!$I$7:$I$8,E610)*INDEX('Route Data'!$J$7:$J$8,E610), INDEX('Route Data'!$L$7:$L$8,E610)*2*PI()/60, INDEX('Route Data'!$F$7:$F$8,E610),INDEX('Route Data'!$O$7:$O$8,E610), INDEX('Route Data'!$P$7:$P$8,E610), INDEX('Route Data'!$H$7:$H$8,E610), INDEX('Route Data'!$Q$7:$Q$8,E610), INDEX('Route Data'!$M$7:$M$8,E610))</f>
        <v>0.51617226640175828</v>
      </c>
      <c r="L610" s="5">
        <f>INDEX('Route Data'!$N$7:$N$8,E610)</f>
        <v>0.4</v>
      </c>
      <c r="M610" s="8">
        <v>0.26294612884521484</v>
      </c>
      <c r="N610" s="8">
        <f>ProbStrikeFrancis(K610, I610, L610, INDEX('Route Data'!$G$7:$G$8,E610),C610, INDEX('Route Data'!$F$7:$F$8,E610), INDEX('Route Data'!$O$7:$O$8,E610), INDEX('Route Data'!$H$7:$H$18,E610))</f>
        <v>1</v>
      </c>
      <c r="O610" s="5" t="str">
        <f>IF(F610&gt;=1,IF(M610&lt;=N610,"STRIKE","pass"),IF(M610&lt;=INDEX('Route Data'!$R$7:$R$8,E610),"NO PASS","pass"))</f>
        <v>STRIKE</v>
      </c>
      <c r="P610" s="5">
        <f>IF(F610&gt;=1,IF(M610&lt;=N610,1,0),IF(M610&lt;=INDEX('Route Data'!$R$7:$R$8,E610),-1,0))</f>
        <v>1</v>
      </c>
    </row>
    <row r="611" spans="1:16">
      <c r="A611" s="5">
        <v>601</v>
      </c>
      <c r="B611" s="12">
        <v>22.95</v>
      </c>
      <c r="C611" s="12">
        <f t="shared" si="9"/>
        <v>1.91</v>
      </c>
      <c r="D611" s="8">
        <v>0.64034146070480347</v>
      </c>
      <c r="E611" s="5">
        <f>MATCH(D611,'Route Data'!$C$7:$C$8,1)</f>
        <v>2</v>
      </c>
      <c r="F611" s="5">
        <f>INDEX('Route Data'!$D$7:$D$8,E611)</f>
        <v>1</v>
      </c>
      <c r="G611" s="5" t="str">
        <f>INDEX('Route Data'!$A$7:$A$8,E611)</f>
        <v>u18</v>
      </c>
      <c r="H611" s="5">
        <f>EnergyCoeff(INDEX('Route Data'!$K$7:$K$8,E611),INDEX('Route Data'!$L$7:$L$8,E611)*2*PI()/60,INDEX('Route Data'!$F$7:$F$8,E611))</f>
        <v>0.19430699130049439</v>
      </c>
      <c r="I611" s="5">
        <f>DischargeCoeff(INDEX('Route Data'!$I$7:$I$8,E611), INDEX('Route Data'!$L$7:$L$8,E611)*2*PI()/60, INDEX('Route Data'!$F$7:$F$8,E611))</f>
        <v>0.15939200179827354</v>
      </c>
      <c r="J611" s="8">
        <f>FlowAngleRel(INDEX('Route Data'!$J$7:$J$8,E611)*INDEX('Route Data'!$I$7:$I$8,E611), INDEX('Route Data'!$L$7:$L$8,E611)*2*PI()/60, INDEX('Route Data'!$F$7:$F$8,E611),INDEX('Route Data'!$O$7:$O$8,E611), INDEX('Route Data'!$P$7:$P$8,E611),INDEX('Route Data'!$M$7:$M$8,E611))</f>
        <v>1.130811765868994</v>
      </c>
      <c r="K611" s="8">
        <f>FlowAngleAbsT(INDEX('Route Data'!$K$7:$K$8,E611), INDEX('Route Data'!$I$7:$I$8,E611), INDEX('Route Data'!$I$7:$I$8,E611)*INDEX('Route Data'!$J$7:$J$8,E611), INDEX('Route Data'!$L$7:$L$8,E611)*2*PI()/60, INDEX('Route Data'!$F$7:$F$8,E611),INDEX('Route Data'!$O$7:$O$8,E611), INDEX('Route Data'!$P$7:$P$8,E611), INDEX('Route Data'!$H$7:$H$8,E611), INDEX('Route Data'!$Q$7:$Q$8,E611), INDEX('Route Data'!$M$7:$M$8,E611))</f>
        <v>0.51617226640175828</v>
      </c>
      <c r="L611" s="5">
        <f>INDEX('Route Data'!$N$7:$N$8,E611)</f>
        <v>0.4</v>
      </c>
      <c r="M611" s="8">
        <v>0.27362746000289917</v>
      </c>
      <c r="N611" s="8">
        <f>ProbStrikeFrancis(K611, I611, L611, INDEX('Route Data'!$G$7:$G$8,E611),C611, INDEX('Route Data'!$F$7:$F$8,E611), INDEX('Route Data'!$O$7:$O$8,E611), INDEX('Route Data'!$H$7:$H$18,E611))</f>
        <v>1</v>
      </c>
      <c r="O611" s="5" t="str">
        <f>IF(F611&gt;=1,IF(M611&lt;=N611,"STRIKE","pass"),IF(M611&lt;=INDEX('Route Data'!$R$7:$R$8,E611),"NO PASS","pass"))</f>
        <v>STRIKE</v>
      </c>
      <c r="P611" s="5">
        <f>IF(F611&gt;=1,IF(M611&lt;=N611,1,0),IF(M611&lt;=INDEX('Route Data'!$R$7:$R$8,E611),-1,0))</f>
        <v>1</v>
      </c>
    </row>
    <row r="612" spans="1:16">
      <c r="A612" s="5">
        <v>602</v>
      </c>
      <c r="B612" s="12">
        <v>25.67</v>
      </c>
      <c r="C612" s="12">
        <f t="shared" si="9"/>
        <v>2.14</v>
      </c>
      <c r="D612" s="8">
        <v>0.6337052583694458</v>
      </c>
      <c r="E612" s="5">
        <f>MATCH(D612,'Route Data'!$C$7:$C$8,1)</f>
        <v>2</v>
      </c>
      <c r="F612" s="5">
        <f>INDEX('Route Data'!$D$7:$D$8,E612)</f>
        <v>1</v>
      </c>
      <c r="G612" s="5" t="str">
        <f>INDEX('Route Data'!$A$7:$A$8,E612)</f>
        <v>u18</v>
      </c>
      <c r="H612" s="5">
        <f>EnergyCoeff(INDEX('Route Data'!$K$7:$K$8,E612),INDEX('Route Data'!$L$7:$L$8,E612)*2*PI()/60,INDEX('Route Data'!$F$7:$F$8,E612))</f>
        <v>0.19430699130049439</v>
      </c>
      <c r="I612" s="5">
        <f>DischargeCoeff(INDEX('Route Data'!$I$7:$I$8,E612), INDEX('Route Data'!$L$7:$L$8,E612)*2*PI()/60, INDEX('Route Data'!$F$7:$F$8,E612))</f>
        <v>0.15939200179827354</v>
      </c>
      <c r="J612" s="8">
        <f>FlowAngleRel(INDEX('Route Data'!$J$7:$J$8,E612)*INDEX('Route Data'!$I$7:$I$8,E612), INDEX('Route Data'!$L$7:$L$8,E612)*2*PI()/60, INDEX('Route Data'!$F$7:$F$8,E612),INDEX('Route Data'!$O$7:$O$8,E612), INDEX('Route Data'!$P$7:$P$8,E612),INDEX('Route Data'!$M$7:$M$8,E612))</f>
        <v>1.130811765868994</v>
      </c>
      <c r="K612" s="8">
        <f>FlowAngleAbsT(INDEX('Route Data'!$K$7:$K$8,E612), INDEX('Route Data'!$I$7:$I$8,E612), INDEX('Route Data'!$I$7:$I$8,E612)*INDEX('Route Data'!$J$7:$J$8,E612), INDEX('Route Data'!$L$7:$L$8,E612)*2*PI()/60, INDEX('Route Data'!$F$7:$F$8,E612),INDEX('Route Data'!$O$7:$O$8,E612), INDEX('Route Data'!$P$7:$P$8,E612), INDEX('Route Data'!$H$7:$H$8,E612), INDEX('Route Data'!$Q$7:$Q$8,E612), INDEX('Route Data'!$M$7:$M$8,E612))</f>
        <v>0.51617226640175828</v>
      </c>
      <c r="L612" s="5">
        <f>INDEX('Route Data'!$N$7:$N$8,E612)</f>
        <v>0.4</v>
      </c>
      <c r="M612" s="8">
        <v>0.24158346652984619</v>
      </c>
      <c r="N612" s="8">
        <f>ProbStrikeFrancis(K612, I612, L612, INDEX('Route Data'!$G$7:$G$8,E612),C612, INDEX('Route Data'!$F$7:$F$8,E612), INDEX('Route Data'!$O$7:$O$8,E612), INDEX('Route Data'!$H$7:$H$18,E612))</f>
        <v>1</v>
      </c>
      <c r="O612" s="5" t="str">
        <f>IF(F612&gt;=1,IF(M612&lt;=N612,"STRIKE","pass"),IF(M612&lt;=INDEX('Route Data'!$R$7:$R$8,E612),"NO PASS","pass"))</f>
        <v>STRIKE</v>
      </c>
      <c r="P612" s="5">
        <f>IF(F612&gt;=1,IF(M612&lt;=N612,1,0),IF(M612&lt;=INDEX('Route Data'!$R$7:$R$8,E612),-1,0))</f>
        <v>1</v>
      </c>
    </row>
    <row r="613" spans="1:16">
      <c r="A613" s="5">
        <v>603</v>
      </c>
      <c r="B613" s="12">
        <v>20.47</v>
      </c>
      <c r="C613" s="12">
        <f t="shared" si="9"/>
        <v>1.71</v>
      </c>
      <c r="D613" s="8">
        <v>0.3880346417427063</v>
      </c>
      <c r="E613" s="5">
        <f>MATCH(D613,'Route Data'!$C$7:$C$8,1)</f>
        <v>2</v>
      </c>
      <c r="F613" s="5">
        <f>INDEX('Route Data'!$D$7:$D$8,E613)</f>
        <v>1</v>
      </c>
      <c r="G613" s="5" t="str">
        <f>INDEX('Route Data'!$A$7:$A$8,E613)</f>
        <v>u18</v>
      </c>
      <c r="H613" s="5">
        <f>EnergyCoeff(INDEX('Route Data'!$K$7:$K$8,E613),INDEX('Route Data'!$L$7:$L$8,E613)*2*PI()/60,INDEX('Route Data'!$F$7:$F$8,E613))</f>
        <v>0.19430699130049439</v>
      </c>
      <c r="I613" s="5">
        <f>DischargeCoeff(INDEX('Route Data'!$I$7:$I$8,E613), INDEX('Route Data'!$L$7:$L$8,E613)*2*PI()/60, INDEX('Route Data'!$F$7:$F$8,E613))</f>
        <v>0.15939200179827354</v>
      </c>
      <c r="J613" s="8">
        <f>FlowAngleRel(INDEX('Route Data'!$J$7:$J$8,E613)*INDEX('Route Data'!$I$7:$I$8,E613), INDEX('Route Data'!$L$7:$L$8,E613)*2*PI()/60, INDEX('Route Data'!$F$7:$F$8,E613),INDEX('Route Data'!$O$7:$O$8,E613), INDEX('Route Data'!$P$7:$P$8,E613),INDEX('Route Data'!$M$7:$M$8,E613))</f>
        <v>1.130811765868994</v>
      </c>
      <c r="K613" s="8">
        <f>FlowAngleAbsT(INDEX('Route Data'!$K$7:$K$8,E613), INDEX('Route Data'!$I$7:$I$8,E613), INDEX('Route Data'!$I$7:$I$8,E613)*INDEX('Route Data'!$J$7:$J$8,E613), INDEX('Route Data'!$L$7:$L$8,E613)*2*PI()/60, INDEX('Route Data'!$F$7:$F$8,E613),INDEX('Route Data'!$O$7:$O$8,E613), INDEX('Route Data'!$P$7:$P$8,E613), INDEX('Route Data'!$H$7:$H$8,E613), INDEX('Route Data'!$Q$7:$Q$8,E613), INDEX('Route Data'!$M$7:$M$8,E613))</f>
        <v>0.51617226640175828</v>
      </c>
      <c r="L613" s="5">
        <f>INDEX('Route Data'!$N$7:$N$8,E613)</f>
        <v>0.4</v>
      </c>
      <c r="M613" s="8">
        <v>0.33771544694900513</v>
      </c>
      <c r="N613" s="8">
        <f>ProbStrikeFrancis(K613, I613, L613, INDEX('Route Data'!$G$7:$G$8,E613),C613, INDEX('Route Data'!$F$7:$F$8,E613), INDEX('Route Data'!$O$7:$O$8,E613), INDEX('Route Data'!$H$7:$H$18,E613))</f>
        <v>1</v>
      </c>
      <c r="O613" s="5" t="str">
        <f>IF(F613&gt;=1,IF(M613&lt;=N613,"STRIKE","pass"),IF(M613&lt;=INDEX('Route Data'!$R$7:$R$8,E613),"NO PASS","pass"))</f>
        <v>STRIKE</v>
      </c>
      <c r="P613" s="5">
        <f>IF(F613&gt;=1,IF(M613&lt;=N613,1,0),IF(M613&lt;=INDEX('Route Data'!$R$7:$R$8,E613),-1,0))</f>
        <v>1</v>
      </c>
    </row>
    <row r="614" spans="1:16">
      <c r="A614" s="5">
        <v>604</v>
      </c>
      <c r="B614" s="12">
        <v>20.73</v>
      </c>
      <c r="C614" s="12">
        <f t="shared" si="9"/>
        <v>1.73</v>
      </c>
      <c r="D614" s="8">
        <v>0.1250464916229248</v>
      </c>
      <c r="E614" s="5">
        <f>MATCH(D614,'Route Data'!$C$7:$C$8,1)</f>
        <v>2</v>
      </c>
      <c r="F614" s="5">
        <f>INDEX('Route Data'!$D$7:$D$8,E614)</f>
        <v>1</v>
      </c>
      <c r="G614" s="5" t="str">
        <f>INDEX('Route Data'!$A$7:$A$8,E614)</f>
        <v>u18</v>
      </c>
      <c r="H614" s="5">
        <f>EnergyCoeff(INDEX('Route Data'!$K$7:$K$8,E614),INDEX('Route Data'!$L$7:$L$8,E614)*2*PI()/60,INDEX('Route Data'!$F$7:$F$8,E614))</f>
        <v>0.19430699130049439</v>
      </c>
      <c r="I614" s="5">
        <f>DischargeCoeff(INDEX('Route Data'!$I$7:$I$8,E614), INDEX('Route Data'!$L$7:$L$8,E614)*2*PI()/60, INDEX('Route Data'!$F$7:$F$8,E614))</f>
        <v>0.15939200179827354</v>
      </c>
      <c r="J614" s="8">
        <f>FlowAngleRel(INDEX('Route Data'!$J$7:$J$8,E614)*INDEX('Route Data'!$I$7:$I$8,E614), INDEX('Route Data'!$L$7:$L$8,E614)*2*PI()/60, INDEX('Route Data'!$F$7:$F$8,E614),INDEX('Route Data'!$O$7:$O$8,E614), INDEX('Route Data'!$P$7:$P$8,E614),INDEX('Route Data'!$M$7:$M$8,E614))</f>
        <v>1.130811765868994</v>
      </c>
      <c r="K614" s="8">
        <f>FlowAngleAbsT(INDEX('Route Data'!$K$7:$K$8,E614), INDEX('Route Data'!$I$7:$I$8,E614), INDEX('Route Data'!$I$7:$I$8,E614)*INDEX('Route Data'!$J$7:$J$8,E614), INDEX('Route Data'!$L$7:$L$8,E614)*2*PI()/60, INDEX('Route Data'!$F$7:$F$8,E614),INDEX('Route Data'!$O$7:$O$8,E614), INDEX('Route Data'!$P$7:$P$8,E614), INDEX('Route Data'!$H$7:$H$8,E614), INDEX('Route Data'!$Q$7:$Q$8,E614), INDEX('Route Data'!$M$7:$M$8,E614))</f>
        <v>0.51617226640175828</v>
      </c>
      <c r="L614" s="5">
        <f>INDEX('Route Data'!$N$7:$N$8,E614)</f>
        <v>0.4</v>
      </c>
      <c r="M614" s="8">
        <v>4.931950569152832E-2</v>
      </c>
      <c r="N614" s="8">
        <f>ProbStrikeFrancis(K614, I614, L614, INDEX('Route Data'!$G$7:$G$8,E614),C614, INDEX('Route Data'!$F$7:$F$8,E614), INDEX('Route Data'!$O$7:$O$8,E614), INDEX('Route Data'!$H$7:$H$18,E614))</f>
        <v>1</v>
      </c>
      <c r="O614" s="5" t="str">
        <f>IF(F614&gt;=1,IF(M614&lt;=N614,"STRIKE","pass"),IF(M614&lt;=INDEX('Route Data'!$R$7:$R$8,E614),"NO PASS","pass"))</f>
        <v>STRIKE</v>
      </c>
      <c r="P614" s="5">
        <f>IF(F614&gt;=1,IF(M614&lt;=N614,1,0),IF(M614&lt;=INDEX('Route Data'!$R$7:$R$8,E614),-1,0))</f>
        <v>1</v>
      </c>
    </row>
    <row r="615" spans="1:16">
      <c r="A615" s="5">
        <v>605</v>
      </c>
      <c r="B615" s="12">
        <v>22.22</v>
      </c>
      <c r="C615" s="12">
        <f t="shared" si="9"/>
        <v>1.85</v>
      </c>
      <c r="D615" s="8">
        <v>0.64843171834945679</v>
      </c>
      <c r="E615" s="5">
        <f>MATCH(D615,'Route Data'!$C$7:$C$8,1)</f>
        <v>2</v>
      </c>
      <c r="F615" s="5">
        <f>INDEX('Route Data'!$D$7:$D$8,E615)</f>
        <v>1</v>
      </c>
      <c r="G615" s="5" t="str">
        <f>INDEX('Route Data'!$A$7:$A$8,E615)</f>
        <v>u18</v>
      </c>
      <c r="H615" s="5">
        <f>EnergyCoeff(INDEX('Route Data'!$K$7:$K$8,E615),INDEX('Route Data'!$L$7:$L$8,E615)*2*PI()/60,INDEX('Route Data'!$F$7:$F$8,E615))</f>
        <v>0.19430699130049439</v>
      </c>
      <c r="I615" s="5">
        <f>DischargeCoeff(INDEX('Route Data'!$I$7:$I$8,E615), INDEX('Route Data'!$L$7:$L$8,E615)*2*PI()/60, INDEX('Route Data'!$F$7:$F$8,E615))</f>
        <v>0.15939200179827354</v>
      </c>
      <c r="J615" s="8">
        <f>FlowAngleRel(INDEX('Route Data'!$J$7:$J$8,E615)*INDEX('Route Data'!$I$7:$I$8,E615), INDEX('Route Data'!$L$7:$L$8,E615)*2*PI()/60, INDEX('Route Data'!$F$7:$F$8,E615),INDEX('Route Data'!$O$7:$O$8,E615), INDEX('Route Data'!$P$7:$P$8,E615),INDEX('Route Data'!$M$7:$M$8,E615))</f>
        <v>1.130811765868994</v>
      </c>
      <c r="K615" s="8">
        <f>FlowAngleAbsT(INDEX('Route Data'!$K$7:$K$8,E615), INDEX('Route Data'!$I$7:$I$8,E615), INDEX('Route Data'!$I$7:$I$8,E615)*INDEX('Route Data'!$J$7:$J$8,E615), INDEX('Route Data'!$L$7:$L$8,E615)*2*PI()/60, INDEX('Route Data'!$F$7:$F$8,E615),INDEX('Route Data'!$O$7:$O$8,E615), INDEX('Route Data'!$P$7:$P$8,E615), INDEX('Route Data'!$H$7:$H$8,E615), INDEX('Route Data'!$Q$7:$Q$8,E615), INDEX('Route Data'!$M$7:$M$8,E615))</f>
        <v>0.51617226640175828</v>
      </c>
      <c r="L615" s="5">
        <f>INDEX('Route Data'!$N$7:$N$8,E615)</f>
        <v>0.4</v>
      </c>
      <c r="M615" s="8">
        <v>0.91450732946395874</v>
      </c>
      <c r="N615" s="8">
        <f>ProbStrikeFrancis(K615, I615, L615, INDEX('Route Data'!$G$7:$G$8,E615),C615, INDEX('Route Data'!$F$7:$F$8,E615), INDEX('Route Data'!$O$7:$O$8,E615), INDEX('Route Data'!$H$7:$H$18,E615))</f>
        <v>1</v>
      </c>
      <c r="O615" s="5" t="str">
        <f>IF(F615&gt;=1,IF(M615&lt;=N615,"STRIKE","pass"),IF(M615&lt;=INDEX('Route Data'!$R$7:$R$8,E615),"NO PASS","pass"))</f>
        <v>STRIKE</v>
      </c>
      <c r="P615" s="5">
        <f>IF(F615&gt;=1,IF(M615&lt;=N615,1,0),IF(M615&lt;=INDEX('Route Data'!$R$7:$R$8,E615),-1,0))</f>
        <v>1</v>
      </c>
    </row>
    <row r="616" spans="1:16">
      <c r="A616" s="5">
        <v>606</v>
      </c>
      <c r="B616" s="12">
        <v>23.73</v>
      </c>
      <c r="C616" s="12">
        <f t="shared" si="9"/>
        <v>1.98</v>
      </c>
      <c r="D616" s="8">
        <v>7.827603816986084E-2</v>
      </c>
      <c r="E616" s="5">
        <f>MATCH(D616,'Route Data'!$C$7:$C$8,1)</f>
        <v>2</v>
      </c>
      <c r="F616" s="5">
        <f>INDEX('Route Data'!$D$7:$D$8,E616)</f>
        <v>1</v>
      </c>
      <c r="G616" s="5" t="str">
        <f>INDEX('Route Data'!$A$7:$A$8,E616)</f>
        <v>u18</v>
      </c>
      <c r="H616" s="5">
        <f>EnergyCoeff(INDEX('Route Data'!$K$7:$K$8,E616),INDEX('Route Data'!$L$7:$L$8,E616)*2*PI()/60,INDEX('Route Data'!$F$7:$F$8,E616))</f>
        <v>0.19430699130049439</v>
      </c>
      <c r="I616" s="5">
        <f>DischargeCoeff(INDEX('Route Data'!$I$7:$I$8,E616), INDEX('Route Data'!$L$7:$L$8,E616)*2*PI()/60, INDEX('Route Data'!$F$7:$F$8,E616))</f>
        <v>0.15939200179827354</v>
      </c>
      <c r="J616" s="8">
        <f>FlowAngleRel(INDEX('Route Data'!$J$7:$J$8,E616)*INDEX('Route Data'!$I$7:$I$8,E616), INDEX('Route Data'!$L$7:$L$8,E616)*2*PI()/60, INDEX('Route Data'!$F$7:$F$8,E616),INDEX('Route Data'!$O$7:$O$8,E616), INDEX('Route Data'!$P$7:$P$8,E616),INDEX('Route Data'!$M$7:$M$8,E616))</f>
        <v>1.130811765868994</v>
      </c>
      <c r="K616" s="8">
        <f>FlowAngleAbsT(INDEX('Route Data'!$K$7:$K$8,E616), INDEX('Route Data'!$I$7:$I$8,E616), INDEX('Route Data'!$I$7:$I$8,E616)*INDEX('Route Data'!$J$7:$J$8,E616), INDEX('Route Data'!$L$7:$L$8,E616)*2*PI()/60, INDEX('Route Data'!$F$7:$F$8,E616),INDEX('Route Data'!$O$7:$O$8,E616), INDEX('Route Data'!$P$7:$P$8,E616), INDEX('Route Data'!$H$7:$H$8,E616), INDEX('Route Data'!$Q$7:$Q$8,E616), INDEX('Route Data'!$M$7:$M$8,E616))</f>
        <v>0.51617226640175828</v>
      </c>
      <c r="L616" s="5">
        <f>INDEX('Route Data'!$N$7:$N$8,E616)</f>
        <v>0.4</v>
      </c>
      <c r="M616" s="8">
        <v>5.336463451385498E-2</v>
      </c>
      <c r="N616" s="8">
        <f>ProbStrikeFrancis(K616, I616, L616, INDEX('Route Data'!$G$7:$G$8,E616),C616, INDEX('Route Data'!$F$7:$F$8,E616), INDEX('Route Data'!$O$7:$O$8,E616), INDEX('Route Data'!$H$7:$H$18,E616))</f>
        <v>1</v>
      </c>
      <c r="O616" s="5" t="str">
        <f>IF(F616&gt;=1,IF(M616&lt;=N616,"STRIKE","pass"),IF(M616&lt;=INDEX('Route Data'!$R$7:$R$8,E616),"NO PASS","pass"))</f>
        <v>STRIKE</v>
      </c>
      <c r="P616" s="5">
        <f>IF(F616&gt;=1,IF(M616&lt;=N616,1,0),IF(M616&lt;=INDEX('Route Data'!$R$7:$R$8,E616),-1,0))</f>
        <v>1</v>
      </c>
    </row>
    <row r="617" spans="1:16">
      <c r="A617" s="5">
        <v>607</v>
      </c>
      <c r="B617" s="12">
        <v>22.91</v>
      </c>
      <c r="C617" s="12">
        <f t="shared" si="9"/>
        <v>1.91</v>
      </c>
      <c r="D617" s="8">
        <v>0.31990152597427368</v>
      </c>
      <c r="E617" s="5">
        <f>MATCH(D617,'Route Data'!$C$7:$C$8,1)</f>
        <v>2</v>
      </c>
      <c r="F617" s="5">
        <f>INDEX('Route Data'!$D$7:$D$8,E617)</f>
        <v>1</v>
      </c>
      <c r="G617" s="5" t="str">
        <f>INDEX('Route Data'!$A$7:$A$8,E617)</f>
        <v>u18</v>
      </c>
      <c r="H617" s="5">
        <f>EnergyCoeff(INDEX('Route Data'!$K$7:$K$8,E617),INDEX('Route Data'!$L$7:$L$8,E617)*2*PI()/60,INDEX('Route Data'!$F$7:$F$8,E617))</f>
        <v>0.19430699130049439</v>
      </c>
      <c r="I617" s="5">
        <f>DischargeCoeff(INDEX('Route Data'!$I$7:$I$8,E617), INDEX('Route Data'!$L$7:$L$8,E617)*2*PI()/60, INDEX('Route Data'!$F$7:$F$8,E617))</f>
        <v>0.15939200179827354</v>
      </c>
      <c r="J617" s="8">
        <f>FlowAngleRel(INDEX('Route Data'!$J$7:$J$8,E617)*INDEX('Route Data'!$I$7:$I$8,E617), INDEX('Route Data'!$L$7:$L$8,E617)*2*PI()/60, INDEX('Route Data'!$F$7:$F$8,E617),INDEX('Route Data'!$O$7:$O$8,E617), INDEX('Route Data'!$P$7:$P$8,E617),INDEX('Route Data'!$M$7:$M$8,E617))</f>
        <v>1.130811765868994</v>
      </c>
      <c r="K617" s="8">
        <f>FlowAngleAbsT(INDEX('Route Data'!$K$7:$K$8,E617), INDEX('Route Data'!$I$7:$I$8,E617), INDEX('Route Data'!$I$7:$I$8,E617)*INDEX('Route Data'!$J$7:$J$8,E617), INDEX('Route Data'!$L$7:$L$8,E617)*2*PI()/60, INDEX('Route Data'!$F$7:$F$8,E617),INDEX('Route Data'!$O$7:$O$8,E617), INDEX('Route Data'!$P$7:$P$8,E617), INDEX('Route Data'!$H$7:$H$8,E617), INDEX('Route Data'!$Q$7:$Q$8,E617), INDEX('Route Data'!$M$7:$M$8,E617))</f>
        <v>0.51617226640175828</v>
      </c>
      <c r="L617" s="5">
        <f>INDEX('Route Data'!$N$7:$N$8,E617)</f>
        <v>0.4</v>
      </c>
      <c r="M617" s="8">
        <v>0.63679271936416626</v>
      </c>
      <c r="N617" s="8">
        <f>ProbStrikeFrancis(K617, I617, L617, INDEX('Route Data'!$G$7:$G$8,E617),C617, INDEX('Route Data'!$F$7:$F$8,E617), INDEX('Route Data'!$O$7:$O$8,E617), INDEX('Route Data'!$H$7:$H$18,E617))</f>
        <v>1</v>
      </c>
      <c r="O617" s="5" t="str">
        <f>IF(F617&gt;=1,IF(M617&lt;=N617,"STRIKE","pass"),IF(M617&lt;=INDEX('Route Data'!$R$7:$R$8,E617),"NO PASS","pass"))</f>
        <v>STRIKE</v>
      </c>
      <c r="P617" s="5">
        <f>IF(F617&gt;=1,IF(M617&lt;=N617,1,0),IF(M617&lt;=INDEX('Route Data'!$R$7:$R$8,E617),-1,0))</f>
        <v>1</v>
      </c>
    </row>
    <row r="618" spans="1:16">
      <c r="A618" s="5">
        <v>608</v>
      </c>
      <c r="B618" s="12">
        <v>18.940000000000001</v>
      </c>
      <c r="C618" s="12">
        <f t="shared" si="9"/>
        <v>1.58</v>
      </c>
      <c r="D618" s="8">
        <v>0.59502506256103516</v>
      </c>
      <c r="E618" s="5">
        <f>MATCH(D618,'Route Data'!$C$7:$C$8,1)</f>
        <v>2</v>
      </c>
      <c r="F618" s="5">
        <f>INDEX('Route Data'!$D$7:$D$8,E618)</f>
        <v>1</v>
      </c>
      <c r="G618" s="5" t="str">
        <f>INDEX('Route Data'!$A$7:$A$8,E618)</f>
        <v>u18</v>
      </c>
      <c r="H618" s="5">
        <f>EnergyCoeff(INDEX('Route Data'!$K$7:$K$8,E618),INDEX('Route Data'!$L$7:$L$8,E618)*2*PI()/60,INDEX('Route Data'!$F$7:$F$8,E618))</f>
        <v>0.19430699130049439</v>
      </c>
      <c r="I618" s="5">
        <f>DischargeCoeff(INDEX('Route Data'!$I$7:$I$8,E618), INDEX('Route Data'!$L$7:$L$8,E618)*2*PI()/60, INDEX('Route Data'!$F$7:$F$8,E618))</f>
        <v>0.15939200179827354</v>
      </c>
      <c r="J618" s="8">
        <f>FlowAngleRel(INDEX('Route Data'!$J$7:$J$8,E618)*INDEX('Route Data'!$I$7:$I$8,E618), INDEX('Route Data'!$L$7:$L$8,E618)*2*PI()/60, INDEX('Route Data'!$F$7:$F$8,E618),INDEX('Route Data'!$O$7:$O$8,E618), INDEX('Route Data'!$P$7:$P$8,E618),INDEX('Route Data'!$M$7:$M$8,E618))</f>
        <v>1.130811765868994</v>
      </c>
      <c r="K618" s="8">
        <f>FlowAngleAbsT(INDEX('Route Data'!$K$7:$K$8,E618), INDEX('Route Data'!$I$7:$I$8,E618), INDEX('Route Data'!$I$7:$I$8,E618)*INDEX('Route Data'!$J$7:$J$8,E618), INDEX('Route Data'!$L$7:$L$8,E618)*2*PI()/60, INDEX('Route Data'!$F$7:$F$8,E618),INDEX('Route Data'!$O$7:$O$8,E618), INDEX('Route Data'!$P$7:$P$8,E618), INDEX('Route Data'!$H$7:$H$8,E618), INDEX('Route Data'!$Q$7:$Q$8,E618), INDEX('Route Data'!$M$7:$M$8,E618))</f>
        <v>0.51617226640175828</v>
      </c>
      <c r="L618" s="5">
        <f>INDEX('Route Data'!$N$7:$N$8,E618)</f>
        <v>0.4</v>
      </c>
      <c r="M618" s="8">
        <v>0.15208768844604492</v>
      </c>
      <c r="N618" s="8">
        <f>ProbStrikeFrancis(K618, I618, L618, INDEX('Route Data'!$G$7:$G$8,E618),C618, INDEX('Route Data'!$F$7:$F$8,E618), INDEX('Route Data'!$O$7:$O$8,E618), INDEX('Route Data'!$H$7:$H$18,E618))</f>
        <v>1</v>
      </c>
      <c r="O618" s="5" t="str">
        <f>IF(F618&gt;=1,IF(M618&lt;=N618,"STRIKE","pass"),IF(M618&lt;=INDEX('Route Data'!$R$7:$R$8,E618),"NO PASS","pass"))</f>
        <v>STRIKE</v>
      </c>
      <c r="P618" s="5">
        <f>IF(F618&gt;=1,IF(M618&lt;=N618,1,0),IF(M618&lt;=INDEX('Route Data'!$R$7:$R$8,E618),-1,0))</f>
        <v>1</v>
      </c>
    </row>
    <row r="619" spans="1:16">
      <c r="A619" s="5">
        <v>609</v>
      </c>
      <c r="B619" s="12">
        <v>21.88</v>
      </c>
      <c r="C619" s="12">
        <f t="shared" si="9"/>
        <v>1.82</v>
      </c>
      <c r="D619" s="8">
        <v>0.23849600553512573</v>
      </c>
      <c r="E619" s="5">
        <f>MATCH(D619,'Route Data'!$C$7:$C$8,1)</f>
        <v>2</v>
      </c>
      <c r="F619" s="5">
        <f>INDEX('Route Data'!$D$7:$D$8,E619)</f>
        <v>1</v>
      </c>
      <c r="G619" s="5" t="str">
        <f>INDEX('Route Data'!$A$7:$A$8,E619)</f>
        <v>u18</v>
      </c>
      <c r="H619" s="5">
        <f>EnergyCoeff(INDEX('Route Data'!$K$7:$K$8,E619),INDEX('Route Data'!$L$7:$L$8,E619)*2*PI()/60,INDEX('Route Data'!$F$7:$F$8,E619))</f>
        <v>0.19430699130049439</v>
      </c>
      <c r="I619" s="5">
        <f>DischargeCoeff(INDEX('Route Data'!$I$7:$I$8,E619), INDEX('Route Data'!$L$7:$L$8,E619)*2*PI()/60, INDEX('Route Data'!$F$7:$F$8,E619))</f>
        <v>0.15939200179827354</v>
      </c>
      <c r="J619" s="8">
        <f>FlowAngleRel(INDEX('Route Data'!$J$7:$J$8,E619)*INDEX('Route Data'!$I$7:$I$8,E619), INDEX('Route Data'!$L$7:$L$8,E619)*2*PI()/60, INDEX('Route Data'!$F$7:$F$8,E619),INDEX('Route Data'!$O$7:$O$8,E619), INDEX('Route Data'!$P$7:$P$8,E619),INDEX('Route Data'!$M$7:$M$8,E619))</f>
        <v>1.130811765868994</v>
      </c>
      <c r="K619" s="8">
        <f>FlowAngleAbsT(INDEX('Route Data'!$K$7:$K$8,E619), INDEX('Route Data'!$I$7:$I$8,E619), INDEX('Route Data'!$I$7:$I$8,E619)*INDEX('Route Data'!$J$7:$J$8,E619), INDEX('Route Data'!$L$7:$L$8,E619)*2*PI()/60, INDEX('Route Data'!$F$7:$F$8,E619),INDEX('Route Data'!$O$7:$O$8,E619), INDEX('Route Data'!$P$7:$P$8,E619), INDEX('Route Data'!$H$7:$H$8,E619), INDEX('Route Data'!$Q$7:$Q$8,E619), INDEX('Route Data'!$M$7:$M$8,E619))</f>
        <v>0.51617226640175828</v>
      </c>
      <c r="L619" s="5">
        <f>INDEX('Route Data'!$N$7:$N$8,E619)</f>
        <v>0.4</v>
      </c>
      <c r="M619" s="8">
        <v>0.87178200483322144</v>
      </c>
      <c r="N619" s="8">
        <f>ProbStrikeFrancis(K619, I619, L619, INDEX('Route Data'!$G$7:$G$8,E619),C619, INDEX('Route Data'!$F$7:$F$8,E619), INDEX('Route Data'!$O$7:$O$8,E619), INDEX('Route Data'!$H$7:$H$18,E619))</f>
        <v>1</v>
      </c>
      <c r="O619" s="5" t="str">
        <f>IF(F619&gt;=1,IF(M619&lt;=N619,"STRIKE","pass"),IF(M619&lt;=INDEX('Route Data'!$R$7:$R$8,E619),"NO PASS","pass"))</f>
        <v>STRIKE</v>
      </c>
      <c r="P619" s="5">
        <f>IF(F619&gt;=1,IF(M619&lt;=N619,1,0),IF(M619&lt;=INDEX('Route Data'!$R$7:$R$8,E619),-1,0))</f>
        <v>1</v>
      </c>
    </row>
    <row r="620" spans="1:16">
      <c r="A620" s="5">
        <v>610</v>
      </c>
      <c r="B620" s="12">
        <v>24.95</v>
      </c>
      <c r="C620" s="12">
        <f t="shared" si="9"/>
        <v>2.08</v>
      </c>
      <c r="D620" s="8">
        <v>0.5736624002456665</v>
      </c>
      <c r="E620" s="5">
        <f>MATCH(D620,'Route Data'!$C$7:$C$8,1)</f>
        <v>2</v>
      </c>
      <c r="F620" s="5">
        <f>INDEX('Route Data'!$D$7:$D$8,E620)</f>
        <v>1</v>
      </c>
      <c r="G620" s="5" t="str">
        <f>INDEX('Route Data'!$A$7:$A$8,E620)</f>
        <v>u18</v>
      </c>
      <c r="H620" s="5">
        <f>EnergyCoeff(INDEX('Route Data'!$K$7:$K$8,E620),INDEX('Route Data'!$L$7:$L$8,E620)*2*PI()/60,INDEX('Route Data'!$F$7:$F$8,E620))</f>
        <v>0.19430699130049439</v>
      </c>
      <c r="I620" s="5">
        <f>DischargeCoeff(INDEX('Route Data'!$I$7:$I$8,E620), INDEX('Route Data'!$L$7:$L$8,E620)*2*PI()/60, INDEX('Route Data'!$F$7:$F$8,E620))</f>
        <v>0.15939200179827354</v>
      </c>
      <c r="J620" s="8">
        <f>FlowAngleRel(INDEX('Route Data'!$J$7:$J$8,E620)*INDEX('Route Data'!$I$7:$I$8,E620), INDEX('Route Data'!$L$7:$L$8,E620)*2*PI()/60, INDEX('Route Data'!$F$7:$F$8,E620),INDEX('Route Data'!$O$7:$O$8,E620), INDEX('Route Data'!$P$7:$P$8,E620),INDEX('Route Data'!$M$7:$M$8,E620))</f>
        <v>1.130811765868994</v>
      </c>
      <c r="K620" s="8">
        <f>FlowAngleAbsT(INDEX('Route Data'!$K$7:$K$8,E620), INDEX('Route Data'!$I$7:$I$8,E620), INDEX('Route Data'!$I$7:$I$8,E620)*INDEX('Route Data'!$J$7:$J$8,E620), INDEX('Route Data'!$L$7:$L$8,E620)*2*PI()/60, INDEX('Route Data'!$F$7:$F$8,E620),INDEX('Route Data'!$O$7:$O$8,E620), INDEX('Route Data'!$P$7:$P$8,E620), INDEX('Route Data'!$H$7:$H$8,E620), INDEX('Route Data'!$Q$7:$Q$8,E620), INDEX('Route Data'!$M$7:$M$8,E620))</f>
        <v>0.51617226640175828</v>
      </c>
      <c r="L620" s="5">
        <f>INDEX('Route Data'!$N$7:$N$8,E620)</f>
        <v>0.4</v>
      </c>
      <c r="M620" s="8">
        <v>0.18154060840606689</v>
      </c>
      <c r="N620" s="8">
        <f>ProbStrikeFrancis(K620, I620, L620, INDEX('Route Data'!$G$7:$G$8,E620),C620, INDEX('Route Data'!$F$7:$F$8,E620), INDEX('Route Data'!$O$7:$O$8,E620), INDEX('Route Data'!$H$7:$H$18,E620))</f>
        <v>1</v>
      </c>
      <c r="O620" s="5" t="str">
        <f>IF(F620&gt;=1,IF(M620&lt;=N620,"STRIKE","pass"),IF(M620&lt;=INDEX('Route Data'!$R$7:$R$8,E620),"NO PASS","pass"))</f>
        <v>STRIKE</v>
      </c>
      <c r="P620" s="5">
        <f>IF(F620&gt;=1,IF(M620&lt;=N620,1,0),IF(M620&lt;=INDEX('Route Data'!$R$7:$R$8,E620),-1,0))</f>
        <v>1</v>
      </c>
    </row>
    <row r="621" spans="1:16">
      <c r="A621" s="5">
        <v>611</v>
      </c>
      <c r="B621" s="12">
        <v>19.579999999999998</v>
      </c>
      <c r="C621" s="12">
        <f t="shared" si="9"/>
        <v>1.63</v>
      </c>
      <c r="D621" s="8">
        <v>0.30258399248123169</v>
      </c>
      <c r="E621" s="5">
        <f>MATCH(D621,'Route Data'!$C$7:$C$8,1)</f>
        <v>2</v>
      </c>
      <c r="F621" s="5">
        <f>INDEX('Route Data'!$D$7:$D$8,E621)</f>
        <v>1</v>
      </c>
      <c r="G621" s="5" t="str">
        <f>INDEX('Route Data'!$A$7:$A$8,E621)</f>
        <v>u18</v>
      </c>
      <c r="H621" s="5">
        <f>EnergyCoeff(INDEX('Route Data'!$K$7:$K$8,E621),INDEX('Route Data'!$L$7:$L$8,E621)*2*PI()/60,INDEX('Route Data'!$F$7:$F$8,E621))</f>
        <v>0.19430699130049439</v>
      </c>
      <c r="I621" s="5">
        <f>DischargeCoeff(INDEX('Route Data'!$I$7:$I$8,E621), INDEX('Route Data'!$L$7:$L$8,E621)*2*PI()/60, INDEX('Route Data'!$F$7:$F$8,E621))</f>
        <v>0.15939200179827354</v>
      </c>
      <c r="J621" s="8">
        <f>FlowAngleRel(INDEX('Route Data'!$J$7:$J$8,E621)*INDEX('Route Data'!$I$7:$I$8,E621), INDEX('Route Data'!$L$7:$L$8,E621)*2*PI()/60, INDEX('Route Data'!$F$7:$F$8,E621),INDEX('Route Data'!$O$7:$O$8,E621), INDEX('Route Data'!$P$7:$P$8,E621),INDEX('Route Data'!$M$7:$M$8,E621))</f>
        <v>1.130811765868994</v>
      </c>
      <c r="K621" s="8">
        <f>FlowAngleAbsT(INDEX('Route Data'!$K$7:$K$8,E621), INDEX('Route Data'!$I$7:$I$8,E621), INDEX('Route Data'!$I$7:$I$8,E621)*INDEX('Route Data'!$J$7:$J$8,E621), INDEX('Route Data'!$L$7:$L$8,E621)*2*PI()/60, INDEX('Route Data'!$F$7:$F$8,E621),INDEX('Route Data'!$O$7:$O$8,E621), INDEX('Route Data'!$P$7:$P$8,E621), INDEX('Route Data'!$H$7:$H$8,E621), INDEX('Route Data'!$Q$7:$Q$8,E621), INDEX('Route Data'!$M$7:$M$8,E621))</f>
        <v>0.51617226640175828</v>
      </c>
      <c r="L621" s="5">
        <f>INDEX('Route Data'!$N$7:$N$8,E621)</f>
        <v>0.4</v>
      </c>
      <c r="M621" s="8">
        <v>0.25226479768753052</v>
      </c>
      <c r="N621" s="8">
        <f>ProbStrikeFrancis(K621, I621, L621, INDEX('Route Data'!$G$7:$G$8,E621),C621, INDEX('Route Data'!$F$7:$F$8,E621), INDEX('Route Data'!$O$7:$O$8,E621), INDEX('Route Data'!$H$7:$H$18,E621))</f>
        <v>1</v>
      </c>
      <c r="O621" s="5" t="str">
        <f>IF(F621&gt;=1,IF(M621&lt;=N621,"STRIKE","pass"),IF(M621&lt;=INDEX('Route Data'!$R$7:$R$8,E621),"NO PASS","pass"))</f>
        <v>STRIKE</v>
      </c>
      <c r="P621" s="5">
        <f>IF(F621&gt;=1,IF(M621&lt;=N621,1,0),IF(M621&lt;=INDEX('Route Data'!$R$7:$R$8,E621),-1,0))</f>
        <v>1</v>
      </c>
    </row>
    <row r="622" spans="1:16">
      <c r="A622" s="5">
        <v>612</v>
      </c>
      <c r="B622" s="12">
        <v>22.8</v>
      </c>
      <c r="C622" s="12">
        <f t="shared" si="9"/>
        <v>1.9</v>
      </c>
      <c r="D622" s="8">
        <v>0.38139843940734863</v>
      </c>
      <c r="E622" s="5">
        <f>MATCH(D622,'Route Data'!$C$7:$C$8,1)</f>
        <v>2</v>
      </c>
      <c r="F622" s="5">
        <f>INDEX('Route Data'!$D$7:$D$8,E622)</f>
        <v>1</v>
      </c>
      <c r="G622" s="5" t="str">
        <f>INDEX('Route Data'!$A$7:$A$8,E622)</f>
        <v>u18</v>
      </c>
      <c r="H622" s="5">
        <f>EnergyCoeff(INDEX('Route Data'!$K$7:$K$8,E622),INDEX('Route Data'!$L$7:$L$8,E622)*2*PI()/60,INDEX('Route Data'!$F$7:$F$8,E622))</f>
        <v>0.19430699130049439</v>
      </c>
      <c r="I622" s="5">
        <f>DischargeCoeff(INDEX('Route Data'!$I$7:$I$8,E622), INDEX('Route Data'!$L$7:$L$8,E622)*2*PI()/60, INDEX('Route Data'!$F$7:$F$8,E622))</f>
        <v>0.15939200179827354</v>
      </c>
      <c r="J622" s="8">
        <f>FlowAngleRel(INDEX('Route Data'!$J$7:$J$8,E622)*INDEX('Route Data'!$I$7:$I$8,E622), INDEX('Route Data'!$L$7:$L$8,E622)*2*PI()/60, INDEX('Route Data'!$F$7:$F$8,E622),INDEX('Route Data'!$O$7:$O$8,E622), INDEX('Route Data'!$P$7:$P$8,E622),INDEX('Route Data'!$M$7:$M$8,E622))</f>
        <v>1.130811765868994</v>
      </c>
      <c r="K622" s="8">
        <f>FlowAngleAbsT(INDEX('Route Data'!$K$7:$K$8,E622), INDEX('Route Data'!$I$7:$I$8,E622), INDEX('Route Data'!$I$7:$I$8,E622)*INDEX('Route Data'!$J$7:$J$8,E622), INDEX('Route Data'!$L$7:$L$8,E622)*2*PI()/60, INDEX('Route Data'!$F$7:$F$8,E622),INDEX('Route Data'!$O$7:$O$8,E622), INDEX('Route Data'!$P$7:$P$8,E622), INDEX('Route Data'!$H$7:$H$8,E622), INDEX('Route Data'!$Q$7:$Q$8,E622), INDEX('Route Data'!$M$7:$M$8,E622))</f>
        <v>0.51617226640175828</v>
      </c>
      <c r="L622" s="5">
        <f>INDEX('Route Data'!$N$7:$N$8,E622)</f>
        <v>0.4</v>
      </c>
      <c r="M622" s="8">
        <v>0.30567145347595215</v>
      </c>
      <c r="N622" s="8">
        <f>ProbStrikeFrancis(K622, I622, L622, INDEX('Route Data'!$G$7:$G$8,E622),C622, INDEX('Route Data'!$F$7:$F$8,E622), INDEX('Route Data'!$O$7:$O$8,E622), INDEX('Route Data'!$H$7:$H$18,E622))</f>
        <v>1</v>
      </c>
      <c r="O622" s="5" t="str">
        <f>IF(F622&gt;=1,IF(M622&lt;=N622,"STRIKE","pass"),IF(M622&lt;=INDEX('Route Data'!$R$7:$R$8,E622),"NO PASS","pass"))</f>
        <v>STRIKE</v>
      </c>
      <c r="P622" s="5">
        <f>IF(F622&gt;=1,IF(M622&lt;=N622,1,0),IF(M622&lt;=INDEX('Route Data'!$R$7:$R$8,E622),-1,0))</f>
        <v>1</v>
      </c>
    </row>
    <row r="623" spans="1:16">
      <c r="A623" s="5">
        <v>613</v>
      </c>
      <c r="B623" s="12">
        <v>21.95</v>
      </c>
      <c r="C623" s="12">
        <f t="shared" si="9"/>
        <v>1.83</v>
      </c>
      <c r="D623" s="8">
        <v>0.8793758749961853</v>
      </c>
      <c r="E623" s="5">
        <f>MATCH(D623,'Route Data'!$C$7:$C$8,1)</f>
        <v>2</v>
      </c>
      <c r="F623" s="5">
        <f>INDEX('Route Data'!$D$7:$D$8,E623)</f>
        <v>1</v>
      </c>
      <c r="G623" s="5" t="str">
        <f>INDEX('Route Data'!$A$7:$A$8,E623)</f>
        <v>u18</v>
      </c>
      <c r="H623" s="5">
        <f>EnergyCoeff(INDEX('Route Data'!$K$7:$K$8,E623),INDEX('Route Data'!$L$7:$L$8,E623)*2*PI()/60,INDEX('Route Data'!$F$7:$F$8,E623))</f>
        <v>0.19430699130049439</v>
      </c>
      <c r="I623" s="5">
        <f>DischargeCoeff(INDEX('Route Data'!$I$7:$I$8,E623), INDEX('Route Data'!$L$7:$L$8,E623)*2*PI()/60, INDEX('Route Data'!$F$7:$F$8,E623))</f>
        <v>0.15939200179827354</v>
      </c>
      <c r="J623" s="8">
        <f>FlowAngleRel(INDEX('Route Data'!$J$7:$J$8,E623)*INDEX('Route Data'!$I$7:$I$8,E623), INDEX('Route Data'!$L$7:$L$8,E623)*2*PI()/60, INDEX('Route Data'!$F$7:$F$8,E623),INDEX('Route Data'!$O$7:$O$8,E623), INDEX('Route Data'!$P$7:$P$8,E623),INDEX('Route Data'!$M$7:$M$8,E623))</f>
        <v>1.130811765868994</v>
      </c>
      <c r="K623" s="8">
        <f>FlowAngleAbsT(INDEX('Route Data'!$K$7:$K$8,E623), INDEX('Route Data'!$I$7:$I$8,E623), INDEX('Route Data'!$I$7:$I$8,E623)*INDEX('Route Data'!$J$7:$J$8,E623), INDEX('Route Data'!$L$7:$L$8,E623)*2*PI()/60, INDEX('Route Data'!$F$7:$F$8,E623),INDEX('Route Data'!$O$7:$O$8,E623), INDEX('Route Data'!$P$7:$P$8,E623), INDEX('Route Data'!$H$7:$H$8,E623), INDEX('Route Data'!$Q$7:$Q$8,E623), INDEX('Route Data'!$M$7:$M$8,E623))</f>
        <v>0.51617226640175828</v>
      </c>
      <c r="L623" s="5">
        <f>INDEX('Route Data'!$N$7:$N$8,E623)</f>
        <v>0.4</v>
      </c>
      <c r="M623" s="8">
        <v>0.14545148611068726</v>
      </c>
      <c r="N623" s="8">
        <f>ProbStrikeFrancis(K623, I623, L623, INDEX('Route Data'!$G$7:$G$8,E623),C623, INDEX('Route Data'!$F$7:$F$8,E623), INDEX('Route Data'!$O$7:$O$8,E623), INDEX('Route Data'!$H$7:$H$18,E623))</f>
        <v>1</v>
      </c>
      <c r="O623" s="5" t="str">
        <f>IF(F623&gt;=1,IF(M623&lt;=N623,"STRIKE","pass"),IF(M623&lt;=INDEX('Route Data'!$R$7:$R$8,E623),"NO PASS","pass"))</f>
        <v>STRIKE</v>
      </c>
      <c r="P623" s="5">
        <f>IF(F623&gt;=1,IF(M623&lt;=N623,1,0),IF(M623&lt;=INDEX('Route Data'!$R$7:$R$8,E623),-1,0))</f>
        <v>1</v>
      </c>
    </row>
    <row r="624" spans="1:16">
      <c r="A624" s="5">
        <v>614</v>
      </c>
      <c r="B624" s="12">
        <v>20.2</v>
      </c>
      <c r="C624" s="12">
        <f t="shared" si="9"/>
        <v>1.68</v>
      </c>
      <c r="D624" s="8">
        <v>0.65102279186248779</v>
      </c>
      <c r="E624" s="5">
        <f>MATCH(D624,'Route Data'!$C$7:$C$8,1)</f>
        <v>2</v>
      </c>
      <c r="F624" s="5">
        <f>INDEX('Route Data'!$D$7:$D$8,E624)</f>
        <v>1</v>
      </c>
      <c r="G624" s="5" t="str">
        <f>INDEX('Route Data'!$A$7:$A$8,E624)</f>
        <v>u18</v>
      </c>
      <c r="H624" s="5">
        <f>EnergyCoeff(INDEX('Route Data'!$K$7:$K$8,E624),INDEX('Route Data'!$L$7:$L$8,E624)*2*PI()/60,INDEX('Route Data'!$F$7:$F$8,E624))</f>
        <v>0.19430699130049439</v>
      </c>
      <c r="I624" s="5">
        <f>DischargeCoeff(INDEX('Route Data'!$I$7:$I$8,E624), INDEX('Route Data'!$L$7:$L$8,E624)*2*PI()/60, INDEX('Route Data'!$F$7:$F$8,E624))</f>
        <v>0.15939200179827354</v>
      </c>
      <c r="J624" s="8">
        <f>FlowAngleRel(INDEX('Route Data'!$J$7:$J$8,E624)*INDEX('Route Data'!$I$7:$I$8,E624), INDEX('Route Data'!$L$7:$L$8,E624)*2*PI()/60, INDEX('Route Data'!$F$7:$F$8,E624),INDEX('Route Data'!$O$7:$O$8,E624), INDEX('Route Data'!$P$7:$P$8,E624),INDEX('Route Data'!$M$7:$M$8,E624))</f>
        <v>1.130811765868994</v>
      </c>
      <c r="K624" s="8">
        <f>FlowAngleAbsT(INDEX('Route Data'!$K$7:$K$8,E624), INDEX('Route Data'!$I$7:$I$8,E624), INDEX('Route Data'!$I$7:$I$8,E624)*INDEX('Route Data'!$J$7:$J$8,E624), INDEX('Route Data'!$L$7:$L$8,E624)*2*PI()/60, INDEX('Route Data'!$F$7:$F$8,E624),INDEX('Route Data'!$O$7:$O$8,E624), INDEX('Route Data'!$P$7:$P$8,E624), INDEX('Route Data'!$H$7:$H$8,E624), INDEX('Route Data'!$Q$7:$Q$8,E624), INDEX('Route Data'!$M$7:$M$8,E624))</f>
        <v>0.51617226640175828</v>
      </c>
      <c r="L624" s="5">
        <f>INDEX('Route Data'!$N$7:$N$8,E624)</f>
        <v>0.4</v>
      </c>
      <c r="M624" s="8">
        <v>0.62611138820648193</v>
      </c>
      <c r="N624" s="8">
        <f>ProbStrikeFrancis(K624, I624, L624, INDEX('Route Data'!$G$7:$G$8,E624),C624, INDEX('Route Data'!$F$7:$F$8,E624), INDEX('Route Data'!$O$7:$O$8,E624), INDEX('Route Data'!$H$7:$H$18,E624))</f>
        <v>1</v>
      </c>
      <c r="O624" s="5" t="str">
        <f>IF(F624&gt;=1,IF(M624&lt;=N624,"STRIKE","pass"),IF(M624&lt;=INDEX('Route Data'!$R$7:$R$8,E624),"NO PASS","pass"))</f>
        <v>STRIKE</v>
      </c>
      <c r="P624" s="5">
        <f>IF(F624&gt;=1,IF(M624&lt;=N624,1,0),IF(M624&lt;=INDEX('Route Data'!$R$7:$R$8,E624),-1,0))</f>
        <v>1</v>
      </c>
    </row>
    <row r="625" spans="1:16">
      <c r="A625" s="5">
        <v>615</v>
      </c>
      <c r="B625" s="12">
        <v>25.58</v>
      </c>
      <c r="C625" s="12">
        <f t="shared" si="9"/>
        <v>2.13</v>
      </c>
      <c r="D625" s="8">
        <v>0.60166126489639282</v>
      </c>
      <c r="E625" s="5">
        <f>MATCH(D625,'Route Data'!$C$7:$C$8,1)</f>
        <v>2</v>
      </c>
      <c r="F625" s="5">
        <f>INDEX('Route Data'!$D$7:$D$8,E625)</f>
        <v>1</v>
      </c>
      <c r="G625" s="5" t="str">
        <f>INDEX('Route Data'!$A$7:$A$8,E625)</f>
        <v>u18</v>
      </c>
      <c r="H625" s="5">
        <f>EnergyCoeff(INDEX('Route Data'!$K$7:$K$8,E625),INDEX('Route Data'!$L$7:$L$8,E625)*2*PI()/60,INDEX('Route Data'!$F$7:$F$8,E625))</f>
        <v>0.19430699130049439</v>
      </c>
      <c r="I625" s="5">
        <f>DischargeCoeff(INDEX('Route Data'!$I$7:$I$8,E625), INDEX('Route Data'!$L$7:$L$8,E625)*2*PI()/60, INDEX('Route Data'!$F$7:$F$8,E625))</f>
        <v>0.15939200179827354</v>
      </c>
      <c r="J625" s="8">
        <f>FlowAngleRel(INDEX('Route Data'!$J$7:$J$8,E625)*INDEX('Route Data'!$I$7:$I$8,E625), INDEX('Route Data'!$L$7:$L$8,E625)*2*PI()/60, INDEX('Route Data'!$F$7:$F$8,E625),INDEX('Route Data'!$O$7:$O$8,E625), INDEX('Route Data'!$P$7:$P$8,E625),INDEX('Route Data'!$M$7:$M$8,E625))</f>
        <v>1.130811765868994</v>
      </c>
      <c r="K625" s="8">
        <f>FlowAngleAbsT(INDEX('Route Data'!$K$7:$K$8,E625), INDEX('Route Data'!$I$7:$I$8,E625), INDEX('Route Data'!$I$7:$I$8,E625)*INDEX('Route Data'!$J$7:$J$8,E625), INDEX('Route Data'!$L$7:$L$8,E625)*2*PI()/60, INDEX('Route Data'!$F$7:$F$8,E625),INDEX('Route Data'!$O$7:$O$8,E625), INDEX('Route Data'!$P$7:$P$8,E625), INDEX('Route Data'!$H$7:$H$8,E625), INDEX('Route Data'!$Q$7:$Q$8,E625), INDEX('Route Data'!$M$7:$M$8,E625))</f>
        <v>0.51617226640175828</v>
      </c>
      <c r="L625" s="5">
        <f>INDEX('Route Data'!$N$7:$N$8,E625)</f>
        <v>0.4</v>
      </c>
      <c r="M625" s="8">
        <v>0.1841316819190979</v>
      </c>
      <c r="N625" s="8">
        <f>ProbStrikeFrancis(K625, I625, L625, INDEX('Route Data'!$G$7:$G$8,E625),C625, INDEX('Route Data'!$F$7:$F$8,E625), INDEX('Route Data'!$O$7:$O$8,E625), INDEX('Route Data'!$H$7:$H$18,E625))</f>
        <v>1</v>
      </c>
      <c r="O625" s="5" t="str">
        <f>IF(F625&gt;=1,IF(M625&lt;=N625,"STRIKE","pass"),IF(M625&lt;=INDEX('Route Data'!$R$7:$R$8,E625),"NO PASS","pass"))</f>
        <v>STRIKE</v>
      </c>
      <c r="P625" s="5">
        <f>IF(F625&gt;=1,IF(M625&lt;=N625,1,0),IF(M625&lt;=INDEX('Route Data'!$R$7:$R$8,E625),-1,0))</f>
        <v>1</v>
      </c>
    </row>
    <row r="626" spans="1:16">
      <c r="A626" s="5">
        <v>616</v>
      </c>
      <c r="B626" s="12">
        <v>16.100000000000001</v>
      </c>
      <c r="C626" s="12">
        <f t="shared" si="9"/>
        <v>1.34</v>
      </c>
      <c r="D626" s="8">
        <v>0.48416662216186523</v>
      </c>
      <c r="E626" s="5">
        <f>MATCH(D626,'Route Data'!$C$7:$C$8,1)</f>
        <v>2</v>
      </c>
      <c r="F626" s="5">
        <f>INDEX('Route Data'!$D$7:$D$8,E626)</f>
        <v>1</v>
      </c>
      <c r="G626" s="5" t="str">
        <f>INDEX('Route Data'!$A$7:$A$8,E626)</f>
        <v>u18</v>
      </c>
      <c r="H626" s="5">
        <f>EnergyCoeff(INDEX('Route Data'!$K$7:$K$8,E626),INDEX('Route Data'!$L$7:$L$8,E626)*2*PI()/60,INDEX('Route Data'!$F$7:$F$8,E626))</f>
        <v>0.19430699130049439</v>
      </c>
      <c r="I626" s="5">
        <f>DischargeCoeff(INDEX('Route Data'!$I$7:$I$8,E626), INDEX('Route Data'!$L$7:$L$8,E626)*2*PI()/60, INDEX('Route Data'!$F$7:$F$8,E626))</f>
        <v>0.15939200179827354</v>
      </c>
      <c r="J626" s="8">
        <f>FlowAngleRel(INDEX('Route Data'!$J$7:$J$8,E626)*INDEX('Route Data'!$I$7:$I$8,E626), INDEX('Route Data'!$L$7:$L$8,E626)*2*PI()/60, INDEX('Route Data'!$F$7:$F$8,E626),INDEX('Route Data'!$O$7:$O$8,E626), INDEX('Route Data'!$P$7:$P$8,E626),INDEX('Route Data'!$M$7:$M$8,E626))</f>
        <v>1.130811765868994</v>
      </c>
      <c r="K626" s="8">
        <f>FlowAngleAbsT(INDEX('Route Data'!$K$7:$K$8,E626), INDEX('Route Data'!$I$7:$I$8,E626), INDEX('Route Data'!$I$7:$I$8,E626)*INDEX('Route Data'!$J$7:$J$8,E626), INDEX('Route Data'!$L$7:$L$8,E626)*2*PI()/60, INDEX('Route Data'!$F$7:$F$8,E626),INDEX('Route Data'!$O$7:$O$8,E626), INDEX('Route Data'!$P$7:$P$8,E626), INDEX('Route Data'!$H$7:$H$8,E626), INDEX('Route Data'!$Q$7:$Q$8,E626), INDEX('Route Data'!$M$7:$M$8,E626))</f>
        <v>0.51617226640175828</v>
      </c>
      <c r="L626" s="5">
        <f>INDEX('Route Data'!$N$7:$N$8,E626)</f>
        <v>0.4</v>
      </c>
      <c r="M626" s="8">
        <v>0.7756500244140625</v>
      </c>
      <c r="N626" s="8">
        <f>ProbStrikeFrancis(K626, I626, L626, INDEX('Route Data'!$G$7:$G$8,E626),C626, INDEX('Route Data'!$F$7:$F$8,E626), INDEX('Route Data'!$O$7:$O$8,E626), INDEX('Route Data'!$H$7:$H$18,E626))</f>
        <v>1</v>
      </c>
      <c r="O626" s="5" t="str">
        <f>IF(F626&gt;=1,IF(M626&lt;=N626,"STRIKE","pass"),IF(M626&lt;=INDEX('Route Data'!$R$7:$R$8,E626),"NO PASS","pass"))</f>
        <v>STRIKE</v>
      </c>
      <c r="P626" s="5">
        <f>IF(F626&gt;=1,IF(M626&lt;=N626,1,0),IF(M626&lt;=INDEX('Route Data'!$R$7:$R$8,E626),-1,0))</f>
        <v>1</v>
      </c>
    </row>
    <row r="627" spans="1:16">
      <c r="A627" s="5">
        <v>617</v>
      </c>
      <c r="B627" s="12">
        <v>16.649999999999999</v>
      </c>
      <c r="C627" s="12">
        <f t="shared" si="9"/>
        <v>1.39</v>
      </c>
      <c r="D627" s="8">
        <v>0.836650550365448</v>
      </c>
      <c r="E627" s="5">
        <f>MATCH(D627,'Route Data'!$C$7:$C$8,1)</f>
        <v>2</v>
      </c>
      <c r="F627" s="5">
        <f>INDEX('Route Data'!$D$7:$D$8,E627)</f>
        <v>1</v>
      </c>
      <c r="G627" s="5" t="str">
        <f>INDEX('Route Data'!$A$7:$A$8,E627)</f>
        <v>u18</v>
      </c>
      <c r="H627" s="5">
        <f>EnergyCoeff(INDEX('Route Data'!$K$7:$K$8,E627),INDEX('Route Data'!$L$7:$L$8,E627)*2*PI()/60,INDEX('Route Data'!$F$7:$F$8,E627))</f>
        <v>0.19430699130049439</v>
      </c>
      <c r="I627" s="5">
        <f>DischargeCoeff(INDEX('Route Data'!$I$7:$I$8,E627), INDEX('Route Data'!$L$7:$L$8,E627)*2*PI()/60, INDEX('Route Data'!$F$7:$F$8,E627))</f>
        <v>0.15939200179827354</v>
      </c>
      <c r="J627" s="8">
        <f>FlowAngleRel(INDEX('Route Data'!$J$7:$J$8,E627)*INDEX('Route Data'!$I$7:$I$8,E627), INDEX('Route Data'!$L$7:$L$8,E627)*2*PI()/60, INDEX('Route Data'!$F$7:$F$8,E627),INDEX('Route Data'!$O$7:$O$8,E627), INDEX('Route Data'!$P$7:$P$8,E627),INDEX('Route Data'!$M$7:$M$8,E627))</f>
        <v>1.130811765868994</v>
      </c>
      <c r="K627" s="8">
        <f>FlowAngleAbsT(INDEX('Route Data'!$K$7:$K$8,E627), INDEX('Route Data'!$I$7:$I$8,E627), INDEX('Route Data'!$I$7:$I$8,E627)*INDEX('Route Data'!$J$7:$J$8,E627), INDEX('Route Data'!$L$7:$L$8,E627)*2*PI()/60, INDEX('Route Data'!$F$7:$F$8,E627),INDEX('Route Data'!$O$7:$O$8,E627), INDEX('Route Data'!$P$7:$P$8,E627), INDEX('Route Data'!$H$7:$H$8,E627), INDEX('Route Data'!$Q$7:$Q$8,E627), INDEX('Route Data'!$M$7:$M$8,E627))</f>
        <v>0.51617226640175828</v>
      </c>
      <c r="L627" s="5">
        <f>INDEX('Route Data'!$N$7:$N$8,E627)</f>
        <v>0.4</v>
      </c>
      <c r="M627" s="8">
        <v>0.4699365496635437</v>
      </c>
      <c r="N627" s="8">
        <f>ProbStrikeFrancis(K627, I627, L627, INDEX('Route Data'!$G$7:$G$8,E627),C627, INDEX('Route Data'!$F$7:$F$8,E627), INDEX('Route Data'!$O$7:$O$8,E627), INDEX('Route Data'!$H$7:$H$18,E627))</f>
        <v>1</v>
      </c>
      <c r="O627" s="5" t="str">
        <f>IF(F627&gt;=1,IF(M627&lt;=N627,"STRIKE","pass"),IF(M627&lt;=INDEX('Route Data'!$R$7:$R$8,E627),"NO PASS","pass"))</f>
        <v>STRIKE</v>
      </c>
      <c r="P627" s="5">
        <f>IF(F627&gt;=1,IF(M627&lt;=N627,1,0),IF(M627&lt;=INDEX('Route Data'!$R$7:$R$8,E627),-1,0))</f>
        <v>1</v>
      </c>
    </row>
    <row r="628" spans="1:16">
      <c r="A628" s="5">
        <v>618</v>
      </c>
      <c r="B628" s="12">
        <v>33.14</v>
      </c>
      <c r="C628" s="12">
        <f t="shared" si="9"/>
        <v>2.76</v>
      </c>
      <c r="D628" s="8">
        <v>0.77919876575469971</v>
      </c>
      <c r="E628" s="5">
        <f>MATCH(D628,'Route Data'!$C$7:$C$8,1)</f>
        <v>2</v>
      </c>
      <c r="F628" s="5">
        <f>INDEX('Route Data'!$D$7:$D$8,E628)</f>
        <v>1</v>
      </c>
      <c r="G628" s="5" t="str">
        <f>INDEX('Route Data'!$A$7:$A$8,E628)</f>
        <v>u18</v>
      </c>
      <c r="H628" s="5">
        <f>EnergyCoeff(INDEX('Route Data'!$K$7:$K$8,E628),INDEX('Route Data'!$L$7:$L$8,E628)*2*PI()/60,INDEX('Route Data'!$F$7:$F$8,E628))</f>
        <v>0.19430699130049439</v>
      </c>
      <c r="I628" s="5">
        <f>DischargeCoeff(INDEX('Route Data'!$I$7:$I$8,E628), INDEX('Route Data'!$L$7:$L$8,E628)*2*PI()/60, INDEX('Route Data'!$F$7:$F$8,E628))</f>
        <v>0.15939200179827354</v>
      </c>
      <c r="J628" s="8">
        <f>FlowAngleRel(INDEX('Route Data'!$J$7:$J$8,E628)*INDEX('Route Data'!$I$7:$I$8,E628), INDEX('Route Data'!$L$7:$L$8,E628)*2*PI()/60, INDEX('Route Data'!$F$7:$F$8,E628),INDEX('Route Data'!$O$7:$O$8,E628), INDEX('Route Data'!$P$7:$P$8,E628),INDEX('Route Data'!$M$7:$M$8,E628))</f>
        <v>1.130811765868994</v>
      </c>
      <c r="K628" s="8">
        <f>FlowAngleAbsT(INDEX('Route Data'!$K$7:$K$8,E628), INDEX('Route Data'!$I$7:$I$8,E628), INDEX('Route Data'!$I$7:$I$8,E628)*INDEX('Route Data'!$J$7:$J$8,E628), INDEX('Route Data'!$L$7:$L$8,E628)*2*PI()/60, INDEX('Route Data'!$F$7:$F$8,E628),INDEX('Route Data'!$O$7:$O$8,E628), INDEX('Route Data'!$P$7:$P$8,E628), INDEX('Route Data'!$H$7:$H$8,E628), INDEX('Route Data'!$Q$7:$Q$8,E628), INDEX('Route Data'!$M$7:$M$8,E628))</f>
        <v>0.51617226640175828</v>
      </c>
      <c r="L628" s="5">
        <f>INDEX('Route Data'!$N$7:$N$8,E628)</f>
        <v>0.4</v>
      </c>
      <c r="M628" s="8">
        <v>0.3870769739151001</v>
      </c>
      <c r="N628" s="8">
        <f>ProbStrikeFrancis(K628, I628, L628, INDEX('Route Data'!$G$7:$G$8,E628),C628, INDEX('Route Data'!$F$7:$F$8,E628), INDEX('Route Data'!$O$7:$O$8,E628), INDEX('Route Data'!$H$7:$H$18,E628))</f>
        <v>1</v>
      </c>
      <c r="O628" s="5" t="str">
        <f>IF(F628&gt;=1,IF(M628&lt;=N628,"STRIKE","pass"),IF(M628&lt;=INDEX('Route Data'!$R$7:$R$8,E628),"NO PASS","pass"))</f>
        <v>STRIKE</v>
      </c>
      <c r="P628" s="5">
        <f>IF(F628&gt;=1,IF(M628&lt;=N628,1,0),IF(M628&lt;=INDEX('Route Data'!$R$7:$R$8,E628),-1,0))</f>
        <v>1</v>
      </c>
    </row>
    <row r="629" spans="1:16">
      <c r="A629" s="5">
        <v>619</v>
      </c>
      <c r="B629" s="12">
        <v>18.350000000000001</v>
      </c>
      <c r="C629" s="12">
        <f t="shared" si="9"/>
        <v>1.53</v>
      </c>
      <c r="D629" s="8">
        <v>0.21713334321975708</v>
      </c>
      <c r="E629" s="5">
        <f>MATCH(D629,'Route Data'!$C$7:$C$8,1)</f>
        <v>2</v>
      </c>
      <c r="F629" s="5">
        <f>INDEX('Route Data'!$D$7:$D$8,E629)</f>
        <v>1</v>
      </c>
      <c r="G629" s="5" t="str">
        <f>INDEX('Route Data'!$A$7:$A$8,E629)</f>
        <v>u18</v>
      </c>
      <c r="H629" s="5">
        <f>EnergyCoeff(INDEX('Route Data'!$K$7:$K$8,E629),INDEX('Route Data'!$L$7:$L$8,E629)*2*PI()/60,INDEX('Route Data'!$F$7:$F$8,E629))</f>
        <v>0.19430699130049439</v>
      </c>
      <c r="I629" s="5">
        <f>DischargeCoeff(INDEX('Route Data'!$I$7:$I$8,E629), INDEX('Route Data'!$L$7:$L$8,E629)*2*PI()/60, INDEX('Route Data'!$F$7:$F$8,E629))</f>
        <v>0.15939200179827354</v>
      </c>
      <c r="J629" s="8">
        <f>FlowAngleRel(INDEX('Route Data'!$J$7:$J$8,E629)*INDEX('Route Data'!$I$7:$I$8,E629), INDEX('Route Data'!$L$7:$L$8,E629)*2*PI()/60, INDEX('Route Data'!$F$7:$F$8,E629),INDEX('Route Data'!$O$7:$O$8,E629), INDEX('Route Data'!$P$7:$P$8,E629),INDEX('Route Data'!$M$7:$M$8,E629))</f>
        <v>1.130811765868994</v>
      </c>
      <c r="K629" s="8">
        <f>FlowAngleAbsT(INDEX('Route Data'!$K$7:$K$8,E629), INDEX('Route Data'!$I$7:$I$8,E629), INDEX('Route Data'!$I$7:$I$8,E629)*INDEX('Route Data'!$J$7:$J$8,E629), INDEX('Route Data'!$L$7:$L$8,E629)*2*PI()/60, INDEX('Route Data'!$F$7:$F$8,E629),INDEX('Route Data'!$O$7:$O$8,E629), INDEX('Route Data'!$P$7:$P$8,E629), INDEX('Route Data'!$H$7:$H$8,E629), INDEX('Route Data'!$Q$7:$Q$8,E629), INDEX('Route Data'!$M$7:$M$8,E629))</f>
        <v>0.51617226640175828</v>
      </c>
      <c r="L629" s="5">
        <f>INDEX('Route Data'!$N$7:$N$8,E629)</f>
        <v>0.4</v>
      </c>
      <c r="M629" s="8">
        <v>0.16681414842605591</v>
      </c>
      <c r="N629" s="8">
        <f>ProbStrikeFrancis(K629, I629, L629, INDEX('Route Data'!$G$7:$G$8,E629),C629, INDEX('Route Data'!$F$7:$F$8,E629), INDEX('Route Data'!$O$7:$O$8,E629), INDEX('Route Data'!$H$7:$H$18,E629))</f>
        <v>1</v>
      </c>
      <c r="O629" s="5" t="str">
        <f>IF(F629&gt;=1,IF(M629&lt;=N629,"STRIKE","pass"),IF(M629&lt;=INDEX('Route Data'!$R$7:$R$8,E629),"NO PASS","pass"))</f>
        <v>STRIKE</v>
      </c>
      <c r="P629" s="5">
        <f>IF(F629&gt;=1,IF(M629&lt;=N629,1,0),IF(M629&lt;=INDEX('Route Data'!$R$7:$R$8,E629),-1,0))</f>
        <v>1</v>
      </c>
    </row>
    <row r="630" spans="1:16">
      <c r="A630" s="5">
        <v>620</v>
      </c>
      <c r="B630" s="12">
        <v>23.35</v>
      </c>
      <c r="C630" s="12">
        <f t="shared" si="9"/>
        <v>1.95</v>
      </c>
      <c r="D630" s="8">
        <v>0.63775038719177246</v>
      </c>
      <c r="E630" s="5">
        <f>MATCH(D630,'Route Data'!$C$7:$C$8,1)</f>
        <v>2</v>
      </c>
      <c r="F630" s="5">
        <f>INDEX('Route Data'!$D$7:$D$8,E630)</f>
        <v>1</v>
      </c>
      <c r="G630" s="5" t="str">
        <f>INDEX('Route Data'!$A$7:$A$8,E630)</f>
        <v>u18</v>
      </c>
      <c r="H630" s="5">
        <f>EnergyCoeff(INDEX('Route Data'!$K$7:$K$8,E630),INDEX('Route Data'!$L$7:$L$8,E630)*2*PI()/60,INDEX('Route Data'!$F$7:$F$8,E630))</f>
        <v>0.19430699130049439</v>
      </c>
      <c r="I630" s="5">
        <f>DischargeCoeff(INDEX('Route Data'!$I$7:$I$8,E630), INDEX('Route Data'!$L$7:$L$8,E630)*2*PI()/60, INDEX('Route Data'!$F$7:$F$8,E630))</f>
        <v>0.15939200179827354</v>
      </c>
      <c r="J630" s="8">
        <f>FlowAngleRel(INDEX('Route Data'!$J$7:$J$8,E630)*INDEX('Route Data'!$I$7:$I$8,E630), INDEX('Route Data'!$L$7:$L$8,E630)*2*PI()/60, INDEX('Route Data'!$F$7:$F$8,E630),INDEX('Route Data'!$O$7:$O$8,E630), INDEX('Route Data'!$P$7:$P$8,E630),INDEX('Route Data'!$M$7:$M$8,E630))</f>
        <v>1.130811765868994</v>
      </c>
      <c r="K630" s="8">
        <f>FlowAngleAbsT(INDEX('Route Data'!$K$7:$K$8,E630), INDEX('Route Data'!$I$7:$I$8,E630), INDEX('Route Data'!$I$7:$I$8,E630)*INDEX('Route Data'!$J$7:$J$8,E630), INDEX('Route Data'!$L$7:$L$8,E630)*2*PI()/60, INDEX('Route Data'!$F$7:$F$8,E630),INDEX('Route Data'!$O$7:$O$8,E630), INDEX('Route Data'!$P$7:$P$8,E630), INDEX('Route Data'!$H$7:$H$8,E630), INDEX('Route Data'!$Q$7:$Q$8,E630), INDEX('Route Data'!$M$7:$M$8,E630))</f>
        <v>0.51617226640175828</v>
      </c>
      <c r="L630" s="5">
        <f>INDEX('Route Data'!$N$7:$N$8,E630)</f>
        <v>0.4</v>
      </c>
      <c r="M630" s="8">
        <v>0.56202340126037598</v>
      </c>
      <c r="N630" s="8">
        <f>ProbStrikeFrancis(K630, I630, L630, INDEX('Route Data'!$G$7:$G$8,E630),C630, INDEX('Route Data'!$F$7:$F$8,E630), INDEX('Route Data'!$O$7:$O$8,E630), INDEX('Route Data'!$H$7:$H$18,E630))</f>
        <v>1</v>
      </c>
      <c r="O630" s="5" t="str">
        <f>IF(F630&gt;=1,IF(M630&lt;=N630,"STRIKE","pass"),IF(M630&lt;=INDEX('Route Data'!$R$7:$R$8,E630),"NO PASS","pass"))</f>
        <v>STRIKE</v>
      </c>
      <c r="P630" s="5">
        <f>IF(F630&gt;=1,IF(M630&lt;=N630,1,0),IF(M630&lt;=INDEX('Route Data'!$R$7:$R$8,E630),-1,0))</f>
        <v>1</v>
      </c>
    </row>
    <row r="631" spans="1:16">
      <c r="A631" s="5">
        <v>621</v>
      </c>
      <c r="B631" s="12">
        <v>22.29</v>
      </c>
      <c r="C631" s="12">
        <f t="shared" si="9"/>
        <v>1.86</v>
      </c>
      <c r="D631" s="8">
        <v>0.11032003164291382</v>
      </c>
      <c r="E631" s="5">
        <f>MATCH(D631,'Route Data'!$C$7:$C$8,1)</f>
        <v>2</v>
      </c>
      <c r="F631" s="5">
        <f>INDEX('Route Data'!$D$7:$D$8,E631)</f>
        <v>1</v>
      </c>
      <c r="G631" s="5" t="str">
        <f>INDEX('Route Data'!$A$7:$A$8,E631)</f>
        <v>u18</v>
      </c>
      <c r="H631" s="5">
        <f>EnergyCoeff(INDEX('Route Data'!$K$7:$K$8,E631),INDEX('Route Data'!$L$7:$L$8,E631)*2*PI()/60,INDEX('Route Data'!$F$7:$F$8,E631))</f>
        <v>0.19430699130049439</v>
      </c>
      <c r="I631" s="5">
        <f>DischargeCoeff(INDEX('Route Data'!$I$7:$I$8,E631), INDEX('Route Data'!$L$7:$L$8,E631)*2*PI()/60, INDEX('Route Data'!$F$7:$F$8,E631))</f>
        <v>0.15939200179827354</v>
      </c>
      <c r="J631" s="8">
        <f>FlowAngleRel(INDEX('Route Data'!$J$7:$J$8,E631)*INDEX('Route Data'!$I$7:$I$8,E631), INDEX('Route Data'!$L$7:$L$8,E631)*2*PI()/60, INDEX('Route Data'!$F$7:$F$8,E631),INDEX('Route Data'!$O$7:$O$8,E631), INDEX('Route Data'!$P$7:$P$8,E631),INDEX('Route Data'!$M$7:$M$8,E631))</f>
        <v>1.130811765868994</v>
      </c>
      <c r="K631" s="8">
        <f>FlowAngleAbsT(INDEX('Route Data'!$K$7:$K$8,E631), INDEX('Route Data'!$I$7:$I$8,E631), INDEX('Route Data'!$I$7:$I$8,E631)*INDEX('Route Data'!$J$7:$J$8,E631), INDEX('Route Data'!$L$7:$L$8,E631)*2*PI()/60, INDEX('Route Data'!$F$7:$F$8,E631),INDEX('Route Data'!$O$7:$O$8,E631), INDEX('Route Data'!$P$7:$P$8,E631), INDEX('Route Data'!$H$7:$H$8,E631), INDEX('Route Data'!$Q$7:$Q$8,E631), INDEX('Route Data'!$M$7:$M$8,E631))</f>
        <v>0.51617226640175828</v>
      </c>
      <c r="L631" s="5">
        <f>INDEX('Route Data'!$N$7:$N$8,E631)</f>
        <v>0.4</v>
      </c>
      <c r="M631" s="8">
        <v>0.37639564275741577</v>
      </c>
      <c r="N631" s="8">
        <f>ProbStrikeFrancis(K631, I631, L631, INDEX('Route Data'!$G$7:$G$8,E631),C631, INDEX('Route Data'!$F$7:$F$8,E631), INDEX('Route Data'!$O$7:$O$8,E631), INDEX('Route Data'!$H$7:$H$18,E631))</f>
        <v>1</v>
      </c>
      <c r="O631" s="5" t="str">
        <f>IF(F631&gt;=1,IF(M631&lt;=N631,"STRIKE","pass"),IF(M631&lt;=INDEX('Route Data'!$R$7:$R$8,E631),"NO PASS","pass"))</f>
        <v>STRIKE</v>
      </c>
      <c r="P631" s="5">
        <f>IF(F631&gt;=1,IF(M631&lt;=N631,1,0),IF(M631&lt;=INDEX('Route Data'!$R$7:$R$8,E631),-1,0))</f>
        <v>1</v>
      </c>
    </row>
    <row r="632" spans="1:16">
      <c r="A632" s="5">
        <v>622</v>
      </c>
      <c r="B632" s="12">
        <v>23.38</v>
      </c>
      <c r="C632" s="12">
        <f t="shared" si="9"/>
        <v>1.95</v>
      </c>
      <c r="D632" s="8">
        <v>0.22376954555511475</v>
      </c>
      <c r="E632" s="5">
        <f>MATCH(D632,'Route Data'!$C$7:$C$8,1)</f>
        <v>2</v>
      </c>
      <c r="F632" s="5">
        <f>INDEX('Route Data'!$D$7:$D$8,E632)</f>
        <v>1</v>
      </c>
      <c r="G632" s="5" t="str">
        <f>INDEX('Route Data'!$A$7:$A$8,E632)</f>
        <v>u18</v>
      </c>
      <c r="H632" s="5">
        <f>EnergyCoeff(INDEX('Route Data'!$K$7:$K$8,E632),INDEX('Route Data'!$L$7:$L$8,E632)*2*PI()/60,INDEX('Route Data'!$F$7:$F$8,E632))</f>
        <v>0.19430699130049439</v>
      </c>
      <c r="I632" s="5">
        <f>DischargeCoeff(INDEX('Route Data'!$I$7:$I$8,E632), INDEX('Route Data'!$L$7:$L$8,E632)*2*PI()/60, INDEX('Route Data'!$F$7:$F$8,E632))</f>
        <v>0.15939200179827354</v>
      </c>
      <c r="J632" s="8">
        <f>FlowAngleRel(INDEX('Route Data'!$J$7:$J$8,E632)*INDEX('Route Data'!$I$7:$I$8,E632), INDEX('Route Data'!$L$7:$L$8,E632)*2*PI()/60, INDEX('Route Data'!$F$7:$F$8,E632),INDEX('Route Data'!$O$7:$O$8,E632), INDEX('Route Data'!$P$7:$P$8,E632),INDEX('Route Data'!$M$7:$M$8,E632))</f>
        <v>1.130811765868994</v>
      </c>
      <c r="K632" s="8">
        <f>FlowAngleAbsT(INDEX('Route Data'!$K$7:$K$8,E632), INDEX('Route Data'!$I$7:$I$8,E632), INDEX('Route Data'!$I$7:$I$8,E632)*INDEX('Route Data'!$J$7:$J$8,E632), INDEX('Route Data'!$L$7:$L$8,E632)*2*PI()/60, INDEX('Route Data'!$F$7:$F$8,E632),INDEX('Route Data'!$O$7:$O$8,E632), INDEX('Route Data'!$P$7:$P$8,E632), INDEX('Route Data'!$H$7:$H$8,E632), INDEX('Route Data'!$Q$7:$Q$8,E632), INDEX('Route Data'!$M$7:$M$8,E632))</f>
        <v>0.51617226640175828</v>
      </c>
      <c r="L632" s="5">
        <f>INDEX('Route Data'!$N$7:$N$8,E632)</f>
        <v>0.4</v>
      </c>
      <c r="M632" s="8">
        <v>0.19885814189910889</v>
      </c>
      <c r="N632" s="8">
        <f>ProbStrikeFrancis(K632, I632, L632, INDEX('Route Data'!$G$7:$G$8,E632),C632, INDEX('Route Data'!$F$7:$F$8,E632), INDEX('Route Data'!$O$7:$O$8,E632), INDEX('Route Data'!$H$7:$H$18,E632))</f>
        <v>1</v>
      </c>
      <c r="O632" s="5" t="str">
        <f>IF(F632&gt;=1,IF(M632&lt;=N632,"STRIKE","pass"),IF(M632&lt;=INDEX('Route Data'!$R$7:$R$8,E632),"NO PASS","pass"))</f>
        <v>STRIKE</v>
      </c>
      <c r="P632" s="5">
        <f>IF(F632&gt;=1,IF(M632&lt;=N632,1,0),IF(M632&lt;=INDEX('Route Data'!$R$7:$R$8,E632),-1,0))</f>
        <v>1</v>
      </c>
    </row>
    <row r="633" spans="1:16">
      <c r="A633" s="5">
        <v>623</v>
      </c>
      <c r="B633" s="12">
        <v>19.88</v>
      </c>
      <c r="C633" s="12">
        <f t="shared" si="9"/>
        <v>1.66</v>
      </c>
      <c r="D633" s="8">
        <v>0.14900022745132446</v>
      </c>
      <c r="E633" s="5">
        <f>MATCH(D633,'Route Data'!$C$7:$C$8,1)</f>
        <v>2</v>
      </c>
      <c r="F633" s="5">
        <f>INDEX('Route Data'!$D$7:$D$8,E633)</f>
        <v>1</v>
      </c>
      <c r="G633" s="5" t="str">
        <f>INDEX('Route Data'!$A$7:$A$8,E633)</f>
        <v>u18</v>
      </c>
      <c r="H633" s="5">
        <f>EnergyCoeff(INDEX('Route Data'!$K$7:$K$8,E633),INDEX('Route Data'!$L$7:$L$8,E633)*2*PI()/60,INDEX('Route Data'!$F$7:$F$8,E633))</f>
        <v>0.19430699130049439</v>
      </c>
      <c r="I633" s="5">
        <f>DischargeCoeff(INDEX('Route Data'!$I$7:$I$8,E633), INDEX('Route Data'!$L$7:$L$8,E633)*2*PI()/60, INDEX('Route Data'!$F$7:$F$8,E633))</f>
        <v>0.15939200179827354</v>
      </c>
      <c r="J633" s="8">
        <f>FlowAngleRel(INDEX('Route Data'!$J$7:$J$8,E633)*INDEX('Route Data'!$I$7:$I$8,E633), INDEX('Route Data'!$L$7:$L$8,E633)*2*PI()/60, INDEX('Route Data'!$F$7:$F$8,E633),INDEX('Route Data'!$O$7:$O$8,E633), INDEX('Route Data'!$P$7:$P$8,E633),INDEX('Route Data'!$M$7:$M$8,E633))</f>
        <v>1.130811765868994</v>
      </c>
      <c r="K633" s="8">
        <f>FlowAngleAbsT(INDEX('Route Data'!$K$7:$K$8,E633), INDEX('Route Data'!$I$7:$I$8,E633), INDEX('Route Data'!$I$7:$I$8,E633)*INDEX('Route Data'!$J$7:$J$8,E633), INDEX('Route Data'!$L$7:$L$8,E633)*2*PI()/60, INDEX('Route Data'!$F$7:$F$8,E633),INDEX('Route Data'!$O$7:$O$8,E633), INDEX('Route Data'!$P$7:$P$8,E633), INDEX('Route Data'!$H$7:$H$8,E633), INDEX('Route Data'!$Q$7:$Q$8,E633), INDEX('Route Data'!$M$7:$M$8,E633))</f>
        <v>0.51617226640175828</v>
      </c>
      <c r="L633" s="5">
        <f>INDEX('Route Data'!$N$7:$N$8,E633)</f>
        <v>0.4</v>
      </c>
      <c r="M633" s="8">
        <v>0.46589142084121704</v>
      </c>
      <c r="N633" s="8">
        <f>ProbStrikeFrancis(K633, I633, L633, INDEX('Route Data'!$G$7:$G$8,E633),C633, INDEX('Route Data'!$F$7:$F$8,E633), INDEX('Route Data'!$O$7:$O$8,E633), INDEX('Route Data'!$H$7:$H$18,E633))</f>
        <v>1</v>
      </c>
      <c r="O633" s="5" t="str">
        <f>IF(F633&gt;=1,IF(M633&lt;=N633,"STRIKE","pass"),IF(M633&lt;=INDEX('Route Data'!$R$7:$R$8,E633),"NO PASS","pass"))</f>
        <v>STRIKE</v>
      </c>
      <c r="P633" s="5">
        <f>IF(F633&gt;=1,IF(M633&lt;=N633,1,0),IF(M633&lt;=INDEX('Route Data'!$R$7:$R$8,E633),-1,0))</f>
        <v>1</v>
      </c>
    </row>
    <row r="634" spans="1:16">
      <c r="A634" s="5">
        <v>624</v>
      </c>
      <c r="B634" s="12">
        <v>22.07</v>
      </c>
      <c r="C634" s="12">
        <f t="shared" si="9"/>
        <v>1.84</v>
      </c>
      <c r="D634" s="8">
        <v>0.37330818176269531</v>
      </c>
      <c r="E634" s="5">
        <f>MATCH(D634,'Route Data'!$C$7:$C$8,1)</f>
        <v>2</v>
      </c>
      <c r="F634" s="5">
        <f>INDEX('Route Data'!$D$7:$D$8,E634)</f>
        <v>1</v>
      </c>
      <c r="G634" s="5" t="str">
        <f>INDEX('Route Data'!$A$7:$A$8,E634)</f>
        <v>u18</v>
      </c>
      <c r="H634" s="5">
        <f>EnergyCoeff(INDEX('Route Data'!$K$7:$K$8,E634),INDEX('Route Data'!$L$7:$L$8,E634)*2*PI()/60,INDEX('Route Data'!$F$7:$F$8,E634))</f>
        <v>0.19430699130049439</v>
      </c>
      <c r="I634" s="5">
        <f>DischargeCoeff(INDEX('Route Data'!$I$7:$I$8,E634), INDEX('Route Data'!$L$7:$L$8,E634)*2*PI()/60, INDEX('Route Data'!$F$7:$F$8,E634))</f>
        <v>0.15939200179827354</v>
      </c>
      <c r="J634" s="8">
        <f>FlowAngleRel(INDEX('Route Data'!$J$7:$J$8,E634)*INDEX('Route Data'!$I$7:$I$8,E634), INDEX('Route Data'!$L$7:$L$8,E634)*2*PI()/60, INDEX('Route Data'!$F$7:$F$8,E634),INDEX('Route Data'!$O$7:$O$8,E634), INDEX('Route Data'!$P$7:$P$8,E634),INDEX('Route Data'!$M$7:$M$8,E634))</f>
        <v>1.130811765868994</v>
      </c>
      <c r="K634" s="8">
        <f>FlowAngleAbsT(INDEX('Route Data'!$K$7:$K$8,E634), INDEX('Route Data'!$I$7:$I$8,E634), INDEX('Route Data'!$I$7:$I$8,E634)*INDEX('Route Data'!$J$7:$J$8,E634), INDEX('Route Data'!$L$7:$L$8,E634)*2*PI()/60, INDEX('Route Data'!$F$7:$F$8,E634),INDEX('Route Data'!$O$7:$O$8,E634), INDEX('Route Data'!$P$7:$P$8,E634), INDEX('Route Data'!$H$7:$H$8,E634), INDEX('Route Data'!$Q$7:$Q$8,E634), INDEX('Route Data'!$M$7:$M$8,E634))</f>
        <v>0.51617226640175828</v>
      </c>
      <c r="L634" s="5">
        <f>INDEX('Route Data'!$N$7:$N$8,E634)</f>
        <v>0.4</v>
      </c>
      <c r="M634" s="8">
        <v>0.66479158401489258</v>
      </c>
      <c r="N634" s="8">
        <f>ProbStrikeFrancis(K634, I634, L634, INDEX('Route Data'!$G$7:$G$8,E634),C634, INDEX('Route Data'!$F$7:$F$8,E634), INDEX('Route Data'!$O$7:$O$8,E634), INDEX('Route Data'!$H$7:$H$18,E634))</f>
        <v>1</v>
      </c>
      <c r="O634" s="5" t="str">
        <f>IF(F634&gt;=1,IF(M634&lt;=N634,"STRIKE","pass"),IF(M634&lt;=INDEX('Route Data'!$R$7:$R$8,E634),"NO PASS","pass"))</f>
        <v>STRIKE</v>
      </c>
      <c r="P634" s="5">
        <f>IF(F634&gt;=1,IF(M634&lt;=N634,1,0),IF(M634&lt;=INDEX('Route Data'!$R$7:$R$8,E634),-1,0))</f>
        <v>1</v>
      </c>
    </row>
    <row r="635" spans="1:16">
      <c r="A635" s="5">
        <v>625</v>
      </c>
      <c r="B635" s="12">
        <v>21.96</v>
      </c>
      <c r="C635" s="12">
        <f t="shared" si="9"/>
        <v>1.83</v>
      </c>
      <c r="D635" s="8">
        <v>0.43480509519577026</v>
      </c>
      <c r="E635" s="5">
        <f>MATCH(D635,'Route Data'!$C$7:$C$8,1)</f>
        <v>2</v>
      </c>
      <c r="F635" s="5">
        <f>INDEX('Route Data'!$D$7:$D$8,E635)</f>
        <v>1</v>
      </c>
      <c r="G635" s="5" t="str">
        <f>INDEX('Route Data'!$A$7:$A$8,E635)</f>
        <v>u18</v>
      </c>
      <c r="H635" s="5">
        <f>EnergyCoeff(INDEX('Route Data'!$K$7:$K$8,E635),INDEX('Route Data'!$L$7:$L$8,E635)*2*PI()/60,INDEX('Route Data'!$F$7:$F$8,E635))</f>
        <v>0.19430699130049439</v>
      </c>
      <c r="I635" s="5">
        <f>DischargeCoeff(INDEX('Route Data'!$I$7:$I$8,E635), INDEX('Route Data'!$L$7:$L$8,E635)*2*PI()/60, INDEX('Route Data'!$F$7:$F$8,E635))</f>
        <v>0.15939200179827354</v>
      </c>
      <c r="J635" s="8">
        <f>FlowAngleRel(INDEX('Route Data'!$J$7:$J$8,E635)*INDEX('Route Data'!$I$7:$I$8,E635), INDEX('Route Data'!$L$7:$L$8,E635)*2*PI()/60, INDEX('Route Data'!$F$7:$F$8,E635),INDEX('Route Data'!$O$7:$O$8,E635), INDEX('Route Data'!$P$7:$P$8,E635),INDEX('Route Data'!$M$7:$M$8,E635))</f>
        <v>1.130811765868994</v>
      </c>
      <c r="K635" s="8">
        <f>FlowAngleAbsT(INDEX('Route Data'!$K$7:$K$8,E635), INDEX('Route Data'!$I$7:$I$8,E635), INDEX('Route Data'!$I$7:$I$8,E635)*INDEX('Route Data'!$J$7:$J$8,E635), INDEX('Route Data'!$L$7:$L$8,E635)*2*PI()/60, INDEX('Route Data'!$F$7:$F$8,E635),INDEX('Route Data'!$O$7:$O$8,E635), INDEX('Route Data'!$P$7:$P$8,E635), INDEX('Route Data'!$H$7:$H$8,E635), INDEX('Route Data'!$Q$7:$Q$8,E635), INDEX('Route Data'!$M$7:$M$8,E635))</f>
        <v>0.51617226640175828</v>
      </c>
      <c r="L635" s="5">
        <f>INDEX('Route Data'!$N$7:$N$8,E635)</f>
        <v>0.4</v>
      </c>
      <c r="M635" s="8">
        <v>0.33367031812667847</v>
      </c>
      <c r="N635" s="8">
        <f>ProbStrikeFrancis(K635, I635, L635, INDEX('Route Data'!$G$7:$G$8,E635),C635, INDEX('Route Data'!$F$7:$F$8,E635), INDEX('Route Data'!$O$7:$O$8,E635), INDEX('Route Data'!$H$7:$H$18,E635))</f>
        <v>1</v>
      </c>
      <c r="O635" s="5" t="str">
        <f>IF(F635&gt;=1,IF(M635&lt;=N635,"STRIKE","pass"),IF(M635&lt;=INDEX('Route Data'!$R$7:$R$8,E635),"NO PASS","pass"))</f>
        <v>STRIKE</v>
      </c>
      <c r="P635" s="5">
        <f>IF(F635&gt;=1,IF(M635&lt;=N635,1,0),IF(M635&lt;=INDEX('Route Data'!$R$7:$R$8,E635),-1,0))</f>
        <v>1</v>
      </c>
    </row>
    <row r="636" spans="1:16">
      <c r="A636" s="5">
        <v>626</v>
      </c>
      <c r="B636" s="12">
        <v>24.52</v>
      </c>
      <c r="C636" s="12">
        <f t="shared" si="9"/>
        <v>2.04</v>
      </c>
      <c r="D636" s="8">
        <v>0.71915590763092041</v>
      </c>
      <c r="E636" s="5">
        <f>MATCH(D636,'Route Data'!$C$7:$C$8,1)</f>
        <v>2</v>
      </c>
      <c r="F636" s="5">
        <f>INDEX('Route Data'!$D$7:$D$8,E636)</f>
        <v>1</v>
      </c>
      <c r="G636" s="5" t="str">
        <f>INDEX('Route Data'!$A$7:$A$8,E636)</f>
        <v>u18</v>
      </c>
      <c r="H636" s="5">
        <f>EnergyCoeff(INDEX('Route Data'!$K$7:$K$8,E636),INDEX('Route Data'!$L$7:$L$8,E636)*2*PI()/60,INDEX('Route Data'!$F$7:$F$8,E636))</f>
        <v>0.19430699130049439</v>
      </c>
      <c r="I636" s="5">
        <f>DischargeCoeff(INDEX('Route Data'!$I$7:$I$8,E636), INDEX('Route Data'!$L$7:$L$8,E636)*2*PI()/60, INDEX('Route Data'!$F$7:$F$8,E636))</f>
        <v>0.15939200179827354</v>
      </c>
      <c r="J636" s="8">
        <f>FlowAngleRel(INDEX('Route Data'!$J$7:$J$8,E636)*INDEX('Route Data'!$I$7:$I$8,E636), INDEX('Route Data'!$L$7:$L$8,E636)*2*PI()/60, INDEX('Route Data'!$F$7:$F$8,E636),INDEX('Route Data'!$O$7:$O$8,E636), INDEX('Route Data'!$P$7:$P$8,E636),INDEX('Route Data'!$M$7:$M$8,E636))</f>
        <v>1.130811765868994</v>
      </c>
      <c r="K636" s="8">
        <f>FlowAngleAbsT(INDEX('Route Data'!$K$7:$K$8,E636), INDEX('Route Data'!$I$7:$I$8,E636), INDEX('Route Data'!$I$7:$I$8,E636)*INDEX('Route Data'!$J$7:$J$8,E636), INDEX('Route Data'!$L$7:$L$8,E636)*2*PI()/60, INDEX('Route Data'!$F$7:$F$8,E636),INDEX('Route Data'!$O$7:$O$8,E636), INDEX('Route Data'!$P$7:$P$8,E636), INDEX('Route Data'!$H$7:$H$8,E636), INDEX('Route Data'!$Q$7:$Q$8,E636), INDEX('Route Data'!$M$7:$M$8,E636))</f>
        <v>0.51617226640175828</v>
      </c>
      <c r="L636" s="5">
        <f>INDEX('Route Data'!$N$7:$N$8,E636)</f>
        <v>0.4</v>
      </c>
      <c r="M636" s="8">
        <v>0.3270341157913208</v>
      </c>
      <c r="N636" s="8">
        <f>ProbStrikeFrancis(K636, I636, L636, INDEX('Route Data'!$G$7:$G$8,E636),C636, INDEX('Route Data'!$F$7:$F$8,E636), INDEX('Route Data'!$O$7:$O$8,E636), INDEX('Route Data'!$H$7:$H$18,E636))</f>
        <v>1</v>
      </c>
      <c r="O636" s="5" t="str">
        <f>IF(F636&gt;=1,IF(M636&lt;=N636,"STRIKE","pass"),IF(M636&lt;=INDEX('Route Data'!$R$7:$R$8,E636),"NO PASS","pass"))</f>
        <v>STRIKE</v>
      </c>
      <c r="P636" s="5">
        <f>IF(F636&gt;=1,IF(M636&lt;=N636,1,0),IF(M636&lt;=INDEX('Route Data'!$R$7:$R$8,E636),-1,0))</f>
        <v>1</v>
      </c>
    </row>
    <row r="637" spans="1:16">
      <c r="A637" s="5">
        <v>627</v>
      </c>
      <c r="B637" s="12">
        <v>25.28</v>
      </c>
      <c r="C637" s="12">
        <f t="shared" si="9"/>
        <v>2.11</v>
      </c>
      <c r="D637" s="8">
        <v>0.13168269395828247</v>
      </c>
      <c r="E637" s="5">
        <f>MATCH(D637,'Route Data'!$C$7:$C$8,1)</f>
        <v>2</v>
      </c>
      <c r="F637" s="5">
        <f>INDEX('Route Data'!$D$7:$D$8,E637)</f>
        <v>1</v>
      </c>
      <c r="G637" s="5" t="str">
        <f>INDEX('Route Data'!$A$7:$A$8,E637)</f>
        <v>u18</v>
      </c>
      <c r="H637" s="5">
        <f>EnergyCoeff(INDEX('Route Data'!$K$7:$K$8,E637),INDEX('Route Data'!$L$7:$L$8,E637)*2*PI()/60,INDEX('Route Data'!$F$7:$F$8,E637))</f>
        <v>0.19430699130049439</v>
      </c>
      <c r="I637" s="5">
        <f>DischargeCoeff(INDEX('Route Data'!$I$7:$I$8,E637), INDEX('Route Data'!$L$7:$L$8,E637)*2*PI()/60, INDEX('Route Data'!$F$7:$F$8,E637))</f>
        <v>0.15939200179827354</v>
      </c>
      <c r="J637" s="8">
        <f>FlowAngleRel(INDEX('Route Data'!$J$7:$J$8,E637)*INDEX('Route Data'!$I$7:$I$8,E637), INDEX('Route Data'!$L$7:$L$8,E637)*2*PI()/60, INDEX('Route Data'!$F$7:$F$8,E637),INDEX('Route Data'!$O$7:$O$8,E637), INDEX('Route Data'!$P$7:$P$8,E637),INDEX('Route Data'!$M$7:$M$8,E637))</f>
        <v>1.130811765868994</v>
      </c>
      <c r="K637" s="8">
        <f>FlowAngleAbsT(INDEX('Route Data'!$K$7:$K$8,E637), INDEX('Route Data'!$I$7:$I$8,E637), INDEX('Route Data'!$I$7:$I$8,E637)*INDEX('Route Data'!$J$7:$J$8,E637), INDEX('Route Data'!$L$7:$L$8,E637)*2*PI()/60, INDEX('Route Data'!$F$7:$F$8,E637),INDEX('Route Data'!$O$7:$O$8,E637), INDEX('Route Data'!$P$7:$P$8,E637), INDEX('Route Data'!$H$7:$H$8,E637), INDEX('Route Data'!$Q$7:$Q$8,E637), INDEX('Route Data'!$M$7:$M$8,E637))</f>
        <v>0.51617226640175828</v>
      </c>
      <c r="L637" s="5">
        <f>INDEX('Route Data'!$N$7:$N$8,E637)</f>
        <v>0.4</v>
      </c>
      <c r="M637" s="8">
        <v>8.1363499164581299E-2</v>
      </c>
      <c r="N637" s="8">
        <f>ProbStrikeFrancis(K637, I637, L637, INDEX('Route Data'!$G$7:$G$8,E637),C637, INDEX('Route Data'!$F$7:$F$8,E637), INDEX('Route Data'!$O$7:$O$8,E637), INDEX('Route Data'!$H$7:$H$18,E637))</f>
        <v>1</v>
      </c>
      <c r="O637" s="5" t="str">
        <f>IF(F637&gt;=1,IF(M637&lt;=N637,"STRIKE","pass"),IF(M637&lt;=INDEX('Route Data'!$R$7:$R$8,E637),"NO PASS","pass"))</f>
        <v>STRIKE</v>
      </c>
      <c r="P637" s="5">
        <f>IF(F637&gt;=1,IF(M637&lt;=N637,1,0),IF(M637&lt;=INDEX('Route Data'!$R$7:$R$8,E637),-1,0))</f>
        <v>1</v>
      </c>
    </row>
    <row r="638" spans="1:16">
      <c r="A638" s="5">
        <v>628</v>
      </c>
      <c r="B638" s="12">
        <v>25.99</v>
      </c>
      <c r="C638" s="12">
        <f t="shared" si="9"/>
        <v>2.17</v>
      </c>
      <c r="D638" s="8">
        <v>0.15968155860900879</v>
      </c>
      <c r="E638" s="5">
        <f>MATCH(D638,'Route Data'!$C$7:$C$8,1)</f>
        <v>2</v>
      </c>
      <c r="F638" s="5">
        <f>INDEX('Route Data'!$D$7:$D$8,E638)</f>
        <v>1</v>
      </c>
      <c r="G638" s="5" t="str">
        <f>INDEX('Route Data'!$A$7:$A$8,E638)</f>
        <v>u18</v>
      </c>
      <c r="H638" s="5">
        <f>EnergyCoeff(INDEX('Route Data'!$K$7:$K$8,E638),INDEX('Route Data'!$L$7:$L$8,E638)*2*PI()/60,INDEX('Route Data'!$F$7:$F$8,E638))</f>
        <v>0.19430699130049439</v>
      </c>
      <c r="I638" s="5">
        <f>DischargeCoeff(INDEX('Route Data'!$I$7:$I$8,E638), INDEX('Route Data'!$L$7:$L$8,E638)*2*PI()/60, INDEX('Route Data'!$F$7:$F$8,E638))</f>
        <v>0.15939200179827354</v>
      </c>
      <c r="J638" s="8">
        <f>FlowAngleRel(INDEX('Route Data'!$J$7:$J$8,E638)*INDEX('Route Data'!$I$7:$I$8,E638), INDEX('Route Data'!$L$7:$L$8,E638)*2*PI()/60, INDEX('Route Data'!$F$7:$F$8,E638),INDEX('Route Data'!$O$7:$O$8,E638), INDEX('Route Data'!$P$7:$P$8,E638),INDEX('Route Data'!$M$7:$M$8,E638))</f>
        <v>1.130811765868994</v>
      </c>
      <c r="K638" s="8">
        <f>FlowAngleAbsT(INDEX('Route Data'!$K$7:$K$8,E638), INDEX('Route Data'!$I$7:$I$8,E638), INDEX('Route Data'!$I$7:$I$8,E638)*INDEX('Route Data'!$J$7:$J$8,E638), INDEX('Route Data'!$L$7:$L$8,E638)*2*PI()/60, INDEX('Route Data'!$F$7:$F$8,E638),INDEX('Route Data'!$O$7:$O$8,E638), INDEX('Route Data'!$P$7:$P$8,E638), INDEX('Route Data'!$H$7:$H$8,E638), INDEX('Route Data'!$Q$7:$Q$8,E638), INDEX('Route Data'!$M$7:$M$8,E638))</f>
        <v>0.51617226640175828</v>
      </c>
      <c r="L638" s="5">
        <f>INDEX('Route Data'!$N$7:$N$8,E638)</f>
        <v>0.4</v>
      </c>
      <c r="M638" s="8">
        <v>0.8183753490447998</v>
      </c>
      <c r="N638" s="8">
        <f>ProbStrikeFrancis(K638, I638, L638, INDEX('Route Data'!$G$7:$G$8,E638),C638, INDEX('Route Data'!$F$7:$F$8,E638), INDEX('Route Data'!$O$7:$O$8,E638), INDEX('Route Data'!$H$7:$H$18,E638))</f>
        <v>1</v>
      </c>
      <c r="O638" s="5" t="str">
        <f>IF(F638&gt;=1,IF(M638&lt;=N638,"STRIKE","pass"),IF(M638&lt;=INDEX('Route Data'!$R$7:$R$8,E638),"NO PASS","pass"))</f>
        <v>STRIKE</v>
      </c>
      <c r="P638" s="5">
        <f>IF(F638&gt;=1,IF(M638&lt;=N638,1,0),IF(M638&lt;=INDEX('Route Data'!$R$7:$R$8,E638),-1,0))</f>
        <v>1</v>
      </c>
    </row>
    <row r="639" spans="1:16">
      <c r="A639" s="5">
        <v>629</v>
      </c>
      <c r="B639" s="12">
        <v>24.18</v>
      </c>
      <c r="C639" s="12">
        <f t="shared" si="9"/>
        <v>2.02</v>
      </c>
      <c r="D639" s="8">
        <v>0.34126418828964233</v>
      </c>
      <c r="E639" s="5">
        <f>MATCH(D639,'Route Data'!$C$7:$C$8,1)</f>
        <v>2</v>
      </c>
      <c r="F639" s="5">
        <f>INDEX('Route Data'!$D$7:$D$8,E639)</f>
        <v>1</v>
      </c>
      <c r="G639" s="5" t="str">
        <f>INDEX('Route Data'!$A$7:$A$8,E639)</f>
        <v>u18</v>
      </c>
      <c r="H639" s="5">
        <f>EnergyCoeff(INDEX('Route Data'!$K$7:$K$8,E639),INDEX('Route Data'!$L$7:$L$8,E639)*2*PI()/60,INDEX('Route Data'!$F$7:$F$8,E639))</f>
        <v>0.19430699130049439</v>
      </c>
      <c r="I639" s="5">
        <f>DischargeCoeff(INDEX('Route Data'!$I$7:$I$8,E639), INDEX('Route Data'!$L$7:$L$8,E639)*2*PI()/60, INDEX('Route Data'!$F$7:$F$8,E639))</f>
        <v>0.15939200179827354</v>
      </c>
      <c r="J639" s="8">
        <f>FlowAngleRel(INDEX('Route Data'!$J$7:$J$8,E639)*INDEX('Route Data'!$I$7:$I$8,E639), INDEX('Route Data'!$L$7:$L$8,E639)*2*PI()/60, INDEX('Route Data'!$F$7:$F$8,E639),INDEX('Route Data'!$O$7:$O$8,E639), INDEX('Route Data'!$P$7:$P$8,E639),INDEX('Route Data'!$M$7:$M$8,E639))</f>
        <v>1.130811765868994</v>
      </c>
      <c r="K639" s="8">
        <f>FlowAngleAbsT(INDEX('Route Data'!$K$7:$K$8,E639), INDEX('Route Data'!$I$7:$I$8,E639), INDEX('Route Data'!$I$7:$I$8,E639)*INDEX('Route Data'!$J$7:$J$8,E639), INDEX('Route Data'!$L$7:$L$8,E639)*2*PI()/60, INDEX('Route Data'!$F$7:$F$8,E639),INDEX('Route Data'!$O$7:$O$8,E639), INDEX('Route Data'!$P$7:$P$8,E639), INDEX('Route Data'!$H$7:$H$8,E639), INDEX('Route Data'!$Q$7:$Q$8,E639), INDEX('Route Data'!$M$7:$M$8,E639))</f>
        <v>0.51617226640175828</v>
      </c>
      <c r="L639" s="5">
        <f>INDEX('Route Data'!$N$7:$N$8,E639)</f>
        <v>0.4</v>
      </c>
      <c r="M639" s="8">
        <v>0.34176057577133179</v>
      </c>
      <c r="N639" s="8">
        <f>ProbStrikeFrancis(K639, I639, L639, INDEX('Route Data'!$G$7:$G$8,E639),C639, INDEX('Route Data'!$F$7:$F$8,E639), INDEX('Route Data'!$O$7:$O$8,E639), INDEX('Route Data'!$H$7:$H$18,E639))</f>
        <v>1</v>
      </c>
      <c r="O639" s="5" t="str">
        <f>IF(F639&gt;=1,IF(M639&lt;=N639,"STRIKE","pass"),IF(M639&lt;=INDEX('Route Data'!$R$7:$R$8,E639),"NO PASS","pass"))</f>
        <v>STRIKE</v>
      </c>
      <c r="P639" s="5">
        <f>IF(F639&gt;=1,IF(M639&lt;=N639,1,0),IF(M639&lt;=INDEX('Route Data'!$R$7:$R$8,E639),-1,0))</f>
        <v>1</v>
      </c>
    </row>
    <row r="640" spans="1:16">
      <c r="A640" s="5">
        <v>630</v>
      </c>
      <c r="B640" s="12">
        <v>19.760000000000002</v>
      </c>
      <c r="C640" s="12">
        <f t="shared" si="9"/>
        <v>1.65</v>
      </c>
      <c r="D640" s="8">
        <v>0.5309370756149292</v>
      </c>
      <c r="E640" s="5">
        <f>MATCH(D640,'Route Data'!$C$7:$C$8,1)</f>
        <v>2</v>
      </c>
      <c r="F640" s="5">
        <f>INDEX('Route Data'!$D$7:$D$8,E640)</f>
        <v>1</v>
      </c>
      <c r="G640" s="5" t="str">
        <f>INDEX('Route Data'!$A$7:$A$8,E640)</f>
        <v>u18</v>
      </c>
      <c r="H640" s="5">
        <f>EnergyCoeff(INDEX('Route Data'!$K$7:$K$8,E640),INDEX('Route Data'!$L$7:$L$8,E640)*2*PI()/60,INDEX('Route Data'!$F$7:$F$8,E640))</f>
        <v>0.19430699130049439</v>
      </c>
      <c r="I640" s="5">
        <f>DischargeCoeff(INDEX('Route Data'!$I$7:$I$8,E640), INDEX('Route Data'!$L$7:$L$8,E640)*2*PI()/60, INDEX('Route Data'!$F$7:$F$8,E640))</f>
        <v>0.15939200179827354</v>
      </c>
      <c r="J640" s="8">
        <f>FlowAngleRel(INDEX('Route Data'!$J$7:$J$8,E640)*INDEX('Route Data'!$I$7:$I$8,E640), INDEX('Route Data'!$L$7:$L$8,E640)*2*PI()/60, INDEX('Route Data'!$F$7:$F$8,E640),INDEX('Route Data'!$O$7:$O$8,E640), INDEX('Route Data'!$P$7:$P$8,E640),INDEX('Route Data'!$M$7:$M$8,E640))</f>
        <v>1.130811765868994</v>
      </c>
      <c r="K640" s="8">
        <f>FlowAngleAbsT(INDEX('Route Data'!$K$7:$K$8,E640), INDEX('Route Data'!$I$7:$I$8,E640), INDEX('Route Data'!$I$7:$I$8,E640)*INDEX('Route Data'!$J$7:$J$8,E640), INDEX('Route Data'!$L$7:$L$8,E640)*2*PI()/60, INDEX('Route Data'!$F$7:$F$8,E640),INDEX('Route Data'!$O$7:$O$8,E640), INDEX('Route Data'!$P$7:$P$8,E640), INDEX('Route Data'!$H$7:$H$8,E640), INDEX('Route Data'!$Q$7:$Q$8,E640), INDEX('Route Data'!$M$7:$M$8,E640))</f>
        <v>0.51617226640175828</v>
      </c>
      <c r="L640" s="5">
        <f>INDEX('Route Data'!$N$7:$N$8,E640)</f>
        <v>0.4</v>
      </c>
      <c r="M640" s="8">
        <v>0.77160489559173584</v>
      </c>
      <c r="N640" s="8">
        <f>ProbStrikeFrancis(K640, I640, L640, INDEX('Route Data'!$G$7:$G$8,E640),C640, INDEX('Route Data'!$F$7:$F$8,E640), INDEX('Route Data'!$O$7:$O$8,E640), INDEX('Route Data'!$H$7:$H$18,E640))</f>
        <v>1</v>
      </c>
      <c r="O640" s="5" t="str">
        <f>IF(F640&gt;=1,IF(M640&lt;=N640,"STRIKE","pass"),IF(M640&lt;=INDEX('Route Data'!$R$7:$R$8,E640),"NO PASS","pass"))</f>
        <v>STRIKE</v>
      </c>
      <c r="P640" s="5">
        <f>IF(F640&gt;=1,IF(M640&lt;=N640,1,0),IF(M640&lt;=INDEX('Route Data'!$R$7:$R$8,E640),-1,0))</f>
        <v>1</v>
      </c>
    </row>
    <row r="641" spans="1:16">
      <c r="A641" s="5">
        <v>631</v>
      </c>
      <c r="B641" s="12">
        <v>22.32</v>
      </c>
      <c r="C641" s="12">
        <f t="shared" si="9"/>
        <v>1.86</v>
      </c>
      <c r="D641" s="8">
        <v>0.4307599663734436</v>
      </c>
      <c r="E641" s="5">
        <f>MATCH(D641,'Route Data'!$C$7:$C$8,1)</f>
        <v>2</v>
      </c>
      <c r="F641" s="5">
        <f>INDEX('Route Data'!$D$7:$D$8,E641)</f>
        <v>1</v>
      </c>
      <c r="G641" s="5" t="str">
        <f>INDEX('Route Data'!$A$7:$A$8,E641)</f>
        <v>u18</v>
      </c>
      <c r="H641" s="5">
        <f>EnergyCoeff(INDEX('Route Data'!$K$7:$K$8,E641),INDEX('Route Data'!$L$7:$L$8,E641)*2*PI()/60,INDEX('Route Data'!$F$7:$F$8,E641))</f>
        <v>0.19430699130049439</v>
      </c>
      <c r="I641" s="5">
        <f>DischargeCoeff(INDEX('Route Data'!$I$7:$I$8,E641), INDEX('Route Data'!$L$7:$L$8,E641)*2*PI()/60, INDEX('Route Data'!$F$7:$F$8,E641))</f>
        <v>0.15939200179827354</v>
      </c>
      <c r="J641" s="8">
        <f>FlowAngleRel(INDEX('Route Data'!$J$7:$J$8,E641)*INDEX('Route Data'!$I$7:$I$8,E641), INDEX('Route Data'!$L$7:$L$8,E641)*2*PI()/60, INDEX('Route Data'!$F$7:$F$8,E641),INDEX('Route Data'!$O$7:$O$8,E641), INDEX('Route Data'!$P$7:$P$8,E641),INDEX('Route Data'!$M$7:$M$8,E641))</f>
        <v>1.130811765868994</v>
      </c>
      <c r="K641" s="8">
        <f>FlowAngleAbsT(INDEX('Route Data'!$K$7:$K$8,E641), INDEX('Route Data'!$I$7:$I$8,E641), INDEX('Route Data'!$I$7:$I$8,E641)*INDEX('Route Data'!$J$7:$J$8,E641), INDEX('Route Data'!$L$7:$L$8,E641)*2*PI()/60, INDEX('Route Data'!$F$7:$F$8,E641),INDEX('Route Data'!$O$7:$O$8,E641), INDEX('Route Data'!$P$7:$P$8,E641), INDEX('Route Data'!$H$7:$H$8,E641), INDEX('Route Data'!$Q$7:$Q$8,E641), INDEX('Route Data'!$M$7:$M$8,E641))</f>
        <v>0.51617226640175828</v>
      </c>
      <c r="L641" s="5">
        <f>INDEX('Route Data'!$N$7:$N$8,E641)</f>
        <v>0.4</v>
      </c>
      <c r="M641" s="8">
        <v>1.3230383396148682E-2</v>
      </c>
      <c r="N641" s="8">
        <f>ProbStrikeFrancis(K641, I641, L641, INDEX('Route Data'!$G$7:$G$8,E641),C641, INDEX('Route Data'!$F$7:$F$8,E641), INDEX('Route Data'!$O$7:$O$8,E641), INDEX('Route Data'!$H$7:$H$18,E641))</f>
        <v>1</v>
      </c>
      <c r="O641" s="5" t="str">
        <f>IF(F641&gt;=1,IF(M641&lt;=N641,"STRIKE","pass"),IF(M641&lt;=INDEX('Route Data'!$R$7:$R$8,E641),"NO PASS","pass"))</f>
        <v>STRIKE</v>
      </c>
      <c r="P641" s="5">
        <f>IF(F641&gt;=1,IF(M641&lt;=N641,1,0),IF(M641&lt;=INDEX('Route Data'!$R$7:$R$8,E641),-1,0))</f>
        <v>1</v>
      </c>
    </row>
    <row r="642" spans="1:16">
      <c r="A642" s="5">
        <v>632</v>
      </c>
      <c r="B642" s="12">
        <v>21.18</v>
      </c>
      <c r="C642" s="12">
        <f t="shared" si="9"/>
        <v>1.77</v>
      </c>
      <c r="D642" s="8">
        <v>0.99687051773071289</v>
      </c>
      <c r="E642" s="5">
        <f>MATCH(D642,'Route Data'!$C$7:$C$8,1)</f>
        <v>2</v>
      </c>
      <c r="F642" s="5">
        <f>INDEX('Route Data'!$D$7:$D$8,E642)</f>
        <v>1</v>
      </c>
      <c r="G642" s="5" t="str">
        <f>INDEX('Route Data'!$A$7:$A$8,E642)</f>
        <v>u18</v>
      </c>
      <c r="H642" s="5">
        <f>EnergyCoeff(INDEX('Route Data'!$K$7:$K$8,E642),INDEX('Route Data'!$L$7:$L$8,E642)*2*PI()/60,INDEX('Route Data'!$F$7:$F$8,E642))</f>
        <v>0.19430699130049439</v>
      </c>
      <c r="I642" s="5">
        <f>DischargeCoeff(INDEX('Route Data'!$I$7:$I$8,E642), INDEX('Route Data'!$L$7:$L$8,E642)*2*PI()/60, INDEX('Route Data'!$F$7:$F$8,E642))</f>
        <v>0.15939200179827354</v>
      </c>
      <c r="J642" s="8">
        <f>FlowAngleRel(INDEX('Route Data'!$J$7:$J$8,E642)*INDEX('Route Data'!$I$7:$I$8,E642), INDEX('Route Data'!$L$7:$L$8,E642)*2*PI()/60, INDEX('Route Data'!$F$7:$F$8,E642),INDEX('Route Data'!$O$7:$O$8,E642), INDEX('Route Data'!$P$7:$P$8,E642),INDEX('Route Data'!$M$7:$M$8,E642))</f>
        <v>1.130811765868994</v>
      </c>
      <c r="K642" s="8">
        <f>FlowAngleAbsT(INDEX('Route Data'!$K$7:$K$8,E642), INDEX('Route Data'!$I$7:$I$8,E642), INDEX('Route Data'!$I$7:$I$8,E642)*INDEX('Route Data'!$J$7:$J$8,E642), INDEX('Route Data'!$L$7:$L$8,E642)*2*PI()/60, INDEX('Route Data'!$F$7:$F$8,E642),INDEX('Route Data'!$O$7:$O$8,E642), INDEX('Route Data'!$P$7:$P$8,E642), INDEX('Route Data'!$H$7:$H$8,E642), INDEX('Route Data'!$Q$7:$Q$8,E642), INDEX('Route Data'!$M$7:$M$8,E642))</f>
        <v>0.51617226640175828</v>
      </c>
      <c r="L642" s="5">
        <f>INDEX('Route Data'!$N$7:$N$8,E642)</f>
        <v>0.4</v>
      </c>
      <c r="M642" s="8">
        <v>0.28835391998291016</v>
      </c>
      <c r="N642" s="8">
        <f>ProbStrikeFrancis(K642, I642, L642, INDEX('Route Data'!$G$7:$G$8,E642),C642, INDEX('Route Data'!$F$7:$F$8,E642), INDEX('Route Data'!$O$7:$O$8,E642), INDEX('Route Data'!$H$7:$H$18,E642))</f>
        <v>1</v>
      </c>
      <c r="O642" s="5" t="str">
        <f>IF(F642&gt;=1,IF(M642&lt;=N642,"STRIKE","pass"),IF(M642&lt;=INDEX('Route Data'!$R$7:$R$8,E642),"NO PASS","pass"))</f>
        <v>STRIKE</v>
      </c>
      <c r="P642" s="5">
        <f>IF(F642&gt;=1,IF(M642&lt;=N642,1,0),IF(M642&lt;=INDEX('Route Data'!$R$7:$R$8,E642),-1,0))</f>
        <v>1</v>
      </c>
    </row>
    <row r="643" spans="1:16">
      <c r="A643" s="5">
        <v>633</v>
      </c>
      <c r="B643" s="12">
        <v>17.010000000000002</v>
      </c>
      <c r="C643" s="12">
        <f t="shared" si="9"/>
        <v>1.42</v>
      </c>
      <c r="D643" s="8">
        <v>0.29853886365890503</v>
      </c>
      <c r="E643" s="5">
        <f>MATCH(D643,'Route Data'!$C$7:$C$8,1)</f>
        <v>2</v>
      </c>
      <c r="F643" s="5">
        <f>INDEX('Route Data'!$D$7:$D$8,E643)</f>
        <v>1</v>
      </c>
      <c r="G643" s="5" t="str">
        <f>INDEX('Route Data'!$A$7:$A$8,E643)</f>
        <v>u18</v>
      </c>
      <c r="H643" s="5">
        <f>EnergyCoeff(INDEX('Route Data'!$K$7:$K$8,E643),INDEX('Route Data'!$L$7:$L$8,E643)*2*PI()/60,INDEX('Route Data'!$F$7:$F$8,E643))</f>
        <v>0.19430699130049439</v>
      </c>
      <c r="I643" s="5">
        <f>DischargeCoeff(INDEX('Route Data'!$I$7:$I$8,E643), INDEX('Route Data'!$L$7:$L$8,E643)*2*PI()/60, INDEX('Route Data'!$F$7:$F$8,E643))</f>
        <v>0.15939200179827354</v>
      </c>
      <c r="J643" s="8">
        <f>FlowAngleRel(INDEX('Route Data'!$J$7:$J$8,E643)*INDEX('Route Data'!$I$7:$I$8,E643), INDEX('Route Data'!$L$7:$L$8,E643)*2*PI()/60, INDEX('Route Data'!$F$7:$F$8,E643),INDEX('Route Data'!$O$7:$O$8,E643), INDEX('Route Data'!$P$7:$P$8,E643),INDEX('Route Data'!$M$7:$M$8,E643))</f>
        <v>1.130811765868994</v>
      </c>
      <c r="K643" s="8">
        <f>FlowAngleAbsT(INDEX('Route Data'!$K$7:$K$8,E643), INDEX('Route Data'!$I$7:$I$8,E643), INDEX('Route Data'!$I$7:$I$8,E643)*INDEX('Route Data'!$J$7:$J$8,E643), INDEX('Route Data'!$L$7:$L$8,E643)*2*PI()/60, INDEX('Route Data'!$F$7:$F$8,E643),INDEX('Route Data'!$O$7:$O$8,E643), INDEX('Route Data'!$P$7:$P$8,E643), INDEX('Route Data'!$H$7:$H$8,E643), INDEX('Route Data'!$Q$7:$Q$8,E643), INDEX('Route Data'!$M$7:$M$8,E643))</f>
        <v>0.51617226640175828</v>
      </c>
      <c r="L643" s="5">
        <f>INDEX('Route Data'!$N$7:$N$8,E643)</f>
        <v>0.4</v>
      </c>
      <c r="M643" s="8">
        <v>0.93182486295700073</v>
      </c>
      <c r="N643" s="8">
        <f>ProbStrikeFrancis(K643, I643, L643, INDEX('Route Data'!$G$7:$G$8,E643),C643, INDEX('Route Data'!$F$7:$F$8,E643), INDEX('Route Data'!$O$7:$O$8,E643), INDEX('Route Data'!$H$7:$H$18,E643))</f>
        <v>1</v>
      </c>
      <c r="O643" s="5" t="str">
        <f>IF(F643&gt;=1,IF(M643&lt;=N643,"STRIKE","pass"),IF(M643&lt;=INDEX('Route Data'!$R$7:$R$8,E643),"NO PASS","pass"))</f>
        <v>STRIKE</v>
      </c>
      <c r="P643" s="5">
        <f>IF(F643&gt;=1,IF(M643&lt;=N643,1,0),IF(M643&lt;=INDEX('Route Data'!$R$7:$R$8,E643),-1,0))</f>
        <v>1</v>
      </c>
    </row>
    <row r="644" spans="1:16">
      <c r="A644" s="5">
        <v>634</v>
      </c>
      <c r="B644" s="12">
        <v>23.96</v>
      </c>
      <c r="C644" s="12">
        <f t="shared" si="9"/>
        <v>2</v>
      </c>
      <c r="D644" s="8">
        <v>0.65911304950714111</v>
      </c>
      <c r="E644" s="5">
        <f>MATCH(D644,'Route Data'!$C$7:$C$8,1)</f>
        <v>2</v>
      </c>
      <c r="F644" s="5">
        <f>INDEX('Route Data'!$D$7:$D$8,E644)</f>
        <v>1</v>
      </c>
      <c r="G644" s="5" t="str">
        <f>INDEX('Route Data'!$A$7:$A$8,E644)</f>
        <v>u18</v>
      </c>
      <c r="H644" s="5">
        <f>EnergyCoeff(INDEX('Route Data'!$K$7:$K$8,E644),INDEX('Route Data'!$L$7:$L$8,E644)*2*PI()/60,INDEX('Route Data'!$F$7:$F$8,E644))</f>
        <v>0.19430699130049439</v>
      </c>
      <c r="I644" s="5">
        <f>DischargeCoeff(INDEX('Route Data'!$I$7:$I$8,E644), INDEX('Route Data'!$L$7:$L$8,E644)*2*PI()/60, INDEX('Route Data'!$F$7:$F$8,E644))</f>
        <v>0.15939200179827354</v>
      </c>
      <c r="J644" s="8">
        <f>FlowAngleRel(INDEX('Route Data'!$J$7:$J$8,E644)*INDEX('Route Data'!$I$7:$I$8,E644), INDEX('Route Data'!$L$7:$L$8,E644)*2*PI()/60, INDEX('Route Data'!$F$7:$F$8,E644),INDEX('Route Data'!$O$7:$O$8,E644), INDEX('Route Data'!$P$7:$P$8,E644),INDEX('Route Data'!$M$7:$M$8,E644))</f>
        <v>1.130811765868994</v>
      </c>
      <c r="K644" s="8">
        <f>FlowAngleAbsT(INDEX('Route Data'!$K$7:$K$8,E644), INDEX('Route Data'!$I$7:$I$8,E644), INDEX('Route Data'!$I$7:$I$8,E644)*INDEX('Route Data'!$J$7:$J$8,E644), INDEX('Route Data'!$L$7:$L$8,E644)*2*PI()/60, INDEX('Route Data'!$F$7:$F$8,E644),INDEX('Route Data'!$O$7:$O$8,E644), INDEX('Route Data'!$P$7:$P$8,E644), INDEX('Route Data'!$H$7:$H$8,E644), INDEX('Route Data'!$Q$7:$Q$8,E644), INDEX('Route Data'!$M$7:$M$8,E644))</f>
        <v>0.51617226640175828</v>
      </c>
      <c r="L644" s="5">
        <f>INDEX('Route Data'!$N$7:$N$8,E644)</f>
        <v>0.4</v>
      </c>
      <c r="M644" s="8">
        <v>0.2669912576675415</v>
      </c>
      <c r="N644" s="8">
        <f>ProbStrikeFrancis(K644, I644, L644, INDEX('Route Data'!$G$7:$G$8,E644),C644, INDEX('Route Data'!$F$7:$F$8,E644), INDEX('Route Data'!$O$7:$O$8,E644), INDEX('Route Data'!$H$7:$H$18,E644))</f>
        <v>1</v>
      </c>
      <c r="O644" s="5" t="str">
        <f>IF(F644&gt;=1,IF(M644&lt;=N644,"STRIKE","pass"),IF(M644&lt;=INDEX('Route Data'!$R$7:$R$8,E644),"NO PASS","pass"))</f>
        <v>STRIKE</v>
      </c>
      <c r="P644" s="5">
        <f>IF(F644&gt;=1,IF(M644&lt;=N644,1,0),IF(M644&lt;=INDEX('Route Data'!$R$7:$R$8,E644),-1,0))</f>
        <v>1</v>
      </c>
    </row>
    <row r="645" spans="1:16">
      <c r="A645" s="5">
        <v>635</v>
      </c>
      <c r="B645" s="12">
        <v>24.38</v>
      </c>
      <c r="C645" s="12">
        <f t="shared" si="9"/>
        <v>2.0299999999999998</v>
      </c>
      <c r="D645" s="8">
        <v>4.6232044696807861E-2</v>
      </c>
      <c r="E645" s="5">
        <f>MATCH(D645,'Route Data'!$C$7:$C$8,1)</f>
        <v>2</v>
      </c>
      <c r="F645" s="5">
        <f>INDEX('Route Data'!$D$7:$D$8,E645)</f>
        <v>1</v>
      </c>
      <c r="G645" s="5" t="str">
        <f>INDEX('Route Data'!$A$7:$A$8,E645)</f>
        <v>u18</v>
      </c>
      <c r="H645" s="5">
        <f>EnergyCoeff(INDEX('Route Data'!$K$7:$K$8,E645),INDEX('Route Data'!$L$7:$L$8,E645)*2*PI()/60,INDEX('Route Data'!$F$7:$F$8,E645))</f>
        <v>0.19430699130049439</v>
      </c>
      <c r="I645" s="5">
        <f>DischargeCoeff(INDEX('Route Data'!$I$7:$I$8,E645), INDEX('Route Data'!$L$7:$L$8,E645)*2*PI()/60, INDEX('Route Data'!$F$7:$F$8,E645))</f>
        <v>0.15939200179827354</v>
      </c>
      <c r="J645" s="8">
        <f>FlowAngleRel(INDEX('Route Data'!$J$7:$J$8,E645)*INDEX('Route Data'!$I$7:$I$8,E645), INDEX('Route Data'!$L$7:$L$8,E645)*2*PI()/60, INDEX('Route Data'!$F$7:$F$8,E645),INDEX('Route Data'!$O$7:$O$8,E645), INDEX('Route Data'!$P$7:$P$8,E645),INDEX('Route Data'!$M$7:$M$8,E645))</f>
        <v>1.130811765868994</v>
      </c>
      <c r="K645" s="8">
        <f>FlowAngleAbsT(INDEX('Route Data'!$K$7:$K$8,E645), INDEX('Route Data'!$I$7:$I$8,E645), INDEX('Route Data'!$I$7:$I$8,E645)*INDEX('Route Data'!$J$7:$J$8,E645), INDEX('Route Data'!$L$7:$L$8,E645)*2*PI()/60, INDEX('Route Data'!$F$7:$F$8,E645),INDEX('Route Data'!$O$7:$O$8,E645), INDEX('Route Data'!$P$7:$P$8,E645), INDEX('Route Data'!$H$7:$H$8,E645), INDEX('Route Data'!$Q$7:$Q$8,E645), INDEX('Route Data'!$M$7:$M$8,E645))</f>
        <v>0.51617226640175828</v>
      </c>
      <c r="L645" s="5">
        <f>INDEX('Route Data'!$N$7:$N$8,E645)</f>
        <v>0.4</v>
      </c>
      <c r="M645" s="8">
        <v>0.99591284990310669</v>
      </c>
      <c r="N645" s="8">
        <f>ProbStrikeFrancis(K645, I645, L645, INDEX('Route Data'!$G$7:$G$8,E645),C645, INDEX('Route Data'!$F$7:$F$8,E645), INDEX('Route Data'!$O$7:$O$8,E645), INDEX('Route Data'!$H$7:$H$18,E645))</f>
        <v>1</v>
      </c>
      <c r="O645" s="5" t="str">
        <f>IF(F645&gt;=1,IF(M645&lt;=N645,"STRIKE","pass"),IF(M645&lt;=INDEX('Route Data'!$R$7:$R$8,E645),"NO PASS","pass"))</f>
        <v>STRIKE</v>
      </c>
      <c r="P645" s="5">
        <f>IF(F645&gt;=1,IF(M645&lt;=N645,1,0),IF(M645&lt;=INDEX('Route Data'!$R$7:$R$8,E645),-1,0))</f>
        <v>1</v>
      </c>
    </row>
    <row r="646" spans="1:16">
      <c r="A646" s="5">
        <v>636</v>
      </c>
      <c r="B646" s="12">
        <v>18.96</v>
      </c>
      <c r="C646" s="12">
        <f t="shared" si="9"/>
        <v>1.58</v>
      </c>
      <c r="D646" s="8">
        <v>0.41603350639343262</v>
      </c>
      <c r="E646" s="5">
        <f>MATCH(D646,'Route Data'!$C$7:$C$8,1)</f>
        <v>2</v>
      </c>
      <c r="F646" s="5">
        <f>INDEX('Route Data'!$D$7:$D$8,E646)</f>
        <v>1</v>
      </c>
      <c r="G646" s="5" t="str">
        <f>INDEX('Route Data'!$A$7:$A$8,E646)</f>
        <v>u18</v>
      </c>
      <c r="H646" s="5">
        <f>EnergyCoeff(INDEX('Route Data'!$K$7:$K$8,E646),INDEX('Route Data'!$L$7:$L$8,E646)*2*PI()/60,INDEX('Route Data'!$F$7:$F$8,E646))</f>
        <v>0.19430699130049439</v>
      </c>
      <c r="I646" s="5">
        <f>DischargeCoeff(INDEX('Route Data'!$I$7:$I$8,E646), INDEX('Route Data'!$L$7:$L$8,E646)*2*PI()/60, INDEX('Route Data'!$F$7:$F$8,E646))</f>
        <v>0.15939200179827354</v>
      </c>
      <c r="J646" s="8">
        <f>FlowAngleRel(INDEX('Route Data'!$J$7:$J$8,E646)*INDEX('Route Data'!$I$7:$I$8,E646), INDEX('Route Data'!$L$7:$L$8,E646)*2*PI()/60, INDEX('Route Data'!$F$7:$F$8,E646),INDEX('Route Data'!$O$7:$O$8,E646), INDEX('Route Data'!$P$7:$P$8,E646),INDEX('Route Data'!$M$7:$M$8,E646))</f>
        <v>1.130811765868994</v>
      </c>
      <c r="K646" s="8">
        <f>FlowAngleAbsT(INDEX('Route Data'!$K$7:$K$8,E646), INDEX('Route Data'!$I$7:$I$8,E646), INDEX('Route Data'!$I$7:$I$8,E646)*INDEX('Route Data'!$J$7:$J$8,E646), INDEX('Route Data'!$L$7:$L$8,E646)*2*PI()/60, INDEX('Route Data'!$F$7:$F$8,E646),INDEX('Route Data'!$O$7:$O$8,E646), INDEX('Route Data'!$P$7:$P$8,E646), INDEX('Route Data'!$H$7:$H$8,E646), INDEX('Route Data'!$Q$7:$Q$8,E646), INDEX('Route Data'!$M$7:$M$8,E646))</f>
        <v>0.51617226640175828</v>
      </c>
      <c r="L646" s="5">
        <f>INDEX('Route Data'!$N$7:$N$8,E646)</f>
        <v>0.4</v>
      </c>
      <c r="M646" s="8">
        <v>7.4727296829223633E-2</v>
      </c>
      <c r="N646" s="8">
        <f>ProbStrikeFrancis(K646, I646, L646, INDEX('Route Data'!$G$7:$G$8,E646),C646, INDEX('Route Data'!$F$7:$F$8,E646), INDEX('Route Data'!$O$7:$O$8,E646), INDEX('Route Data'!$H$7:$H$18,E646))</f>
        <v>1</v>
      </c>
      <c r="O646" s="5" t="str">
        <f>IF(F646&gt;=1,IF(M646&lt;=N646,"STRIKE","pass"),IF(M646&lt;=INDEX('Route Data'!$R$7:$R$8,E646),"NO PASS","pass"))</f>
        <v>STRIKE</v>
      </c>
      <c r="P646" s="5">
        <f>IF(F646&gt;=1,IF(M646&lt;=N646,1,0),IF(M646&lt;=INDEX('Route Data'!$R$7:$R$8,E646),-1,0))</f>
        <v>1</v>
      </c>
    </row>
    <row r="647" spans="1:16">
      <c r="A647" s="5">
        <v>637</v>
      </c>
      <c r="B647" s="12">
        <v>23.87</v>
      </c>
      <c r="C647" s="12">
        <f t="shared" si="9"/>
        <v>1.99</v>
      </c>
      <c r="D647" s="8">
        <v>0.30662912130355835</v>
      </c>
      <c r="E647" s="5">
        <f>MATCH(D647,'Route Data'!$C$7:$C$8,1)</f>
        <v>2</v>
      </c>
      <c r="F647" s="5">
        <f>INDEX('Route Data'!$D$7:$D$8,E647)</f>
        <v>1</v>
      </c>
      <c r="G647" s="5" t="str">
        <f>INDEX('Route Data'!$A$7:$A$8,E647)</f>
        <v>u18</v>
      </c>
      <c r="H647" s="5">
        <f>EnergyCoeff(INDEX('Route Data'!$K$7:$K$8,E647),INDEX('Route Data'!$L$7:$L$8,E647)*2*PI()/60,INDEX('Route Data'!$F$7:$F$8,E647))</f>
        <v>0.19430699130049439</v>
      </c>
      <c r="I647" s="5">
        <f>DischargeCoeff(INDEX('Route Data'!$I$7:$I$8,E647), INDEX('Route Data'!$L$7:$L$8,E647)*2*PI()/60, INDEX('Route Data'!$F$7:$F$8,E647))</f>
        <v>0.15939200179827354</v>
      </c>
      <c r="J647" s="8">
        <f>FlowAngleRel(INDEX('Route Data'!$J$7:$J$8,E647)*INDEX('Route Data'!$I$7:$I$8,E647), INDEX('Route Data'!$L$7:$L$8,E647)*2*PI()/60, INDEX('Route Data'!$F$7:$F$8,E647),INDEX('Route Data'!$O$7:$O$8,E647), INDEX('Route Data'!$P$7:$P$8,E647),INDEX('Route Data'!$M$7:$M$8,E647))</f>
        <v>1.130811765868994</v>
      </c>
      <c r="K647" s="8">
        <f>FlowAngleAbsT(INDEX('Route Data'!$K$7:$K$8,E647), INDEX('Route Data'!$I$7:$I$8,E647), INDEX('Route Data'!$I$7:$I$8,E647)*INDEX('Route Data'!$J$7:$J$8,E647), INDEX('Route Data'!$L$7:$L$8,E647)*2*PI()/60, INDEX('Route Data'!$F$7:$F$8,E647),INDEX('Route Data'!$O$7:$O$8,E647), INDEX('Route Data'!$P$7:$P$8,E647), INDEX('Route Data'!$H$7:$H$8,E647), INDEX('Route Data'!$Q$7:$Q$8,E647), INDEX('Route Data'!$M$7:$M$8,E647))</f>
        <v>0.51617226640175828</v>
      </c>
      <c r="L647" s="5">
        <f>INDEX('Route Data'!$N$7:$N$8,E647)</f>
        <v>0.4</v>
      </c>
      <c r="M647" s="8">
        <v>0.5727047324180603</v>
      </c>
      <c r="N647" s="8">
        <f>ProbStrikeFrancis(K647, I647, L647, INDEX('Route Data'!$G$7:$G$8,E647),C647, INDEX('Route Data'!$F$7:$F$8,E647), INDEX('Route Data'!$O$7:$O$8,E647), INDEX('Route Data'!$H$7:$H$18,E647))</f>
        <v>1</v>
      </c>
      <c r="O647" s="5" t="str">
        <f>IF(F647&gt;=1,IF(M647&lt;=N647,"STRIKE","pass"),IF(M647&lt;=INDEX('Route Data'!$R$7:$R$8,E647),"NO PASS","pass"))</f>
        <v>STRIKE</v>
      </c>
      <c r="P647" s="5">
        <f>IF(F647&gt;=1,IF(M647&lt;=N647,1,0),IF(M647&lt;=INDEX('Route Data'!$R$7:$R$8,E647),-1,0))</f>
        <v>1</v>
      </c>
    </row>
    <row r="648" spans="1:16">
      <c r="A648" s="5">
        <v>638</v>
      </c>
      <c r="B648" s="12">
        <v>24.69</v>
      </c>
      <c r="C648" s="12">
        <f t="shared" si="9"/>
        <v>2.06</v>
      </c>
      <c r="D648" s="8">
        <v>0.10368382930755615</v>
      </c>
      <c r="E648" s="5">
        <f>MATCH(D648,'Route Data'!$C$7:$C$8,1)</f>
        <v>2</v>
      </c>
      <c r="F648" s="5">
        <f>INDEX('Route Data'!$D$7:$D$8,E648)</f>
        <v>1</v>
      </c>
      <c r="G648" s="5" t="str">
        <f>INDEX('Route Data'!$A$7:$A$8,E648)</f>
        <v>u18</v>
      </c>
      <c r="H648" s="5">
        <f>EnergyCoeff(INDEX('Route Data'!$K$7:$K$8,E648),INDEX('Route Data'!$L$7:$L$8,E648)*2*PI()/60,INDEX('Route Data'!$F$7:$F$8,E648))</f>
        <v>0.19430699130049439</v>
      </c>
      <c r="I648" s="5">
        <f>DischargeCoeff(INDEX('Route Data'!$I$7:$I$8,E648), INDEX('Route Data'!$L$7:$L$8,E648)*2*PI()/60, INDEX('Route Data'!$F$7:$F$8,E648))</f>
        <v>0.15939200179827354</v>
      </c>
      <c r="J648" s="8">
        <f>FlowAngleRel(INDEX('Route Data'!$J$7:$J$8,E648)*INDEX('Route Data'!$I$7:$I$8,E648), INDEX('Route Data'!$L$7:$L$8,E648)*2*PI()/60, INDEX('Route Data'!$F$7:$F$8,E648),INDEX('Route Data'!$O$7:$O$8,E648), INDEX('Route Data'!$P$7:$P$8,E648),INDEX('Route Data'!$M$7:$M$8,E648))</f>
        <v>1.130811765868994</v>
      </c>
      <c r="K648" s="8">
        <f>FlowAngleAbsT(INDEX('Route Data'!$K$7:$K$8,E648), INDEX('Route Data'!$I$7:$I$8,E648), INDEX('Route Data'!$I$7:$I$8,E648)*INDEX('Route Data'!$J$7:$J$8,E648), INDEX('Route Data'!$L$7:$L$8,E648)*2*PI()/60, INDEX('Route Data'!$F$7:$F$8,E648),INDEX('Route Data'!$O$7:$O$8,E648), INDEX('Route Data'!$P$7:$P$8,E648), INDEX('Route Data'!$H$7:$H$8,E648), INDEX('Route Data'!$Q$7:$Q$8,E648), INDEX('Route Data'!$M$7:$M$8,E648))</f>
        <v>0.51617226640175828</v>
      </c>
      <c r="L648" s="5">
        <f>INDEX('Route Data'!$N$7:$N$8,E648)</f>
        <v>0.4</v>
      </c>
      <c r="M648" s="8">
        <v>0.34435164928436279</v>
      </c>
      <c r="N648" s="8">
        <f>ProbStrikeFrancis(K648, I648, L648, INDEX('Route Data'!$G$7:$G$8,E648),C648, INDEX('Route Data'!$F$7:$F$8,E648), INDEX('Route Data'!$O$7:$O$8,E648), INDEX('Route Data'!$H$7:$H$18,E648))</f>
        <v>1</v>
      </c>
      <c r="O648" s="5" t="str">
        <f>IF(F648&gt;=1,IF(M648&lt;=N648,"STRIKE","pass"),IF(M648&lt;=INDEX('Route Data'!$R$7:$R$8,E648),"NO PASS","pass"))</f>
        <v>STRIKE</v>
      </c>
      <c r="P648" s="5">
        <f>IF(F648&gt;=1,IF(M648&lt;=N648,1,0),IF(M648&lt;=INDEX('Route Data'!$R$7:$R$8,E648),-1,0))</f>
        <v>1</v>
      </c>
    </row>
    <row r="649" spans="1:16">
      <c r="A649" s="5">
        <v>639</v>
      </c>
      <c r="B649" s="12">
        <v>16.87</v>
      </c>
      <c r="C649" s="12">
        <f t="shared" si="9"/>
        <v>1.41</v>
      </c>
      <c r="D649" s="8">
        <v>0.71251970529556274</v>
      </c>
      <c r="E649" s="5">
        <f>MATCH(D649,'Route Data'!$C$7:$C$8,1)</f>
        <v>2</v>
      </c>
      <c r="F649" s="5">
        <f>INDEX('Route Data'!$D$7:$D$8,E649)</f>
        <v>1</v>
      </c>
      <c r="G649" s="5" t="str">
        <f>INDEX('Route Data'!$A$7:$A$8,E649)</f>
        <v>u18</v>
      </c>
      <c r="H649" s="5">
        <f>EnergyCoeff(INDEX('Route Data'!$K$7:$K$8,E649),INDEX('Route Data'!$L$7:$L$8,E649)*2*PI()/60,INDEX('Route Data'!$F$7:$F$8,E649))</f>
        <v>0.19430699130049439</v>
      </c>
      <c r="I649" s="5">
        <f>DischargeCoeff(INDEX('Route Data'!$I$7:$I$8,E649), INDEX('Route Data'!$L$7:$L$8,E649)*2*PI()/60, INDEX('Route Data'!$F$7:$F$8,E649))</f>
        <v>0.15939200179827354</v>
      </c>
      <c r="J649" s="8">
        <f>FlowAngleRel(INDEX('Route Data'!$J$7:$J$8,E649)*INDEX('Route Data'!$I$7:$I$8,E649), INDEX('Route Data'!$L$7:$L$8,E649)*2*PI()/60, INDEX('Route Data'!$F$7:$F$8,E649),INDEX('Route Data'!$O$7:$O$8,E649), INDEX('Route Data'!$P$7:$P$8,E649),INDEX('Route Data'!$M$7:$M$8,E649))</f>
        <v>1.130811765868994</v>
      </c>
      <c r="K649" s="8">
        <f>FlowAngleAbsT(INDEX('Route Data'!$K$7:$K$8,E649), INDEX('Route Data'!$I$7:$I$8,E649), INDEX('Route Data'!$I$7:$I$8,E649)*INDEX('Route Data'!$J$7:$J$8,E649), INDEX('Route Data'!$L$7:$L$8,E649)*2*PI()/60, INDEX('Route Data'!$F$7:$F$8,E649),INDEX('Route Data'!$O$7:$O$8,E649), INDEX('Route Data'!$P$7:$P$8,E649), INDEX('Route Data'!$H$7:$H$8,E649), INDEX('Route Data'!$Q$7:$Q$8,E649), INDEX('Route Data'!$M$7:$M$8,E649))</f>
        <v>0.51617226640175828</v>
      </c>
      <c r="L649" s="5">
        <f>INDEX('Route Data'!$N$7:$N$8,E649)</f>
        <v>0.4</v>
      </c>
      <c r="M649" s="8">
        <v>0.29499012231826782</v>
      </c>
      <c r="N649" s="8">
        <f>ProbStrikeFrancis(K649, I649, L649, INDEX('Route Data'!$G$7:$G$8,E649),C649, INDEX('Route Data'!$F$7:$F$8,E649), INDEX('Route Data'!$O$7:$O$8,E649), INDEX('Route Data'!$H$7:$H$18,E649))</f>
        <v>1</v>
      </c>
      <c r="O649" s="5" t="str">
        <f>IF(F649&gt;=1,IF(M649&lt;=N649,"STRIKE","pass"),IF(M649&lt;=INDEX('Route Data'!$R$7:$R$8,E649),"NO PASS","pass"))</f>
        <v>STRIKE</v>
      </c>
      <c r="P649" s="5">
        <f>IF(F649&gt;=1,IF(M649&lt;=N649,1,0),IF(M649&lt;=INDEX('Route Data'!$R$7:$R$8,E649),-1,0))</f>
        <v>1</v>
      </c>
    </row>
    <row r="650" spans="1:16">
      <c r="A650" s="5">
        <v>640</v>
      </c>
      <c r="B650" s="12">
        <v>20.170000000000002</v>
      </c>
      <c r="C650" s="12">
        <f t="shared" si="9"/>
        <v>1.68</v>
      </c>
      <c r="D650" s="8">
        <v>0.88601207733154297</v>
      </c>
      <c r="E650" s="5">
        <f>MATCH(D650,'Route Data'!$C$7:$C$8,1)</f>
        <v>2</v>
      </c>
      <c r="F650" s="5">
        <f>INDEX('Route Data'!$D$7:$D$8,E650)</f>
        <v>1</v>
      </c>
      <c r="G650" s="5" t="str">
        <f>INDEX('Route Data'!$A$7:$A$8,E650)</f>
        <v>u18</v>
      </c>
      <c r="H650" s="5">
        <f>EnergyCoeff(INDEX('Route Data'!$K$7:$K$8,E650),INDEX('Route Data'!$L$7:$L$8,E650)*2*PI()/60,INDEX('Route Data'!$F$7:$F$8,E650))</f>
        <v>0.19430699130049439</v>
      </c>
      <c r="I650" s="5">
        <f>DischargeCoeff(INDEX('Route Data'!$I$7:$I$8,E650), INDEX('Route Data'!$L$7:$L$8,E650)*2*PI()/60, INDEX('Route Data'!$F$7:$F$8,E650))</f>
        <v>0.15939200179827354</v>
      </c>
      <c r="J650" s="8">
        <f>FlowAngleRel(INDEX('Route Data'!$J$7:$J$8,E650)*INDEX('Route Data'!$I$7:$I$8,E650), INDEX('Route Data'!$L$7:$L$8,E650)*2*PI()/60, INDEX('Route Data'!$F$7:$F$8,E650),INDEX('Route Data'!$O$7:$O$8,E650), INDEX('Route Data'!$P$7:$P$8,E650),INDEX('Route Data'!$M$7:$M$8,E650))</f>
        <v>1.130811765868994</v>
      </c>
      <c r="K650" s="8">
        <f>FlowAngleAbsT(INDEX('Route Data'!$K$7:$K$8,E650), INDEX('Route Data'!$I$7:$I$8,E650), INDEX('Route Data'!$I$7:$I$8,E650)*INDEX('Route Data'!$J$7:$J$8,E650), INDEX('Route Data'!$L$7:$L$8,E650)*2*PI()/60, INDEX('Route Data'!$F$7:$F$8,E650),INDEX('Route Data'!$O$7:$O$8,E650), INDEX('Route Data'!$P$7:$P$8,E650), INDEX('Route Data'!$H$7:$H$8,E650), INDEX('Route Data'!$Q$7:$Q$8,E650), INDEX('Route Data'!$M$7:$M$8,E650))</f>
        <v>0.51617226640175828</v>
      </c>
      <c r="L650" s="5">
        <f>INDEX('Route Data'!$N$7:$N$8,E650)</f>
        <v>0.4</v>
      </c>
      <c r="M650" s="8">
        <v>0.17749547958374023</v>
      </c>
      <c r="N650" s="8">
        <f>ProbStrikeFrancis(K650, I650, L650, INDEX('Route Data'!$G$7:$G$8,E650),C650, INDEX('Route Data'!$F$7:$F$8,E650), INDEX('Route Data'!$O$7:$O$8,E650), INDEX('Route Data'!$H$7:$H$18,E650))</f>
        <v>1</v>
      </c>
      <c r="O650" s="5" t="str">
        <f>IF(F650&gt;=1,IF(M650&lt;=N650,"STRIKE","pass"),IF(M650&lt;=INDEX('Route Data'!$R$7:$R$8,E650),"NO PASS","pass"))</f>
        <v>STRIKE</v>
      </c>
      <c r="P650" s="5">
        <f>IF(F650&gt;=1,IF(M650&lt;=N650,1,0),IF(M650&lt;=INDEX('Route Data'!$R$7:$R$8,E650),-1,0))</f>
        <v>1</v>
      </c>
    </row>
    <row r="651" spans="1:16">
      <c r="A651" s="5">
        <v>641</v>
      </c>
      <c r="B651" s="12">
        <v>23.51</v>
      </c>
      <c r="C651" s="12">
        <f t="shared" ref="C651:C714" si="10">ROUND(B651/12,2)</f>
        <v>1.96</v>
      </c>
      <c r="D651" s="8">
        <v>0.89669340848922729</v>
      </c>
      <c r="E651" s="5">
        <f>MATCH(D651,'Route Data'!$C$7:$C$8,1)</f>
        <v>2</v>
      </c>
      <c r="F651" s="5">
        <f>INDEX('Route Data'!$D$7:$D$8,E651)</f>
        <v>1</v>
      </c>
      <c r="G651" s="5" t="str">
        <f>INDEX('Route Data'!$A$7:$A$8,E651)</f>
        <v>u18</v>
      </c>
      <c r="H651" s="5">
        <f>EnergyCoeff(INDEX('Route Data'!$K$7:$K$8,E651),INDEX('Route Data'!$L$7:$L$8,E651)*2*PI()/60,INDEX('Route Data'!$F$7:$F$8,E651))</f>
        <v>0.19430699130049439</v>
      </c>
      <c r="I651" s="5">
        <f>DischargeCoeff(INDEX('Route Data'!$I$7:$I$8,E651), INDEX('Route Data'!$L$7:$L$8,E651)*2*PI()/60, INDEX('Route Data'!$F$7:$F$8,E651))</f>
        <v>0.15939200179827354</v>
      </c>
      <c r="J651" s="8">
        <f>FlowAngleRel(INDEX('Route Data'!$J$7:$J$8,E651)*INDEX('Route Data'!$I$7:$I$8,E651), INDEX('Route Data'!$L$7:$L$8,E651)*2*PI()/60, INDEX('Route Data'!$F$7:$F$8,E651),INDEX('Route Data'!$O$7:$O$8,E651), INDEX('Route Data'!$P$7:$P$8,E651),INDEX('Route Data'!$M$7:$M$8,E651))</f>
        <v>1.130811765868994</v>
      </c>
      <c r="K651" s="8">
        <f>FlowAngleAbsT(INDEX('Route Data'!$K$7:$K$8,E651), INDEX('Route Data'!$I$7:$I$8,E651), INDEX('Route Data'!$I$7:$I$8,E651)*INDEX('Route Data'!$J$7:$J$8,E651), INDEX('Route Data'!$L$7:$L$8,E651)*2*PI()/60, INDEX('Route Data'!$F$7:$F$8,E651),INDEX('Route Data'!$O$7:$O$8,E651), INDEX('Route Data'!$P$7:$P$8,E651), INDEX('Route Data'!$H$7:$H$8,E651), INDEX('Route Data'!$Q$7:$Q$8,E651), INDEX('Route Data'!$M$7:$M$8,E651))</f>
        <v>0.51617226640175828</v>
      </c>
      <c r="L651" s="5">
        <f>INDEX('Route Data'!$N$7:$N$8,E651)</f>
        <v>0.4</v>
      </c>
      <c r="M651" s="8">
        <v>0.529979407787323</v>
      </c>
      <c r="N651" s="8">
        <f>ProbStrikeFrancis(K651, I651, L651, INDEX('Route Data'!$G$7:$G$8,E651),C651, INDEX('Route Data'!$F$7:$F$8,E651), INDEX('Route Data'!$O$7:$O$8,E651), INDEX('Route Data'!$H$7:$H$18,E651))</f>
        <v>1</v>
      </c>
      <c r="O651" s="5" t="str">
        <f>IF(F651&gt;=1,IF(M651&lt;=N651,"STRIKE","pass"),IF(M651&lt;=INDEX('Route Data'!$R$7:$R$8,E651),"NO PASS","pass"))</f>
        <v>STRIKE</v>
      </c>
      <c r="P651" s="5">
        <f>IF(F651&gt;=1,IF(M651&lt;=N651,1,0),IF(M651&lt;=INDEX('Route Data'!$R$7:$R$8,E651),-1,0))</f>
        <v>1</v>
      </c>
    </row>
    <row r="652" spans="1:16">
      <c r="A652" s="5">
        <v>642</v>
      </c>
      <c r="B652" s="12">
        <v>26.34</v>
      </c>
      <c r="C652" s="12">
        <f t="shared" si="10"/>
        <v>2.2000000000000002</v>
      </c>
      <c r="D652" s="8">
        <v>0.86464941501617432</v>
      </c>
      <c r="E652" s="5">
        <f>MATCH(D652,'Route Data'!$C$7:$C$8,1)</f>
        <v>2</v>
      </c>
      <c r="F652" s="5">
        <f>INDEX('Route Data'!$D$7:$D$8,E652)</f>
        <v>1</v>
      </c>
      <c r="G652" s="5" t="str">
        <f>INDEX('Route Data'!$A$7:$A$8,E652)</f>
        <v>u18</v>
      </c>
      <c r="H652" s="5">
        <f>EnergyCoeff(INDEX('Route Data'!$K$7:$K$8,E652),INDEX('Route Data'!$L$7:$L$8,E652)*2*PI()/60,INDEX('Route Data'!$F$7:$F$8,E652))</f>
        <v>0.19430699130049439</v>
      </c>
      <c r="I652" s="5">
        <f>DischargeCoeff(INDEX('Route Data'!$I$7:$I$8,E652), INDEX('Route Data'!$L$7:$L$8,E652)*2*PI()/60, INDEX('Route Data'!$F$7:$F$8,E652))</f>
        <v>0.15939200179827354</v>
      </c>
      <c r="J652" s="8">
        <f>FlowAngleRel(INDEX('Route Data'!$J$7:$J$8,E652)*INDEX('Route Data'!$I$7:$I$8,E652), INDEX('Route Data'!$L$7:$L$8,E652)*2*PI()/60, INDEX('Route Data'!$F$7:$F$8,E652),INDEX('Route Data'!$O$7:$O$8,E652), INDEX('Route Data'!$P$7:$P$8,E652),INDEX('Route Data'!$M$7:$M$8,E652))</f>
        <v>1.130811765868994</v>
      </c>
      <c r="K652" s="8">
        <f>FlowAngleAbsT(INDEX('Route Data'!$K$7:$K$8,E652), INDEX('Route Data'!$I$7:$I$8,E652), INDEX('Route Data'!$I$7:$I$8,E652)*INDEX('Route Data'!$J$7:$J$8,E652), INDEX('Route Data'!$L$7:$L$8,E652)*2*PI()/60, INDEX('Route Data'!$F$7:$F$8,E652),INDEX('Route Data'!$O$7:$O$8,E652), INDEX('Route Data'!$P$7:$P$8,E652), INDEX('Route Data'!$H$7:$H$8,E652), INDEX('Route Data'!$Q$7:$Q$8,E652), INDEX('Route Data'!$M$7:$M$8,E652))</f>
        <v>0.51617226640175828</v>
      </c>
      <c r="L652" s="5">
        <f>INDEX('Route Data'!$N$7:$N$8,E652)</f>
        <v>0.4</v>
      </c>
      <c r="M652" s="8">
        <v>0.47252762317657471</v>
      </c>
      <c r="N652" s="8">
        <f>ProbStrikeFrancis(K652, I652, L652, INDEX('Route Data'!$G$7:$G$8,E652),C652, INDEX('Route Data'!$F$7:$F$8,E652), INDEX('Route Data'!$O$7:$O$8,E652), INDEX('Route Data'!$H$7:$H$18,E652))</f>
        <v>1</v>
      </c>
      <c r="O652" s="5" t="str">
        <f>IF(F652&gt;=1,IF(M652&lt;=N652,"STRIKE","pass"),IF(M652&lt;=INDEX('Route Data'!$R$7:$R$8,E652),"NO PASS","pass"))</f>
        <v>STRIKE</v>
      </c>
      <c r="P652" s="5">
        <f>IF(F652&gt;=1,IF(M652&lt;=N652,1,0),IF(M652&lt;=INDEX('Route Data'!$R$7:$R$8,E652),-1,0))</f>
        <v>1</v>
      </c>
    </row>
    <row r="653" spans="1:16">
      <c r="A653" s="5">
        <v>643</v>
      </c>
      <c r="B653" s="12">
        <v>23.62</v>
      </c>
      <c r="C653" s="12">
        <f t="shared" si="10"/>
        <v>1.97</v>
      </c>
      <c r="D653" s="8">
        <v>0.96078139543533325</v>
      </c>
      <c r="E653" s="5">
        <f>MATCH(D653,'Route Data'!$C$7:$C$8,1)</f>
        <v>2</v>
      </c>
      <c r="F653" s="5">
        <f>INDEX('Route Data'!$D$7:$D$8,E653)</f>
        <v>1</v>
      </c>
      <c r="G653" s="5" t="str">
        <f>INDEX('Route Data'!$A$7:$A$8,E653)</f>
        <v>u18</v>
      </c>
      <c r="H653" s="5">
        <f>EnergyCoeff(INDEX('Route Data'!$K$7:$K$8,E653),INDEX('Route Data'!$L$7:$L$8,E653)*2*PI()/60,INDEX('Route Data'!$F$7:$F$8,E653))</f>
        <v>0.19430699130049439</v>
      </c>
      <c r="I653" s="5">
        <f>DischargeCoeff(INDEX('Route Data'!$I$7:$I$8,E653), INDEX('Route Data'!$L$7:$L$8,E653)*2*PI()/60, INDEX('Route Data'!$F$7:$F$8,E653))</f>
        <v>0.15939200179827354</v>
      </c>
      <c r="J653" s="8">
        <f>FlowAngleRel(INDEX('Route Data'!$J$7:$J$8,E653)*INDEX('Route Data'!$I$7:$I$8,E653), INDEX('Route Data'!$L$7:$L$8,E653)*2*PI()/60, INDEX('Route Data'!$F$7:$F$8,E653),INDEX('Route Data'!$O$7:$O$8,E653), INDEX('Route Data'!$P$7:$P$8,E653),INDEX('Route Data'!$M$7:$M$8,E653))</f>
        <v>1.130811765868994</v>
      </c>
      <c r="K653" s="8">
        <f>FlowAngleAbsT(INDEX('Route Data'!$K$7:$K$8,E653), INDEX('Route Data'!$I$7:$I$8,E653), INDEX('Route Data'!$I$7:$I$8,E653)*INDEX('Route Data'!$J$7:$J$8,E653), INDEX('Route Data'!$L$7:$L$8,E653)*2*PI()/60, INDEX('Route Data'!$F$7:$F$8,E653),INDEX('Route Data'!$O$7:$O$8,E653), INDEX('Route Data'!$P$7:$P$8,E653), INDEX('Route Data'!$H$7:$H$8,E653), INDEX('Route Data'!$Q$7:$Q$8,E653), INDEX('Route Data'!$M$7:$M$8,E653))</f>
        <v>0.51617226640175828</v>
      </c>
      <c r="L653" s="5">
        <f>INDEX('Route Data'!$N$7:$N$8,E653)</f>
        <v>0.4</v>
      </c>
      <c r="M653" s="8">
        <v>0.98909074068069458</v>
      </c>
      <c r="N653" s="8">
        <f>ProbStrikeFrancis(K653, I653, L653, INDEX('Route Data'!$G$7:$G$8,E653),C653, INDEX('Route Data'!$F$7:$F$8,E653), INDEX('Route Data'!$O$7:$O$8,E653), INDEX('Route Data'!$H$7:$H$18,E653))</f>
        <v>1</v>
      </c>
      <c r="O653" s="5" t="str">
        <f>IF(F653&gt;=1,IF(M653&lt;=N653,"STRIKE","pass"),IF(M653&lt;=INDEX('Route Data'!$R$7:$R$8,E653),"NO PASS","pass"))</f>
        <v>STRIKE</v>
      </c>
      <c r="P653" s="5">
        <f>IF(F653&gt;=1,IF(M653&lt;=N653,1,0),IF(M653&lt;=INDEX('Route Data'!$R$7:$R$8,E653),-1,0))</f>
        <v>1</v>
      </c>
    </row>
    <row r="654" spans="1:16">
      <c r="A654" s="5">
        <v>644</v>
      </c>
      <c r="B654" s="12">
        <v>21.53</v>
      </c>
      <c r="C654" s="12">
        <f t="shared" si="10"/>
        <v>1.79</v>
      </c>
      <c r="D654" s="8">
        <v>0.67238545417785645</v>
      </c>
      <c r="E654" s="5">
        <f>MATCH(D654,'Route Data'!$C$7:$C$8,1)</f>
        <v>2</v>
      </c>
      <c r="F654" s="5">
        <f>INDEX('Route Data'!$D$7:$D$8,E654)</f>
        <v>1</v>
      </c>
      <c r="G654" s="5" t="str">
        <f>INDEX('Route Data'!$A$7:$A$8,E654)</f>
        <v>u18</v>
      </c>
      <c r="H654" s="5">
        <f>EnergyCoeff(INDEX('Route Data'!$K$7:$K$8,E654),INDEX('Route Data'!$L$7:$L$8,E654)*2*PI()/60,INDEX('Route Data'!$F$7:$F$8,E654))</f>
        <v>0.19430699130049439</v>
      </c>
      <c r="I654" s="5">
        <f>DischargeCoeff(INDEX('Route Data'!$I$7:$I$8,E654), INDEX('Route Data'!$L$7:$L$8,E654)*2*PI()/60, INDEX('Route Data'!$F$7:$F$8,E654))</f>
        <v>0.15939200179827354</v>
      </c>
      <c r="J654" s="8">
        <f>FlowAngleRel(INDEX('Route Data'!$J$7:$J$8,E654)*INDEX('Route Data'!$I$7:$I$8,E654), INDEX('Route Data'!$L$7:$L$8,E654)*2*PI()/60, INDEX('Route Data'!$F$7:$F$8,E654),INDEX('Route Data'!$O$7:$O$8,E654), INDEX('Route Data'!$P$7:$P$8,E654),INDEX('Route Data'!$M$7:$M$8,E654))</f>
        <v>1.130811765868994</v>
      </c>
      <c r="K654" s="8">
        <f>FlowAngleAbsT(INDEX('Route Data'!$K$7:$K$8,E654), INDEX('Route Data'!$I$7:$I$8,E654), INDEX('Route Data'!$I$7:$I$8,E654)*INDEX('Route Data'!$J$7:$J$8,E654), INDEX('Route Data'!$L$7:$L$8,E654)*2*PI()/60, INDEX('Route Data'!$F$7:$F$8,E654),INDEX('Route Data'!$O$7:$O$8,E654), INDEX('Route Data'!$P$7:$P$8,E654), INDEX('Route Data'!$H$7:$H$8,E654), INDEX('Route Data'!$Q$7:$Q$8,E654), INDEX('Route Data'!$M$7:$M$8,E654))</f>
        <v>0.51617226640175828</v>
      </c>
      <c r="L654" s="5">
        <f>INDEX('Route Data'!$N$7:$N$8,E654)</f>
        <v>0.4</v>
      </c>
      <c r="M654" s="8">
        <v>0.40970778465270996</v>
      </c>
      <c r="N654" s="8">
        <f>ProbStrikeFrancis(K654, I654, L654, INDEX('Route Data'!$G$7:$G$8,E654),C654, INDEX('Route Data'!$F$7:$F$8,E654), INDEX('Route Data'!$O$7:$O$8,E654), INDEX('Route Data'!$H$7:$H$18,E654))</f>
        <v>1</v>
      </c>
      <c r="O654" s="5" t="str">
        <f>IF(F654&gt;=1,IF(M654&lt;=N654,"STRIKE","pass"),IF(M654&lt;=INDEX('Route Data'!$R$7:$R$8,E654),"NO PASS","pass"))</f>
        <v>STRIKE</v>
      </c>
      <c r="P654" s="5">
        <f>IF(F654&gt;=1,IF(M654&lt;=N654,1,0),IF(M654&lt;=INDEX('Route Data'!$R$7:$R$8,E654),-1,0))</f>
        <v>1</v>
      </c>
    </row>
    <row r="655" spans="1:16">
      <c r="A655" s="5">
        <v>645</v>
      </c>
      <c r="B655" s="12">
        <v>26.61</v>
      </c>
      <c r="C655" s="12">
        <f t="shared" si="10"/>
        <v>2.2200000000000002</v>
      </c>
      <c r="D655" s="8">
        <v>0.53757327795028687</v>
      </c>
      <c r="E655" s="5">
        <f>MATCH(D655,'Route Data'!$C$7:$C$8,1)</f>
        <v>2</v>
      </c>
      <c r="F655" s="5">
        <f>INDEX('Route Data'!$D$7:$D$8,E655)</f>
        <v>1</v>
      </c>
      <c r="G655" s="5" t="str">
        <f>INDEX('Route Data'!$A$7:$A$8,E655)</f>
        <v>u18</v>
      </c>
      <c r="H655" s="5">
        <f>EnergyCoeff(INDEX('Route Data'!$K$7:$K$8,E655),INDEX('Route Data'!$L$7:$L$8,E655)*2*PI()/60,INDEX('Route Data'!$F$7:$F$8,E655))</f>
        <v>0.19430699130049439</v>
      </c>
      <c r="I655" s="5">
        <f>DischargeCoeff(INDEX('Route Data'!$I$7:$I$8,E655), INDEX('Route Data'!$L$7:$L$8,E655)*2*PI()/60, INDEX('Route Data'!$F$7:$F$8,E655))</f>
        <v>0.15939200179827354</v>
      </c>
      <c r="J655" s="8">
        <f>FlowAngleRel(INDEX('Route Data'!$J$7:$J$8,E655)*INDEX('Route Data'!$I$7:$I$8,E655), INDEX('Route Data'!$L$7:$L$8,E655)*2*PI()/60, INDEX('Route Data'!$F$7:$F$8,E655),INDEX('Route Data'!$O$7:$O$8,E655), INDEX('Route Data'!$P$7:$P$8,E655),INDEX('Route Data'!$M$7:$M$8,E655))</f>
        <v>1.130811765868994</v>
      </c>
      <c r="K655" s="8">
        <f>FlowAngleAbsT(INDEX('Route Data'!$K$7:$K$8,E655), INDEX('Route Data'!$I$7:$I$8,E655), INDEX('Route Data'!$I$7:$I$8,E655)*INDEX('Route Data'!$J$7:$J$8,E655), INDEX('Route Data'!$L$7:$L$8,E655)*2*PI()/60, INDEX('Route Data'!$F$7:$F$8,E655),INDEX('Route Data'!$O$7:$O$8,E655), INDEX('Route Data'!$P$7:$P$8,E655), INDEX('Route Data'!$H$7:$H$8,E655), INDEX('Route Data'!$Q$7:$Q$8,E655), INDEX('Route Data'!$M$7:$M$8,E655))</f>
        <v>0.51617226640175828</v>
      </c>
      <c r="L655" s="5">
        <f>INDEX('Route Data'!$N$7:$N$8,E655)</f>
        <v>0.4</v>
      </c>
      <c r="M655" s="8">
        <v>0.88227742910385132</v>
      </c>
      <c r="N655" s="8">
        <f>ProbStrikeFrancis(K655, I655, L655, INDEX('Route Data'!$G$7:$G$8,E655),C655, INDEX('Route Data'!$F$7:$F$8,E655), INDEX('Route Data'!$O$7:$O$8,E655), INDEX('Route Data'!$H$7:$H$18,E655))</f>
        <v>1</v>
      </c>
      <c r="O655" s="5" t="str">
        <f>IF(F655&gt;=1,IF(M655&lt;=N655,"STRIKE","pass"),IF(M655&lt;=INDEX('Route Data'!$R$7:$R$8,E655),"NO PASS","pass"))</f>
        <v>STRIKE</v>
      </c>
      <c r="P655" s="5">
        <f>IF(F655&gt;=1,IF(M655&lt;=N655,1,0),IF(M655&lt;=INDEX('Route Data'!$R$7:$R$8,E655),-1,0))</f>
        <v>1</v>
      </c>
    </row>
    <row r="656" spans="1:16">
      <c r="A656" s="5">
        <v>646</v>
      </c>
      <c r="B656" s="12">
        <v>21.15</v>
      </c>
      <c r="C656" s="12">
        <f t="shared" si="10"/>
        <v>1.76</v>
      </c>
      <c r="D656" s="8">
        <v>0.67643058300018311</v>
      </c>
      <c r="E656" s="5">
        <f>MATCH(D656,'Route Data'!$C$7:$C$8,1)</f>
        <v>2</v>
      </c>
      <c r="F656" s="5">
        <f>INDEX('Route Data'!$D$7:$D$8,E656)</f>
        <v>1</v>
      </c>
      <c r="G656" s="5" t="str">
        <f>INDEX('Route Data'!$A$7:$A$8,E656)</f>
        <v>u18</v>
      </c>
      <c r="H656" s="5">
        <f>EnergyCoeff(INDEX('Route Data'!$K$7:$K$8,E656),INDEX('Route Data'!$L$7:$L$8,E656)*2*PI()/60,INDEX('Route Data'!$F$7:$F$8,E656))</f>
        <v>0.19430699130049439</v>
      </c>
      <c r="I656" s="5">
        <f>DischargeCoeff(INDEX('Route Data'!$I$7:$I$8,E656), INDEX('Route Data'!$L$7:$L$8,E656)*2*PI()/60, INDEX('Route Data'!$F$7:$F$8,E656))</f>
        <v>0.15939200179827354</v>
      </c>
      <c r="J656" s="8">
        <f>FlowAngleRel(INDEX('Route Data'!$J$7:$J$8,E656)*INDEX('Route Data'!$I$7:$I$8,E656), INDEX('Route Data'!$L$7:$L$8,E656)*2*PI()/60, INDEX('Route Data'!$F$7:$F$8,E656),INDEX('Route Data'!$O$7:$O$8,E656), INDEX('Route Data'!$P$7:$P$8,E656),INDEX('Route Data'!$M$7:$M$8,E656))</f>
        <v>1.130811765868994</v>
      </c>
      <c r="K656" s="8">
        <f>FlowAngleAbsT(INDEX('Route Data'!$K$7:$K$8,E656), INDEX('Route Data'!$I$7:$I$8,E656), INDEX('Route Data'!$I$7:$I$8,E656)*INDEX('Route Data'!$J$7:$J$8,E656), INDEX('Route Data'!$L$7:$L$8,E656)*2*PI()/60, INDEX('Route Data'!$F$7:$F$8,E656),INDEX('Route Data'!$O$7:$O$8,E656), INDEX('Route Data'!$P$7:$P$8,E656), INDEX('Route Data'!$H$7:$H$8,E656), INDEX('Route Data'!$Q$7:$Q$8,E656), INDEX('Route Data'!$M$7:$M$8,E656))</f>
        <v>0.51617226640175828</v>
      </c>
      <c r="L656" s="5">
        <f>INDEX('Route Data'!$N$7:$N$8,E656)</f>
        <v>0.4</v>
      </c>
      <c r="M656" s="8">
        <v>0.99572694301605225</v>
      </c>
      <c r="N656" s="8">
        <f>ProbStrikeFrancis(K656, I656, L656, INDEX('Route Data'!$G$7:$G$8,E656),C656, INDEX('Route Data'!$F$7:$F$8,E656), INDEX('Route Data'!$O$7:$O$8,E656), INDEX('Route Data'!$H$7:$H$18,E656))</f>
        <v>1</v>
      </c>
      <c r="O656" s="5" t="str">
        <f>IF(F656&gt;=1,IF(M656&lt;=N656,"STRIKE","pass"),IF(M656&lt;=INDEX('Route Data'!$R$7:$R$8,E656),"NO PASS","pass"))</f>
        <v>STRIKE</v>
      </c>
      <c r="P656" s="5">
        <f>IF(F656&gt;=1,IF(M656&lt;=N656,1,0),IF(M656&lt;=INDEX('Route Data'!$R$7:$R$8,E656),-1,0))</f>
        <v>1</v>
      </c>
    </row>
    <row r="657" spans="1:16">
      <c r="A657" s="5">
        <v>647</v>
      </c>
      <c r="B657" s="12">
        <v>20.94</v>
      </c>
      <c r="C657" s="12">
        <f t="shared" si="10"/>
        <v>1.75</v>
      </c>
      <c r="D657" s="8">
        <v>0.25985866785049438</v>
      </c>
      <c r="E657" s="5">
        <f>MATCH(D657,'Route Data'!$C$7:$C$8,1)</f>
        <v>2</v>
      </c>
      <c r="F657" s="5">
        <f>INDEX('Route Data'!$D$7:$D$8,E657)</f>
        <v>1</v>
      </c>
      <c r="G657" s="5" t="str">
        <f>INDEX('Route Data'!$A$7:$A$8,E657)</f>
        <v>u18</v>
      </c>
      <c r="H657" s="5">
        <f>EnergyCoeff(INDEX('Route Data'!$K$7:$K$8,E657),INDEX('Route Data'!$L$7:$L$8,E657)*2*PI()/60,INDEX('Route Data'!$F$7:$F$8,E657))</f>
        <v>0.19430699130049439</v>
      </c>
      <c r="I657" s="5">
        <f>DischargeCoeff(INDEX('Route Data'!$I$7:$I$8,E657), INDEX('Route Data'!$L$7:$L$8,E657)*2*PI()/60, INDEX('Route Data'!$F$7:$F$8,E657))</f>
        <v>0.15939200179827354</v>
      </c>
      <c r="J657" s="8">
        <f>FlowAngleRel(INDEX('Route Data'!$J$7:$J$8,E657)*INDEX('Route Data'!$I$7:$I$8,E657), INDEX('Route Data'!$L$7:$L$8,E657)*2*PI()/60, INDEX('Route Data'!$F$7:$F$8,E657),INDEX('Route Data'!$O$7:$O$8,E657), INDEX('Route Data'!$P$7:$P$8,E657),INDEX('Route Data'!$M$7:$M$8,E657))</f>
        <v>1.130811765868994</v>
      </c>
      <c r="K657" s="8">
        <f>FlowAngleAbsT(INDEX('Route Data'!$K$7:$K$8,E657), INDEX('Route Data'!$I$7:$I$8,E657), INDEX('Route Data'!$I$7:$I$8,E657)*INDEX('Route Data'!$J$7:$J$8,E657), INDEX('Route Data'!$L$7:$L$8,E657)*2*PI()/60, INDEX('Route Data'!$F$7:$F$8,E657),INDEX('Route Data'!$O$7:$O$8,E657), INDEX('Route Data'!$P$7:$P$8,E657), INDEX('Route Data'!$H$7:$H$8,E657), INDEX('Route Data'!$Q$7:$Q$8,E657), INDEX('Route Data'!$M$7:$M$8,E657))</f>
        <v>0.51617226640175828</v>
      </c>
      <c r="L657" s="5">
        <f>INDEX('Route Data'!$N$7:$N$8,E657)</f>
        <v>0.4</v>
      </c>
      <c r="M657" s="8">
        <v>0.92095762491226196</v>
      </c>
      <c r="N657" s="8">
        <f>ProbStrikeFrancis(K657, I657, L657, INDEX('Route Data'!$G$7:$G$8,E657),C657, INDEX('Route Data'!$F$7:$F$8,E657), INDEX('Route Data'!$O$7:$O$8,E657), INDEX('Route Data'!$H$7:$H$18,E657))</f>
        <v>1</v>
      </c>
      <c r="O657" s="5" t="str">
        <f>IF(F657&gt;=1,IF(M657&lt;=N657,"STRIKE","pass"),IF(M657&lt;=INDEX('Route Data'!$R$7:$R$8,E657),"NO PASS","pass"))</f>
        <v>STRIKE</v>
      </c>
      <c r="P657" s="5">
        <f>IF(F657&gt;=1,IF(M657&lt;=N657,1,0),IF(M657&lt;=INDEX('Route Data'!$R$7:$R$8,E657),-1,0))</f>
        <v>1</v>
      </c>
    </row>
    <row r="658" spans="1:16">
      <c r="A658" s="5">
        <v>648</v>
      </c>
      <c r="B658" s="12">
        <v>25.74</v>
      </c>
      <c r="C658" s="12">
        <f t="shared" si="10"/>
        <v>2.15</v>
      </c>
      <c r="D658" s="8">
        <v>0.50957441329956055</v>
      </c>
      <c r="E658" s="5">
        <f>MATCH(D658,'Route Data'!$C$7:$C$8,1)</f>
        <v>2</v>
      </c>
      <c r="F658" s="5">
        <f>INDEX('Route Data'!$D$7:$D$8,E658)</f>
        <v>1</v>
      </c>
      <c r="G658" s="5" t="str">
        <f>INDEX('Route Data'!$A$7:$A$8,E658)</f>
        <v>u18</v>
      </c>
      <c r="H658" s="5">
        <f>EnergyCoeff(INDEX('Route Data'!$K$7:$K$8,E658),INDEX('Route Data'!$L$7:$L$8,E658)*2*PI()/60,INDEX('Route Data'!$F$7:$F$8,E658))</f>
        <v>0.19430699130049439</v>
      </c>
      <c r="I658" s="5">
        <f>DischargeCoeff(INDEX('Route Data'!$I$7:$I$8,E658), INDEX('Route Data'!$L$7:$L$8,E658)*2*PI()/60, INDEX('Route Data'!$F$7:$F$8,E658))</f>
        <v>0.15939200179827354</v>
      </c>
      <c r="J658" s="8">
        <f>FlowAngleRel(INDEX('Route Data'!$J$7:$J$8,E658)*INDEX('Route Data'!$I$7:$I$8,E658), INDEX('Route Data'!$L$7:$L$8,E658)*2*PI()/60, INDEX('Route Data'!$F$7:$F$8,E658),INDEX('Route Data'!$O$7:$O$8,E658), INDEX('Route Data'!$P$7:$P$8,E658),INDEX('Route Data'!$M$7:$M$8,E658))</f>
        <v>1.130811765868994</v>
      </c>
      <c r="K658" s="8">
        <f>FlowAngleAbsT(INDEX('Route Data'!$K$7:$K$8,E658), INDEX('Route Data'!$I$7:$I$8,E658), INDEX('Route Data'!$I$7:$I$8,E658)*INDEX('Route Data'!$J$7:$J$8,E658), INDEX('Route Data'!$L$7:$L$8,E658)*2*PI()/60, INDEX('Route Data'!$F$7:$F$8,E658),INDEX('Route Data'!$O$7:$O$8,E658), INDEX('Route Data'!$P$7:$P$8,E658), INDEX('Route Data'!$H$7:$H$8,E658), INDEX('Route Data'!$Q$7:$Q$8,E658), INDEX('Route Data'!$M$7:$M$8,E658))</f>
        <v>0.51617226640175828</v>
      </c>
      <c r="L658" s="5">
        <f>INDEX('Route Data'!$N$7:$N$8,E658)</f>
        <v>0.4</v>
      </c>
      <c r="M658" s="8">
        <v>0.14526557922363281</v>
      </c>
      <c r="N658" s="8">
        <f>ProbStrikeFrancis(K658, I658, L658, INDEX('Route Data'!$G$7:$G$8,E658),C658, INDEX('Route Data'!$F$7:$F$8,E658), INDEX('Route Data'!$O$7:$O$8,E658), INDEX('Route Data'!$H$7:$H$18,E658))</f>
        <v>1</v>
      </c>
      <c r="O658" s="5" t="str">
        <f>IF(F658&gt;=1,IF(M658&lt;=N658,"STRIKE","pass"),IF(M658&lt;=INDEX('Route Data'!$R$7:$R$8,E658),"NO PASS","pass"))</f>
        <v>STRIKE</v>
      </c>
      <c r="P658" s="5">
        <f>IF(F658&gt;=1,IF(M658&lt;=N658,1,0),IF(M658&lt;=INDEX('Route Data'!$R$7:$R$8,E658),-1,0))</f>
        <v>1</v>
      </c>
    </row>
    <row r="659" spans="1:16">
      <c r="A659" s="5">
        <v>649</v>
      </c>
      <c r="B659" s="12">
        <v>22.42</v>
      </c>
      <c r="C659" s="12">
        <f t="shared" si="10"/>
        <v>1.87</v>
      </c>
      <c r="D659" s="8">
        <v>0.49484795331954956</v>
      </c>
      <c r="E659" s="5">
        <f>MATCH(D659,'Route Data'!$C$7:$C$8,1)</f>
        <v>2</v>
      </c>
      <c r="F659" s="5">
        <f>INDEX('Route Data'!$D$7:$D$8,E659)</f>
        <v>1</v>
      </c>
      <c r="G659" s="5" t="str">
        <f>INDEX('Route Data'!$A$7:$A$8,E659)</f>
        <v>u18</v>
      </c>
      <c r="H659" s="5">
        <f>EnergyCoeff(INDEX('Route Data'!$K$7:$K$8,E659),INDEX('Route Data'!$L$7:$L$8,E659)*2*PI()/60,INDEX('Route Data'!$F$7:$F$8,E659))</f>
        <v>0.19430699130049439</v>
      </c>
      <c r="I659" s="5">
        <f>DischargeCoeff(INDEX('Route Data'!$I$7:$I$8,E659), INDEX('Route Data'!$L$7:$L$8,E659)*2*PI()/60, INDEX('Route Data'!$F$7:$F$8,E659))</f>
        <v>0.15939200179827354</v>
      </c>
      <c r="J659" s="8">
        <f>FlowAngleRel(INDEX('Route Data'!$J$7:$J$8,E659)*INDEX('Route Data'!$I$7:$I$8,E659), INDEX('Route Data'!$L$7:$L$8,E659)*2*PI()/60, INDEX('Route Data'!$F$7:$F$8,E659),INDEX('Route Data'!$O$7:$O$8,E659), INDEX('Route Data'!$P$7:$P$8,E659),INDEX('Route Data'!$M$7:$M$8,E659))</f>
        <v>1.130811765868994</v>
      </c>
      <c r="K659" s="8">
        <f>FlowAngleAbsT(INDEX('Route Data'!$K$7:$K$8,E659), INDEX('Route Data'!$I$7:$I$8,E659), INDEX('Route Data'!$I$7:$I$8,E659)*INDEX('Route Data'!$J$7:$J$8,E659), INDEX('Route Data'!$L$7:$L$8,E659)*2*PI()/60, INDEX('Route Data'!$F$7:$F$8,E659),INDEX('Route Data'!$O$7:$O$8,E659), INDEX('Route Data'!$P$7:$P$8,E659), INDEX('Route Data'!$H$7:$H$8,E659), INDEX('Route Data'!$Q$7:$Q$8,E659), INDEX('Route Data'!$M$7:$M$8,E659))</f>
        <v>0.51617226640175828</v>
      </c>
      <c r="L659" s="5">
        <f>INDEX('Route Data'!$N$7:$N$8,E659)</f>
        <v>0.4</v>
      </c>
      <c r="M659" s="8">
        <v>0.20676249265670776</v>
      </c>
      <c r="N659" s="8">
        <f>ProbStrikeFrancis(K659, I659, L659, INDEX('Route Data'!$G$7:$G$8,E659),C659, INDEX('Route Data'!$F$7:$F$8,E659), INDEX('Route Data'!$O$7:$O$8,E659), INDEX('Route Data'!$H$7:$H$18,E659))</f>
        <v>1</v>
      </c>
      <c r="O659" s="5" t="str">
        <f>IF(F659&gt;=1,IF(M659&lt;=N659,"STRIKE","pass"),IF(M659&lt;=INDEX('Route Data'!$R$7:$R$8,E659),"NO PASS","pass"))</f>
        <v>STRIKE</v>
      </c>
      <c r="P659" s="5">
        <f>IF(F659&gt;=1,IF(M659&lt;=N659,1,0),IF(M659&lt;=INDEX('Route Data'!$R$7:$R$8,E659),-1,0))</f>
        <v>1</v>
      </c>
    </row>
    <row r="660" spans="1:16">
      <c r="A660" s="5">
        <v>650</v>
      </c>
      <c r="B660" s="12">
        <v>25.46</v>
      </c>
      <c r="C660" s="12">
        <f t="shared" si="10"/>
        <v>2.12</v>
      </c>
      <c r="D660" s="8">
        <v>0.80460655689239502</v>
      </c>
      <c r="E660" s="5">
        <f>MATCH(D660,'Route Data'!$C$7:$C$8,1)</f>
        <v>2</v>
      </c>
      <c r="F660" s="5">
        <f>INDEX('Route Data'!$D$7:$D$8,E660)</f>
        <v>1</v>
      </c>
      <c r="G660" s="5" t="str">
        <f>INDEX('Route Data'!$A$7:$A$8,E660)</f>
        <v>u18</v>
      </c>
      <c r="H660" s="5">
        <f>EnergyCoeff(INDEX('Route Data'!$K$7:$K$8,E660),INDEX('Route Data'!$L$7:$L$8,E660)*2*PI()/60,INDEX('Route Data'!$F$7:$F$8,E660))</f>
        <v>0.19430699130049439</v>
      </c>
      <c r="I660" s="5">
        <f>DischargeCoeff(INDEX('Route Data'!$I$7:$I$8,E660), INDEX('Route Data'!$L$7:$L$8,E660)*2*PI()/60, INDEX('Route Data'!$F$7:$F$8,E660))</f>
        <v>0.15939200179827354</v>
      </c>
      <c r="J660" s="8">
        <f>FlowAngleRel(INDEX('Route Data'!$J$7:$J$8,E660)*INDEX('Route Data'!$I$7:$I$8,E660), INDEX('Route Data'!$L$7:$L$8,E660)*2*PI()/60, INDEX('Route Data'!$F$7:$F$8,E660),INDEX('Route Data'!$O$7:$O$8,E660), INDEX('Route Data'!$P$7:$P$8,E660),INDEX('Route Data'!$M$7:$M$8,E660))</f>
        <v>1.130811765868994</v>
      </c>
      <c r="K660" s="8">
        <f>FlowAngleAbsT(INDEX('Route Data'!$K$7:$K$8,E660), INDEX('Route Data'!$I$7:$I$8,E660), INDEX('Route Data'!$I$7:$I$8,E660)*INDEX('Route Data'!$J$7:$J$8,E660), INDEX('Route Data'!$L$7:$L$8,E660)*2*PI()/60, INDEX('Route Data'!$F$7:$F$8,E660),INDEX('Route Data'!$O$7:$O$8,E660), INDEX('Route Data'!$P$7:$P$8,E660), INDEX('Route Data'!$H$7:$H$8,E660), INDEX('Route Data'!$Q$7:$Q$8,E660), INDEX('Route Data'!$M$7:$M$8,E660))</f>
        <v>0.51617226640175828</v>
      </c>
      <c r="L660" s="5">
        <f>INDEX('Route Data'!$N$7:$N$8,E660)</f>
        <v>0.4</v>
      </c>
      <c r="M660" s="8">
        <v>0.49111330509185791</v>
      </c>
      <c r="N660" s="8">
        <f>ProbStrikeFrancis(K660, I660, L660, INDEX('Route Data'!$G$7:$G$8,E660),C660, INDEX('Route Data'!$F$7:$F$8,E660), INDEX('Route Data'!$O$7:$O$8,E660), INDEX('Route Data'!$H$7:$H$18,E660))</f>
        <v>1</v>
      </c>
      <c r="O660" s="5" t="str">
        <f>IF(F660&gt;=1,IF(M660&lt;=N660,"STRIKE","pass"),IF(M660&lt;=INDEX('Route Data'!$R$7:$R$8,E660),"NO PASS","pass"))</f>
        <v>STRIKE</v>
      </c>
      <c r="P660" s="5">
        <f>IF(F660&gt;=1,IF(M660&lt;=N660,1,0),IF(M660&lt;=INDEX('Route Data'!$R$7:$R$8,E660),-1,0))</f>
        <v>1</v>
      </c>
    </row>
    <row r="661" spans="1:16">
      <c r="A661" s="5">
        <v>651</v>
      </c>
      <c r="B661" s="12">
        <v>22.92</v>
      </c>
      <c r="C661" s="12">
        <f t="shared" si="10"/>
        <v>1.91</v>
      </c>
      <c r="D661" s="8">
        <v>0.87533074617385864</v>
      </c>
      <c r="E661" s="5">
        <f>MATCH(D661,'Route Data'!$C$7:$C$8,1)</f>
        <v>2</v>
      </c>
      <c r="F661" s="5">
        <f>INDEX('Route Data'!$D$7:$D$8,E661)</f>
        <v>1</v>
      </c>
      <c r="G661" s="5" t="str">
        <f>INDEX('Route Data'!$A$7:$A$8,E661)</f>
        <v>u18</v>
      </c>
      <c r="H661" s="5">
        <f>EnergyCoeff(INDEX('Route Data'!$K$7:$K$8,E661),INDEX('Route Data'!$L$7:$L$8,E661)*2*PI()/60,INDEX('Route Data'!$F$7:$F$8,E661))</f>
        <v>0.19430699130049439</v>
      </c>
      <c r="I661" s="5">
        <f>DischargeCoeff(INDEX('Route Data'!$I$7:$I$8,E661), INDEX('Route Data'!$L$7:$L$8,E661)*2*PI()/60, INDEX('Route Data'!$F$7:$F$8,E661))</f>
        <v>0.15939200179827354</v>
      </c>
      <c r="J661" s="8">
        <f>FlowAngleRel(INDEX('Route Data'!$J$7:$J$8,E661)*INDEX('Route Data'!$I$7:$I$8,E661), INDEX('Route Data'!$L$7:$L$8,E661)*2*PI()/60, INDEX('Route Data'!$F$7:$F$8,E661),INDEX('Route Data'!$O$7:$O$8,E661), INDEX('Route Data'!$P$7:$P$8,E661),INDEX('Route Data'!$M$7:$M$8,E661))</f>
        <v>1.130811765868994</v>
      </c>
      <c r="K661" s="8">
        <f>FlowAngleAbsT(INDEX('Route Data'!$K$7:$K$8,E661), INDEX('Route Data'!$I$7:$I$8,E661), INDEX('Route Data'!$I$7:$I$8,E661)*INDEX('Route Data'!$J$7:$J$8,E661), INDEX('Route Data'!$L$7:$L$8,E661)*2*PI()/60, INDEX('Route Data'!$F$7:$F$8,E661),INDEX('Route Data'!$O$7:$O$8,E661), INDEX('Route Data'!$P$7:$P$8,E661), INDEX('Route Data'!$H$7:$H$8,E661), INDEX('Route Data'!$Q$7:$Q$8,E661), INDEX('Route Data'!$M$7:$M$8,E661))</f>
        <v>0.51617226640175828</v>
      </c>
      <c r="L661" s="5">
        <f>INDEX('Route Data'!$N$7:$N$8,E661)</f>
        <v>0.4</v>
      </c>
      <c r="M661" s="8">
        <v>0.90364009141921997</v>
      </c>
      <c r="N661" s="8">
        <f>ProbStrikeFrancis(K661, I661, L661, INDEX('Route Data'!$G$7:$G$8,E661),C661, INDEX('Route Data'!$F$7:$F$8,E661), INDEX('Route Data'!$O$7:$O$8,E661), INDEX('Route Data'!$H$7:$H$18,E661))</f>
        <v>1</v>
      </c>
      <c r="O661" s="5" t="str">
        <f>IF(F661&gt;=1,IF(M661&lt;=N661,"STRIKE","pass"),IF(M661&lt;=INDEX('Route Data'!$R$7:$R$8,E661),"NO PASS","pass"))</f>
        <v>STRIKE</v>
      </c>
      <c r="P661" s="5">
        <f>IF(F661&gt;=1,IF(M661&lt;=N661,1,0),IF(M661&lt;=INDEX('Route Data'!$R$7:$R$8,E661),-1,0))</f>
        <v>1</v>
      </c>
    </row>
    <row r="662" spans="1:16">
      <c r="A662" s="5">
        <v>652</v>
      </c>
      <c r="B662" s="12">
        <v>23.56</v>
      </c>
      <c r="C662" s="12">
        <f t="shared" si="10"/>
        <v>1.96</v>
      </c>
      <c r="D662" s="8">
        <v>0.92873740196228027</v>
      </c>
      <c r="E662" s="5">
        <f>MATCH(D662,'Route Data'!$C$7:$C$8,1)</f>
        <v>2</v>
      </c>
      <c r="F662" s="5">
        <f>INDEX('Route Data'!$D$7:$D$8,E662)</f>
        <v>1</v>
      </c>
      <c r="G662" s="5" t="str">
        <f>INDEX('Route Data'!$A$7:$A$8,E662)</f>
        <v>u18</v>
      </c>
      <c r="H662" s="5">
        <f>EnergyCoeff(INDEX('Route Data'!$K$7:$K$8,E662),INDEX('Route Data'!$L$7:$L$8,E662)*2*PI()/60,INDEX('Route Data'!$F$7:$F$8,E662))</f>
        <v>0.19430699130049439</v>
      </c>
      <c r="I662" s="5">
        <f>DischargeCoeff(INDEX('Route Data'!$I$7:$I$8,E662), INDEX('Route Data'!$L$7:$L$8,E662)*2*PI()/60, INDEX('Route Data'!$F$7:$F$8,E662))</f>
        <v>0.15939200179827354</v>
      </c>
      <c r="J662" s="8">
        <f>FlowAngleRel(INDEX('Route Data'!$J$7:$J$8,E662)*INDEX('Route Data'!$I$7:$I$8,E662), INDEX('Route Data'!$L$7:$L$8,E662)*2*PI()/60, INDEX('Route Data'!$F$7:$F$8,E662),INDEX('Route Data'!$O$7:$O$8,E662), INDEX('Route Data'!$P$7:$P$8,E662),INDEX('Route Data'!$M$7:$M$8,E662))</f>
        <v>1.130811765868994</v>
      </c>
      <c r="K662" s="8">
        <f>FlowAngleAbsT(INDEX('Route Data'!$K$7:$K$8,E662), INDEX('Route Data'!$I$7:$I$8,E662), INDEX('Route Data'!$I$7:$I$8,E662)*INDEX('Route Data'!$J$7:$J$8,E662), INDEX('Route Data'!$L$7:$L$8,E662)*2*PI()/60, INDEX('Route Data'!$F$7:$F$8,E662),INDEX('Route Data'!$O$7:$O$8,E662), INDEX('Route Data'!$P$7:$P$8,E662), INDEX('Route Data'!$H$7:$H$8,E662), INDEX('Route Data'!$Q$7:$Q$8,E662), INDEX('Route Data'!$M$7:$M$8,E662))</f>
        <v>0.51617226640175828</v>
      </c>
      <c r="L662" s="5">
        <f>INDEX('Route Data'!$N$7:$N$8,E662)</f>
        <v>0.4</v>
      </c>
      <c r="M662" s="8">
        <v>0.93163895606994629</v>
      </c>
      <c r="N662" s="8">
        <f>ProbStrikeFrancis(K662, I662, L662, INDEX('Route Data'!$G$7:$G$8,E662),C662, INDEX('Route Data'!$F$7:$F$8,E662), INDEX('Route Data'!$O$7:$O$8,E662), INDEX('Route Data'!$H$7:$H$18,E662))</f>
        <v>1</v>
      </c>
      <c r="O662" s="5" t="str">
        <f>IF(F662&gt;=1,IF(M662&lt;=N662,"STRIKE","pass"),IF(M662&lt;=INDEX('Route Data'!$R$7:$R$8,E662),"NO PASS","pass"))</f>
        <v>STRIKE</v>
      </c>
      <c r="P662" s="5">
        <f>IF(F662&gt;=1,IF(M662&lt;=N662,1,0),IF(M662&lt;=INDEX('Route Data'!$R$7:$R$8,E662),-1,0))</f>
        <v>1</v>
      </c>
    </row>
    <row r="663" spans="1:16">
      <c r="A663" s="5">
        <v>653</v>
      </c>
      <c r="B663" s="12">
        <v>19.100000000000001</v>
      </c>
      <c r="C663" s="12">
        <f t="shared" si="10"/>
        <v>1.59</v>
      </c>
      <c r="D663" s="8">
        <v>0.76851743459701538</v>
      </c>
      <c r="E663" s="5">
        <f>MATCH(D663,'Route Data'!$C$7:$C$8,1)</f>
        <v>2</v>
      </c>
      <c r="F663" s="5">
        <f>INDEX('Route Data'!$D$7:$D$8,E663)</f>
        <v>1</v>
      </c>
      <c r="G663" s="5" t="str">
        <f>INDEX('Route Data'!$A$7:$A$8,E663)</f>
        <v>u18</v>
      </c>
      <c r="H663" s="5">
        <f>EnergyCoeff(INDEX('Route Data'!$K$7:$K$8,E663),INDEX('Route Data'!$L$7:$L$8,E663)*2*PI()/60,INDEX('Route Data'!$F$7:$F$8,E663))</f>
        <v>0.19430699130049439</v>
      </c>
      <c r="I663" s="5">
        <f>DischargeCoeff(INDEX('Route Data'!$I$7:$I$8,E663), INDEX('Route Data'!$L$7:$L$8,E663)*2*PI()/60, INDEX('Route Data'!$F$7:$F$8,E663))</f>
        <v>0.15939200179827354</v>
      </c>
      <c r="J663" s="8">
        <f>FlowAngleRel(INDEX('Route Data'!$J$7:$J$8,E663)*INDEX('Route Data'!$I$7:$I$8,E663), INDEX('Route Data'!$L$7:$L$8,E663)*2*PI()/60, INDEX('Route Data'!$F$7:$F$8,E663),INDEX('Route Data'!$O$7:$O$8,E663), INDEX('Route Data'!$P$7:$P$8,E663),INDEX('Route Data'!$M$7:$M$8,E663))</f>
        <v>1.130811765868994</v>
      </c>
      <c r="K663" s="8">
        <f>FlowAngleAbsT(INDEX('Route Data'!$K$7:$K$8,E663), INDEX('Route Data'!$I$7:$I$8,E663), INDEX('Route Data'!$I$7:$I$8,E663)*INDEX('Route Data'!$J$7:$J$8,E663), INDEX('Route Data'!$L$7:$L$8,E663)*2*PI()/60, INDEX('Route Data'!$F$7:$F$8,E663),INDEX('Route Data'!$O$7:$O$8,E663), INDEX('Route Data'!$P$7:$P$8,E663), INDEX('Route Data'!$H$7:$H$8,E663), INDEX('Route Data'!$Q$7:$Q$8,E663), INDEX('Route Data'!$M$7:$M$8,E663))</f>
        <v>0.51617226640175828</v>
      </c>
      <c r="L663" s="5">
        <f>INDEX('Route Data'!$N$7:$N$8,E663)</f>
        <v>0.4</v>
      </c>
      <c r="M663" s="8">
        <v>0.11322158575057983</v>
      </c>
      <c r="N663" s="8">
        <f>ProbStrikeFrancis(K663, I663, L663, INDEX('Route Data'!$G$7:$G$8,E663),C663, INDEX('Route Data'!$F$7:$F$8,E663), INDEX('Route Data'!$O$7:$O$8,E663), INDEX('Route Data'!$H$7:$H$18,E663))</f>
        <v>1</v>
      </c>
      <c r="O663" s="5" t="str">
        <f>IF(F663&gt;=1,IF(M663&lt;=N663,"STRIKE","pass"),IF(M663&lt;=INDEX('Route Data'!$R$7:$R$8,E663),"NO PASS","pass"))</f>
        <v>STRIKE</v>
      </c>
      <c r="P663" s="5">
        <f>IF(F663&gt;=1,IF(M663&lt;=N663,1,0),IF(M663&lt;=INDEX('Route Data'!$R$7:$R$8,E663),-1,0))</f>
        <v>1</v>
      </c>
    </row>
    <row r="664" spans="1:16">
      <c r="A664" s="5">
        <v>654</v>
      </c>
      <c r="B664" s="12">
        <v>23.59</v>
      </c>
      <c r="C664" s="12">
        <f t="shared" si="10"/>
        <v>1.97</v>
      </c>
      <c r="D664" s="8">
        <v>0.24917733669281006</v>
      </c>
      <c r="E664" s="5">
        <f>MATCH(D664,'Route Data'!$C$7:$C$8,1)</f>
        <v>2</v>
      </c>
      <c r="F664" s="5">
        <f>INDEX('Route Data'!$D$7:$D$8,E664)</f>
        <v>1</v>
      </c>
      <c r="G664" s="5" t="str">
        <f>INDEX('Route Data'!$A$7:$A$8,E664)</f>
        <v>u18</v>
      </c>
      <c r="H664" s="5">
        <f>EnergyCoeff(INDEX('Route Data'!$K$7:$K$8,E664),INDEX('Route Data'!$L$7:$L$8,E664)*2*PI()/60,INDEX('Route Data'!$F$7:$F$8,E664))</f>
        <v>0.19430699130049439</v>
      </c>
      <c r="I664" s="5">
        <f>DischargeCoeff(INDEX('Route Data'!$I$7:$I$8,E664), INDEX('Route Data'!$L$7:$L$8,E664)*2*PI()/60, INDEX('Route Data'!$F$7:$F$8,E664))</f>
        <v>0.15939200179827354</v>
      </c>
      <c r="J664" s="8">
        <f>FlowAngleRel(INDEX('Route Data'!$J$7:$J$8,E664)*INDEX('Route Data'!$I$7:$I$8,E664), INDEX('Route Data'!$L$7:$L$8,E664)*2*PI()/60, INDEX('Route Data'!$F$7:$F$8,E664),INDEX('Route Data'!$O$7:$O$8,E664), INDEX('Route Data'!$P$7:$P$8,E664),INDEX('Route Data'!$M$7:$M$8,E664))</f>
        <v>1.130811765868994</v>
      </c>
      <c r="K664" s="8">
        <f>FlowAngleAbsT(INDEX('Route Data'!$K$7:$K$8,E664), INDEX('Route Data'!$I$7:$I$8,E664), INDEX('Route Data'!$I$7:$I$8,E664)*INDEX('Route Data'!$J$7:$J$8,E664), INDEX('Route Data'!$L$7:$L$8,E664)*2*PI()/60, INDEX('Route Data'!$F$7:$F$8,E664),INDEX('Route Data'!$O$7:$O$8,E664), INDEX('Route Data'!$P$7:$P$8,E664), INDEX('Route Data'!$H$7:$H$8,E664), INDEX('Route Data'!$Q$7:$Q$8,E664), INDEX('Route Data'!$M$7:$M$8,E664))</f>
        <v>0.51617226640175828</v>
      </c>
      <c r="L664" s="5">
        <f>INDEX('Route Data'!$N$7:$N$8,E664)</f>
        <v>0.4</v>
      </c>
      <c r="M664" s="8">
        <v>0.3028944730758667</v>
      </c>
      <c r="N664" s="8">
        <f>ProbStrikeFrancis(K664, I664, L664, INDEX('Route Data'!$G$7:$G$8,E664),C664, INDEX('Route Data'!$F$7:$F$8,E664), INDEX('Route Data'!$O$7:$O$8,E664), INDEX('Route Data'!$H$7:$H$18,E664))</f>
        <v>1</v>
      </c>
      <c r="O664" s="5" t="str">
        <f>IF(F664&gt;=1,IF(M664&lt;=N664,"STRIKE","pass"),IF(M664&lt;=INDEX('Route Data'!$R$7:$R$8,E664),"NO PASS","pass"))</f>
        <v>STRIKE</v>
      </c>
      <c r="P664" s="5">
        <f>IF(F664&gt;=1,IF(M664&lt;=N664,1,0),IF(M664&lt;=INDEX('Route Data'!$R$7:$R$8,E664),-1,0))</f>
        <v>1</v>
      </c>
    </row>
    <row r="665" spans="1:16">
      <c r="A665" s="5">
        <v>655</v>
      </c>
      <c r="B665" s="12">
        <v>25.84</v>
      </c>
      <c r="C665" s="12">
        <f t="shared" si="10"/>
        <v>2.15</v>
      </c>
      <c r="D665" s="8">
        <v>0.54161840677261353</v>
      </c>
      <c r="E665" s="5">
        <f>MATCH(D665,'Route Data'!$C$7:$C$8,1)</f>
        <v>2</v>
      </c>
      <c r="F665" s="5">
        <f>INDEX('Route Data'!$D$7:$D$8,E665)</f>
        <v>1</v>
      </c>
      <c r="G665" s="5" t="str">
        <f>INDEX('Route Data'!$A$7:$A$8,E665)</f>
        <v>u18</v>
      </c>
      <c r="H665" s="5">
        <f>EnergyCoeff(INDEX('Route Data'!$K$7:$K$8,E665),INDEX('Route Data'!$L$7:$L$8,E665)*2*PI()/60,INDEX('Route Data'!$F$7:$F$8,E665))</f>
        <v>0.19430699130049439</v>
      </c>
      <c r="I665" s="5">
        <f>DischargeCoeff(INDEX('Route Data'!$I$7:$I$8,E665), INDEX('Route Data'!$L$7:$L$8,E665)*2*PI()/60, INDEX('Route Data'!$F$7:$F$8,E665))</f>
        <v>0.15939200179827354</v>
      </c>
      <c r="J665" s="8">
        <f>FlowAngleRel(INDEX('Route Data'!$J$7:$J$8,E665)*INDEX('Route Data'!$I$7:$I$8,E665), INDEX('Route Data'!$L$7:$L$8,E665)*2*PI()/60, INDEX('Route Data'!$F$7:$F$8,E665),INDEX('Route Data'!$O$7:$O$8,E665), INDEX('Route Data'!$P$7:$P$8,E665),INDEX('Route Data'!$M$7:$M$8,E665))</f>
        <v>1.130811765868994</v>
      </c>
      <c r="K665" s="8">
        <f>FlowAngleAbsT(INDEX('Route Data'!$K$7:$K$8,E665), INDEX('Route Data'!$I$7:$I$8,E665), INDEX('Route Data'!$I$7:$I$8,E665)*INDEX('Route Data'!$J$7:$J$8,E665), INDEX('Route Data'!$L$7:$L$8,E665)*2*PI()/60, INDEX('Route Data'!$F$7:$F$8,E665),INDEX('Route Data'!$O$7:$O$8,E665), INDEX('Route Data'!$P$7:$P$8,E665), INDEX('Route Data'!$H$7:$H$8,E665), INDEX('Route Data'!$Q$7:$Q$8,E665), INDEX('Route Data'!$M$7:$M$8,E665))</f>
        <v>0.51617226640175828</v>
      </c>
      <c r="L665" s="5">
        <f>INDEX('Route Data'!$N$7:$N$8,E665)</f>
        <v>0.4</v>
      </c>
      <c r="M665" s="8">
        <v>0.2027173638343811</v>
      </c>
      <c r="N665" s="8">
        <f>ProbStrikeFrancis(K665, I665, L665, INDEX('Route Data'!$G$7:$G$8,E665),C665, INDEX('Route Data'!$F$7:$F$8,E665), INDEX('Route Data'!$O$7:$O$8,E665), INDEX('Route Data'!$H$7:$H$18,E665))</f>
        <v>1</v>
      </c>
      <c r="O665" s="5" t="str">
        <f>IF(F665&gt;=1,IF(M665&lt;=N665,"STRIKE","pass"),IF(M665&lt;=INDEX('Route Data'!$R$7:$R$8,E665),"NO PASS","pass"))</f>
        <v>STRIKE</v>
      </c>
      <c r="P665" s="5">
        <f>IF(F665&gt;=1,IF(M665&lt;=N665,1,0),IF(M665&lt;=INDEX('Route Data'!$R$7:$R$8,E665),-1,0))</f>
        <v>1</v>
      </c>
    </row>
    <row r="666" spans="1:16">
      <c r="A666" s="5">
        <v>656</v>
      </c>
      <c r="B666" s="12">
        <v>24.48</v>
      </c>
      <c r="C666" s="12">
        <f t="shared" si="10"/>
        <v>2.04</v>
      </c>
      <c r="D666" s="8">
        <v>0.39871597290039063</v>
      </c>
      <c r="E666" s="5">
        <f>MATCH(D666,'Route Data'!$C$7:$C$8,1)</f>
        <v>2</v>
      </c>
      <c r="F666" s="5">
        <f>INDEX('Route Data'!$D$7:$D$8,E666)</f>
        <v>1</v>
      </c>
      <c r="G666" s="5" t="str">
        <f>INDEX('Route Data'!$A$7:$A$8,E666)</f>
        <v>u18</v>
      </c>
      <c r="H666" s="5">
        <f>EnergyCoeff(INDEX('Route Data'!$K$7:$K$8,E666),INDEX('Route Data'!$L$7:$L$8,E666)*2*PI()/60,INDEX('Route Data'!$F$7:$F$8,E666))</f>
        <v>0.19430699130049439</v>
      </c>
      <c r="I666" s="5">
        <f>DischargeCoeff(INDEX('Route Data'!$I$7:$I$8,E666), INDEX('Route Data'!$L$7:$L$8,E666)*2*PI()/60, INDEX('Route Data'!$F$7:$F$8,E666))</f>
        <v>0.15939200179827354</v>
      </c>
      <c r="J666" s="8">
        <f>FlowAngleRel(INDEX('Route Data'!$J$7:$J$8,E666)*INDEX('Route Data'!$I$7:$I$8,E666), INDEX('Route Data'!$L$7:$L$8,E666)*2*PI()/60, INDEX('Route Data'!$F$7:$F$8,E666),INDEX('Route Data'!$O$7:$O$8,E666), INDEX('Route Data'!$P$7:$P$8,E666),INDEX('Route Data'!$M$7:$M$8,E666))</f>
        <v>1.130811765868994</v>
      </c>
      <c r="K666" s="8">
        <f>FlowAngleAbsT(INDEX('Route Data'!$K$7:$K$8,E666), INDEX('Route Data'!$I$7:$I$8,E666), INDEX('Route Data'!$I$7:$I$8,E666)*INDEX('Route Data'!$J$7:$J$8,E666), INDEX('Route Data'!$L$7:$L$8,E666)*2*PI()/60, INDEX('Route Data'!$F$7:$F$8,E666),INDEX('Route Data'!$O$7:$O$8,E666), INDEX('Route Data'!$P$7:$P$8,E666), INDEX('Route Data'!$H$7:$H$8,E666), INDEX('Route Data'!$Q$7:$Q$8,E666), INDEX('Route Data'!$M$7:$M$8,E666))</f>
        <v>0.51617226640175828</v>
      </c>
      <c r="L666" s="5">
        <f>INDEX('Route Data'!$N$7:$N$8,E666)</f>
        <v>0.4</v>
      </c>
      <c r="M666" s="8">
        <v>0.76882791519165039</v>
      </c>
      <c r="N666" s="8">
        <f>ProbStrikeFrancis(K666, I666, L666, INDEX('Route Data'!$G$7:$G$8,E666),C666, INDEX('Route Data'!$F$7:$F$8,E666), INDEX('Route Data'!$O$7:$O$8,E666), INDEX('Route Data'!$H$7:$H$18,E666))</f>
        <v>1</v>
      </c>
      <c r="O666" s="5" t="str">
        <f>IF(F666&gt;=1,IF(M666&lt;=N666,"STRIKE","pass"),IF(M666&lt;=INDEX('Route Data'!$R$7:$R$8,E666),"NO PASS","pass"))</f>
        <v>STRIKE</v>
      </c>
      <c r="P666" s="5">
        <f>IF(F666&gt;=1,IF(M666&lt;=N666,1,0),IF(M666&lt;=INDEX('Route Data'!$R$7:$R$8,E666),-1,0))</f>
        <v>1</v>
      </c>
    </row>
    <row r="667" spans="1:16">
      <c r="A667" s="5">
        <v>657</v>
      </c>
      <c r="B667" s="12">
        <v>18.45</v>
      </c>
      <c r="C667" s="12">
        <f t="shared" si="10"/>
        <v>1.54</v>
      </c>
      <c r="D667" s="8">
        <v>9.3002498149871826E-2</v>
      </c>
      <c r="E667" s="5">
        <f>MATCH(D667,'Route Data'!$C$7:$C$8,1)</f>
        <v>2</v>
      </c>
      <c r="F667" s="5">
        <f>INDEX('Route Data'!$D$7:$D$8,E667)</f>
        <v>1</v>
      </c>
      <c r="G667" s="5" t="str">
        <f>INDEX('Route Data'!$A$7:$A$8,E667)</f>
        <v>u18</v>
      </c>
      <c r="H667" s="5">
        <f>EnergyCoeff(INDEX('Route Data'!$K$7:$K$8,E667),INDEX('Route Data'!$L$7:$L$8,E667)*2*PI()/60,INDEX('Route Data'!$F$7:$F$8,E667))</f>
        <v>0.19430699130049439</v>
      </c>
      <c r="I667" s="5">
        <f>DischargeCoeff(INDEX('Route Data'!$I$7:$I$8,E667), INDEX('Route Data'!$L$7:$L$8,E667)*2*PI()/60, INDEX('Route Data'!$F$7:$F$8,E667))</f>
        <v>0.15939200179827354</v>
      </c>
      <c r="J667" s="8">
        <f>FlowAngleRel(INDEX('Route Data'!$J$7:$J$8,E667)*INDEX('Route Data'!$I$7:$I$8,E667), INDEX('Route Data'!$L$7:$L$8,E667)*2*PI()/60, INDEX('Route Data'!$F$7:$F$8,E667),INDEX('Route Data'!$O$7:$O$8,E667), INDEX('Route Data'!$P$7:$P$8,E667),INDEX('Route Data'!$M$7:$M$8,E667))</f>
        <v>1.130811765868994</v>
      </c>
      <c r="K667" s="8">
        <f>FlowAngleAbsT(INDEX('Route Data'!$K$7:$K$8,E667), INDEX('Route Data'!$I$7:$I$8,E667), INDEX('Route Data'!$I$7:$I$8,E667)*INDEX('Route Data'!$J$7:$J$8,E667), INDEX('Route Data'!$L$7:$L$8,E667)*2*PI()/60, INDEX('Route Data'!$F$7:$F$8,E667),INDEX('Route Data'!$O$7:$O$8,E667), INDEX('Route Data'!$P$7:$P$8,E667), INDEX('Route Data'!$H$7:$H$8,E667), INDEX('Route Data'!$Q$7:$Q$8,E667), INDEX('Route Data'!$M$7:$M$8,E667))</f>
        <v>0.51617226640175828</v>
      </c>
      <c r="L667" s="5">
        <f>INDEX('Route Data'!$N$7:$N$8,E667)</f>
        <v>0.4</v>
      </c>
      <c r="M667" s="8">
        <v>7.0496261119842529E-2</v>
      </c>
      <c r="N667" s="8">
        <f>ProbStrikeFrancis(K667, I667, L667, INDEX('Route Data'!$G$7:$G$8,E667),C667, INDEX('Route Data'!$F$7:$F$8,E667), INDEX('Route Data'!$O$7:$O$8,E667), INDEX('Route Data'!$H$7:$H$18,E667))</f>
        <v>1</v>
      </c>
      <c r="O667" s="5" t="str">
        <f>IF(F667&gt;=1,IF(M667&lt;=N667,"STRIKE","pass"),IF(M667&lt;=INDEX('Route Data'!$R$7:$R$8,E667),"NO PASS","pass"))</f>
        <v>STRIKE</v>
      </c>
      <c r="P667" s="5">
        <f>IF(F667&gt;=1,IF(M667&lt;=N667,1,0),IF(M667&lt;=INDEX('Route Data'!$R$7:$R$8,E667),-1,0))</f>
        <v>1</v>
      </c>
    </row>
    <row r="668" spans="1:16">
      <c r="A668" s="5">
        <v>658</v>
      </c>
      <c r="B668" s="12">
        <v>17.100000000000001</v>
      </c>
      <c r="C668" s="12">
        <f t="shared" si="10"/>
        <v>1.43</v>
      </c>
      <c r="D668" s="8">
        <v>0.74456369876861572</v>
      </c>
      <c r="E668" s="5">
        <f>MATCH(D668,'Route Data'!$C$7:$C$8,1)</f>
        <v>2</v>
      </c>
      <c r="F668" s="5">
        <f>INDEX('Route Data'!$D$7:$D$8,E668)</f>
        <v>1</v>
      </c>
      <c r="G668" s="5" t="str">
        <f>INDEX('Route Data'!$A$7:$A$8,E668)</f>
        <v>u18</v>
      </c>
      <c r="H668" s="5">
        <f>EnergyCoeff(INDEX('Route Data'!$K$7:$K$8,E668),INDEX('Route Data'!$L$7:$L$8,E668)*2*PI()/60,INDEX('Route Data'!$F$7:$F$8,E668))</f>
        <v>0.19430699130049439</v>
      </c>
      <c r="I668" s="5">
        <f>DischargeCoeff(INDEX('Route Data'!$I$7:$I$8,E668), INDEX('Route Data'!$L$7:$L$8,E668)*2*PI()/60, INDEX('Route Data'!$F$7:$F$8,E668))</f>
        <v>0.15939200179827354</v>
      </c>
      <c r="J668" s="8">
        <f>FlowAngleRel(INDEX('Route Data'!$J$7:$J$8,E668)*INDEX('Route Data'!$I$7:$I$8,E668), INDEX('Route Data'!$L$7:$L$8,E668)*2*PI()/60, INDEX('Route Data'!$F$7:$F$8,E668),INDEX('Route Data'!$O$7:$O$8,E668), INDEX('Route Data'!$P$7:$P$8,E668),INDEX('Route Data'!$M$7:$M$8,E668))</f>
        <v>1.130811765868994</v>
      </c>
      <c r="K668" s="8">
        <f>FlowAngleAbsT(INDEX('Route Data'!$K$7:$K$8,E668), INDEX('Route Data'!$I$7:$I$8,E668), INDEX('Route Data'!$I$7:$I$8,E668)*INDEX('Route Data'!$J$7:$J$8,E668), INDEX('Route Data'!$L$7:$L$8,E668)*2*PI()/60, INDEX('Route Data'!$F$7:$F$8,E668),INDEX('Route Data'!$O$7:$O$8,E668), INDEX('Route Data'!$P$7:$P$8,E668), INDEX('Route Data'!$H$7:$H$8,E668), INDEX('Route Data'!$Q$7:$Q$8,E668), INDEX('Route Data'!$M$7:$M$8,E668))</f>
        <v>0.51617226640175828</v>
      </c>
      <c r="L668" s="5">
        <f>INDEX('Route Data'!$N$7:$N$8,E668)</f>
        <v>0.4</v>
      </c>
      <c r="M668" s="8">
        <v>0.43107044696807861</v>
      </c>
      <c r="N668" s="8">
        <f>ProbStrikeFrancis(K668, I668, L668, INDEX('Route Data'!$G$7:$G$8,E668),C668, INDEX('Route Data'!$F$7:$F$8,E668), INDEX('Route Data'!$O$7:$O$8,E668), INDEX('Route Data'!$H$7:$H$18,E668))</f>
        <v>1</v>
      </c>
      <c r="O668" s="5" t="str">
        <f>IF(F668&gt;=1,IF(M668&lt;=N668,"STRIKE","pass"),IF(M668&lt;=INDEX('Route Data'!$R$7:$R$8,E668),"NO PASS","pass"))</f>
        <v>STRIKE</v>
      </c>
      <c r="P668" s="5">
        <f>IF(F668&gt;=1,IF(M668&lt;=N668,1,0),IF(M668&lt;=INDEX('Route Data'!$R$7:$R$8,E668),-1,0))</f>
        <v>1</v>
      </c>
    </row>
    <row r="669" spans="1:16">
      <c r="A669" s="5">
        <v>659</v>
      </c>
      <c r="B669" s="12">
        <v>22.26</v>
      </c>
      <c r="C669" s="12">
        <f t="shared" si="10"/>
        <v>1.86</v>
      </c>
      <c r="D669" s="8">
        <v>0.78988009691238403</v>
      </c>
      <c r="E669" s="5">
        <f>MATCH(D669,'Route Data'!$C$7:$C$8,1)</f>
        <v>2</v>
      </c>
      <c r="F669" s="5">
        <f>INDEX('Route Data'!$D$7:$D$8,E669)</f>
        <v>1</v>
      </c>
      <c r="G669" s="5" t="str">
        <f>INDEX('Route Data'!$A$7:$A$8,E669)</f>
        <v>u18</v>
      </c>
      <c r="H669" s="5">
        <f>EnergyCoeff(INDEX('Route Data'!$K$7:$K$8,E669),INDEX('Route Data'!$L$7:$L$8,E669)*2*PI()/60,INDEX('Route Data'!$F$7:$F$8,E669))</f>
        <v>0.19430699130049439</v>
      </c>
      <c r="I669" s="5">
        <f>DischargeCoeff(INDEX('Route Data'!$I$7:$I$8,E669), INDEX('Route Data'!$L$7:$L$8,E669)*2*PI()/60, INDEX('Route Data'!$F$7:$F$8,E669))</f>
        <v>0.15939200179827354</v>
      </c>
      <c r="J669" s="8">
        <f>FlowAngleRel(INDEX('Route Data'!$J$7:$J$8,E669)*INDEX('Route Data'!$I$7:$I$8,E669), INDEX('Route Data'!$L$7:$L$8,E669)*2*PI()/60, INDEX('Route Data'!$F$7:$F$8,E669),INDEX('Route Data'!$O$7:$O$8,E669), INDEX('Route Data'!$P$7:$P$8,E669),INDEX('Route Data'!$M$7:$M$8,E669))</f>
        <v>1.130811765868994</v>
      </c>
      <c r="K669" s="8">
        <f>FlowAngleAbsT(INDEX('Route Data'!$K$7:$K$8,E669), INDEX('Route Data'!$I$7:$I$8,E669), INDEX('Route Data'!$I$7:$I$8,E669)*INDEX('Route Data'!$J$7:$J$8,E669), INDEX('Route Data'!$L$7:$L$8,E669)*2*PI()/60, INDEX('Route Data'!$F$7:$F$8,E669),INDEX('Route Data'!$O$7:$O$8,E669), INDEX('Route Data'!$P$7:$P$8,E669), INDEX('Route Data'!$H$7:$H$8,E669), INDEX('Route Data'!$Q$7:$Q$8,E669), INDEX('Route Data'!$M$7:$M$8,E669))</f>
        <v>0.51617226640175828</v>
      </c>
      <c r="L669" s="5">
        <f>INDEX('Route Data'!$N$7:$N$8,E669)</f>
        <v>0.4</v>
      </c>
      <c r="M669" s="8">
        <v>0.81818944215774536</v>
      </c>
      <c r="N669" s="8">
        <f>ProbStrikeFrancis(K669, I669, L669, INDEX('Route Data'!$G$7:$G$8,E669),C669, INDEX('Route Data'!$F$7:$F$8,E669), INDEX('Route Data'!$O$7:$O$8,E669), INDEX('Route Data'!$H$7:$H$18,E669))</f>
        <v>1</v>
      </c>
      <c r="O669" s="5" t="str">
        <f>IF(F669&gt;=1,IF(M669&lt;=N669,"STRIKE","pass"),IF(M669&lt;=INDEX('Route Data'!$R$7:$R$8,E669),"NO PASS","pass"))</f>
        <v>STRIKE</v>
      </c>
      <c r="P669" s="5">
        <f>IF(F669&gt;=1,IF(M669&lt;=N669,1,0),IF(M669&lt;=INDEX('Route Data'!$R$7:$R$8,E669),-1,0))</f>
        <v>1</v>
      </c>
    </row>
    <row r="670" spans="1:16">
      <c r="A670" s="5">
        <v>660</v>
      </c>
      <c r="B670" s="12">
        <v>26.41</v>
      </c>
      <c r="C670" s="12">
        <f t="shared" si="10"/>
        <v>2.2000000000000002</v>
      </c>
      <c r="D670" s="8">
        <v>0.1850893497467041</v>
      </c>
      <c r="E670" s="5">
        <f>MATCH(D670,'Route Data'!$C$7:$C$8,1)</f>
        <v>2</v>
      </c>
      <c r="F670" s="5">
        <f>INDEX('Route Data'!$D$7:$D$8,E670)</f>
        <v>1</v>
      </c>
      <c r="G670" s="5" t="str">
        <f>INDEX('Route Data'!$A$7:$A$8,E670)</f>
        <v>u18</v>
      </c>
      <c r="H670" s="5">
        <f>EnergyCoeff(INDEX('Route Data'!$K$7:$K$8,E670),INDEX('Route Data'!$L$7:$L$8,E670)*2*PI()/60,INDEX('Route Data'!$F$7:$F$8,E670))</f>
        <v>0.19430699130049439</v>
      </c>
      <c r="I670" s="5">
        <f>DischargeCoeff(INDEX('Route Data'!$I$7:$I$8,E670), INDEX('Route Data'!$L$7:$L$8,E670)*2*PI()/60, INDEX('Route Data'!$F$7:$F$8,E670))</f>
        <v>0.15939200179827354</v>
      </c>
      <c r="J670" s="8">
        <f>FlowAngleRel(INDEX('Route Data'!$J$7:$J$8,E670)*INDEX('Route Data'!$I$7:$I$8,E670), INDEX('Route Data'!$L$7:$L$8,E670)*2*PI()/60, INDEX('Route Data'!$F$7:$F$8,E670),INDEX('Route Data'!$O$7:$O$8,E670), INDEX('Route Data'!$P$7:$P$8,E670),INDEX('Route Data'!$M$7:$M$8,E670))</f>
        <v>1.130811765868994</v>
      </c>
      <c r="K670" s="8">
        <f>FlowAngleAbsT(INDEX('Route Data'!$K$7:$K$8,E670), INDEX('Route Data'!$I$7:$I$8,E670), INDEX('Route Data'!$I$7:$I$8,E670)*INDEX('Route Data'!$J$7:$J$8,E670), INDEX('Route Data'!$L$7:$L$8,E670)*2*PI()/60, INDEX('Route Data'!$F$7:$F$8,E670),INDEX('Route Data'!$O$7:$O$8,E670), INDEX('Route Data'!$P$7:$P$8,E670), INDEX('Route Data'!$H$7:$H$8,E670), INDEX('Route Data'!$Q$7:$Q$8,E670), INDEX('Route Data'!$M$7:$M$8,E670))</f>
        <v>0.51617226640175828</v>
      </c>
      <c r="L670" s="5">
        <f>INDEX('Route Data'!$N$7:$N$8,E670)</f>
        <v>0.4</v>
      </c>
      <c r="M670" s="8">
        <v>0.18799090385437012</v>
      </c>
      <c r="N670" s="8">
        <f>ProbStrikeFrancis(K670, I670, L670, INDEX('Route Data'!$G$7:$G$8,E670),C670, INDEX('Route Data'!$F$7:$F$8,E670), INDEX('Route Data'!$O$7:$O$8,E670), INDEX('Route Data'!$H$7:$H$18,E670))</f>
        <v>1</v>
      </c>
      <c r="O670" s="5" t="str">
        <f>IF(F670&gt;=1,IF(M670&lt;=N670,"STRIKE","pass"),IF(M670&lt;=INDEX('Route Data'!$R$7:$R$8,E670),"NO PASS","pass"))</f>
        <v>STRIKE</v>
      </c>
      <c r="P670" s="5">
        <f>IF(F670&gt;=1,IF(M670&lt;=N670,1,0),IF(M670&lt;=INDEX('Route Data'!$R$7:$R$8,E670),-1,0))</f>
        <v>1</v>
      </c>
    </row>
    <row r="671" spans="1:16">
      <c r="A671" s="5">
        <v>661</v>
      </c>
      <c r="B671" s="12">
        <v>21.41</v>
      </c>
      <c r="C671" s="12">
        <f t="shared" si="10"/>
        <v>1.78</v>
      </c>
      <c r="D671" s="8">
        <v>0.7338823676109314</v>
      </c>
      <c r="E671" s="5">
        <f>MATCH(D671,'Route Data'!$C$7:$C$8,1)</f>
        <v>2</v>
      </c>
      <c r="F671" s="5">
        <f>INDEX('Route Data'!$D$7:$D$8,E671)</f>
        <v>1</v>
      </c>
      <c r="G671" s="5" t="str">
        <f>INDEX('Route Data'!$A$7:$A$8,E671)</f>
        <v>u18</v>
      </c>
      <c r="H671" s="5">
        <f>EnergyCoeff(INDEX('Route Data'!$K$7:$K$8,E671),INDEX('Route Data'!$L$7:$L$8,E671)*2*PI()/60,INDEX('Route Data'!$F$7:$F$8,E671))</f>
        <v>0.19430699130049439</v>
      </c>
      <c r="I671" s="5">
        <f>DischargeCoeff(INDEX('Route Data'!$I$7:$I$8,E671), INDEX('Route Data'!$L$7:$L$8,E671)*2*PI()/60, INDEX('Route Data'!$F$7:$F$8,E671))</f>
        <v>0.15939200179827354</v>
      </c>
      <c r="J671" s="8">
        <f>FlowAngleRel(INDEX('Route Data'!$J$7:$J$8,E671)*INDEX('Route Data'!$I$7:$I$8,E671), INDEX('Route Data'!$L$7:$L$8,E671)*2*PI()/60, INDEX('Route Data'!$F$7:$F$8,E671),INDEX('Route Data'!$O$7:$O$8,E671), INDEX('Route Data'!$P$7:$P$8,E671),INDEX('Route Data'!$M$7:$M$8,E671))</f>
        <v>1.130811765868994</v>
      </c>
      <c r="K671" s="8">
        <f>FlowAngleAbsT(INDEX('Route Data'!$K$7:$K$8,E671), INDEX('Route Data'!$I$7:$I$8,E671), INDEX('Route Data'!$I$7:$I$8,E671)*INDEX('Route Data'!$J$7:$J$8,E671), INDEX('Route Data'!$L$7:$L$8,E671)*2*PI()/60, INDEX('Route Data'!$F$7:$F$8,E671),INDEX('Route Data'!$O$7:$O$8,E671), INDEX('Route Data'!$P$7:$P$8,E671), INDEX('Route Data'!$H$7:$H$8,E671), INDEX('Route Data'!$Q$7:$Q$8,E671), INDEX('Route Data'!$M$7:$M$8,E671))</f>
        <v>0.51617226640175828</v>
      </c>
      <c r="L671" s="5">
        <f>INDEX('Route Data'!$N$7:$N$8,E671)</f>
        <v>0.4</v>
      </c>
      <c r="M671" s="8">
        <v>7.858651876449585E-2</v>
      </c>
      <c r="N671" s="8">
        <f>ProbStrikeFrancis(K671, I671, L671, INDEX('Route Data'!$G$7:$G$8,E671),C671, INDEX('Route Data'!$F$7:$F$8,E671), INDEX('Route Data'!$O$7:$O$8,E671), INDEX('Route Data'!$H$7:$H$18,E671))</f>
        <v>1</v>
      </c>
      <c r="O671" s="5" t="str">
        <f>IF(F671&gt;=1,IF(M671&lt;=N671,"STRIKE","pass"),IF(M671&lt;=INDEX('Route Data'!$R$7:$R$8,E671),"NO PASS","pass"))</f>
        <v>STRIKE</v>
      </c>
      <c r="P671" s="5">
        <f>IF(F671&gt;=1,IF(M671&lt;=N671,1,0),IF(M671&lt;=INDEX('Route Data'!$R$7:$R$8,E671),-1,0))</f>
        <v>1</v>
      </c>
    </row>
    <row r="672" spans="1:16">
      <c r="A672" s="5">
        <v>662</v>
      </c>
      <c r="B672" s="12">
        <v>20.03</v>
      </c>
      <c r="C672" s="12">
        <f t="shared" si="10"/>
        <v>1.67</v>
      </c>
      <c r="D672" s="8">
        <v>0.82192409038543701</v>
      </c>
      <c r="E672" s="5">
        <f>MATCH(D672,'Route Data'!$C$7:$C$8,1)</f>
        <v>2</v>
      </c>
      <c r="F672" s="5">
        <f>INDEX('Route Data'!$D$7:$D$8,E672)</f>
        <v>1</v>
      </c>
      <c r="G672" s="5" t="str">
        <f>INDEX('Route Data'!$A$7:$A$8,E672)</f>
        <v>u18</v>
      </c>
      <c r="H672" s="5">
        <f>EnergyCoeff(INDEX('Route Data'!$K$7:$K$8,E672),INDEX('Route Data'!$L$7:$L$8,E672)*2*PI()/60,INDEX('Route Data'!$F$7:$F$8,E672))</f>
        <v>0.19430699130049439</v>
      </c>
      <c r="I672" s="5">
        <f>DischargeCoeff(INDEX('Route Data'!$I$7:$I$8,E672), INDEX('Route Data'!$L$7:$L$8,E672)*2*PI()/60, INDEX('Route Data'!$F$7:$F$8,E672))</f>
        <v>0.15939200179827354</v>
      </c>
      <c r="J672" s="8">
        <f>FlowAngleRel(INDEX('Route Data'!$J$7:$J$8,E672)*INDEX('Route Data'!$I$7:$I$8,E672), INDEX('Route Data'!$L$7:$L$8,E672)*2*PI()/60, INDEX('Route Data'!$F$7:$F$8,E672),INDEX('Route Data'!$O$7:$O$8,E672), INDEX('Route Data'!$P$7:$P$8,E672),INDEX('Route Data'!$M$7:$M$8,E672))</f>
        <v>1.130811765868994</v>
      </c>
      <c r="K672" s="8">
        <f>FlowAngleAbsT(INDEX('Route Data'!$K$7:$K$8,E672), INDEX('Route Data'!$I$7:$I$8,E672), INDEX('Route Data'!$I$7:$I$8,E672)*INDEX('Route Data'!$J$7:$J$8,E672), INDEX('Route Data'!$L$7:$L$8,E672)*2*PI()/60, INDEX('Route Data'!$F$7:$F$8,E672),INDEX('Route Data'!$O$7:$O$8,E672), INDEX('Route Data'!$P$7:$P$8,E672), INDEX('Route Data'!$H$7:$H$8,E672), INDEX('Route Data'!$Q$7:$Q$8,E672), INDEX('Route Data'!$M$7:$M$8,E672))</f>
        <v>0.51617226640175828</v>
      </c>
      <c r="L672" s="5">
        <f>INDEX('Route Data'!$N$7:$N$8,E672)</f>
        <v>0.4</v>
      </c>
      <c r="M672" s="8">
        <v>0.87564122676849365</v>
      </c>
      <c r="N672" s="8">
        <f>ProbStrikeFrancis(K672, I672, L672, INDEX('Route Data'!$G$7:$G$8,E672),C672, INDEX('Route Data'!$F$7:$F$8,E672), INDEX('Route Data'!$O$7:$O$8,E672), INDEX('Route Data'!$H$7:$H$18,E672))</f>
        <v>1</v>
      </c>
      <c r="O672" s="5" t="str">
        <f>IF(F672&gt;=1,IF(M672&lt;=N672,"STRIKE","pass"),IF(M672&lt;=INDEX('Route Data'!$R$7:$R$8,E672),"NO PASS","pass"))</f>
        <v>STRIKE</v>
      </c>
      <c r="P672" s="5">
        <f>IF(F672&gt;=1,IF(M672&lt;=N672,1,0),IF(M672&lt;=INDEX('Route Data'!$R$7:$R$8,E672),-1,0))</f>
        <v>1</v>
      </c>
    </row>
    <row r="673" spans="1:16">
      <c r="A673" s="5">
        <v>663</v>
      </c>
      <c r="B673" s="12">
        <v>19.16</v>
      </c>
      <c r="C673" s="12">
        <f t="shared" si="10"/>
        <v>1.6</v>
      </c>
      <c r="D673" s="8">
        <v>8.8957369327545166E-2</v>
      </c>
      <c r="E673" s="5">
        <f>MATCH(D673,'Route Data'!$C$7:$C$8,1)</f>
        <v>2</v>
      </c>
      <c r="F673" s="5">
        <f>INDEX('Route Data'!$D$7:$D$8,E673)</f>
        <v>1</v>
      </c>
      <c r="G673" s="5" t="str">
        <f>INDEX('Route Data'!$A$7:$A$8,E673)</f>
        <v>u18</v>
      </c>
      <c r="H673" s="5">
        <f>EnergyCoeff(INDEX('Route Data'!$K$7:$K$8,E673),INDEX('Route Data'!$L$7:$L$8,E673)*2*PI()/60,INDEX('Route Data'!$F$7:$F$8,E673))</f>
        <v>0.19430699130049439</v>
      </c>
      <c r="I673" s="5">
        <f>DischargeCoeff(INDEX('Route Data'!$I$7:$I$8,E673), INDEX('Route Data'!$L$7:$L$8,E673)*2*PI()/60, INDEX('Route Data'!$F$7:$F$8,E673))</f>
        <v>0.15939200179827354</v>
      </c>
      <c r="J673" s="8">
        <f>FlowAngleRel(INDEX('Route Data'!$J$7:$J$8,E673)*INDEX('Route Data'!$I$7:$I$8,E673), INDEX('Route Data'!$L$7:$L$8,E673)*2*PI()/60, INDEX('Route Data'!$F$7:$F$8,E673),INDEX('Route Data'!$O$7:$O$8,E673), INDEX('Route Data'!$P$7:$P$8,E673),INDEX('Route Data'!$M$7:$M$8,E673))</f>
        <v>1.130811765868994</v>
      </c>
      <c r="K673" s="8">
        <f>FlowAngleAbsT(INDEX('Route Data'!$K$7:$K$8,E673), INDEX('Route Data'!$I$7:$I$8,E673), INDEX('Route Data'!$I$7:$I$8,E673)*INDEX('Route Data'!$J$7:$J$8,E673), INDEX('Route Data'!$L$7:$L$8,E673)*2*PI()/60, INDEX('Route Data'!$F$7:$F$8,E673),INDEX('Route Data'!$O$7:$O$8,E673), INDEX('Route Data'!$P$7:$P$8,E673), INDEX('Route Data'!$H$7:$H$8,E673), INDEX('Route Data'!$Q$7:$Q$8,E673), INDEX('Route Data'!$M$7:$M$8,E673))</f>
        <v>0.51617226640175828</v>
      </c>
      <c r="L673" s="5">
        <f>INDEX('Route Data'!$N$7:$N$8,E673)</f>
        <v>0.4</v>
      </c>
      <c r="M673" s="8">
        <v>0.48447710275650024</v>
      </c>
      <c r="N673" s="8">
        <f>ProbStrikeFrancis(K673, I673, L673, INDEX('Route Data'!$G$7:$G$8,E673),C673, INDEX('Route Data'!$F$7:$F$8,E673), INDEX('Route Data'!$O$7:$O$8,E673), INDEX('Route Data'!$H$7:$H$18,E673))</f>
        <v>1</v>
      </c>
      <c r="O673" s="5" t="str">
        <f>IF(F673&gt;=1,IF(M673&lt;=N673,"STRIKE","pass"),IF(M673&lt;=INDEX('Route Data'!$R$7:$R$8,E673),"NO PASS","pass"))</f>
        <v>STRIKE</v>
      </c>
      <c r="P673" s="5">
        <f>IF(F673&gt;=1,IF(M673&lt;=N673,1,0),IF(M673&lt;=INDEX('Route Data'!$R$7:$R$8,E673),-1,0))</f>
        <v>1</v>
      </c>
    </row>
    <row r="674" spans="1:16">
      <c r="A674" s="5">
        <v>664</v>
      </c>
      <c r="B674" s="12">
        <v>21.39</v>
      </c>
      <c r="C674" s="12">
        <f t="shared" si="10"/>
        <v>1.78</v>
      </c>
      <c r="D674" s="8">
        <v>0.2878575325012207</v>
      </c>
      <c r="E674" s="5">
        <f>MATCH(D674,'Route Data'!$C$7:$C$8,1)</f>
        <v>2</v>
      </c>
      <c r="F674" s="5">
        <f>INDEX('Route Data'!$D$7:$D$8,E674)</f>
        <v>1</v>
      </c>
      <c r="G674" s="5" t="str">
        <f>INDEX('Route Data'!$A$7:$A$8,E674)</f>
        <v>u18</v>
      </c>
      <c r="H674" s="5">
        <f>EnergyCoeff(INDEX('Route Data'!$K$7:$K$8,E674),INDEX('Route Data'!$L$7:$L$8,E674)*2*PI()/60,INDEX('Route Data'!$F$7:$F$8,E674))</f>
        <v>0.19430699130049439</v>
      </c>
      <c r="I674" s="5">
        <f>DischargeCoeff(INDEX('Route Data'!$I$7:$I$8,E674), INDEX('Route Data'!$L$7:$L$8,E674)*2*PI()/60, INDEX('Route Data'!$F$7:$F$8,E674))</f>
        <v>0.15939200179827354</v>
      </c>
      <c r="J674" s="8">
        <f>FlowAngleRel(INDEX('Route Data'!$J$7:$J$8,E674)*INDEX('Route Data'!$I$7:$I$8,E674), INDEX('Route Data'!$L$7:$L$8,E674)*2*PI()/60, INDEX('Route Data'!$F$7:$F$8,E674),INDEX('Route Data'!$O$7:$O$8,E674), INDEX('Route Data'!$P$7:$P$8,E674),INDEX('Route Data'!$M$7:$M$8,E674))</f>
        <v>1.130811765868994</v>
      </c>
      <c r="K674" s="8">
        <f>FlowAngleAbsT(INDEX('Route Data'!$K$7:$K$8,E674), INDEX('Route Data'!$I$7:$I$8,E674), INDEX('Route Data'!$I$7:$I$8,E674)*INDEX('Route Data'!$J$7:$J$8,E674), INDEX('Route Data'!$L$7:$L$8,E674)*2*PI()/60, INDEX('Route Data'!$F$7:$F$8,E674),INDEX('Route Data'!$O$7:$O$8,E674), INDEX('Route Data'!$P$7:$P$8,E674), INDEX('Route Data'!$H$7:$H$8,E674), INDEX('Route Data'!$Q$7:$Q$8,E674), INDEX('Route Data'!$M$7:$M$8,E674))</f>
        <v>0.51617226640175828</v>
      </c>
      <c r="L674" s="5">
        <f>INDEX('Route Data'!$N$7:$N$8,E674)</f>
        <v>0.4</v>
      </c>
      <c r="M674" s="8">
        <v>0.65796947479248047</v>
      </c>
      <c r="N674" s="8">
        <f>ProbStrikeFrancis(K674, I674, L674, INDEX('Route Data'!$G$7:$G$8,E674),C674, INDEX('Route Data'!$F$7:$F$8,E674), INDEX('Route Data'!$O$7:$O$8,E674), INDEX('Route Data'!$H$7:$H$18,E674))</f>
        <v>1</v>
      </c>
      <c r="O674" s="5" t="str">
        <f>IF(F674&gt;=1,IF(M674&lt;=N674,"STRIKE","pass"),IF(M674&lt;=INDEX('Route Data'!$R$7:$R$8,E674),"NO PASS","pass"))</f>
        <v>STRIKE</v>
      </c>
      <c r="P674" s="5">
        <f>IF(F674&gt;=1,IF(M674&lt;=N674,1,0),IF(M674&lt;=INDEX('Route Data'!$R$7:$R$8,E674),-1,0))</f>
        <v>1</v>
      </c>
    </row>
    <row r="675" spans="1:16">
      <c r="A675" s="5">
        <v>665</v>
      </c>
      <c r="B675" s="12">
        <v>24.02</v>
      </c>
      <c r="C675" s="12">
        <f t="shared" si="10"/>
        <v>2</v>
      </c>
      <c r="D675" s="8">
        <v>0.69115704298019409</v>
      </c>
      <c r="E675" s="5">
        <f>MATCH(D675,'Route Data'!$C$7:$C$8,1)</f>
        <v>2</v>
      </c>
      <c r="F675" s="5">
        <f>INDEX('Route Data'!$D$7:$D$8,E675)</f>
        <v>1</v>
      </c>
      <c r="G675" s="5" t="str">
        <f>INDEX('Route Data'!$A$7:$A$8,E675)</f>
        <v>u18</v>
      </c>
      <c r="H675" s="5">
        <f>EnergyCoeff(INDEX('Route Data'!$K$7:$K$8,E675),INDEX('Route Data'!$L$7:$L$8,E675)*2*PI()/60,INDEX('Route Data'!$F$7:$F$8,E675))</f>
        <v>0.19430699130049439</v>
      </c>
      <c r="I675" s="5">
        <f>DischargeCoeff(INDEX('Route Data'!$I$7:$I$8,E675), INDEX('Route Data'!$L$7:$L$8,E675)*2*PI()/60, INDEX('Route Data'!$F$7:$F$8,E675))</f>
        <v>0.15939200179827354</v>
      </c>
      <c r="J675" s="8">
        <f>FlowAngleRel(INDEX('Route Data'!$J$7:$J$8,E675)*INDEX('Route Data'!$I$7:$I$8,E675), INDEX('Route Data'!$L$7:$L$8,E675)*2*PI()/60, INDEX('Route Data'!$F$7:$F$8,E675),INDEX('Route Data'!$O$7:$O$8,E675), INDEX('Route Data'!$P$7:$P$8,E675),INDEX('Route Data'!$M$7:$M$8,E675))</f>
        <v>1.130811765868994</v>
      </c>
      <c r="K675" s="8">
        <f>FlowAngleAbsT(INDEX('Route Data'!$K$7:$K$8,E675), INDEX('Route Data'!$I$7:$I$8,E675), INDEX('Route Data'!$I$7:$I$8,E675)*INDEX('Route Data'!$J$7:$J$8,E675), INDEX('Route Data'!$L$7:$L$8,E675)*2*PI()/60, INDEX('Route Data'!$F$7:$F$8,E675),INDEX('Route Data'!$O$7:$O$8,E675), INDEX('Route Data'!$P$7:$P$8,E675), INDEX('Route Data'!$H$7:$H$8,E675), INDEX('Route Data'!$Q$7:$Q$8,E675), INDEX('Route Data'!$M$7:$M$8,E675))</f>
        <v>0.51617226640175828</v>
      </c>
      <c r="L675" s="5">
        <f>INDEX('Route Data'!$N$7:$N$8,E675)</f>
        <v>0.4</v>
      </c>
      <c r="M675" s="8">
        <v>0.66865080595016479</v>
      </c>
      <c r="N675" s="8">
        <f>ProbStrikeFrancis(K675, I675, L675, INDEX('Route Data'!$G$7:$G$8,E675),C675, INDEX('Route Data'!$F$7:$F$8,E675), INDEX('Route Data'!$O$7:$O$8,E675), INDEX('Route Data'!$H$7:$H$18,E675))</f>
        <v>1</v>
      </c>
      <c r="O675" s="5" t="str">
        <f>IF(F675&gt;=1,IF(M675&lt;=N675,"STRIKE","pass"),IF(M675&lt;=INDEX('Route Data'!$R$7:$R$8,E675),"NO PASS","pass"))</f>
        <v>STRIKE</v>
      </c>
      <c r="P675" s="5">
        <f>IF(F675&gt;=1,IF(M675&lt;=N675,1,0),IF(M675&lt;=INDEX('Route Data'!$R$7:$R$8,E675),-1,0))</f>
        <v>1</v>
      </c>
    </row>
    <row r="676" spans="1:16">
      <c r="A676" s="5">
        <v>666</v>
      </c>
      <c r="B676" s="12">
        <v>29.02</v>
      </c>
      <c r="C676" s="12">
        <f t="shared" si="10"/>
        <v>2.42</v>
      </c>
      <c r="D676" s="8">
        <v>0.95010006427764893</v>
      </c>
      <c r="E676" s="5">
        <f>MATCH(D676,'Route Data'!$C$7:$C$8,1)</f>
        <v>2</v>
      </c>
      <c r="F676" s="5">
        <f>INDEX('Route Data'!$D$7:$D$8,E676)</f>
        <v>1</v>
      </c>
      <c r="G676" s="5" t="str">
        <f>INDEX('Route Data'!$A$7:$A$8,E676)</f>
        <v>u18</v>
      </c>
      <c r="H676" s="5">
        <f>EnergyCoeff(INDEX('Route Data'!$K$7:$K$8,E676),INDEX('Route Data'!$L$7:$L$8,E676)*2*PI()/60,INDEX('Route Data'!$F$7:$F$8,E676))</f>
        <v>0.19430699130049439</v>
      </c>
      <c r="I676" s="5">
        <f>DischargeCoeff(INDEX('Route Data'!$I$7:$I$8,E676), INDEX('Route Data'!$L$7:$L$8,E676)*2*PI()/60, INDEX('Route Data'!$F$7:$F$8,E676))</f>
        <v>0.15939200179827354</v>
      </c>
      <c r="J676" s="8">
        <f>FlowAngleRel(INDEX('Route Data'!$J$7:$J$8,E676)*INDEX('Route Data'!$I$7:$I$8,E676), INDEX('Route Data'!$L$7:$L$8,E676)*2*PI()/60, INDEX('Route Data'!$F$7:$F$8,E676),INDEX('Route Data'!$O$7:$O$8,E676), INDEX('Route Data'!$P$7:$P$8,E676),INDEX('Route Data'!$M$7:$M$8,E676))</f>
        <v>1.130811765868994</v>
      </c>
      <c r="K676" s="8">
        <f>FlowAngleAbsT(INDEX('Route Data'!$K$7:$K$8,E676), INDEX('Route Data'!$I$7:$I$8,E676), INDEX('Route Data'!$I$7:$I$8,E676)*INDEX('Route Data'!$J$7:$J$8,E676), INDEX('Route Data'!$L$7:$L$8,E676)*2*PI()/60, INDEX('Route Data'!$F$7:$F$8,E676),INDEX('Route Data'!$O$7:$O$8,E676), INDEX('Route Data'!$P$7:$P$8,E676), INDEX('Route Data'!$H$7:$H$8,E676), INDEX('Route Data'!$Q$7:$Q$8,E676), INDEX('Route Data'!$M$7:$M$8,E676))</f>
        <v>0.51617226640175828</v>
      </c>
      <c r="L676" s="5">
        <f>INDEX('Route Data'!$N$7:$N$8,E676)</f>
        <v>0.4</v>
      </c>
      <c r="M676" s="8">
        <v>0.63660681247711182</v>
      </c>
      <c r="N676" s="8">
        <f>ProbStrikeFrancis(K676, I676, L676, INDEX('Route Data'!$G$7:$G$8,E676),C676, INDEX('Route Data'!$F$7:$F$8,E676), INDEX('Route Data'!$O$7:$O$8,E676), INDEX('Route Data'!$H$7:$H$18,E676))</f>
        <v>1</v>
      </c>
      <c r="O676" s="5" t="str">
        <f>IF(F676&gt;=1,IF(M676&lt;=N676,"STRIKE","pass"),IF(M676&lt;=INDEX('Route Data'!$R$7:$R$8,E676),"NO PASS","pass"))</f>
        <v>STRIKE</v>
      </c>
      <c r="P676" s="5">
        <f>IF(F676&gt;=1,IF(M676&lt;=N676,1,0),IF(M676&lt;=INDEX('Route Data'!$R$7:$R$8,E676),-1,0))</f>
        <v>1</v>
      </c>
    </row>
    <row r="677" spans="1:16">
      <c r="A677" s="5">
        <v>667</v>
      </c>
      <c r="B677" s="12">
        <v>21.58</v>
      </c>
      <c r="C677" s="12">
        <f t="shared" si="10"/>
        <v>1.8</v>
      </c>
      <c r="D677" s="8">
        <v>0.70442944765090942</v>
      </c>
      <c r="E677" s="5">
        <f>MATCH(D677,'Route Data'!$C$7:$C$8,1)</f>
        <v>2</v>
      </c>
      <c r="F677" s="5">
        <f>INDEX('Route Data'!$D$7:$D$8,E677)</f>
        <v>1</v>
      </c>
      <c r="G677" s="5" t="str">
        <f>INDEX('Route Data'!$A$7:$A$8,E677)</f>
        <v>u18</v>
      </c>
      <c r="H677" s="5">
        <f>EnergyCoeff(INDEX('Route Data'!$K$7:$K$8,E677),INDEX('Route Data'!$L$7:$L$8,E677)*2*PI()/60,INDEX('Route Data'!$F$7:$F$8,E677))</f>
        <v>0.19430699130049439</v>
      </c>
      <c r="I677" s="5">
        <f>DischargeCoeff(INDEX('Route Data'!$I$7:$I$8,E677), INDEX('Route Data'!$L$7:$L$8,E677)*2*PI()/60, INDEX('Route Data'!$F$7:$F$8,E677))</f>
        <v>0.15939200179827354</v>
      </c>
      <c r="J677" s="8">
        <f>FlowAngleRel(INDEX('Route Data'!$J$7:$J$8,E677)*INDEX('Route Data'!$I$7:$I$8,E677), INDEX('Route Data'!$L$7:$L$8,E677)*2*PI()/60, INDEX('Route Data'!$F$7:$F$8,E677),INDEX('Route Data'!$O$7:$O$8,E677), INDEX('Route Data'!$P$7:$P$8,E677),INDEX('Route Data'!$M$7:$M$8,E677))</f>
        <v>1.130811765868994</v>
      </c>
      <c r="K677" s="8">
        <f>FlowAngleAbsT(INDEX('Route Data'!$K$7:$K$8,E677), INDEX('Route Data'!$I$7:$I$8,E677), INDEX('Route Data'!$I$7:$I$8,E677)*INDEX('Route Data'!$J$7:$J$8,E677), INDEX('Route Data'!$L$7:$L$8,E677)*2*PI()/60, INDEX('Route Data'!$F$7:$F$8,E677),INDEX('Route Data'!$O$7:$O$8,E677), INDEX('Route Data'!$P$7:$P$8,E677), INDEX('Route Data'!$H$7:$H$8,E677), INDEX('Route Data'!$Q$7:$Q$8,E677), INDEX('Route Data'!$M$7:$M$8,E677))</f>
        <v>0.51617226640175828</v>
      </c>
      <c r="L677" s="5">
        <f>INDEX('Route Data'!$N$7:$N$8,E677)</f>
        <v>0.4</v>
      </c>
      <c r="M677" s="8">
        <v>0.73273879289627075</v>
      </c>
      <c r="N677" s="8">
        <f>ProbStrikeFrancis(K677, I677, L677, INDEX('Route Data'!$G$7:$G$8,E677),C677, INDEX('Route Data'!$F$7:$F$8,E677), INDEX('Route Data'!$O$7:$O$8,E677), INDEX('Route Data'!$H$7:$H$18,E677))</f>
        <v>1</v>
      </c>
      <c r="O677" s="5" t="str">
        <f>IF(F677&gt;=1,IF(M677&lt;=N677,"STRIKE","pass"),IF(M677&lt;=INDEX('Route Data'!$R$7:$R$8,E677),"NO PASS","pass"))</f>
        <v>STRIKE</v>
      </c>
      <c r="P677" s="5">
        <f>IF(F677&gt;=1,IF(M677&lt;=N677,1,0),IF(M677&lt;=INDEX('Route Data'!$R$7:$R$8,E677),-1,0))</f>
        <v>1</v>
      </c>
    </row>
    <row r="678" spans="1:16">
      <c r="A678" s="5">
        <v>668</v>
      </c>
      <c r="B678" s="12">
        <v>19.3</v>
      </c>
      <c r="C678" s="12">
        <f t="shared" si="10"/>
        <v>1.61</v>
      </c>
      <c r="D678" s="8">
        <v>0.44144129753112793</v>
      </c>
      <c r="E678" s="5">
        <f>MATCH(D678,'Route Data'!$C$7:$C$8,1)</f>
        <v>2</v>
      </c>
      <c r="F678" s="5">
        <f>INDEX('Route Data'!$D$7:$D$8,E678)</f>
        <v>1</v>
      </c>
      <c r="G678" s="5" t="str">
        <f>INDEX('Route Data'!$A$7:$A$8,E678)</f>
        <v>u18</v>
      </c>
      <c r="H678" s="5">
        <f>EnergyCoeff(INDEX('Route Data'!$K$7:$K$8,E678),INDEX('Route Data'!$L$7:$L$8,E678)*2*PI()/60,INDEX('Route Data'!$F$7:$F$8,E678))</f>
        <v>0.19430699130049439</v>
      </c>
      <c r="I678" s="5">
        <f>DischargeCoeff(INDEX('Route Data'!$I$7:$I$8,E678), INDEX('Route Data'!$L$7:$L$8,E678)*2*PI()/60, INDEX('Route Data'!$F$7:$F$8,E678))</f>
        <v>0.15939200179827354</v>
      </c>
      <c r="J678" s="8">
        <f>FlowAngleRel(INDEX('Route Data'!$J$7:$J$8,E678)*INDEX('Route Data'!$I$7:$I$8,E678), INDEX('Route Data'!$L$7:$L$8,E678)*2*PI()/60, INDEX('Route Data'!$F$7:$F$8,E678),INDEX('Route Data'!$O$7:$O$8,E678), INDEX('Route Data'!$P$7:$P$8,E678),INDEX('Route Data'!$M$7:$M$8,E678))</f>
        <v>1.130811765868994</v>
      </c>
      <c r="K678" s="8">
        <f>FlowAngleAbsT(INDEX('Route Data'!$K$7:$K$8,E678), INDEX('Route Data'!$I$7:$I$8,E678), INDEX('Route Data'!$I$7:$I$8,E678)*INDEX('Route Data'!$J$7:$J$8,E678), INDEX('Route Data'!$L$7:$L$8,E678)*2*PI()/60, INDEX('Route Data'!$F$7:$F$8,E678),INDEX('Route Data'!$O$7:$O$8,E678), INDEX('Route Data'!$P$7:$P$8,E678), INDEX('Route Data'!$H$7:$H$8,E678), INDEX('Route Data'!$Q$7:$Q$8,E678), INDEX('Route Data'!$M$7:$M$8,E678))</f>
        <v>0.51617226640175828</v>
      </c>
      <c r="L678" s="5">
        <f>INDEX('Route Data'!$N$7:$N$8,E678)</f>
        <v>0.4</v>
      </c>
      <c r="M678" s="8">
        <v>0.44434285163879395</v>
      </c>
      <c r="N678" s="8">
        <f>ProbStrikeFrancis(K678, I678, L678, INDEX('Route Data'!$G$7:$G$8,E678),C678, INDEX('Route Data'!$F$7:$F$8,E678), INDEX('Route Data'!$O$7:$O$8,E678), INDEX('Route Data'!$H$7:$H$18,E678))</f>
        <v>1</v>
      </c>
      <c r="O678" s="5" t="str">
        <f>IF(F678&gt;=1,IF(M678&lt;=N678,"STRIKE","pass"),IF(M678&lt;=INDEX('Route Data'!$R$7:$R$8,E678),"NO PASS","pass"))</f>
        <v>STRIKE</v>
      </c>
      <c r="P678" s="5">
        <f>IF(F678&gt;=1,IF(M678&lt;=N678,1,0),IF(M678&lt;=INDEX('Route Data'!$R$7:$R$8,E678),-1,0))</f>
        <v>1</v>
      </c>
    </row>
    <row r="679" spans="1:16">
      <c r="A679" s="5">
        <v>669</v>
      </c>
      <c r="B679" s="12">
        <v>21.12</v>
      </c>
      <c r="C679" s="12">
        <f t="shared" si="10"/>
        <v>1.76</v>
      </c>
      <c r="D679" s="8">
        <v>0.96482652425765991</v>
      </c>
      <c r="E679" s="5">
        <f>MATCH(D679,'Route Data'!$C$7:$C$8,1)</f>
        <v>2</v>
      </c>
      <c r="F679" s="5">
        <f>INDEX('Route Data'!$D$7:$D$8,E679)</f>
        <v>1</v>
      </c>
      <c r="G679" s="5" t="str">
        <f>INDEX('Route Data'!$A$7:$A$8,E679)</f>
        <v>u18</v>
      </c>
      <c r="H679" s="5">
        <f>EnergyCoeff(INDEX('Route Data'!$K$7:$K$8,E679),INDEX('Route Data'!$L$7:$L$8,E679)*2*PI()/60,INDEX('Route Data'!$F$7:$F$8,E679))</f>
        <v>0.19430699130049439</v>
      </c>
      <c r="I679" s="5">
        <f>DischargeCoeff(INDEX('Route Data'!$I$7:$I$8,E679), INDEX('Route Data'!$L$7:$L$8,E679)*2*PI()/60, INDEX('Route Data'!$F$7:$F$8,E679))</f>
        <v>0.15939200179827354</v>
      </c>
      <c r="J679" s="8">
        <f>FlowAngleRel(INDEX('Route Data'!$J$7:$J$8,E679)*INDEX('Route Data'!$I$7:$I$8,E679), INDEX('Route Data'!$L$7:$L$8,E679)*2*PI()/60, INDEX('Route Data'!$F$7:$F$8,E679),INDEX('Route Data'!$O$7:$O$8,E679), INDEX('Route Data'!$P$7:$P$8,E679),INDEX('Route Data'!$M$7:$M$8,E679))</f>
        <v>1.130811765868994</v>
      </c>
      <c r="K679" s="8">
        <f>FlowAngleAbsT(INDEX('Route Data'!$K$7:$K$8,E679), INDEX('Route Data'!$I$7:$I$8,E679), INDEX('Route Data'!$I$7:$I$8,E679)*INDEX('Route Data'!$J$7:$J$8,E679), INDEX('Route Data'!$L$7:$L$8,E679)*2*PI()/60, INDEX('Route Data'!$F$7:$F$8,E679),INDEX('Route Data'!$O$7:$O$8,E679), INDEX('Route Data'!$P$7:$P$8,E679), INDEX('Route Data'!$H$7:$H$8,E679), INDEX('Route Data'!$Q$7:$Q$8,E679), INDEX('Route Data'!$M$7:$M$8,E679))</f>
        <v>0.51617226640175828</v>
      </c>
      <c r="L679" s="5">
        <f>INDEX('Route Data'!$N$7:$N$8,E679)</f>
        <v>0.4</v>
      </c>
      <c r="M679" s="8">
        <v>0.30953067541122437</v>
      </c>
      <c r="N679" s="8">
        <f>ProbStrikeFrancis(K679, I679, L679, INDEX('Route Data'!$G$7:$G$8,E679),C679, INDEX('Route Data'!$F$7:$F$8,E679), INDEX('Route Data'!$O$7:$O$8,E679), INDEX('Route Data'!$H$7:$H$18,E679))</f>
        <v>1</v>
      </c>
      <c r="O679" s="5" t="str">
        <f>IF(F679&gt;=1,IF(M679&lt;=N679,"STRIKE","pass"),IF(M679&lt;=INDEX('Route Data'!$R$7:$R$8,E679),"NO PASS","pass"))</f>
        <v>STRIKE</v>
      </c>
      <c r="P679" s="5">
        <f>IF(F679&gt;=1,IF(M679&lt;=N679,1,0),IF(M679&lt;=INDEX('Route Data'!$R$7:$R$8,E679),-1,0))</f>
        <v>1</v>
      </c>
    </row>
    <row r="680" spans="1:16">
      <c r="A680" s="5">
        <v>670</v>
      </c>
      <c r="B680" s="12">
        <v>24.96</v>
      </c>
      <c r="C680" s="12">
        <f t="shared" si="10"/>
        <v>2.08</v>
      </c>
      <c r="D680" s="8">
        <v>0.39467084407806396</v>
      </c>
      <c r="E680" s="5">
        <f>MATCH(D680,'Route Data'!$C$7:$C$8,1)</f>
        <v>2</v>
      </c>
      <c r="F680" s="5">
        <f>INDEX('Route Data'!$D$7:$D$8,E680)</f>
        <v>1</v>
      </c>
      <c r="G680" s="5" t="str">
        <f>INDEX('Route Data'!$A$7:$A$8,E680)</f>
        <v>u18</v>
      </c>
      <c r="H680" s="5">
        <f>EnergyCoeff(INDEX('Route Data'!$K$7:$K$8,E680),INDEX('Route Data'!$L$7:$L$8,E680)*2*PI()/60,INDEX('Route Data'!$F$7:$F$8,E680))</f>
        <v>0.19430699130049439</v>
      </c>
      <c r="I680" s="5">
        <f>DischargeCoeff(INDEX('Route Data'!$I$7:$I$8,E680), INDEX('Route Data'!$L$7:$L$8,E680)*2*PI()/60, INDEX('Route Data'!$F$7:$F$8,E680))</f>
        <v>0.15939200179827354</v>
      </c>
      <c r="J680" s="8">
        <f>FlowAngleRel(INDEX('Route Data'!$J$7:$J$8,E680)*INDEX('Route Data'!$I$7:$I$8,E680), INDEX('Route Data'!$L$7:$L$8,E680)*2*PI()/60, INDEX('Route Data'!$F$7:$F$8,E680),INDEX('Route Data'!$O$7:$O$8,E680), INDEX('Route Data'!$P$7:$P$8,E680),INDEX('Route Data'!$M$7:$M$8,E680))</f>
        <v>1.130811765868994</v>
      </c>
      <c r="K680" s="8">
        <f>FlowAngleAbsT(INDEX('Route Data'!$K$7:$K$8,E680), INDEX('Route Data'!$I$7:$I$8,E680), INDEX('Route Data'!$I$7:$I$8,E680)*INDEX('Route Data'!$J$7:$J$8,E680), INDEX('Route Data'!$L$7:$L$8,E680)*2*PI()/60, INDEX('Route Data'!$F$7:$F$8,E680),INDEX('Route Data'!$O$7:$O$8,E680), INDEX('Route Data'!$P$7:$P$8,E680), INDEX('Route Data'!$H$7:$H$8,E680), INDEX('Route Data'!$Q$7:$Q$8,E680), INDEX('Route Data'!$M$7:$M$8,E680))</f>
        <v>0.51617226640175828</v>
      </c>
      <c r="L680" s="5">
        <f>INDEX('Route Data'!$N$7:$N$8,E680)</f>
        <v>0.4</v>
      </c>
      <c r="M680" s="8">
        <v>0.44838798046112061</v>
      </c>
      <c r="N680" s="8">
        <f>ProbStrikeFrancis(K680, I680, L680, INDEX('Route Data'!$G$7:$G$8,E680),C680, INDEX('Route Data'!$F$7:$F$8,E680), INDEX('Route Data'!$O$7:$O$8,E680), INDEX('Route Data'!$H$7:$H$18,E680))</f>
        <v>1</v>
      </c>
      <c r="O680" s="5" t="str">
        <f>IF(F680&gt;=1,IF(M680&lt;=N680,"STRIKE","pass"),IF(M680&lt;=INDEX('Route Data'!$R$7:$R$8,E680),"NO PASS","pass"))</f>
        <v>STRIKE</v>
      </c>
      <c r="P680" s="5">
        <f>IF(F680&gt;=1,IF(M680&lt;=N680,1,0),IF(M680&lt;=INDEX('Route Data'!$R$7:$R$8,E680),-1,0))</f>
        <v>1</v>
      </c>
    </row>
    <row r="681" spans="1:16">
      <c r="A681" s="5">
        <v>671</v>
      </c>
      <c r="B681" s="12">
        <v>23.98</v>
      </c>
      <c r="C681" s="12">
        <f t="shared" si="10"/>
        <v>2</v>
      </c>
      <c r="D681" s="8">
        <v>0.37071710824966431</v>
      </c>
      <c r="E681" s="5">
        <f>MATCH(D681,'Route Data'!$C$7:$C$8,1)</f>
        <v>2</v>
      </c>
      <c r="F681" s="5">
        <f>INDEX('Route Data'!$D$7:$D$8,E681)</f>
        <v>1</v>
      </c>
      <c r="G681" s="5" t="str">
        <f>INDEX('Route Data'!$A$7:$A$8,E681)</f>
        <v>u18</v>
      </c>
      <c r="H681" s="5">
        <f>EnergyCoeff(INDEX('Route Data'!$K$7:$K$8,E681),INDEX('Route Data'!$L$7:$L$8,E681)*2*PI()/60,INDEX('Route Data'!$F$7:$F$8,E681))</f>
        <v>0.19430699130049439</v>
      </c>
      <c r="I681" s="5">
        <f>DischargeCoeff(INDEX('Route Data'!$I$7:$I$8,E681), INDEX('Route Data'!$L$7:$L$8,E681)*2*PI()/60, INDEX('Route Data'!$F$7:$F$8,E681))</f>
        <v>0.15939200179827354</v>
      </c>
      <c r="J681" s="8">
        <f>FlowAngleRel(INDEX('Route Data'!$J$7:$J$8,E681)*INDEX('Route Data'!$I$7:$I$8,E681), INDEX('Route Data'!$L$7:$L$8,E681)*2*PI()/60, INDEX('Route Data'!$F$7:$F$8,E681),INDEX('Route Data'!$O$7:$O$8,E681), INDEX('Route Data'!$P$7:$P$8,E681),INDEX('Route Data'!$M$7:$M$8,E681))</f>
        <v>1.130811765868994</v>
      </c>
      <c r="K681" s="8">
        <f>FlowAngleAbsT(INDEX('Route Data'!$K$7:$K$8,E681), INDEX('Route Data'!$I$7:$I$8,E681), INDEX('Route Data'!$I$7:$I$8,E681)*INDEX('Route Data'!$J$7:$J$8,E681), INDEX('Route Data'!$L$7:$L$8,E681)*2*PI()/60, INDEX('Route Data'!$F$7:$F$8,E681),INDEX('Route Data'!$O$7:$O$8,E681), INDEX('Route Data'!$P$7:$P$8,E681), INDEX('Route Data'!$H$7:$H$8,E681), INDEX('Route Data'!$Q$7:$Q$8,E681), INDEX('Route Data'!$M$7:$M$8,E681))</f>
        <v>0.51617226640175828</v>
      </c>
      <c r="L681" s="5">
        <f>INDEX('Route Data'!$N$7:$N$8,E681)</f>
        <v>0.4</v>
      </c>
      <c r="M681" s="8">
        <v>3.1816065311431885E-2</v>
      </c>
      <c r="N681" s="8">
        <f>ProbStrikeFrancis(K681, I681, L681, INDEX('Route Data'!$G$7:$G$8,E681),C681, INDEX('Route Data'!$F$7:$F$8,E681), INDEX('Route Data'!$O$7:$O$8,E681), INDEX('Route Data'!$H$7:$H$18,E681))</f>
        <v>1</v>
      </c>
      <c r="O681" s="5" t="str">
        <f>IF(F681&gt;=1,IF(M681&lt;=N681,"STRIKE","pass"),IF(M681&lt;=INDEX('Route Data'!$R$7:$R$8,E681),"NO PASS","pass"))</f>
        <v>STRIKE</v>
      </c>
      <c r="P681" s="5">
        <f>IF(F681&gt;=1,IF(M681&lt;=N681,1,0),IF(M681&lt;=INDEX('Route Data'!$R$7:$R$8,E681),-1,0))</f>
        <v>1</v>
      </c>
    </row>
    <row r="682" spans="1:16">
      <c r="A682" s="5">
        <v>672</v>
      </c>
      <c r="B682" s="12">
        <v>20.420000000000002</v>
      </c>
      <c r="C682" s="12">
        <f t="shared" si="10"/>
        <v>1.7</v>
      </c>
      <c r="D682" s="8">
        <v>0.91141986846923828</v>
      </c>
      <c r="E682" s="5">
        <f>MATCH(D682,'Route Data'!$C$7:$C$8,1)</f>
        <v>2</v>
      </c>
      <c r="F682" s="5">
        <f>INDEX('Route Data'!$D$7:$D$8,E682)</f>
        <v>1</v>
      </c>
      <c r="G682" s="5" t="str">
        <f>INDEX('Route Data'!$A$7:$A$8,E682)</f>
        <v>u18</v>
      </c>
      <c r="H682" s="5">
        <f>EnergyCoeff(INDEX('Route Data'!$K$7:$K$8,E682),INDEX('Route Data'!$L$7:$L$8,E682)*2*PI()/60,INDEX('Route Data'!$F$7:$F$8,E682))</f>
        <v>0.19430699130049439</v>
      </c>
      <c r="I682" s="5">
        <f>DischargeCoeff(INDEX('Route Data'!$I$7:$I$8,E682), INDEX('Route Data'!$L$7:$L$8,E682)*2*PI()/60, INDEX('Route Data'!$F$7:$F$8,E682))</f>
        <v>0.15939200179827354</v>
      </c>
      <c r="J682" s="8">
        <f>FlowAngleRel(INDEX('Route Data'!$J$7:$J$8,E682)*INDEX('Route Data'!$I$7:$I$8,E682), INDEX('Route Data'!$L$7:$L$8,E682)*2*PI()/60, INDEX('Route Data'!$F$7:$F$8,E682),INDEX('Route Data'!$O$7:$O$8,E682), INDEX('Route Data'!$P$7:$P$8,E682),INDEX('Route Data'!$M$7:$M$8,E682))</f>
        <v>1.130811765868994</v>
      </c>
      <c r="K682" s="8">
        <f>FlowAngleAbsT(INDEX('Route Data'!$K$7:$K$8,E682), INDEX('Route Data'!$I$7:$I$8,E682), INDEX('Route Data'!$I$7:$I$8,E682)*INDEX('Route Data'!$J$7:$J$8,E682), INDEX('Route Data'!$L$7:$L$8,E682)*2*PI()/60, INDEX('Route Data'!$F$7:$F$8,E682),INDEX('Route Data'!$O$7:$O$8,E682), INDEX('Route Data'!$P$7:$P$8,E682), INDEX('Route Data'!$H$7:$H$8,E682), INDEX('Route Data'!$Q$7:$Q$8,E682), INDEX('Route Data'!$M$7:$M$8,E682))</f>
        <v>0.51617226640175828</v>
      </c>
      <c r="L682" s="5">
        <f>INDEX('Route Data'!$N$7:$N$8,E682)</f>
        <v>0.4</v>
      </c>
      <c r="M682" s="8">
        <v>0.28153181076049805</v>
      </c>
      <c r="N682" s="8">
        <f>ProbStrikeFrancis(K682, I682, L682, INDEX('Route Data'!$G$7:$G$8,E682),C682, INDEX('Route Data'!$F$7:$F$8,E682), INDEX('Route Data'!$O$7:$O$8,E682), INDEX('Route Data'!$H$7:$H$18,E682))</f>
        <v>1</v>
      </c>
      <c r="O682" s="5" t="str">
        <f>IF(F682&gt;=1,IF(M682&lt;=N682,"STRIKE","pass"),IF(M682&lt;=INDEX('Route Data'!$R$7:$R$8,E682),"NO PASS","pass"))</f>
        <v>STRIKE</v>
      </c>
      <c r="P682" s="5">
        <f>IF(F682&gt;=1,IF(M682&lt;=N682,1,0),IF(M682&lt;=INDEX('Route Data'!$R$7:$R$8,E682),-1,0))</f>
        <v>1</v>
      </c>
    </row>
    <row r="683" spans="1:16">
      <c r="A683" s="5">
        <v>673</v>
      </c>
      <c r="B683" s="12">
        <v>20.75</v>
      </c>
      <c r="C683" s="12">
        <f t="shared" si="10"/>
        <v>1.73</v>
      </c>
      <c r="D683" s="8">
        <v>0.55489081144332886</v>
      </c>
      <c r="E683" s="5">
        <f>MATCH(D683,'Route Data'!$C$7:$C$8,1)</f>
        <v>2</v>
      </c>
      <c r="F683" s="5">
        <f>INDEX('Route Data'!$D$7:$D$8,E683)</f>
        <v>1</v>
      </c>
      <c r="G683" s="5" t="str">
        <f>INDEX('Route Data'!$A$7:$A$8,E683)</f>
        <v>u18</v>
      </c>
      <c r="H683" s="5">
        <f>EnergyCoeff(INDEX('Route Data'!$K$7:$K$8,E683),INDEX('Route Data'!$L$7:$L$8,E683)*2*PI()/60,INDEX('Route Data'!$F$7:$F$8,E683))</f>
        <v>0.19430699130049439</v>
      </c>
      <c r="I683" s="5">
        <f>DischargeCoeff(INDEX('Route Data'!$I$7:$I$8,E683), INDEX('Route Data'!$L$7:$L$8,E683)*2*PI()/60, INDEX('Route Data'!$F$7:$F$8,E683))</f>
        <v>0.15939200179827354</v>
      </c>
      <c r="J683" s="8">
        <f>FlowAngleRel(INDEX('Route Data'!$J$7:$J$8,E683)*INDEX('Route Data'!$I$7:$I$8,E683), INDEX('Route Data'!$L$7:$L$8,E683)*2*PI()/60, INDEX('Route Data'!$F$7:$F$8,E683),INDEX('Route Data'!$O$7:$O$8,E683), INDEX('Route Data'!$P$7:$P$8,E683),INDEX('Route Data'!$M$7:$M$8,E683))</f>
        <v>1.130811765868994</v>
      </c>
      <c r="K683" s="8">
        <f>FlowAngleAbsT(INDEX('Route Data'!$K$7:$K$8,E683), INDEX('Route Data'!$I$7:$I$8,E683), INDEX('Route Data'!$I$7:$I$8,E683)*INDEX('Route Data'!$J$7:$J$8,E683), INDEX('Route Data'!$L$7:$L$8,E683)*2*PI()/60, INDEX('Route Data'!$F$7:$F$8,E683),INDEX('Route Data'!$O$7:$O$8,E683), INDEX('Route Data'!$P$7:$P$8,E683), INDEX('Route Data'!$H$7:$H$8,E683), INDEX('Route Data'!$Q$7:$Q$8,E683), INDEX('Route Data'!$M$7:$M$8,E683))</f>
        <v>0.51617226640175828</v>
      </c>
      <c r="L683" s="5">
        <f>INDEX('Route Data'!$N$7:$N$8,E683)</f>
        <v>0.4</v>
      </c>
      <c r="M683" s="8">
        <v>0.26680535078048706</v>
      </c>
      <c r="N683" s="8">
        <f>ProbStrikeFrancis(K683, I683, L683, INDEX('Route Data'!$G$7:$G$8,E683),C683, INDEX('Route Data'!$F$7:$F$8,E683), INDEX('Route Data'!$O$7:$O$8,E683), INDEX('Route Data'!$H$7:$H$18,E683))</f>
        <v>1</v>
      </c>
      <c r="O683" s="5" t="str">
        <f>IF(F683&gt;=1,IF(M683&lt;=N683,"STRIKE","pass"),IF(M683&lt;=INDEX('Route Data'!$R$7:$R$8,E683),"NO PASS","pass"))</f>
        <v>STRIKE</v>
      </c>
      <c r="P683" s="5">
        <f>IF(F683&gt;=1,IF(M683&lt;=N683,1,0),IF(M683&lt;=INDEX('Route Data'!$R$7:$R$8,E683),-1,0))</f>
        <v>1</v>
      </c>
    </row>
    <row r="684" spans="1:16">
      <c r="A684" s="5">
        <v>674</v>
      </c>
      <c r="B684" s="12">
        <v>26.83</v>
      </c>
      <c r="C684" s="12">
        <f t="shared" si="10"/>
        <v>2.2400000000000002</v>
      </c>
      <c r="D684" s="8">
        <v>0.89005720615386963</v>
      </c>
      <c r="E684" s="5">
        <f>MATCH(D684,'Route Data'!$C$7:$C$8,1)</f>
        <v>2</v>
      </c>
      <c r="F684" s="5">
        <f>INDEX('Route Data'!$D$7:$D$8,E684)</f>
        <v>1</v>
      </c>
      <c r="G684" s="5" t="str">
        <f>INDEX('Route Data'!$A$7:$A$8,E684)</f>
        <v>u18</v>
      </c>
      <c r="H684" s="5">
        <f>EnergyCoeff(INDEX('Route Data'!$K$7:$K$8,E684),INDEX('Route Data'!$L$7:$L$8,E684)*2*PI()/60,INDEX('Route Data'!$F$7:$F$8,E684))</f>
        <v>0.19430699130049439</v>
      </c>
      <c r="I684" s="5">
        <f>DischargeCoeff(INDEX('Route Data'!$I$7:$I$8,E684), INDEX('Route Data'!$L$7:$L$8,E684)*2*PI()/60, INDEX('Route Data'!$F$7:$F$8,E684))</f>
        <v>0.15939200179827354</v>
      </c>
      <c r="J684" s="8">
        <f>FlowAngleRel(INDEX('Route Data'!$J$7:$J$8,E684)*INDEX('Route Data'!$I$7:$I$8,E684), INDEX('Route Data'!$L$7:$L$8,E684)*2*PI()/60, INDEX('Route Data'!$F$7:$F$8,E684),INDEX('Route Data'!$O$7:$O$8,E684), INDEX('Route Data'!$P$7:$P$8,E684),INDEX('Route Data'!$M$7:$M$8,E684))</f>
        <v>1.130811765868994</v>
      </c>
      <c r="K684" s="8">
        <f>FlowAngleAbsT(INDEX('Route Data'!$K$7:$K$8,E684), INDEX('Route Data'!$I$7:$I$8,E684), INDEX('Route Data'!$I$7:$I$8,E684)*INDEX('Route Data'!$J$7:$J$8,E684), INDEX('Route Data'!$L$7:$L$8,E684)*2*PI()/60, INDEX('Route Data'!$F$7:$F$8,E684),INDEX('Route Data'!$O$7:$O$8,E684), INDEX('Route Data'!$P$7:$P$8,E684), INDEX('Route Data'!$H$7:$H$8,E684), INDEX('Route Data'!$Q$7:$Q$8,E684), INDEX('Route Data'!$M$7:$M$8,E684))</f>
        <v>0.51617226640175828</v>
      </c>
      <c r="L684" s="5">
        <f>INDEX('Route Data'!$N$7:$N$8,E684)</f>
        <v>0.4</v>
      </c>
      <c r="M684" s="8">
        <v>0.57656395435333252</v>
      </c>
      <c r="N684" s="8">
        <f>ProbStrikeFrancis(K684, I684, L684, INDEX('Route Data'!$G$7:$G$8,E684),C684, INDEX('Route Data'!$F$7:$F$8,E684), INDEX('Route Data'!$O$7:$O$8,E684), INDEX('Route Data'!$H$7:$H$18,E684))</f>
        <v>1</v>
      </c>
      <c r="O684" s="5" t="str">
        <f>IF(F684&gt;=1,IF(M684&lt;=N684,"STRIKE","pass"),IF(M684&lt;=INDEX('Route Data'!$R$7:$R$8,E684),"NO PASS","pass"))</f>
        <v>STRIKE</v>
      </c>
      <c r="P684" s="5">
        <f>IF(F684&gt;=1,IF(M684&lt;=N684,1,0),IF(M684&lt;=INDEX('Route Data'!$R$7:$R$8,E684),-1,0))</f>
        <v>1</v>
      </c>
    </row>
    <row r="685" spans="1:16">
      <c r="A685" s="5">
        <v>675</v>
      </c>
      <c r="B685" s="12">
        <v>20.87</v>
      </c>
      <c r="C685" s="12">
        <f t="shared" si="10"/>
        <v>1.74</v>
      </c>
      <c r="D685" s="8">
        <v>0.61897879838943481</v>
      </c>
      <c r="E685" s="5">
        <f>MATCH(D685,'Route Data'!$C$7:$C$8,1)</f>
        <v>2</v>
      </c>
      <c r="F685" s="5">
        <f>INDEX('Route Data'!$D$7:$D$8,E685)</f>
        <v>1</v>
      </c>
      <c r="G685" s="5" t="str">
        <f>INDEX('Route Data'!$A$7:$A$8,E685)</f>
        <v>u18</v>
      </c>
      <c r="H685" s="5">
        <f>EnergyCoeff(INDEX('Route Data'!$K$7:$K$8,E685),INDEX('Route Data'!$L$7:$L$8,E685)*2*PI()/60,INDEX('Route Data'!$F$7:$F$8,E685))</f>
        <v>0.19430699130049439</v>
      </c>
      <c r="I685" s="5">
        <f>DischargeCoeff(INDEX('Route Data'!$I$7:$I$8,E685), INDEX('Route Data'!$L$7:$L$8,E685)*2*PI()/60, INDEX('Route Data'!$F$7:$F$8,E685))</f>
        <v>0.15939200179827354</v>
      </c>
      <c r="J685" s="8">
        <f>FlowAngleRel(INDEX('Route Data'!$J$7:$J$8,E685)*INDEX('Route Data'!$I$7:$I$8,E685), INDEX('Route Data'!$L$7:$L$8,E685)*2*PI()/60, INDEX('Route Data'!$F$7:$F$8,E685),INDEX('Route Data'!$O$7:$O$8,E685), INDEX('Route Data'!$P$7:$P$8,E685),INDEX('Route Data'!$M$7:$M$8,E685))</f>
        <v>1.130811765868994</v>
      </c>
      <c r="K685" s="8">
        <f>FlowAngleAbsT(INDEX('Route Data'!$K$7:$K$8,E685), INDEX('Route Data'!$I$7:$I$8,E685), INDEX('Route Data'!$I$7:$I$8,E685)*INDEX('Route Data'!$J$7:$J$8,E685), INDEX('Route Data'!$L$7:$L$8,E685)*2*PI()/60, INDEX('Route Data'!$F$7:$F$8,E685),INDEX('Route Data'!$O$7:$O$8,E685), INDEX('Route Data'!$P$7:$P$8,E685), INDEX('Route Data'!$H$7:$H$8,E685), INDEX('Route Data'!$Q$7:$Q$8,E685), INDEX('Route Data'!$M$7:$M$8,E685))</f>
        <v>0.51617226640175828</v>
      </c>
      <c r="L685" s="5">
        <f>INDEX('Route Data'!$N$7:$N$8,E685)</f>
        <v>0.4</v>
      </c>
      <c r="M685" s="8">
        <v>0.64728814363479614</v>
      </c>
      <c r="N685" s="8">
        <f>ProbStrikeFrancis(K685, I685, L685, INDEX('Route Data'!$G$7:$G$8,E685),C685, INDEX('Route Data'!$F$7:$F$8,E685), INDEX('Route Data'!$O$7:$O$8,E685), INDEX('Route Data'!$H$7:$H$18,E685))</f>
        <v>1</v>
      </c>
      <c r="O685" s="5" t="str">
        <f>IF(F685&gt;=1,IF(M685&lt;=N685,"STRIKE","pass"),IF(M685&lt;=INDEX('Route Data'!$R$7:$R$8,E685),"NO PASS","pass"))</f>
        <v>STRIKE</v>
      </c>
      <c r="P685" s="5">
        <f>IF(F685&gt;=1,IF(M685&lt;=N685,1,0),IF(M685&lt;=INDEX('Route Data'!$R$7:$R$8,E685),-1,0))</f>
        <v>1</v>
      </c>
    </row>
    <row r="686" spans="1:16">
      <c r="A686" s="5">
        <v>676</v>
      </c>
      <c r="B686" s="12">
        <v>21.73</v>
      </c>
      <c r="C686" s="12">
        <f t="shared" si="10"/>
        <v>1.81</v>
      </c>
      <c r="D686" s="8">
        <v>0.69779324531555176</v>
      </c>
      <c r="E686" s="5">
        <f>MATCH(D686,'Route Data'!$C$7:$C$8,1)</f>
        <v>2</v>
      </c>
      <c r="F686" s="5">
        <f>INDEX('Route Data'!$D$7:$D$8,E686)</f>
        <v>1</v>
      </c>
      <c r="G686" s="5" t="str">
        <f>INDEX('Route Data'!$A$7:$A$8,E686)</f>
        <v>u18</v>
      </c>
      <c r="H686" s="5">
        <f>EnergyCoeff(INDEX('Route Data'!$K$7:$K$8,E686),INDEX('Route Data'!$L$7:$L$8,E686)*2*PI()/60,INDEX('Route Data'!$F$7:$F$8,E686))</f>
        <v>0.19430699130049439</v>
      </c>
      <c r="I686" s="5">
        <f>DischargeCoeff(INDEX('Route Data'!$I$7:$I$8,E686), INDEX('Route Data'!$L$7:$L$8,E686)*2*PI()/60, INDEX('Route Data'!$F$7:$F$8,E686))</f>
        <v>0.15939200179827354</v>
      </c>
      <c r="J686" s="8">
        <f>FlowAngleRel(INDEX('Route Data'!$J$7:$J$8,E686)*INDEX('Route Data'!$I$7:$I$8,E686), INDEX('Route Data'!$L$7:$L$8,E686)*2*PI()/60, INDEX('Route Data'!$F$7:$F$8,E686),INDEX('Route Data'!$O$7:$O$8,E686), INDEX('Route Data'!$P$7:$P$8,E686),INDEX('Route Data'!$M$7:$M$8,E686))</f>
        <v>1.130811765868994</v>
      </c>
      <c r="K686" s="8">
        <f>FlowAngleAbsT(INDEX('Route Data'!$K$7:$K$8,E686), INDEX('Route Data'!$I$7:$I$8,E686), INDEX('Route Data'!$I$7:$I$8,E686)*INDEX('Route Data'!$J$7:$J$8,E686), INDEX('Route Data'!$L$7:$L$8,E686)*2*PI()/60, INDEX('Route Data'!$F$7:$F$8,E686),INDEX('Route Data'!$O$7:$O$8,E686), INDEX('Route Data'!$P$7:$P$8,E686), INDEX('Route Data'!$H$7:$H$8,E686), INDEX('Route Data'!$Q$7:$Q$8,E686), INDEX('Route Data'!$M$7:$M$8,E686))</f>
        <v>0.51617226640175828</v>
      </c>
      <c r="L686" s="5">
        <f>INDEX('Route Data'!$N$7:$N$8,E686)</f>
        <v>0.4</v>
      </c>
      <c r="M686" s="8">
        <v>0.70069479942321777</v>
      </c>
      <c r="N686" s="8">
        <f>ProbStrikeFrancis(K686, I686, L686, INDEX('Route Data'!$G$7:$G$8,E686),C686, INDEX('Route Data'!$F$7:$F$8,E686), INDEX('Route Data'!$O$7:$O$8,E686), INDEX('Route Data'!$H$7:$H$18,E686))</f>
        <v>1</v>
      </c>
      <c r="O686" s="5" t="str">
        <f>IF(F686&gt;=1,IF(M686&lt;=N686,"STRIKE","pass"),IF(M686&lt;=INDEX('Route Data'!$R$7:$R$8,E686),"NO PASS","pass"))</f>
        <v>STRIKE</v>
      </c>
      <c r="P686" s="5">
        <f>IF(F686&gt;=1,IF(M686&lt;=N686,1,0),IF(M686&lt;=INDEX('Route Data'!$R$7:$R$8,E686),-1,0))</f>
        <v>1</v>
      </c>
    </row>
    <row r="687" spans="1:16">
      <c r="A687" s="5">
        <v>677</v>
      </c>
      <c r="B687" s="12">
        <v>22.96</v>
      </c>
      <c r="C687" s="12">
        <f t="shared" si="10"/>
        <v>1.91</v>
      </c>
      <c r="D687" s="8">
        <v>0.19577068090438843</v>
      </c>
      <c r="E687" s="5">
        <f>MATCH(D687,'Route Data'!$C$7:$C$8,1)</f>
        <v>2</v>
      </c>
      <c r="F687" s="5">
        <f>INDEX('Route Data'!$D$7:$D$8,E687)</f>
        <v>1</v>
      </c>
      <c r="G687" s="5" t="str">
        <f>INDEX('Route Data'!$A$7:$A$8,E687)</f>
        <v>u18</v>
      </c>
      <c r="H687" s="5">
        <f>EnergyCoeff(INDEX('Route Data'!$K$7:$K$8,E687),INDEX('Route Data'!$L$7:$L$8,E687)*2*PI()/60,INDEX('Route Data'!$F$7:$F$8,E687))</f>
        <v>0.19430699130049439</v>
      </c>
      <c r="I687" s="5">
        <f>DischargeCoeff(INDEX('Route Data'!$I$7:$I$8,E687), INDEX('Route Data'!$L$7:$L$8,E687)*2*PI()/60, INDEX('Route Data'!$F$7:$F$8,E687))</f>
        <v>0.15939200179827354</v>
      </c>
      <c r="J687" s="8">
        <f>FlowAngleRel(INDEX('Route Data'!$J$7:$J$8,E687)*INDEX('Route Data'!$I$7:$I$8,E687), INDEX('Route Data'!$L$7:$L$8,E687)*2*PI()/60, INDEX('Route Data'!$F$7:$F$8,E687),INDEX('Route Data'!$O$7:$O$8,E687), INDEX('Route Data'!$P$7:$P$8,E687),INDEX('Route Data'!$M$7:$M$8,E687))</f>
        <v>1.130811765868994</v>
      </c>
      <c r="K687" s="8">
        <f>FlowAngleAbsT(INDEX('Route Data'!$K$7:$K$8,E687), INDEX('Route Data'!$I$7:$I$8,E687), INDEX('Route Data'!$I$7:$I$8,E687)*INDEX('Route Data'!$J$7:$J$8,E687), INDEX('Route Data'!$L$7:$L$8,E687)*2*PI()/60, INDEX('Route Data'!$F$7:$F$8,E687),INDEX('Route Data'!$O$7:$O$8,E687), INDEX('Route Data'!$P$7:$P$8,E687), INDEX('Route Data'!$H$7:$H$8,E687), INDEX('Route Data'!$Q$7:$Q$8,E687), INDEX('Route Data'!$M$7:$M$8,E687))</f>
        <v>0.51617226640175828</v>
      </c>
      <c r="L687" s="5">
        <f>INDEX('Route Data'!$N$7:$N$8,E687)</f>
        <v>0.4</v>
      </c>
      <c r="M687" s="8">
        <v>0.54047483205795288</v>
      </c>
      <c r="N687" s="8">
        <f>ProbStrikeFrancis(K687, I687, L687, INDEX('Route Data'!$G$7:$G$8,E687),C687, INDEX('Route Data'!$F$7:$F$8,E687), INDEX('Route Data'!$O$7:$O$8,E687), INDEX('Route Data'!$H$7:$H$18,E687))</f>
        <v>1</v>
      </c>
      <c r="O687" s="5" t="str">
        <f>IF(F687&gt;=1,IF(M687&lt;=N687,"STRIKE","pass"),IF(M687&lt;=INDEX('Route Data'!$R$7:$R$8,E687),"NO PASS","pass"))</f>
        <v>STRIKE</v>
      </c>
      <c r="P687" s="5">
        <f>IF(F687&gt;=1,IF(M687&lt;=N687,1,0),IF(M687&lt;=INDEX('Route Data'!$R$7:$R$8,E687),-1,0))</f>
        <v>1</v>
      </c>
    </row>
    <row r="688" spans="1:16">
      <c r="A688" s="5">
        <v>678</v>
      </c>
      <c r="B688" s="12">
        <v>21.36</v>
      </c>
      <c r="C688" s="12">
        <f t="shared" si="10"/>
        <v>1.78</v>
      </c>
      <c r="D688" s="8">
        <v>0.70183837413787842</v>
      </c>
      <c r="E688" s="5">
        <f>MATCH(D688,'Route Data'!$C$7:$C$8,1)</f>
        <v>2</v>
      </c>
      <c r="F688" s="5">
        <f>INDEX('Route Data'!$D$7:$D$8,E688)</f>
        <v>1</v>
      </c>
      <c r="G688" s="5" t="str">
        <f>INDEX('Route Data'!$A$7:$A$8,E688)</f>
        <v>u18</v>
      </c>
      <c r="H688" s="5">
        <f>EnergyCoeff(INDEX('Route Data'!$K$7:$K$8,E688),INDEX('Route Data'!$L$7:$L$8,E688)*2*PI()/60,INDEX('Route Data'!$F$7:$F$8,E688))</f>
        <v>0.19430699130049439</v>
      </c>
      <c r="I688" s="5">
        <f>DischargeCoeff(INDEX('Route Data'!$I$7:$I$8,E688), INDEX('Route Data'!$L$7:$L$8,E688)*2*PI()/60, INDEX('Route Data'!$F$7:$F$8,E688))</f>
        <v>0.15939200179827354</v>
      </c>
      <c r="J688" s="8">
        <f>FlowAngleRel(INDEX('Route Data'!$J$7:$J$8,E688)*INDEX('Route Data'!$I$7:$I$8,E688), INDEX('Route Data'!$L$7:$L$8,E688)*2*PI()/60, INDEX('Route Data'!$F$7:$F$8,E688),INDEX('Route Data'!$O$7:$O$8,E688), INDEX('Route Data'!$P$7:$P$8,E688),INDEX('Route Data'!$M$7:$M$8,E688))</f>
        <v>1.130811765868994</v>
      </c>
      <c r="K688" s="8">
        <f>FlowAngleAbsT(INDEX('Route Data'!$K$7:$K$8,E688), INDEX('Route Data'!$I$7:$I$8,E688), INDEX('Route Data'!$I$7:$I$8,E688)*INDEX('Route Data'!$J$7:$J$8,E688), INDEX('Route Data'!$L$7:$L$8,E688)*2*PI()/60, INDEX('Route Data'!$F$7:$F$8,E688),INDEX('Route Data'!$O$7:$O$8,E688), INDEX('Route Data'!$P$7:$P$8,E688), INDEX('Route Data'!$H$7:$H$8,E688), INDEX('Route Data'!$Q$7:$Q$8,E688), INDEX('Route Data'!$M$7:$M$8,E688))</f>
        <v>0.51617226640175828</v>
      </c>
      <c r="L688" s="5">
        <f>INDEX('Route Data'!$N$7:$N$8,E688)</f>
        <v>0.4</v>
      </c>
      <c r="M688" s="8">
        <v>2.1134734153747559E-2</v>
      </c>
      <c r="N688" s="8">
        <f>ProbStrikeFrancis(K688, I688, L688, INDEX('Route Data'!$G$7:$G$8,E688),C688, INDEX('Route Data'!$F$7:$F$8,E688), INDEX('Route Data'!$O$7:$O$8,E688), INDEX('Route Data'!$H$7:$H$18,E688))</f>
        <v>1</v>
      </c>
      <c r="O688" s="5" t="str">
        <f>IF(F688&gt;=1,IF(M688&lt;=N688,"STRIKE","pass"),IF(M688&lt;=INDEX('Route Data'!$R$7:$R$8,E688),"NO PASS","pass"))</f>
        <v>STRIKE</v>
      </c>
      <c r="P688" s="5">
        <f>IF(F688&gt;=1,IF(M688&lt;=N688,1,0),IF(M688&lt;=INDEX('Route Data'!$R$7:$R$8,E688),-1,0))</f>
        <v>1</v>
      </c>
    </row>
    <row r="689" spans="1:16">
      <c r="A689" s="5">
        <v>679</v>
      </c>
      <c r="B689" s="12">
        <v>28.59</v>
      </c>
      <c r="C689" s="12">
        <f t="shared" si="10"/>
        <v>2.38</v>
      </c>
      <c r="D689" s="8">
        <v>0.91805607080459595</v>
      </c>
      <c r="E689" s="5">
        <f>MATCH(D689,'Route Data'!$C$7:$C$8,1)</f>
        <v>2</v>
      </c>
      <c r="F689" s="5">
        <f>INDEX('Route Data'!$D$7:$D$8,E689)</f>
        <v>1</v>
      </c>
      <c r="G689" s="5" t="str">
        <f>INDEX('Route Data'!$A$7:$A$8,E689)</f>
        <v>u18</v>
      </c>
      <c r="H689" s="5">
        <f>EnergyCoeff(INDEX('Route Data'!$K$7:$K$8,E689),INDEX('Route Data'!$L$7:$L$8,E689)*2*PI()/60,INDEX('Route Data'!$F$7:$F$8,E689))</f>
        <v>0.19430699130049439</v>
      </c>
      <c r="I689" s="5">
        <f>DischargeCoeff(INDEX('Route Data'!$I$7:$I$8,E689), INDEX('Route Data'!$L$7:$L$8,E689)*2*PI()/60, INDEX('Route Data'!$F$7:$F$8,E689))</f>
        <v>0.15939200179827354</v>
      </c>
      <c r="J689" s="8">
        <f>FlowAngleRel(INDEX('Route Data'!$J$7:$J$8,E689)*INDEX('Route Data'!$I$7:$I$8,E689), INDEX('Route Data'!$L$7:$L$8,E689)*2*PI()/60, INDEX('Route Data'!$F$7:$F$8,E689),INDEX('Route Data'!$O$7:$O$8,E689), INDEX('Route Data'!$P$7:$P$8,E689),INDEX('Route Data'!$M$7:$M$8,E689))</f>
        <v>1.130811765868994</v>
      </c>
      <c r="K689" s="8">
        <f>FlowAngleAbsT(INDEX('Route Data'!$K$7:$K$8,E689), INDEX('Route Data'!$I$7:$I$8,E689), INDEX('Route Data'!$I$7:$I$8,E689)*INDEX('Route Data'!$J$7:$J$8,E689), INDEX('Route Data'!$L$7:$L$8,E689)*2*PI()/60, INDEX('Route Data'!$F$7:$F$8,E689),INDEX('Route Data'!$O$7:$O$8,E689), INDEX('Route Data'!$P$7:$P$8,E689), INDEX('Route Data'!$H$7:$H$8,E689), INDEX('Route Data'!$Q$7:$Q$8,E689), INDEX('Route Data'!$M$7:$M$8,E689))</f>
        <v>0.51617226640175828</v>
      </c>
      <c r="L689" s="5">
        <f>INDEX('Route Data'!$N$7:$N$8,E689)</f>
        <v>0.4</v>
      </c>
      <c r="M689" s="8">
        <v>0.31357580423355103</v>
      </c>
      <c r="N689" s="8">
        <f>ProbStrikeFrancis(K689, I689, L689, INDEX('Route Data'!$G$7:$G$8,E689),C689, INDEX('Route Data'!$F$7:$F$8,E689), INDEX('Route Data'!$O$7:$O$8,E689), INDEX('Route Data'!$H$7:$H$18,E689))</f>
        <v>1</v>
      </c>
      <c r="O689" s="5" t="str">
        <f>IF(F689&gt;=1,IF(M689&lt;=N689,"STRIKE","pass"),IF(M689&lt;=INDEX('Route Data'!$R$7:$R$8,E689),"NO PASS","pass"))</f>
        <v>STRIKE</v>
      </c>
      <c r="P689" s="5">
        <f>IF(F689&gt;=1,IF(M689&lt;=N689,1,0),IF(M689&lt;=INDEX('Route Data'!$R$7:$R$8,E689),-1,0))</f>
        <v>1</v>
      </c>
    </row>
    <row r="690" spans="1:16">
      <c r="A690" s="5">
        <v>680</v>
      </c>
      <c r="B690" s="12">
        <v>19.190000000000001</v>
      </c>
      <c r="C690" s="12">
        <f t="shared" si="10"/>
        <v>1.6</v>
      </c>
      <c r="D690" s="8">
        <v>0.80056142807006836</v>
      </c>
      <c r="E690" s="5">
        <f>MATCH(D690,'Route Data'!$C$7:$C$8,1)</f>
        <v>2</v>
      </c>
      <c r="F690" s="5">
        <f>INDEX('Route Data'!$D$7:$D$8,E690)</f>
        <v>1</v>
      </c>
      <c r="G690" s="5" t="str">
        <f>INDEX('Route Data'!$A$7:$A$8,E690)</f>
        <v>u18</v>
      </c>
      <c r="H690" s="5">
        <f>EnergyCoeff(INDEX('Route Data'!$K$7:$K$8,E690),INDEX('Route Data'!$L$7:$L$8,E690)*2*PI()/60,INDEX('Route Data'!$F$7:$F$8,E690))</f>
        <v>0.19430699130049439</v>
      </c>
      <c r="I690" s="5">
        <f>DischargeCoeff(INDEX('Route Data'!$I$7:$I$8,E690), INDEX('Route Data'!$L$7:$L$8,E690)*2*PI()/60, INDEX('Route Data'!$F$7:$F$8,E690))</f>
        <v>0.15939200179827354</v>
      </c>
      <c r="J690" s="8">
        <f>FlowAngleRel(INDEX('Route Data'!$J$7:$J$8,E690)*INDEX('Route Data'!$I$7:$I$8,E690), INDEX('Route Data'!$L$7:$L$8,E690)*2*PI()/60, INDEX('Route Data'!$F$7:$F$8,E690),INDEX('Route Data'!$O$7:$O$8,E690), INDEX('Route Data'!$P$7:$P$8,E690),INDEX('Route Data'!$M$7:$M$8,E690))</f>
        <v>1.130811765868994</v>
      </c>
      <c r="K690" s="8">
        <f>FlowAngleAbsT(INDEX('Route Data'!$K$7:$K$8,E690), INDEX('Route Data'!$I$7:$I$8,E690), INDEX('Route Data'!$I$7:$I$8,E690)*INDEX('Route Data'!$J$7:$J$8,E690), INDEX('Route Data'!$L$7:$L$8,E690)*2*PI()/60, INDEX('Route Data'!$F$7:$F$8,E690),INDEX('Route Data'!$O$7:$O$8,E690), INDEX('Route Data'!$P$7:$P$8,E690), INDEX('Route Data'!$H$7:$H$8,E690), INDEX('Route Data'!$Q$7:$Q$8,E690), INDEX('Route Data'!$M$7:$M$8,E690))</f>
        <v>0.51617226640175828</v>
      </c>
      <c r="L690" s="5">
        <f>INDEX('Route Data'!$N$7:$N$8,E690)</f>
        <v>0.4</v>
      </c>
      <c r="M690" s="8">
        <v>0.17067337036132813</v>
      </c>
      <c r="N690" s="8">
        <f>ProbStrikeFrancis(K690, I690, L690, INDEX('Route Data'!$G$7:$G$8,E690),C690, INDEX('Route Data'!$F$7:$F$8,E690), INDEX('Route Data'!$O$7:$O$8,E690), INDEX('Route Data'!$H$7:$H$18,E690))</f>
        <v>1</v>
      </c>
      <c r="O690" s="5" t="str">
        <f>IF(F690&gt;=1,IF(M690&lt;=N690,"STRIKE","pass"),IF(M690&lt;=INDEX('Route Data'!$R$7:$R$8,E690),"NO PASS","pass"))</f>
        <v>STRIKE</v>
      </c>
      <c r="P690" s="5">
        <f>IF(F690&gt;=1,IF(M690&lt;=N690,1,0),IF(M690&lt;=INDEX('Route Data'!$R$7:$R$8,E690),-1,0))</f>
        <v>1</v>
      </c>
    </row>
    <row r="691" spans="1:16">
      <c r="A691" s="5">
        <v>681</v>
      </c>
      <c r="B691" s="12">
        <v>19.329999999999998</v>
      </c>
      <c r="C691" s="12">
        <f t="shared" si="10"/>
        <v>1.61</v>
      </c>
      <c r="D691" s="8">
        <v>0.15304535627365112</v>
      </c>
      <c r="E691" s="5">
        <f>MATCH(D691,'Route Data'!$C$7:$C$8,1)</f>
        <v>2</v>
      </c>
      <c r="F691" s="5">
        <f>INDEX('Route Data'!$D$7:$D$8,E691)</f>
        <v>1</v>
      </c>
      <c r="G691" s="5" t="str">
        <f>INDEX('Route Data'!$A$7:$A$8,E691)</f>
        <v>u18</v>
      </c>
      <c r="H691" s="5">
        <f>EnergyCoeff(INDEX('Route Data'!$K$7:$K$8,E691),INDEX('Route Data'!$L$7:$L$8,E691)*2*PI()/60,INDEX('Route Data'!$F$7:$F$8,E691))</f>
        <v>0.19430699130049439</v>
      </c>
      <c r="I691" s="5">
        <f>DischargeCoeff(INDEX('Route Data'!$I$7:$I$8,E691), INDEX('Route Data'!$L$7:$L$8,E691)*2*PI()/60, INDEX('Route Data'!$F$7:$F$8,E691))</f>
        <v>0.15939200179827354</v>
      </c>
      <c r="J691" s="8">
        <f>FlowAngleRel(INDEX('Route Data'!$J$7:$J$8,E691)*INDEX('Route Data'!$I$7:$I$8,E691), INDEX('Route Data'!$L$7:$L$8,E691)*2*PI()/60, INDEX('Route Data'!$F$7:$F$8,E691),INDEX('Route Data'!$O$7:$O$8,E691), INDEX('Route Data'!$P$7:$P$8,E691),INDEX('Route Data'!$M$7:$M$8,E691))</f>
        <v>1.130811765868994</v>
      </c>
      <c r="K691" s="8">
        <f>FlowAngleAbsT(INDEX('Route Data'!$K$7:$K$8,E691), INDEX('Route Data'!$I$7:$I$8,E691), INDEX('Route Data'!$I$7:$I$8,E691)*INDEX('Route Data'!$J$7:$J$8,E691), INDEX('Route Data'!$L$7:$L$8,E691)*2*PI()/60, INDEX('Route Data'!$F$7:$F$8,E691),INDEX('Route Data'!$O$7:$O$8,E691), INDEX('Route Data'!$P$7:$P$8,E691), INDEX('Route Data'!$H$7:$H$8,E691), INDEX('Route Data'!$Q$7:$Q$8,E691), INDEX('Route Data'!$M$7:$M$8,E691))</f>
        <v>0.51617226640175828</v>
      </c>
      <c r="L691" s="5">
        <f>INDEX('Route Data'!$N$7:$N$8,E691)</f>
        <v>0.4</v>
      </c>
      <c r="M691" s="8">
        <v>0.86495989561080933</v>
      </c>
      <c r="N691" s="8">
        <f>ProbStrikeFrancis(K691, I691, L691, INDEX('Route Data'!$G$7:$G$8,E691),C691, INDEX('Route Data'!$F$7:$F$8,E691), INDEX('Route Data'!$O$7:$O$8,E691), INDEX('Route Data'!$H$7:$H$18,E691))</f>
        <v>1</v>
      </c>
      <c r="O691" s="5" t="str">
        <f>IF(F691&gt;=1,IF(M691&lt;=N691,"STRIKE","pass"),IF(M691&lt;=INDEX('Route Data'!$R$7:$R$8,E691),"NO PASS","pass"))</f>
        <v>STRIKE</v>
      </c>
      <c r="P691" s="5">
        <f>IF(F691&gt;=1,IF(M691&lt;=N691,1,0),IF(M691&lt;=INDEX('Route Data'!$R$7:$R$8,E691),-1,0))</f>
        <v>1</v>
      </c>
    </row>
    <row r="692" spans="1:16">
      <c r="A692" s="5">
        <v>682</v>
      </c>
      <c r="B692" s="12">
        <v>18.899999999999999</v>
      </c>
      <c r="C692" s="12">
        <f t="shared" si="10"/>
        <v>1.58</v>
      </c>
      <c r="D692" s="8">
        <v>9.5593571662902832E-2</v>
      </c>
      <c r="E692" s="5">
        <f>MATCH(D692,'Route Data'!$C$7:$C$8,1)</f>
        <v>2</v>
      </c>
      <c r="F692" s="5">
        <f>INDEX('Route Data'!$D$7:$D$8,E692)</f>
        <v>1</v>
      </c>
      <c r="G692" s="5" t="str">
        <f>INDEX('Route Data'!$A$7:$A$8,E692)</f>
        <v>u18</v>
      </c>
      <c r="H692" s="5">
        <f>EnergyCoeff(INDEX('Route Data'!$K$7:$K$8,E692),INDEX('Route Data'!$L$7:$L$8,E692)*2*PI()/60,INDEX('Route Data'!$F$7:$F$8,E692))</f>
        <v>0.19430699130049439</v>
      </c>
      <c r="I692" s="5">
        <f>DischargeCoeff(INDEX('Route Data'!$I$7:$I$8,E692), INDEX('Route Data'!$L$7:$L$8,E692)*2*PI()/60, INDEX('Route Data'!$F$7:$F$8,E692))</f>
        <v>0.15939200179827354</v>
      </c>
      <c r="J692" s="8">
        <f>FlowAngleRel(INDEX('Route Data'!$J$7:$J$8,E692)*INDEX('Route Data'!$I$7:$I$8,E692), INDEX('Route Data'!$L$7:$L$8,E692)*2*PI()/60, INDEX('Route Data'!$F$7:$F$8,E692),INDEX('Route Data'!$O$7:$O$8,E692), INDEX('Route Data'!$P$7:$P$8,E692),INDEX('Route Data'!$M$7:$M$8,E692))</f>
        <v>1.130811765868994</v>
      </c>
      <c r="K692" s="8">
        <f>FlowAngleAbsT(INDEX('Route Data'!$K$7:$K$8,E692), INDEX('Route Data'!$I$7:$I$8,E692), INDEX('Route Data'!$I$7:$I$8,E692)*INDEX('Route Data'!$J$7:$J$8,E692), INDEX('Route Data'!$L$7:$L$8,E692)*2*PI()/60, INDEX('Route Data'!$F$7:$F$8,E692),INDEX('Route Data'!$O$7:$O$8,E692), INDEX('Route Data'!$P$7:$P$8,E692), INDEX('Route Data'!$H$7:$H$8,E692), INDEX('Route Data'!$Q$7:$Q$8,E692), INDEX('Route Data'!$M$7:$M$8,E692))</f>
        <v>0.51617226640175828</v>
      </c>
      <c r="L692" s="5">
        <f>INDEX('Route Data'!$N$7:$N$8,E692)</f>
        <v>0.4</v>
      </c>
      <c r="M692" s="8">
        <v>0.51652109622955322</v>
      </c>
      <c r="N692" s="8">
        <f>ProbStrikeFrancis(K692, I692, L692, INDEX('Route Data'!$G$7:$G$8,E692),C692, INDEX('Route Data'!$F$7:$F$8,E692), INDEX('Route Data'!$O$7:$O$8,E692), INDEX('Route Data'!$H$7:$H$18,E692))</f>
        <v>1</v>
      </c>
      <c r="O692" s="5" t="str">
        <f>IF(F692&gt;=1,IF(M692&lt;=N692,"STRIKE","pass"),IF(M692&lt;=INDEX('Route Data'!$R$7:$R$8,E692),"NO PASS","pass"))</f>
        <v>STRIKE</v>
      </c>
      <c r="P692" s="5">
        <f>IF(F692&gt;=1,IF(M692&lt;=N692,1,0),IF(M692&lt;=INDEX('Route Data'!$R$7:$R$8,E692),-1,0))</f>
        <v>1</v>
      </c>
    </row>
    <row r="693" spans="1:16">
      <c r="A693" s="5">
        <v>683</v>
      </c>
      <c r="B693" s="12">
        <v>20.059999999999999</v>
      </c>
      <c r="C693" s="12">
        <f t="shared" si="10"/>
        <v>1.67</v>
      </c>
      <c r="D693" s="8">
        <v>0.53352814912796021</v>
      </c>
      <c r="E693" s="5">
        <f>MATCH(D693,'Route Data'!$C$7:$C$8,1)</f>
        <v>2</v>
      </c>
      <c r="F693" s="5">
        <f>INDEX('Route Data'!$D$7:$D$8,E693)</f>
        <v>1</v>
      </c>
      <c r="G693" s="5" t="str">
        <f>INDEX('Route Data'!$A$7:$A$8,E693)</f>
        <v>u18</v>
      </c>
      <c r="H693" s="5">
        <f>EnergyCoeff(INDEX('Route Data'!$K$7:$K$8,E693),INDEX('Route Data'!$L$7:$L$8,E693)*2*PI()/60,INDEX('Route Data'!$F$7:$F$8,E693))</f>
        <v>0.19430699130049439</v>
      </c>
      <c r="I693" s="5">
        <f>DischargeCoeff(INDEX('Route Data'!$I$7:$I$8,E693), INDEX('Route Data'!$L$7:$L$8,E693)*2*PI()/60, INDEX('Route Data'!$F$7:$F$8,E693))</f>
        <v>0.15939200179827354</v>
      </c>
      <c r="J693" s="8">
        <f>FlowAngleRel(INDEX('Route Data'!$J$7:$J$8,E693)*INDEX('Route Data'!$I$7:$I$8,E693), INDEX('Route Data'!$L$7:$L$8,E693)*2*PI()/60, INDEX('Route Data'!$F$7:$F$8,E693),INDEX('Route Data'!$O$7:$O$8,E693), INDEX('Route Data'!$P$7:$P$8,E693),INDEX('Route Data'!$M$7:$M$8,E693))</f>
        <v>1.130811765868994</v>
      </c>
      <c r="K693" s="8">
        <f>FlowAngleAbsT(INDEX('Route Data'!$K$7:$K$8,E693), INDEX('Route Data'!$I$7:$I$8,E693), INDEX('Route Data'!$I$7:$I$8,E693)*INDEX('Route Data'!$J$7:$J$8,E693), INDEX('Route Data'!$L$7:$L$8,E693)*2*PI()/60, INDEX('Route Data'!$F$7:$F$8,E693),INDEX('Route Data'!$O$7:$O$8,E693), INDEX('Route Data'!$P$7:$P$8,E693), INDEX('Route Data'!$H$7:$H$8,E693), INDEX('Route Data'!$Q$7:$Q$8,E693), INDEX('Route Data'!$M$7:$M$8,E693))</f>
        <v>0.51617226640175828</v>
      </c>
      <c r="L693" s="5">
        <f>INDEX('Route Data'!$N$7:$N$8,E693)</f>
        <v>0.4</v>
      </c>
      <c r="M693" s="8">
        <v>0.56183749437332153</v>
      </c>
      <c r="N693" s="8">
        <f>ProbStrikeFrancis(K693, I693, L693, INDEX('Route Data'!$G$7:$G$8,E693),C693, INDEX('Route Data'!$F$7:$F$8,E693), INDEX('Route Data'!$O$7:$O$8,E693), INDEX('Route Data'!$H$7:$H$18,E693))</f>
        <v>1</v>
      </c>
      <c r="O693" s="5" t="str">
        <f>IF(F693&gt;=1,IF(M693&lt;=N693,"STRIKE","pass"),IF(M693&lt;=INDEX('Route Data'!$R$7:$R$8,E693),"NO PASS","pass"))</f>
        <v>STRIKE</v>
      </c>
      <c r="P693" s="5">
        <f>IF(F693&gt;=1,IF(M693&lt;=N693,1,0),IF(M693&lt;=INDEX('Route Data'!$R$7:$R$8,E693),-1,0))</f>
        <v>1</v>
      </c>
    </row>
    <row r="694" spans="1:16">
      <c r="A694" s="5">
        <v>684</v>
      </c>
      <c r="B694" s="12">
        <v>23.78</v>
      </c>
      <c r="C694" s="12">
        <f t="shared" si="10"/>
        <v>1.98</v>
      </c>
      <c r="D694" s="8">
        <v>0.95414519309997559</v>
      </c>
      <c r="E694" s="5">
        <f>MATCH(D694,'Route Data'!$C$7:$C$8,1)</f>
        <v>2</v>
      </c>
      <c r="F694" s="5">
        <f>INDEX('Route Data'!$D$7:$D$8,E694)</f>
        <v>1</v>
      </c>
      <c r="G694" s="5" t="str">
        <f>INDEX('Route Data'!$A$7:$A$8,E694)</f>
        <v>u18</v>
      </c>
      <c r="H694" s="5">
        <f>EnergyCoeff(INDEX('Route Data'!$K$7:$K$8,E694),INDEX('Route Data'!$L$7:$L$8,E694)*2*PI()/60,INDEX('Route Data'!$F$7:$F$8,E694))</f>
        <v>0.19430699130049439</v>
      </c>
      <c r="I694" s="5">
        <f>DischargeCoeff(INDEX('Route Data'!$I$7:$I$8,E694), INDEX('Route Data'!$L$7:$L$8,E694)*2*PI()/60, INDEX('Route Data'!$F$7:$F$8,E694))</f>
        <v>0.15939200179827354</v>
      </c>
      <c r="J694" s="8">
        <f>FlowAngleRel(INDEX('Route Data'!$J$7:$J$8,E694)*INDEX('Route Data'!$I$7:$I$8,E694), INDEX('Route Data'!$L$7:$L$8,E694)*2*PI()/60, INDEX('Route Data'!$F$7:$F$8,E694),INDEX('Route Data'!$O$7:$O$8,E694), INDEX('Route Data'!$P$7:$P$8,E694),INDEX('Route Data'!$M$7:$M$8,E694))</f>
        <v>1.130811765868994</v>
      </c>
      <c r="K694" s="8">
        <f>FlowAngleAbsT(INDEX('Route Data'!$K$7:$K$8,E694), INDEX('Route Data'!$I$7:$I$8,E694), INDEX('Route Data'!$I$7:$I$8,E694)*INDEX('Route Data'!$J$7:$J$8,E694), INDEX('Route Data'!$L$7:$L$8,E694)*2*PI()/60, INDEX('Route Data'!$F$7:$F$8,E694),INDEX('Route Data'!$O$7:$O$8,E694), INDEX('Route Data'!$P$7:$P$8,E694), INDEX('Route Data'!$H$7:$H$8,E694), INDEX('Route Data'!$Q$7:$Q$8,E694), INDEX('Route Data'!$M$7:$M$8,E694))</f>
        <v>0.51617226640175828</v>
      </c>
      <c r="L694" s="5">
        <f>INDEX('Route Data'!$N$7:$N$8,E694)</f>
        <v>0.4</v>
      </c>
      <c r="M694" s="8">
        <v>0.9570467472076416</v>
      </c>
      <c r="N694" s="8">
        <f>ProbStrikeFrancis(K694, I694, L694, INDEX('Route Data'!$G$7:$G$8,E694),C694, INDEX('Route Data'!$F$7:$F$8,E694), INDEX('Route Data'!$O$7:$O$8,E694), INDEX('Route Data'!$H$7:$H$18,E694))</f>
        <v>1</v>
      </c>
      <c r="O694" s="5" t="str">
        <f>IF(F694&gt;=1,IF(M694&lt;=N694,"STRIKE","pass"),IF(M694&lt;=INDEX('Route Data'!$R$7:$R$8,E694),"NO PASS","pass"))</f>
        <v>STRIKE</v>
      </c>
      <c r="P694" s="5">
        <f>IF(F694&gt;=1,IF(M694&lt;=N694,1,0),IF(M694&lt;=INDEX('Route Data'!$R$7:$R$8,E694),-1,0))</f>
        <v>1</v>
      </c>
    </row>
    <row r="695" spans="1:16">
      <c r="A695" s="5">
        <v>685</v>
      </c>
      <c r="B695" s="12">
        <v>25.03</v>
      </c>
      <c r="C695" s="12">
        <f t="shared" si="10"/>
        <v>2.09</v>
      </c>
      <c r="D695" s="8">
        <v>0.42671483755111694</v>
      </c>
      <c r="E695" s="5">
        <f>MATCH(D695,'Route Data'!$C$7:$C$8,1)</f>
        <v>2</v>
      </c>
      <c r="F695" s="5">
        <f>INDEX('Route Data'!$D$7:$D$8,E695)</f>
        <v>1</v>
      </c>
      <c r="G695" s="5" t="str">
        <f>INDEX('Route Data'!$A$7:$A$8,E695)</f>
        <v>u18</v>
      </c>
      <c r="H695" s="5">
        <f>EnergyCoeff(INDEX('Route Data'!$K$7:$K$8,E695),INDEX('Route Data'!$L$7:$L$8,E695)*2*PI()/60,INDEX('Route Data'!$F$7:$F$8,E695))</f>
        <v>0.19430699130049439</v>
      </c>
      <c r="I695" s="5">
        <f>DischargeCoeff(INDEX('Route Data'!$I$7:$I$8,E695), INDEX('Route Data'!$L$7:$L$8,E695)*2*PI()/60, INDEX('Route Data'!$F$7:$F$8,E695))</f>
        <v>0.15939200179827354</v>
      </c>
      <c r="J695" s="8">
        <f>FlowAngleRel(INDEX('Route Data'!$J$7:$J$8,E695)*INDEX('Route Data'!$I$7:$I$8,E695), INDEX('Route Data'!$L$7:$L$8,E695)*2*PI()/60, INDEX('Route Data'!$F$7:$F$8,E695),INDEX('Route Data'!$O$7:$O$8,E695), INDEX('Route Data'!$P$7:$P$8,E695),INDEX('Route Data'!$M$7:$M$8,E695))</f>
        <v>1.130811765868994</v>
      </c>
      <c r="K695" s="8">
        <f>FlowAngleAbsT(INDEX('Route Data'!$K$7:$K$8,E695), INDEX('Route Data'!$I$7:$I$8,E695), INDEX('Route Data'!$I$7:$I$8,E695)*INDEX('Route Data'!$J$7:$J$8,E695), INDEX('Route Data'!$L$7:$L$8,E695)*2*PI()/60, INDEX('Route Data'!$F$7:$F$8,E695),INDEX('Route Data'!$O$7:$O$8,E695), INDEX('Route Data'!$P$7:$P$8,E695), INDEX('Route Data'!$H$7:$H$8,E695), INDEX('Route Data'!$Q$7:$Q$8,E695), INDEX('Route Data'!$M$7:$M$8,E695))</f>
        <v>0.51617226640175828</v>
      </c>
      <c r="L695" s="5">
        <f>INDEX('Route Data'!$N$7:$N$8,E695)</f>
        <v>0.4</v>
      </c>
      <c r="M695" s="8">
        <v>0.5058397650718689</v>
      </c>
      <c r="N695" s="8">
        <f>ProbStrikeFrancis(K695, I695, L695, INDEX('Route Data'!$G$7:$G$8,E695),C695, INDEX('Route Data'!$F$7:$F$8,E695), INDEX('Route Data'!$O$7:$O$8,E695), INDEX('Route Data'!$H$7:$H$18,E695))</f>
        <v>1</v>
      </c>
      <c r="O695" s="5" t="str">
        <f>IF(F695&gt;=1,IF(M695&lt;=N695,"STRIKE","pass"),IF(M695&lt;=INDEX('Route Data'!$R$7:$R$8,E695),"NO PASS","pass"))</f>
        <v>STRIKE</v>
      </c>
      <c r="P695" s="5">
        <f>IF(F695&gt;=1,IF(M695&lt;=N695,1,0),IF(M695&lt;=INDEX('Route Data'!$R$7:$R$8,E695),-1,0))</f>
        <v>1</v>
      </c>
    </row>
    <row r="696" spans="1:16">
      <c r="A696" s="5">
        <v>686</v>
      </c>
      <c r="B696" s="12">
        <v>27.24</v>
      </c>
      <c r="C696" s="12">
        <f t="shared" si="10"/>
        <v>2.27</v>
      </c>
      <c r="D696" s="8">
        <v>0.27458512783050537</v>
      </c>
      <c r="E696" s="5">
        <f>MATCH(D696,'Route Data'!$C$7:$C$8,1)</f>
        <v>2</v>
      </c>
      <c r="F696" s="5">
        <f>INDEX('Route Data'!$D$7:$D$8,E696)</f>
        <v>1</v>
      </c>
      <c r="G696" s="5" t="str">
        <f>INDEX('Route Data'!$A$7:$A$8,E696)</f>
        <v>u18</v>
      </c>
      <c r="H696" s="5">
        <f>EnergyCoeff(INDEX('Route Data'!$K$7:$K$8,E696),INDEX('Route Data'!$L$7:$L$8,E696)*2*PI()/60,INDEX('Route Data'!$F$7:$F$8,E696))</f>
        <v>0.19430699130049439</v>
      </c>
      <c r="I696" s="5">
        <f>DischargeCoeff(INDEX('Route Data'!$I$7:$I$8,E696), INDEX('Route Data'!$L$7:$L$8,E696)*2*PI()/60, INDEX('Route Data'!$F$7:$F$8,E696))</f>
        <v>0.15939200179827354</v>
      </c>
      <c r="J696" s="8">
        <f>FlowAngleRel(INDEX('Route Data'!$J$7:$J$8,E696)*INDEX('Route Data'!$I$7:$I$8,E696), INDEX('Route Data'!$L$7:$L$8,E696)*2*PI()/60, INDEX('Route Data'!$F$7:$F$8,E696),INDEX('Route Data'!$O$7:$O$8,E696), INDEX('Route Data'!$P$7:$P$8,E696),INDEX('Route Data'!$M$7:$M$8,E696))</f>
        <v>1.130811765868994</v>
      </c>
      <c r="K696" s="8">
        <f>FlowAngleAbsT(INDEX('Route Data'!$K$7:$K$8,E696), INDEX('Route Data'!$I$7:$I$8,E696), INDEX('Route Data'!$I$7:$I$8,E696)*INDEX('Route Data'!$J$7:$J$8,E696), INDEX('Route Data'!$L$7:$L$8,E696)*2*PI()/60, INDEX('Route Data'!$F$7:$F$8,E696),INDEX('Route Data'!$O$7:$O$8,E696), INDEX('Route Data'!$P$7:$P$8,E696), INDEX('Route Data'!$H$7:$H$8,E696), INDEX('Route Data'!$Q$7:$Q$8,E696), INDEX('Route Data'!$M$7:$M$8,E696))</f>
        <v>0.51617226640175828</v>
      </c>
      <c r="L696" s="5">
        <f>INDEX('Route Data'!$N$7:$N$8,E696)</f>
        <v>0.4</v>
      </c>
      <c r="M696" s="8">
        <v>0.59388148784637451</v>
      </c>
      <c r="N696" s="8">
        <f>ProbStrikeFrancis(K696, I696, L696, INDEX('Route Data'!$G$7:$G$8,E696),C696, INDEX('Route Data'!$F$7:$F$8,E696), INDEX('Route Data'!$O$7:$O$8,E696), INDEX('Route Data'!$H$7:$H$18,E696))</f>
        <v>1</v>
      </c>
      <c r="O696" s="5" t="str">
        <f>IF(F696&gt;=1,IF(M696&lt;=N696,"STRIKE","pass"),IF(M696&lt;=INDEX('Route Data'!$R$7:$R$8,E696),"NO PASS","pass"))</f>
        <v>STRIKE</v>
      </c>
      <c r="P696" s="5">
        <f>IF(F696&gt;=1,IF(M696&lt;=N696,1,0),IF(M696&lt;=INDEX('Route Data'!$R$7:$R$8,E696),-1,0))</f>
        <v>1</v>
      </c>
    </row>
    <row r="697" spans="1:16">
      <c r="A697" s="5">
        <v>687</v>
      </c>
      <c r="B697" s="12">
        <v>22.59</v>
      </c>
      <c r="C697" s="12">
        <f t="shared" si="10"/>
        <v>1.88</v>
      </c>
      <c r="D697" s="8">
        <v>0.19981580972671509</v>
      </c>
      <c r="E697" s="5">
        <f>MATCH(D697,'Route Data'!$C$7:$C$8,1)</f>
        <v>2</v>
      </c>
      <c r="F697" s="5">
        <f>INDEX('Route Data'!$D$7:$D$8,E697)</f>
        <v>1</v>
      </c>
      <c r="G697" s="5" t="str">
        <f>INDEX('Route Data'!$A$7:$A$8,E697)</f>
        <v>u18</v>
      </c>
      <c r="H697" s="5">
        <f>EnergyCoeff(INDEX('Route Data'!$K$7:$K$8,E697),INDEX('Route Data'!$L$7:$L$8,E697)*2*PI()/60,INDEX('Route Data'!$F$7:$F$8,E697))</f>
        <v>0.19430699130049439</v>
      </c>
      <c r="I697" s="5">
        <f>DischargeCoeff(INDEX('Route Data'!$I$7:$I$8,E697), INDEX('Route Data'!$L$7:$L$8,E697)*2*PI()/60, INDEX('Route Data'!$F$7:$F$8,E697))</f>
        <v>0.15939200179827354</v>
      </c>
      <c r="J697" s="8">
        <f>FlowAngleRel(INDEX('Route Data'!$J$7:$J$8,E697)*INDEX('Route Data'!$I$7:$I$8,E697), INDEX('Route Data'!$L$7:$L$8,E697)*2*PI()/60, INDEX('Route Data'!$F$7:$F$8,E697),INDEX('Route Data'!$O$7:$O$8,E697), INDEX('Route Data'!$P$7:$P$8,E697),INDEX('Route Data'!$M$7:$M$8,E697))</f>
        <v>1.130811765868994</v>
      </c>
      <c r="K697" s="8">
        <f>FlowAngleAbsT(INDEX('Route Data'!$K$7:$K$8,E697), INDEX('Route Data'!$I$7:$I$8,E697), INDEX('Route Data'!$I$7:$I$8,E697)*INDEX('Route Data'!$J$7:$J$8,E697), INDEX('Route Data'!$L$7:$L$8,E697)*2*PI()/60, INDEX('Route Data'!$F$7:$F$8,E697),INDEX('Route Data'!$O$7:$O$8,E697), INDEX('Route Data'!$P$7:$P$8,E697), INDEX('Route Data'!$H$7:$H$8,E697), INDEX('Route Data'!$Q$7:$Q$8,E697), INDEX('Route Data'!$M$7:$M$8,E697))</f>
        <v>0.51617226640175828</v>
      </c>
      <c r="L697" s="5">
        <f>INDEX('Route Data'!$N$7:$N$8,E697)</f>
        <v>0.4</v>
      </c>
      <c r="M697" s="8">
        <v>0.86091476678848267</v>
      </c>
      <c r="N697" s="8">
        <f>ProbStrikeFrancis(K697, I697, L697, INDEX('Route Data'!$G$7:$G$8,E697),C697, INDEX('Route Data'!$F$7:$F$8,E697), INDEX('Route Data'!$O$7:$O$8,E697), INDEX('Route Data'!$H$7:$H$18,E697))</f>
        <v>1</v>
      </c>
      <c r="O697" s="5" t="str">
        <f>IF(F697&gt;=1,IF(M697&lt;=N697,"STRIKE","pass"),IF(M697&lt;=INDEX('Route Data'!$R$7:$R$8,E697),"NO PASS","pass"))</f>
        <v>STRIKE</v>
      </c>
      <c r="P697" s="5">
        <f>IF(F697&gt;=1,IF(M697&lt;=N697,1,0),IF(M697&lt;=INDEX('Route Data'!$R$7:$R$8,E697),-1,0))</f>
        <v>1</v>
      </c>
    </row>
    <row r="698" spans="1:16">
      <c r="A698" s="5">
        <v>688</v>
      </c>
      <c r="B698" s="12">
        <v>24.73</v>
      </c>
      <c r="C698" s="12">
        <f t="shared" si="10"/>
        <v>2.06</v>
      </c>
      <c r="D698" s="8">
        <v>0.42412376403808594</v>
      </c>
      <c r="E698" s="5">
        <f>MATCH(D698,'Route Data'!$C$7:$C$8,1)</f>
        <v>2</v>
      </c>
      <c r="F698" s="5">
        <f>INDEX('Route Data'!$D$7:$D$8,E698)</f>
        <v>1</v>
      </c>
      <c r="G698" s="5" t="str">
        <f>INDEX('Route Data'!$A$7:$A$8,E698)</f>
        <v>u18</v>
      </c>
      <c r="H698" s="5">
        <f>EnergyCoeff(INDEX('Route Data'!$K$7:$K$8,E698),INDEX('Route Data'!$L$7:$L$8,E698)*2*PI()/60,INDEX('Route Data'!$F$7:$F$8,E698))</f>
        <v>0.19430699130049439</v>
      </c>
      <c r="I698" s="5">
        <f>DischargeCoeff(INDEX('Route Data'!$I$7:$I$8,E698), INDEX('Route Data'!$L$7:$L$8,E698)*2*PI()/60, INDEX('Route Data'!$F$7:$F$8,E698))</f>
        <v>0.15939200179827354</v>
      </c>
      <c r="J698" s="8">
        <f>FlowAngleRel(INDEX('Route Data'!$J$7:$J$8,E698)*INDEX('Route Data'!$I$7:$I$8,E698), INDEX('Route Data'!$L$7:$L$8,E698)*2*PI()/60, INDEX('Route Data'!$F$7:$F$8,E698),INDEX('Route Data'!$O$7:$O$8,E698), INDEX('Route Data'!$P$7:$P$8,E698),INDEX('Route Data'!$M$7:$M$8,E698))</f>
        <v>1.130811765868994</v>
      </c>
      <c r="K698" s="8">
        <f>FlowAngleAbsT(INDEX('Route Data'!$K$7:$K$8,E698), INDEX('Route Data'!$I$7:$I$8,E698), INDEX('Route Data'!$I$7:$I$8,E698)*INDEX('Route Data'!$J$7:$J$8,E698), INDEX('Route Data'!$L$7:$L$8,E698)*2*PI()/60, INDEX('Route Data'!$F$7:$F$8,E698),INDEX('Route Data'!$O$7:$O$8,E698), INDEX('Route Data'!$P$7:$P$8,E698), INDEX('Route Data'!$H$7:$H$8,E698), INDEX('Route Data'!$Q$7:$Q$8,E698), INDEX('Route Data'!$M$7:$M$8,E698))</f>
        <v>0.51617226640175828</v>
      </c>
      <c r="L698" s="5">
        <f>INDEX('Route Data'!$N$7:$N$8,E698)</f>
        <v>0.4</v>
      </c>
      <c r="M698" s="8">
        <v>5.9814929962158203E-2</v>
      </c>
      <c r="N698" s="8">
        <f>ProbStrikeFrancis(K698, I698, L698, INDEX('Route Data'!$G$7:$G$8,E698),C698, INDEX('Route Data'!$F$7:$F$8,E698), INDEX('Route Data'!$O$7:$O$8,E698), INDEX('Route Data'!$H$7:$H$18,E698))</f>
        <v>1</v>
      </c>
      <c r="O698" s="5" t="str">
        <f>IF(F698&gt;=1,IF(M698&lt;=N698,"STRIKE","pass"),IF(M698&lt;=INDEX('Route Data'!$R$7:$R$8,E698),"NO PASS","pass"))</f>
        <v>STRIKE</v>
      </c>
      <c r="P698" s="5">
        <f>IF(F698&gt;=1,IF(M698&lt;=N698,1,0),IF(M698&lt;=INDEX('Route Data'!$R$7:$R$8,E698),-1,0))</f>
        <v>1</v>
      </c>
    </row>
    <row r="699" spans="1:16">
      <c r="A699" s="5">
        <v>689</v>
      </c>
      <c r="B699" s="12">
        <v>24.58</v>
      </c>
      <c r="C699" s="12">
        <f t="shared" si="10"/>
        <v>2.0499999999999998</v>
      </c>
      <c r="D699" s="8">
        <v>0.75119990110397339</v>
      </c>
      <c r="E699" s="5">
        <f>MATCH(D699,'Route Data'!$C$7:$C$8,1)</f>
        <v>2</v>
      </c>
      <c r="F699" s="5">
        <f>INDEX('Route Data'!$D$7:$D$8,E699)</f>
        <v>1</v>
      </c>
      <c r="G699" s="5" t="str">
        <f>INDEX('Route Data'!$A$7:$A$8,E699)</f>
        <v>u18</v>
      </c>
      <c r="H699" s="5">
        <f>EnergyCoeff(INDEX('Route Data'!$K$7:$K$8,E699),INDEX('Route Data'!$L$7:$L$8,E699)*2*PI()/60,INDEX('Route Data'!$F$7:$F$8,E699))</f>
        <v>0.19430699130049439</v>
      </c>
      <c r="I699" s="5">
        <f>DischargeCoeff(INDEX('Route Data'!$I$7:$I$8,E699), INDEX('Route Data'!$L$7:$L$8,E699)*2*PI()/60, INDEX('Route Data'!$F$7:$F$8,E699))</f>
        <v>0.15939200179827354</v>
      </c>
      <c r="J699" s="8">
        <f>FlowAngleRel(INDEX('Route Data'!$J$7:$J$8,E699)*INDEX('Route Data'!$I$7:$I$8,E699), INDEX('Route Data'!$L$7:$L$8,E699)*2*PI()/60, INDEX('Route Data'!$F$7:$F$8,E699),INDEX('Route Data'!$O$7:$O$8,E699), INDEX('Route Data'!$P$7:$P$8,E699),INDEX('Route Data'!$M$7:$M$8,E699))</f>
        <v>1.130811765868994</v>
      </c>
      <c r="K699" s="8">
        <f>FlowAngleAbsT(INDEX('Route Data'!$K$7:$K$8,E699), INDEX('Route Data'!$I$7:$I$8,E699), INDEX('Route Data'!$I$7:$I$8,E699)*INDEX('Route Data'!$J$7:$J$8,E699), INDEX('Route Data'!$L$7:$L$8,E699)*2*PI()/60, INDEX('Route Data'!$F$7:$F$8,E699),INDEX('Route Data'!$O$7:$O$8,E699), INDEX('Route Data'!$P$7:$P$8,E699), INDEX('Route Data'!$H$7:$H$8,E699), INDEX('Route Data'!$Q$7:$Q$8,E699), INDEX('Route Data'!$M$7:$M$8,E699))</f>
        <v>0.51617226640175828</v>
      </c>
      <c r="L699" s="5">
        <f>INDEX('Route Data'!$N$7:$N$8,E699)</f>
        <v>0.4</v>
      </c>
      <c r="M699" s="8">
        <v>0.46311444044113159</v>
      </c>
      <c r="N699" s="8">
        <f>ProbStrikeFrancis(K699, I699, L699, INDEX('Route Data'!$G$7:$G$8,E699),C699, INDEX('Route Data'!$F$7:$F$8,E699), INDEX('Route Data'!$O$7:$O$8,E699), INDEX('Route Data'!$H$7:$H$18,E699))</f>
        <v>1</v>
      </c>
      <c r="O699" s="5" t="str">
        <f>IF(F699&gt;=1,IF(M699&lt;=N699,"STRIKE","pass"),IF(M699&lt;=INDEX('Route Data'!$R$7:$R$8,E699),"NO PASS","pass"))</f>
        <v>STRIKE</v>
      </c>
      <c r="P699" s="5">
        <f>IF(F699&gt;=1,IF(M699&lt;=N699,1,0),IF(M699&lt;=INDEX('Route Data'!$R$7:$R$8,E699),-1,0))</f>
        <v>1</v>
      </c>
    </row>
    <row r="700" spans="1:16">
      <c r="A700" s="5">
        <v>690</v>
      </c>
      <c r="B700" s="12">
        <v>17.809999999999999</v>
      </c>
      <c r="C700" s="12">
        <f t="shared" si="10"/>
        <v>1.48</v>
      </c>
      <c r="D700" s="8">
        <v>3.5550713539123535E-2</v>
      </c>
      <c r="E700" s="5">
        <f>MATCH(D700,'Route Data'!$C$7:$C$8,1)</f>
        <v>2</v>
      </c>
      <c r="F700" s="5">
        <f>INDEX('Route Data'!$D$7:$D$8,E700)</f>
        <v>1</v>
      </c>
      <c r="G700" s="5" t="str">
        <f>INDEX('Route Data'!$A$7:$A$8,E700)</f>
        <v>u18</v>
      </c>
      <c r="H700" s="5">
        <f>EnergyCoeff(INDEX('Route Data'!$K$7:$K$8,E700),INDEX('Route Data'!$L$7:$L$8,E700)*2*PI()/60,INDEX('Route Data'!$F$7:$F$8,E700))</f>
        <v>0.19430699130049439</v>
      </c>
      <c r="I700" s="5">
        <f>DischargeCoeff(INDEX('Route Data'!$I$7:$I$8,E700), INDEX('Route Data'!$L$7:$L$8,E700)*2*PI()/60, INDEX('Route Data'!$F$7:$F$8,E700))</f>
        <v>0.15939200179827354</v>
      </c>
      <c r="J700" s="8">
        <f>FlowAngleRel(INDEX('Route Data'!$J$7:$J$8,E700)*INDEX('Route Data'!$I$7:$I$8,E700), INDEX('Route Data'!$L$7:$L$8,E700)*2*PI()/60, INDEX('Route Data'!$F$7:$F$8,E700),INDEX('Route Data'!$O$7:$O$8,E700), INDEX('Route Data'!$P$7:$P$8,E700),INDEX('Route Data'!$M$7:$M$8,E700))</f>
        <v>1.130811765868994</v>
      </c>
      <c r="K700" s="8">
        <f>FlowAngleAbsT(INDEX('Route Data'!$K$7:$K$8,E700), INDEX('Route Data'!$I$7:$I$8,E700), INDEX('Route Data'!$I$7:$I$8,E700)*INDEX('Route Data'!$J$7:$J$8,E700), INDEX('Route Data'!$L$7:$L$8,E700)*2*PI()/60, INDEX('Route Data'!$F$7:$F$8,E700),INDEX('Route Data'!$O$7:$O$8,E700), INDEX('Route Data'!$P$7:$P$8,E700), INDEX('Route Data'!$H$7:$H$8,E700), INDEX('Route Data'!$Q$7:$Q$8,E700), INDEX('Route Data'!$M$7:$M$8,E700))</f>
        <v>0.51617226640175828</v>
      </c>
      <c r="L700" s="5">
        <f>INDEX('Route Data'!$N$7:$N$8,E700)</f>
        <v>0.4</v>
      </c>
      <c r="M700" s="8">
        <v>0.72205746173858643</v>
      </c>
      <c r="N700" s="8">
        <f>ProbStrikeFrancis(K700, I700, L700, INDEX('Route Data'!$G$7:$G$8,E700),C700, INDEX('Route Data'!$F$7:$F$8,E700), INDEX('Route Data'!$O$7:$O$8,E700), INDEX('Route Data'!$H$7:$H$18,E700))</f>
        <v>1</v>
      </c>
      <c r="O700" s="5" t="str">
        <f>IF(F700&gt;=1,IF(M700&lt;=N700,"STRIKE","pass"),IF(M700&lt;=INDEX('Route Data'!$R$7:$R$8,E700),"NO PASS","pass"))</f>
        <v>STRIKE</v>
      </c>
      <c r="P700" s="5">
        <f>IF(F700&gt;=1,IF(M700&lt;=N700,1,0),IF(M700&lt;=INDEX('Route Data'!$R$7:$R$8,E700),-1,0))</f>
        <v>1</v>
      </c>
    </row>
    <row r="701" spans="1:16">
      <c r="A701" s="5">
        <v>691</v>
      </c>
      <c r="B701" s="12">
        <v>19.05</v>
      </c>
      <c r="C701" s="12">
        <f t="shared" si="10"/>
        <v>1.59</v>
      </c>
      <c r="D701" s="8">
        <v>0.4480774998664856</v>
      </c>
      <c r="E701" s="5">
        <f>MATCH(D701,'Route Data'!$C$7:$C$8,1)</f>
        <v>2</v>
      </c>
      <c r="F701" s="5">
        <f>INDEX('Route Data'!$D$7:$D$8,E701)</f>
        <v>1</v>
      </c>
      <c r="G701" s="5" t="str">
        <f>INDEX('Route Data'!$A$7:$A$8,E701)</f>
        <v>u18</v>
      </c>
      <c r="H701" s="5">
        <f>EnergyCoeff(INDEX('Route Data'!$K$7:$K$8,E701),INDEX('Route Data'!$L$7:$L$8,E701)*2*PI()/60,INDEX('Route Data'!$F$7:$F$8,E701))</f>
        <v>0.19430699130049439</v>
      </c>
      <c r="I701" s="5">
        <f>DischargeCoeff(INDEX('Route Data'!$I$7:$I$8,E701), INDEX('Route Data'!$L$7:$L$8,E701)*2*PI()/60, INDEX('Route Data'!$F$7:$F$8,E701))</f>
        <v>0.15939200179827354</v>
      </c>
      <c r="J701" s="8">
        <f>FlowAngleRel(INDEX('Route Data'!$J$7:$J$8,E701)*INDEX('Route Data'!$I$7:$I$8,E701), INDEX('Route Data'!$L$7:$L$8,E701)*2*PI()/60, INDEX('Route Data'!$F$7:$F$8,E701),INDEX('Route Data'!$O$7:$O$8,E701), INDEX('Route Data'!$P$7:$P$8,E701),INDEX('Route Data'!$M$7:$M$8,E701))</f>
        <v>1.130811765868994</v>
      </c>
      <c r="K701" s="8">
        <f>FlowAngleAbsT(INDEX('Route Data'!$K$7:$K$8,E701), INDEX('Route Data'!$I$7:$I$8,E701), INDEX('Route Data'!$I$7:$I$8,E701)*INDEX('Route Data'!$J$7:$J$8,E701), INDEX('Route Data'!$L$7:$L$8,E701)*2*PI()/60, INDEX('Route Data'!$F$7:$F$8,E701),INDEX('Route Data'!$O$7:$O$8,E701), INDEX('Route Data'!$P$7:$P$8,E701), INDEX('Route Data'!$H$7:$H$8,E701), INDEX('Route Data'!$Q$7:$Q$8,E701), INDEX('Route Data'!$M$7:$M$8,E701))</f>
        <v>0.51617226640175828</v>
      </c>
      <c r="L701" s="5">
        <f>INDEX('Route Data'!$N$7:$N$8,E701)</f>
        <v>0.4</v>
      </c>
      <c r="M701" s="8">
        <v>0.47638684511184692</v>
      </c>
      <c r="N701" s="8">
        <f>ProbStrikeFrancis(K701, I701, L701, INDEX('Route Data'!$G$7:$G$8,E701),C701, INDEX('Route Data'!$F$7:$F$8,E701), INDEX('Route Data'!$O$7:$O$8,E701), INDEX('Route Data'!$H$7:$H$18,E701))</f>
        <v>1</v>
      </c>
      <c r="O701" s="5" t="str">
        <f>IF(F701&gt;=1,IF(M701&lt;=N701,"STRIKE","pass"),IF(M701&lt;=INDEX('Route Data'!$R$7:$R$8,E701),"NO PASS","pass"))</f>
        <v>STRIKE</v>
      </c>
      <c r="P701" s="5">
        <f>IF(F701&gt;=1,IF(M701&lt;=N701,1,0),IF(M701&lt;=INDEX('Route Data'!$R$7:$R$8,E701),-1,0))</f>
        <v>1</v>
      </c>
    </row>
    <row r="702" spans="1:16">
      <c r="A702" s="5">
        <v>692</v>
      </c>
      <c r="B702" s="12">
        <v>19.72</v>
      </c>
      <c r="C702" s="12">
        <f t="shared" si="10"/>
        <v>1.64</v>
      </c>
      <c r="D702" s="8">
        <v>0.21049714088439941</v>
      </c>
      <c r="E702" s="5">
        <f>MATCH(D702,'Route Data'!$C$7:$C$8,1)</f>
        <v>2</v>
      </c>
      <c r="F702" s="5">
        <f>INDEX('Route Data'!$D$7:$D$8,E702)</f>
        <v>1</v>
      </c>
      <c r="G702" s="5" t="str">
        <f>INDEX('Route Data'!$A$7:$A$8,E702)</f>
        <v>u18</v>
      </c>
      <c r="H702" s="5">
        <f>EnergyCoeff(INDEX('Route Data'!$K$7:$K$8,E702),INDEX('Route Data'!$L$7:$L$8,E702)*2*PI()/60,INDEX('Route Data'!$F$7:$F$8,E702))</f>
        <v>0.19430699130049439</v>
      </c>
      <c r="I702" s="5">
        <f>DischargeCoeff(INDEX('Route Data'!$I$7:$I$8,E702), INDEX('Route Data'!$L$7:$L$8,E702)*2*PI()/60, INDEX('Route Data'!$F$7:$F$8,E702))</f>
        <v>0.15939200179827354</v>
      </c>
      <c r="J702" s="8">
        <f>FlowAngleRel(INDEX('Route Data'!$J$7:$J$8,E702)*INDEX('Route Data'!$I$7:$I$8,E702), INDEX('Route Data'!$L$7:$L$8,E702)*2*PI()/60, INDEX('Route Data'!$F$7:$F$8,E702),INDEX('Route Data'!$O$7:$O$8,E702), INDEX('Route Data'!$P$7:$P$8,E702),INDEX('Route Data'!$M$7:$M$8,E702))</f>
        <v>1.130811765868994</v>
      </c>
      <c r="K702" s="8">
        <f>FlowAngleAbsT(INDEX('Route Data'!$K$7:$K$8,E702), INDEX('Route Data'!$I$7:$I$8,E702), INDEX('Route Data'!$I$7:$I$8,E702)*INDEX('Route Data'!$J$7:$J$8,E702), INDEX('Route Data'!$L$7:$L$8,E702)*2*PI()/60, INDEX('Route Data'!$F$7:$F$8,E702),INDEX('Route Data'!$O$7:$O$8,E702), INDEX('Route Data'!$P$7:$P$8,E702), INDEX('Route Data'!$H$7:$H$8,E702), INDEX('Route Data'!$Q$7:$Q$8,E702), INDEX('Route Data'!$M$7:$M$8,E702))</f>
        <v>0.51617226640175828</v>
      </c>
      <c r="L702" s="5">
        <f>INDEX('Route Data'!$N$7:$N$8,E702)</f>
        <v>0.4</v>
      </c>
      <c r="M702" s="8">
        <v>0.21339869499206543</v>
      </c>
      <c r="N702" s="8">
        <f>ProbStrikeFrancis(K702, I702, L702, INDEX('Route Data'!$G$7:$G$8,E702),C702, INDEX('Route Data'!$F$7:$F$8,E702), INDEX('Route Data'!$O$7:$O$8,E702), INDEX('Route Data'!$H$7:$H$18,E702))</f>
        <v>1</v>
      </c>
      <c r="O702" s="5" t="str">
        <f>IF(F702&gt;=1,IF(M702&lt;=N702,"STRIKE","pass"),IF(M702&lt;=INDEX('Route Data'!$R$7:$R$8,E702),"NO PASS","pass"))</f>
        <v>STRIKE</v>
      </c>
      <c r="P702" s="5">
        <f>IF(F702&gt;=1,IF(M702&lt;=N702,1,0),IF(M702&lt;=INDEX('Route Data'!$R$7:$R$8,E702),-1,0))</f>
        <v>1</v>
      </c>
    </row>
    <row r="703" spans="1:16">
      <c r="A703" s="5">
        <v>693</v>
      </c>
      <c r="B703" s="12">
        <v>16.7</v>
      </c>
      <c r="C703" s="12">
        <f t="shared" si="10"/>
        <v>1.39</v>
      </c>
      <c r="D703" s="8">
        <v>0.39207977056503296</v>
      </c>
      <c r="E703" s="5">
        <f>MATCH(D703,'Route Data'!$C$7:$C$8,1)</f>
        <v>2</v>
      </c>
      <c r="F703" s="5">
        <f>INDEX('Route Data'!$D$7:$D$8,E703)</f>
        <v>1</v>
      </c>
      <c r="G703" s="5" t="str">
        <f>INDEX('Route Data'!$A$7:$A$8,E703)</f>
        <v>u18</v>
      </c>
      <c r="H703" s="5">
        <f>EnergyCoeff(INDEX('Route Data'!$K$7:$K$8,E703),INDEX('Route Data'!$L$7:$L$8,E703)*2*PI()/60,INDEX('Route Data'!$F$7:$F$8,E703))</f>
        <v>0.19430699130049439</v>
      </c>
      <c r="I703" s="5">
        <f>DischargeCoeff(INDEX('Route Data'!$I$7:$I$8,E703), INDEX('Route Data'!$L$7:$L$8,E703)*2*PI()/60, INDEX('Route Data'!$F$7:$F$8,E703))</f>
        <v>0.15939200179827354</v>
      </c>
      <c r="J703" s="8">
        <f>FlowAngleRel(INDEX('Route Data'!$J$7:$J$8,E703)*INDEX('Route Data'!$I$7:$I$8,E703), INDEX('Route Data'!$L$7:$L$8,E703)*2*PI()/60, INDEX('Route Data'!$F$7:$F$8,E703),INDEX('Route Data'!$O$7:$O$8,E703), INDEX('Route Data'!$P$7:$P$8,E703),INDEX('Route Data'!$M$7:$M$8,E703))</f>
        <v>1.130811765868994</v>
      </c>
      <c r="K703" s="8">
        <f>FlowAngleAbsT(INDEX('Route Data'!$K$7:$K$8,E703), INDEX('Route Data'!$I$7:$I$8,E703), INDEX('Route Data'!$I$7:$I$8,E703)*INDEX('Route Data'!$J$7:$J$8,E703), INDEX('Route Data'!$L$7:$L$8,E703)*2*PI()/60, INDEX('Route Data'!$F$7:$F$8,E703),INDEX('Route Data'!$O$7:$O$8,E703), INDEX('Route Data'!$P$7:$P$8,E703), INDEX('Route Data'!$H$7:$H$8,E703), INDEX('Route Data'!$Q$7:$Q$8,E703), INDEX('Route Data'!$M$7:$M$8,E703))</f>
        <v>0.51617226640175828</v>
      </c>
      <c r="L703" s="5">
        <f>INDEX('Route Data'!$N$7:$N$8,E703)</f>
        <v>0.4</v>
      </c>
      <c r="M703" s="8">
        <v>0.73678392171859741</v>
      </c>
      <c r="N703" s="8">
        <f>ProbStrikeFrancis(K703, I703, L703, INDEX('Route Data'!$G$7:$G$8,E703),C703, INDEX('Route Data'!$F$7:$F$8,E703), INDEX('Route Data'!$O$7:$O$8,E703), INDEX('Route Data'!$H$7:$H$18,E703))</f>
        <v>1</v>
      </c>
      <c r="O703" s="5" t="str">
        <f>IF(F703&gt;=1,IF(M703&lt;=N703,"STRIKE","pass"),IF(M703&lt;=INDEX('Route Data'!$R$7:$R$8,E703),"NO PASS","pass"))</f>
        <v>STRIKE</v>
      </c>
      <c r="P703" s="5">
        <f>IF(F703&gt;=1,IF(M703&lt;=N703,1,0),IF(M703&lt;=INDEX('Route Data'!$R$7:$R$8,E703),-1,0))</f>
        <v>1</v>
      </c>
    </row>
    <row r="704" spans="1:16">
      <c r="A704" s="5">
        <v>694</v>
      </c>
      <c r="B704" s="12">
        <v>22.51</v>
      </c>
      <c r="C704" s="12">
        <f t="shared" si="10"/>
        <v>1.88</v>
      </c>
      <c r="D704" s="8">
        <v>0.84733188152313232</v>
      </c>
      <c r="E704" s="5">
        <f>MATCH(D704,'Route Data'!$C$7:$C$8,1)</f>
        <v>2</v>
      </c>
      <c r="F704" s="5">
        <f>INDEX('Route Data'!$D$7:$D$8,E704)</f>
        <v>1</v>
      </c>
      <c r="G704" s="5" t="str">
        <f>INDEX('Route Data'!$A$7:$A$8,E704)</f>
        <v>u18</v>
      </c>
      <c r="H704" s="5">
        <f>EnergyCoeff(INDEX('Route Data'!$K$7:$K$8,E704),INDEX('Route Data'!$L$7:$L$8,E704)*2*PI()/60,INDEX('Route Data'!$F$7:$F$8,E704))</f>
        <v>0.19430699130049439</v>
      </c>
      <c r="I704" s="5">
        <f>DischargeCoeff(INDEX('Route Data'!$I$7:$I$8,E704), INDEX('Route Data'!$L$7:$L$8,E704)*2*PI()/60, INDEX('Route Data'!$F$7:$F$8,E704))</f>
        <v>0.15939200179827354</v>
      </c>
      <c r="J704" s="8">
        <f>FlowAngleRel(INDEX('Route Data'!$J$7:$J$8,E704)*INDEX('Route Data'!$I$7:$I$8,E704), INDEX('Route Data'!$L$7:$L$8,E704)*2*PI()/60, INDEX('Route Data'!$F$7:$F$8,E704),INDEX('Route Data'!$O$7:$O$8,E704), INDEX('Route Data'!$P$7:$P$8,E704),INDEX('Route Data'!$M$7:$M$8,E704))</f>
        <v>1.130811765868994</v>
      </c>
      <c r="K704" s="8">
        <f>FlowAngleAbsT(INDEX('Route Data'!$K$7:$K$8,E704), INDEX('Route Data'!$I$7:$I$8,E704), INDEX('Route Data'!$I$7:$I$8,E704)*INDEX('Route Data'!$J$7:$J$8,E704), INDEX('Route Data'!$L$7:$L$8,E704)*2*PI()/60, INDEX('Route Data'!$F$7:$F$8,E704),INDEX('Route Data'!$O$7:$O$8,E704), INDEX('Route Data'!$P$7:$P$8,E704), INDEX('Route Data'!$H$7:$H$8,E704), INDEX('Route Data'!$Q$7:$Q$8,E704), INDEX('Route Data'!$M$7:$M$8,E704))</f>
        <v>0.51617226640175828</v>
      </c>
      <c r="L704" s="5">
        <f>INDEX('Route Data'!$N$7:$N$8,E704)</f>
        <v>0.4</v>
      </c>
      <c r="M704" s="8">
        <v>0.16662824153900146</v>
      </c>
      <c r="N704" s="8">
        <f>ProbStrikeFrancis(K704, I704, L704, INDEX('Route Data'!$G$7:$G$8,E704),C704, INDEX('Route Data'!$F$7:$F$8,E704), INDEX('Route Data'!$O$7:$O$8,E704), INDEX('Route Data'!$H$7:$H$18,E704))</f>
        <v>1</v>
      </c>
      <c r="O704" s="5" t="str">
        <f>IF(F704&gt;=1,IF(M704&lt;=N704,"STRIKE","pass"),IF(M704&lt;=INDEX('Route Data'!$R$7:$R$8,E704),"NO PASS","pass"))</f>
        <v>STRIKE</v>
      </c>
      <c r="P704" s="5">
        <f>IF(F704&gt;=1,IF(M704&lt;=N704,1,0),IF(M704&lt;=INDEX('Route Data'!$R$7:$R$8,E704),-1,0))</f>
        <v>1</v>
      </c>
    </row>
    <row r="705" spans="1:16">
      <c r="A705" s="5">
        <v>695</v>
      </c>
      <c r="B705" s="12">
        <v>25.08</v>
      </c>
      <c r="C705" s="12">
        <f t="shared" si="10"/>
        <v>2.09</v>
      </c>
      <c r="D705" s="8">
        <v>0.74715477228164673</v>
      </c>
      <c r="E705" s="5">
        <f>MATCH(D705,'Route Data'!$C$7:$C$8,1)</f>
        <v>2</v>
      </c>
      <c r="F705" s="5">
        <f>INDEX('Route Data'!$D$7:$D$8,E705)</f>
        <v>1</v>
      </c>
      <c r="G705" s="5" t="str">
        <f>INDEX('Route Data'!$A$7:$A$8,E705)</f>
        <v>u18</v>
      </c>
      <c r="H705" s="5">
        <f>EnergyCoeff(INDEX('Route Data'!$K$7:$K$8,E705),INDEX('Route Data'!$L$7:$L$8,E705)*2*PI()/60,INDEX('Route Data'!$F$7:$F$8,E705))</f>
        <v>0.19430699130049439</v>
      </c>
      <c r="I705" s="5">
        <f>DischargeCoeff(INDEX('Route Data'!$I$7:$I$8,E705), INDEX('Route Data'!$L$7:$L$8,E705)*2*PI()/60, INDEX('Route Data'!$F$7:$F$8,E705))</f>
        <v>0.15939200179827354</v>
      </c>
      <c r="J705" s="8">
        <f>FlowAngleRel(INDEX('Route Data'!$J$7:$J$8,E705)*INDEX('Route Data'!$I$7:$I$8,E705), INDEX('Route Data'!$L$7:$L$8,E705)*2*PI()/60, INDEX('Route Data'!$F$7:$F$8,E705),INDEX('Route Data'!$O$7:$O$8,E705), INDEX('Route Data'!$P$7:$P$8,E705),INDEX('Route Data'!$M$7:$M$8,E705))</f>
        <v>1.130811765868994</v>
      </c>
      <c r="K705" s="8">
        <f>FlowAngleAbsT(INDEX('Route Data'!$K$7:$K$8,E705), INDEX('Route Data'!$I$7:$I$8,E705), INDEX('Route Data'!$I$7:$I$8,E705)*INDEX('Route Data'!$J$7:$J$8,E705), INDEX('Route Data'!$L$7:$L$8,E705)*2*PI()/60, INDEX('Route Data'!$F$7:$F$8,E705),INDEX('Route Data'!$O$7:$O$8,E705), INDEX('Route Data'!$P$7:$P$8,E705), INDEX('Route Data'!$H$7:$H$8,E705), INDEX('Route Data'!$Q$7:$Q$8,E705), INDEX('Route Data'!$M$7:$M$8,E705))</f>
        <v>0.51617226640175828</v>
      </c>
      <c r="L705" s="5">
        <f>INDEX('Route Data'!$N$7:$N$8,E705)</f>
        <v>0.4</v>
      </c>
      <c r="M705" s="8">
        <v>0.14267450571060181</v>
      </c>
      <c r="N705" s="8">
        <f>ProbStrikeFrancis(K705, I705, L705, INDEX('Route Data'!$G$7:$G$8,E705),C705, INDEX('Route Data'!$F$7:$F$8,E705), INDEX('Route Data'!$O$7:$O$8,E705), INDEX('Route Data'!$H$7:$H$18,E705))</f>
        <v>1</v>
      </c>
      <c r="O705" s="5" t="str">
        <f>IF(F705&gt;=1,IF(M705&lt;=N705,"STRIKE","pass"),IF(M705&lt;=INDEX('Route Data'!$R$7:$R$8,E705),"NO PASS","pass"))</f>
        <v>STRIKE</v>
      </c>
      <c r="P705" s="5">
        <f>IF(F705&gt;=1,IF(M705&lt;=N705,1,0),IF(M705&lt;=INDEX('Route Data'!$R$7:$R$8,E705),-1,0))</f>
        <v>1</v>
      </c>
    </row>
    <row r="706" spans="1:16">
      <c r="A706" s="5">
        <v>696</v>
      </c>
      <c r="B706" s="12">
        <v>23.71</v>
      </c>
      <c r="C706" s="12">
        <f t="shared" si="10"/>
        <v>1.98</v>
      </c>
      <c r="D706" s="8">
        <v>0.31326532363891602</v>
      </c>
      <c r="E706" s="5">
        <f>MATCH(D706,'Route Data'!$C$7:$C$8,1)</f>
        <v>2</v>
      </c>
      <c r="F706" s="5">
        <f>INDEX('Route Data'!$D$7:$D$8,E706)</f>
        <v>1</v>
      </c>
      <c r="G706" s="5" t="str">
        <f>INDEX('Route Data'!$A$7:$A$8,E706)</f>
        <v>u18</v>
      </c>
      <c r="H706" s="5">
        <f>EnergyCoeff(INDEX('Route Data'!$K$7:$K$8,E706),INDEX('Route Data'!$L$7:$L$8,E706)*2*PI()/60,INDEX('Route Data'!$F$7:$F$8,E706))</f>
        <v>0.19430699130049439</v>
      </c>
      <c r="I706" s="5">
        <f>DischargeCoeff(INDEX('Route Data'!$I$7:$I$8,E706), INDEX('Route Data'!$L$7:$L$8,E706)*2*PI()/60, INDEX('Route Data'!$F$7:$F$8,E706))</f>
        <v>0.15939200179827354</v>
      </c>
      <c r="J706" s="8">
        <f>FlowAngleRel(INDEX('Route Data'!$J$7:$J$8,E706)*INDEX('Route Data'!$I$7:$I$8,E706), INDEX('Route Data'!$L$7:$L$8,E706)*2*PI()/60, INDEX('Route Data'!$F$7:$F$8,E706),INDEX('Route Data'!$O$7:$O$8,E706), INDEX('Route Data'!$P$7:$P$8,E706),INDEX('Route Data'!$M$7:$M$8,E706))</f>
        <v>1.130811765868994</v>
      </c>
      <c r="K706" s="8">
        <f>FlowAngleAbsT(INDEX('Route Data'!$K$7:$K$8,E706), INDEX('Route Data'!$I$7:$I$8,E706), INDEX('Route Data'!$I$7:$I$8,E706)*INDEX('Route Data'!$J$7:$J$8,E706), INDEX('Route Data'!$L$7:$L$8,E706)*2*PI()/60, INDEX('Route Data'!$F$7:$F$8,E706),INDEX('Route Data'!$O$7:$O$8,E706), INDEX('Route Data'!$P$7:$P$8,E706), INDEX('Route Data'!$H$7:$H$8,E706), INDEX('Route Data'!$Q$7:$Q$8,E706), INDEX('Route Data'!$M$7:$M$8,E706))</f>
        <v>0.51617226640175828</v>
      </c>
      <c r="L706" s="5">
        <f>INDEX('Route Data'!$N$7:$N$8,E706)</f>
        <v>0.4</v>
      </c>
      <c r="M706" s="8">
        <v>0.68337726593017578</v>
      </c>
      <c r="N706" s="8">
        <f>ProbStrikeFrancis(K706, I706, L706, INDEX('Route Data'!$G$7:$G$8,E706),C706, INDEX('Route Data'!$F$7:$F$8,E706), INDEX('Route Data'!$O$7:$O$8,E706), INDEX('Route Data'!$H$7:$H$18,E706))</f>
        <v>1</v>
      </c>
      <c r="O706" s="5" t="str">
        <f>IF(F706&gt;=1,IF(M706&lt;=N706,"STRIKE","pass"),IF(M706&lt;=INDEX('Route Data'!$R$7:$R$8,E706),"NO PASS","pass"))</f>
        <v>STRIKE</v>
      </c>
      <c r="P706" s="5">
        <f>IF(F706&gt;=1,IF(M706&lt;=N706,1,0),IF(M706&lt;=INDEX('Route Data'!$R$7:$R$8,E706),-1,0))</f>
        <v>1</v>
      </c>
    </row>
    <row r="707" spans="1:16">
      <c r="A707" s="5">
        <v>697</v>
      </c>
      <c r="B707" s="12">
        <v>21.27</v>
      </c>
      <c r="C707" s="12">
        <f t="shared" si="10"/>
        <v>1.77</v>
      </c>
      <c r="D707" s="8">
        <v>0.34935444593429565</v>
      </c>
      <c r="E707" s="5">
        <f>MATCH(D707,'Route Data'!$C$7:$C$8,1)</f>
        <v>2</v>
      </c>
      <c r="F707" s="5">
        <f>INDEX('Route Data'!$D$7:$D$8,E707)</f>
        <v>1</v>
      </c>
      <c r="G707" s="5" t="str">
        <f>INDEX('Route Data'!$A$7:$A$8,E707)</f>
        <v>u18</v>
      </c>
      <c r="H707" s="5">
        <f>EnergyCoeff(INDEX('Route Data'!$K$7:$K$8,E707),INDEX('Route Data'!$L$7:$L$8,E707)*2*PI()/60,INDEX('Route Data'!$F$7:$F$8,E707))</f>
        <v>0.19430699130049439</v>
      </c>
      <c r="I707" s="5">
        <f>DischargeCoeff(INDEX('Route Data'!$I$7:$I$8,E707), INDEX('Route Data'!$L$7:$L$8,E707)*2*PI()/60, INDEX('Route Data'!$F$7:$F$8,E707))</f>
        <v>0.15939200179827354</v>
      </c>
      <c r="J707" s="8">
        <f>FlowAngleRel(INDEX('Route Data'!$J$7:$J$8,E707)*INDEX('Route Data'!$I$7:$I$8,E707), INDEX('Route Data'!$L$7:$L$8,E707)*2*PI()/60, INDEX('Route Data'!$F$7:$F$8,E707),INDEX('Route Data'!$O$7:$O$8,E707), INDEX('Route Data'!$P$7:$P$8,E707),INDEX('Route Data'!$M$7:$M$8,E707))</f>
        <v>1.130811765868994</v>
      </c>
      <c r="K707" s="8">
        <f>FlowAngleAbsT(INDEX('Route Data'!$K$7:$K$8,E707), INDEX('Route Data'!$I$7:$I$8,E707), INDEX('Route Data'!$I$7:$I$8,E707)*INDEX('Route Data'!$J$7:$J$8,E707), INDEX('Route Data'!$L$7:$L$8,E707)*2*PI()/60, INDEX('Route Data'!$F$7:$F$8,E707),INDEX('Route Data'!$O$7:$O$8,E707), INDEX('Route Data'!$P$7:$P$8,E707), INDEX('Route Data'!$H$7:$H$8,E707), INDEX('Route Data'!$Q$7:$Q$8,E707), INDEX('Route Data'!$M$7:$M$8,E707))</f>
        <v>0.51617226640175828</v>
      </c>
      <c r="L707" s="5">
        <f>INDEX('Route Data'!$N$7:$N$8,E707)</f>
        <v>0.4</v>
      </c>
      <c r="M707" s="8">
        <v>0.32684820890426636</v>
      </c>
      <c r="N707" s="8">
        <f>ProbStrikeFrancis(K707, I707, L707, INDEX('Route Data'!$G$7:$G$8,E707),C707, INDEX('Route Data'!$F$7:$F$8,E707), INDEX('Route Data'!$O$7:$O$8,E707), INDEX('Route Data'!$H$7:$H$18,E707))</f>
        <v>1</v>
      </c>
      <c r="O707" s="5" t="str">
        <f>IF(F707&gt;=1,IF(M707&lt;=N707,"STRIKE","pass"),IF(M707&lt;=INDEX('Route Data'!$R$7:$R$8,E707),"NO PASS","pass"))</f>
        <v>STRIKE</v>
      </c>
      <c r="P707" s="5">
        <f>IF(F707&gt;=1,IF(M707&lt;=N707,1,0),IF(M707&lt;=INDEX('Route Data'!$R$7:$R$8,E707),-1,0))</f>
        <v>1</v>
      </c>
    </row>
    <row r="708" spans="1:16">
      <c r="A708" s="5">
        <v>698</v>
      </c>
      <c r="B708" s="12">
        <v>15.08</v>
      </c>
      <c r="C708" s="12">
        <f t="shared" si="10"/>
        <v>1.26</v>
      </c>
      <c r="D708" s="8">
        <v>0.97550785541534424</v>
      </c>
      <c r="E708" s="5">
        <f>MATCH(D708,'Route Data'!$C$7:$C$8,1)</f>
        <v>2</v>
      </c>
      <c r="F708" s="5">
        <f>INDEX('Route Data'!$D$7:$D$8,E708)</f>
        <v>1</v>
      </c>
      <c r="G708" s="5" t="str">
        <f>INDEX('Route Data'!$A$7:$A$8,E708)</f>
        <v>u18</v>
      </c>
      <c r="H708" s="5">
        <f>EnergyCoeff(INDEX('Route Data'!$K$7:$K$8,E708),INDEX('Route Data'!$L$7:$L$8,E708)*2*PI()/60,INDEX('Route Data'!$F$7:$F$8,E708))</f>
        <v>0.19430699130049439</v>
      </c>
      <c r="I708" s="5">
        <f>DischargeCoeff(INDEX('Route Data'!$I$7:$I$8,E708), INDEX('Route Data'!$L$7:$L$8,E708)*2*PI()/60, INDEX('Route Data'!$F$7:$F$8,E708))</f>
        <v>0.15939200179827354</v>
      </c>
      <c r="J708" s="8">
        <f>FlowAngleRel(INDEX('Route Data'!$J$7:$J$8,E708)*INDEX('Route Data'!$I$7:$I$8,E708), INDEX('Route Data'!$L$7:$L$8,E708)*2*PI()/60, INDEX('Route Data'!$F$7:$F$8,E708),INDEX('Route Data'!$O$7:$O$8,E708), INDEX('Route Data'!$P$7:$P$8,E708),INDEX('Route Data'!$M$7:$M$8,E708))</f>
        <v>1.130811765868994</v>
      </c>
      <c r="K708" s="8">
        <f>FlowAngleAbsT(INDEX('Route Data'!$K$7:$K$8,E708), INDEX('Route Data'!$I$7:$I$8,E708), INDEX('Route Data'!$I$7:$I$8,E708)*INDEX('Route Data'!$J$7:$J$8,E708), INDEX('Route Data'!$L$7:$L$8,E708)*2*PI()/60, INDEX('Route Data'!$F$7:$F$8,E708),INDEX('Route Data'!$O$7:$O$8,E708), INDEX('Route Data'!$P$7:$P$8,E708), INDEX('Route Data'!$H$7:$H$8,E708), INDEX('Route Data'!$Q$7:$Q$8,E708), INDEX('Route Data'!$M$7:$M$8,E708))</f>
        <v>0.51617226640175828</v>
      </c>
      <c r="L708" s="5">
        <f>INDEX('Route Data'!$N$7:$N$8,E708)</f>
        <v>0.4</v>
      </c>
      <c r="M708" s="8">
        <v>0.66201460361480713</v>
      </c>
      <c r="N708" s="8">
        <f>ProbStrikeFrancis(K708, I708, L708, INDEX('Route Data'!$G$7:$G$8,E708),C708, INDEX('Route Data'!$F$7:$F$8,E708), INDEX('Route Data'!$O$7:$O$8,E708), INDEX('Route Data'!$H$7:$H$18,E708))</f>
        <v>1</v>
      </c>
      <c r="O708" s="5" t="str">
        <f>IF(F708&gt;=1,IF(M708&lt;=N708,"STRIKE","pass"),IF(M708&lt;=INDEX('Route Data'!$R$7:$R$8,E708),"NO PASS","pass"))</f>
        <v>STRIKE</v>
      </c>
      <c r="P708" s="5">
        <f>IF(F708&gt;=1,IF(M708&lt;=N708,1,0),IF(M708&lt;=INDEX('Route Data'!$R$7:$R$8,E708),-1,0))</f>
        <v>1</v>
      </c>
    </row>
    <row r="709" spans="1:16">
      <c r="A709" s="5">
        <v>699</v>
      </c>
      <c r="B709" s="12">
        <v>17.43</v>
      </c>
      <c r="C709" s="12">
        <f t="shared" si="10"/>
        <v>1.45</v>
      </c>
      <c r="D709" s="8">
        <v>0.36262685060501099</v>
      </c>
      <c r="E709" s="5">
        <f>MATCH(D709,'Route Data'!$C$7:$C$8,1)</f>
        <v>2</v>
      </c>
      <c r="F709" s="5">
        <f>INDEX('Route Data'!$D$7:$D$8,E709)</f>
        <v>1</v>
      </c>
      <c r="G709" s="5" t="str">
        <f>INDEX('Route Data'!$A$7:$A$8,E709)</f>
        <v>u18</v>
      </c>
      <c r="H709" s="5">
        <f>EnergyCoeff(INDEX('Route Data'!$K$7:$K$8,E709),INDEX('Route Data'!$L$7:$L$8,E709)*2*PI()/60,INDEX('Route Data'!$F$7:$F$8,E709))</f>
        <v>0.19430699130049439</v>
      </c>
      <c r="I709" s="5">
        <f>DischargeCoeff(INDEX('Route Data'!$I$7:$I$8,E709), INDEX('Route Data'!$L$7:$L$8,E709)*2*PI()/60, INDEX('Route Data'!$F$7:$F$8,E709))</f>
        <v>0.15939200179827354</v>
      </c>
      <c r="J709" s="8">
        <f>FlowAngleRel(INDEX('Route Data'!$J$7:$J$8,E709)*INDEX('Route Data'!$I$7:$I$8,E709), INDEX('Route Data'!$L$7:$L$8,E709)*2*PI()/60, INDEX('Route Data'!$F$7:$F$8,E709),INDEX('Route Data'!$O$7:$O$8,E709), INDEX('Route Data'!$P$7:$P$8,E709),INDEX('Route Data'!$M$7:$M$8,E709))</f>
        <v>1.130811765868994</v>
      </c>
      <c r="K709" s="8">
        <f>FlowAngleAbsT(INDEX('Route Data'!$K$7:$K$8,E709), INDEX('Route Data'!$I$7:$I$8,E709), INDEX('Route Data'!$I$7:$I$8,E709)*INDEX('Route Data'!$J$7:$J$8,E709), INDEX('Route Data'!$L$7:$L$8,E709)*2*PI()/60, INDEX('Route Data'!$F$7:$F$8,E709),INDEX('Route Data'!$O$7:$O$8,E709), INDEX('Route Data'!$P$7:$P$8,E709), INDEX('Route Data'!$H$7:$H$8,E709), INDEX('Route Data'!$Q$7:$Q$8,E709), INDEX('Route Data'!$M$7:$M$8,E709))</f>
        <v>0.51617226640175828</v>
      </c>
      <c r="L709" s="5">
        <f>INDEX('Route Data'!$N$7:$N$8,E709)</f>
        <v>0.4</v>
      </c>
      <c r="M709" s="8">
        <v>0.39093619585037231</v>
      </c>
      <c r="N709" s="8">
        <f>ProbStrikeFrancis(K709, I709, L709, INDEX('Route Data'!$G$7:$G$8,E709),C709, INDEX('Route Data'!$F$7:$F$8,E709), INDEX('Route Data'!$O$7:$O$8,E709), INDEX('Route Data'!$H$7:$H$18,E709))</f>
        <v>1</v>
      </c>
      <c r="O709" s="5" t="str">
        <f>IF(F709&gt;=1,IF(M709&lt;=N709,"STRIKE","pass"),IF(M709&lt;=INDEX('Route Data'!$R$7:$R$8,E709),"NO PASS","pass"))</f>
        <v>STRIKE</v>
      </c>
      <c r="P709" s="5">
        <f>IF(F709&gt;=1,IF(M709&lt;=N709,1,0),IF(M709&lt;=INDEX('Route Data'!$R$7:$R$8,E709),-1,0))</f>
        <v>1</v>
      </c>
    </row>
    <row r="710" spans="1:16">
      <c r="A710" s="5">
        <v>700</v>
      </c>
      <c r="B710" s="12">
        <v>22.01</v>
      </c>
      <c r="C710" s="12">
        <f t="shared" si="10"/>
        <v>1.83</v>
      </c>
      <c r="D710" s="8">
        <v>0.46684908866882324</v>
      </c>
      <c r="E710" s="5">
        <f>MATCH(D710,'Route Data'!$C$7:$C$8,1)</f>
        <v>2</v>
      </c>
      <c r="F710" s="5">
        <f>INDEX('Route Data'!$D$7:$D$8,E710)</f>
        <v>1</v>
      </c>
      <c r="G710" s="5" t="str">
        <f>INDEX('Route Data'!$A$7:$A$8,E710)</f>
        <v>u18</v>
      </c>
      <c r="H710" s="5">
        <f>EnergyCoeff(INDEX('Route Data'!$K$7:$K$8,E710),INDEX('Route Data'!$L$7:$L$8,E710)*2*PI()/60,INDEX('Route Data'!$F$7:$F$8,E710))</f>
        <v>0.19430699130049439</v>
      </c>
      <c r="I710" s="5">
        <f>DischargeCoeff(INDEX('Route Data'!$I$7:$I$8,E710), INDEX('Route Data'!$L$7:$L$8,E710)*2*PI()/60, INDEX('Route Data'!$F$7:$F$8,E710))</f>
        <v>0.15939200179827354</v>
      </c>
      <c r="J710" s="8">
        <f>FlowAngleRel(INDEX('Route Data'!$J$7:$J$8,E710)*INDEX('Route Data'!$I$7:$I$8,E710), INDEX('Route Data'!$L$7:$L$8,E710)*2*PI()/60, INDEX('Route Data'!$F$7:$F$8,E710),INDEX('Route Data'!$O$7:$O$8,E710), INDEX('Route Data'!$P$7:$P$8,E710),INDEX('Route Data'!$M$7:$M$8,E710))</f>
        <v>1.130811765868994</v>
      </c>
      <c r="K710" s="8">
        <f>FlowAngleAbsT(INDEX('Route Data'!$K$7:$K$8,E710), INDEX('Route Data'!$I$7:$I$8,E710), INDEX('Route Data'!$I$7:$I$8,E710)*INDEX('Route Data'!$J$7:$J$8,E710), INDEX('Route Data'!$L$7:$L$8,E710)*2*PI()/60, INDEX('Route Data'!$F$7:$F$8,E710),INDEX('Route Data'!$O$7:$O$8,E710), INDEX('Route Data'!$P$7:$P$8,E710), INDEX('Route Data'!$H$7:$H$8,E710), INDEX('Route Data'!$Q$7:$Q$8,E710), INDEX('Route Data'!$M$7:$M$8,E710))</f>
        <v>0.51617226640175828</v>
      </c>
      <c r="L710" s="5">
        <f>INDEX('Route Data'!$N$7:$N$8,E710)</f>
        <v>0.4</v>
      </c>
      <c r="M710" s="8">
        <v>0.46975064277648926</v>
      </c>
      <c r="N710" s="8">
        <f>ProbStrikeFrancis(K710, I710, L710, INDEX('Route Data'!$G$7:$G$8,E710),C710, INDEX('Route Data'!$F$7:$F$8,E710), INDEX('Route Data'!$O$7:$O$8,E710), INDEX('Route Data'!$H$7:$H$18,E710))</f>
        <v>1</v>
      </c>
      <c r="O710" s="5" t="str">
        <f>IF(F710&gt;=1,IF(M710&lt;=N710,"STRIKE","pass"),IF(M710&lt;=INDEX('Route Data'!$R$7:$R$8,E710),"NO PASS","pass"))</f>
        <v>STRIKE</v>
      </c>
      <c r="P710" s="5">
        <f>IF(F710&gt;=1,IF(M710&lt;=N710,1,0),IF(M710&lt;=INDEX('Route Data'!$R$7:$R$8,E710),-1,0))</f>
        <v>1</v>
      </c>
    </row>
    <row r="711" spans="1:16">
      <c r="A711" s="5">
        <v>701</v>
      </c>
      <c r="B711" s="12">
        <v>31.55</v>
      </c>
      <c r="C711" s="12">
        <f t="shared" si="10"/>
        <v>2.63</v>
      </c>
      <c r="D711" s="8">
        <v>0.62302392721176147</v>
      </c>
      <c r="E711" s="5">
        <f>MATCH(D711,'Route Data'!$C$7:$C$8,1)</f>
        <v>2</v>
      </c>
      <c r="F711" s="5">
        <f>INDEX('Route Data'!$D$7:$D$8,E711)</f>
        <v>1</v>
      </c>
      <c r="G711" s="5" t="str">
        <f>INDEX('Route Data'!$A$7:$A$8,E711)</f>
        <v>u18</v>
      </c>
      <c r="H711" s="5">
        <f>EnergyCoeff(INDEX('Route Data'!$K$7:$K$8,E711),INDEX('Route Data'!$L$7:$L$8,E711)*2*PI()/60,INDEX('Route Data'!$F$7:$F$8,E711))</f>
        <v>0.19430699130049439</v>
      </c>
      <c r="I711" s="5">
        <f>DischargeCoeff(INDEX('Route Data'!$I$7:$I$8,E711), INDEX('Route Data'!$L$7:$L$8,E711)*2*PI()/60, INDEX('Route Data'!$F$7:$F$8,E711))</f>
        <v>0.15939200179827354</v>
      </c>
      <c r="J711" s="8">
        <f>FlowAngleRel(INDEX('Route Data'!$J$7:$J$8,E711)*INDEX('Route Data'!$I$7:$I$8,E711), INDEX('Route Data'!$L$7:$L$8,E711)*2*PI()/60, INDEX('Route Data'!$F$7:$F$8,E711),INDEX('Route Data'!$O$7:$O$8,E711), INDEX('Route Data'!$P$7:$P$8,E711),INDEX('Route Data'!$M$7:$M$8,E711))</f>
        <v>1.130811765868994</v>
      </c>
      <c r="K711" s="8">
        <f>FlowAngleAbsT(INDEX('Route Data'!$K$7:$K$8,E711), INDEX('Route Data'!$I$7:$I$8,E711), INDEX('Route Data'!$I$7:$I$8,E711)*INDEX('Route Data'!$J$7:$J$8,E711), INDEX('Route Data'!$L$7:$L$8,E711)*2*PI()/60, INDEX('Route Data'!$F$7:$F$8,E711),INDEX('Route Data'!$O$7:$O$8,E711), INDEX('Route Data'!$P$7:$P$8,E711), INDEX('Route Data'!$H$7:$H$8,E711), INDEX('Route Data'!$Q$7:$Q$8,E711), INDEX('Route Data'!$M$7:$M$8,E711))</f>
        <v>0.51617226640175828</v>
      </c>
      <c r="L711" s="5">
        <f>INDEX('Route Data'!$N$7:$N$8,E711)</f>
        <v>0.4</v>
      </c>
      <c r="M711" s="8">
        <v>0.96772807836532593</v>
      </c>
      <c r="N711" s="8">
        <f>ProbStrikeFrancis(K711, I711, L711, INDEX('Route Data'!$G$7:$G$8,E711),C711, INDEX('Route Data'!$F$7:$F$8,E711), INDEX('Route Data'!$O$7:$O$8,E711), INDEX('Route Data'!$H$7:$H$18,E711))</f>
        <v>1</v>
      </c>
      <c r="O711" s="5" t="str">
        <f>IF(F711&gt;=1,IF(M711&lt;=N711,"STRIKE","pass"),IF(M711&lt;=INDEX('Route Data'!$R$7:$R$8,E711),"NO PASS","pass"))</f>
        <v>STRIKE</v>
      </c>
      <c r="P711" s="5">
        <f>IF(F711&gt;=1,IF(M711&lt;=N711,1,0),IF(M711&lt;=INDEX('Route Data'!$R$7:$R$8,E711),-1,0))</f>
        <v>1</v>
      </c>
    </row>
    <row r="712" spans="1:16">
      <c r="A712" s="5">
        <v>702</v>
      </c>
      <c r="B712" s="12">
        <v>18.170000000000002</v>
      </c>
      <c r="C712" s="12">
        <f t="shared" si="10"/>
        <v>1.51</v>
      </c>
      <c r="D712" s="8">
        <v>0.42007863521575928</v>
      </c>
      <c r="E712" s="5">
        <f>MATCH(D712,'Route Data'!$C$7:$C$8,1)</f>
        <v>2</v>
      </c>
      <c r="F712" s="5">
        <f>INDEX('Route Data'!$D$7:$D$8,E712)</f>
        <v>1</v>
      </c>
      <c r="G712" s="5" t="str">
        <f>INDEX('Route Data'!$A$7:$A$8,E712)</f>
        <v>u18</v>
      </c>
      <c r="H712" s="5">
        <f>EnergyCoeff(INDEX('Route Data'!$K$7:$K$8,E712),INDEX('Route Data'!$L$7:$L$8,E712)*2*PI()/60,INDEX('Route Data'!$F$7:$F$8,E712))</f>
        <v>0.19430699130049439</v>
      </c>
      <c r="I712" s="5">
        <f>DischargeCoeff(INDEX('Route Data'!$I$7:$I$8,E712), INDEX('Route Data'!$L$7:$L$8,E712)*2*PI()/60, INDEX('Route Data'!$F$7:$F$8,E712))</f>
        <v>0.15939200179827354</v>
      </c>
      <c r="J712" s="8">
        <f>FlowAngleRel(INDEX('Route Data'!$J$7:$J$8,E712)*INDEX('Route Data'!$I$7:$I$8,E712), INDEX('Route Data'!$L$7:$L$8,E712)*2*PI()/60, INDEX('Route Data'!$F$7:$F$8,E712),INDEX('Route Data'!$O$7:$O$8,E712), INDEX('Route Data'!$P$7:$P$8,E712),INDEX('Route Data'!$M$7:$M$8,E712))</f>
        <v>1.130811765868994</v>
      </c>
      <c r="K712" s="8">
        <f>FlowAngleAbsT(INDEX('Route Data'!$K$7:$K$8,E712), INDEX('Route Data'!$I$7:$I$8,E712), INDEX('Route Data'!$I$7:$I$8,E712)*INDEX('Route Data'!$J$7:$J$8,E712), INDEX('Route Data'!$L$7:$L$8,E712)*2*PI()/60, INDEX('Route Data'!$F$7:$F$8,E712),INDEX('Route Data'!$O$7:$O$8,E712), INDEX('Route Data'!$P$7:$P$8,E712), INDEX('Route Data'!$H$7:$H$8,E712), INDEX('Route Data'!$Q$7:$Q$8,E712), INDEX('Route Data'!$M$7:$M$8,E712))</f>
        <v>0.51617226640175828</v>
      </c>
      <c r="L712" s="5">
        <f>INDEX('Route Data'!$N$7:$N$8,E712)</f>
        <v>0.4</v>
      </c>
      <c r="M712" s="8">
        <v>0.47379577159881592</v>
      </c>
      <c r="N712" s="8">
        <f>ProbStrikeFrancis(K712, I712, L712, INDEX('Route Data'!$G$7:$G$8,E712),C712, INDEX('Route Data'!$F$7:$F$8,E712), INDEX('Route Data'!$O$7:$O$8,E712), INDEX('Route Data'!$H$7:$H$18,E712))</f>
        <v>1</v>
      </c>
      <c r="O712" s="5" t="str">
        <f>IF(F712&gt;=1,IF(M712&lt;=N712,"STRIKE","pass"),IF(M712&lt;=INDEX('Route Data'!$R$7:$R$8,E712),"NO PASS","pass"))</f>
        <v>STRIKE</v>
      </c>
      <c r="P712" s="5">
        <f>IF(F712&gt;=1,IF(M712&lt;=N712,1,0),IF(M712&lt;=INDEX('Route Data'!$R$7:$R$8,E712),-1,0))</f>
        <v>1</v>
      </c>
    </row>
    <row r="713" spans="1:16">
      <c r="A713" s="5">
        <v>703</v>
      </c>
      <c r="B713" s="12">
        <v>21.23</v>
      </c>
      <c r="C713" s="12">
        <f t="shared" si="10"/>
        <v>1.77</v>
      </c>
      <c r="D713" s="8">
        <v>2.8914511203765869E-2</v>
      </c>
      <c r="E713" s="5">
        <f>MATCH(D713,'Route Data'!$C$7:$C$8,1)</f>
        <v>2</v>
      </c>
      <c r="F713" s="5">
        <f>INDEX('Route Data'!$D$7:$D$8,E713)</f>
        <v>1</v>
      </c>
      <c r="G713" s="5" t="str">
        <f>INDEX('Route Data'!$A$7:$A$8,E713)</f>
        <v>u18</v>
      </c>
      <c r="H713" s="5">
        <f>EnergyCoeff(INDEX('Route Data'!$K$7:$K$8,E713),INDEX('Route Data'!$L$7:$L$8,E713)*2*PI()/60,INDEX('Route Data'!$F$7:$F$8,E713))</f>
        <v>0.19430699130049439</v>
      </c>
      <c r="I713" s="5">
        <f>DischargeCoeff(INDEX('Route Data'!$I$7:$I$8,E713), INDEX('Route Data'!$L$7:$L$8,E713)*2*PI()/60, INDEX('Route Data'!$F$7:$F$8,E713))</f>
        <v>0.15939200179827354</v>
      </c>
      <c r="J713" s="8">
        <f>FlowAngleRel(INDEX('Route Data'!$J$7:$J$8,E713)*INDEX('Route Data'!$I$7:$I$8,E713), INDEX('Route Data'!$L$7:$L$8,E713)*2*PI()/60, INDEX('Route Data'!$F$7:$F$8,E713),INDEX('Route Data'!$O$7:$O$8,E713), INDEX('Route Data'!$P$7:$P$8,E713),INDEX('Route Data'!$M$7:$M$8,E713))</f>
        <v>1.130811765868994</v>
      </c>
      <c r="K713" s="8">
        <f>FlowAngleAbsT(INDEX('Route Data'!$K$7:$K$8,E713), INDEX('Route Data'!$I$7:$I$8,E713), INDEX('Route Data'!$I$7:$I$8,E713)*INDEX('Route Data'!$J$7:$J$8,E713), INDEX('Route Data'!$L$7:$L$8,E713)*2*PI()/60, INDEX('Route Data'!$F$7:$F$8,E713),INDEX('Route Data'!$O$7:$O$8,E713), INDEX('Route Data'!$P$7:$P$8,E713), INDEX('Route Data'!$H$7:$H$8,E713), INDEX('Route Data'!$Q$7:$Q$8,E713), INDEX('Route Data'!$M$7:$M$8,E713))</f>
        <v>0.51617226640175828</v>
      </c>
      <c r="L713" s="5">
        <f>INDEX('Route Data'!$N$7:$N$8,E713)</f>
        <v>0.4</v>
      </c>
      <c r="M713" s="8">
        <v>0.69001346826553345</v>
      </c>
      <c r="N713" s="8">
        <f>ProbStrikeFrancis(K713, I713, L713, INDEX('Route Data'!$G$7:$G$8,E713),C713, INDEX('Route Data'!$F$7:$F$8,E713), INDEX('Route Data'!$O$7:$O$8,E713), INDEX('Route Data'!$H$7:$H$18,E713))</f>
        <v>1</v>
      </c>
      <c r="O713" s="5" t="str">
        <f>IF(F713&gt;=1,IF(M713&lt;=N713,"STRIKE","pass"),IF(M713&lt;=INDEX('Route Data'!$R$7:$R$8,E713),"NO PASS","pass"))</f>
        <v>STRIKE</v>
      </c>
      <c r="P713" s="5">
        <f>IF(F713&gt;=1,IF(M713&lt;=N713,1,0),IF(M713&lt;=INDEX('Route Data'!$R$7:$R$8,E713),-1,0))</f>
        <v>1</v>
      </c>
    </row>
    <row r="714" spans="1:16">
      <c r="A714" s="5">
        <v>704</v>
      </c>
      <c r="B714" s="12">
        <v>20.66</v>
      </c>
      <c r="C714" s="12">
        <f t="shared" si="10"/>
        <v>1.72</v>
      </c>
      <c r="D714" s="8">
        <v>0.20240688323974609</v>
      </c>
      <c r="E714" s="5">
        <f>MATCH(D714,'Route Data'!$C$7:$C$8,1)</f>
        <v>2</v>
      </c>
      <c r="F714" s="5">
        <f>INDEX('Route Data'!$D$7:$D$8,E714)</f>
        <v>1</v>
      </c>
      <c r="G714" s="5" t="str">
        <f>INDEX('Route Data'!$A$7:$A$8,E714)</f>
        <v>u18</v>
      </c>
      <c r="H714" s="5">
        <f>EnergyCoeff(INDEX('Route Data'!$K$7:$K$8,E714),INDEX('Route Data'!$L$7:$L$8,E714)*2*PI()/60,INDEX('Route Data'!$F$7:$F$8,E714))</f>
        <v>0.19430699130049439</v>
      </c>
      <c r="I714" s="5">
        <f>DischargeCoeff(INDEX('Route Data'!$I$7:$I$8,E714), INDEX('Route Data'!$L$7:$L$8,E714)*2*PI()/60, INDEX('Route Data'!$F$7:$F$8,E714))</f>
        <v>0.15939200179827354</v>
      </c>
      <c r="J714" s="8">
        <f>FlowAngleRel(INDEX('Route Data'!$J$7:$J$8,E714)*INDEX('Route Data'!$I$7:$I$8,E714), INDEX('Route Data'!$L$7:$L$8,E714)*2*PI()/60, INDEX('Route Data'!$F$7:$F$8,E714),INDEX('Route Data'!$O$7:$O$8,E714), INDEX('Route Data'!$P$7:$P$8,E714),INDEX('Route Data'!$M$7:$M$8,E714))</f>
        <v>1.130811765868994</v>
      </c>
      <c r="K714" s="8">
        <f>FlowAngleAbsT(INDEX('Route Data'!$K$7:$K$8,E714), INDEX('Route Data'!$I$7:$I$8,E714), INDEX('Route Data'!$I$7:$I$8,E714)*INDEX('Route Data'!$J$7:$J$8,E714), INDEX('Route Data'!$L$7:$L$8,E714)*2*PI()/60, INDEX('Route Data'!$F$7:$F$8,E714),INDEX('Route Data'!$O$7:$O$8,E714), INDEX('Route Data'!$P$7:$P$8,E714), INDEX('Route Data'!$H$7:$H$8,E714), INDEX('Route Data'!$Q$7:$Q$8,E714), INDEX('Route Data'!$M$7:$M$8,E714))</f>
        <v>0.51617226640175828</v>
      </c>
      <c r="L714" s="5">
        <f>INDEX('Route Data'!$N$7:$N$8,E714)</f>
        <v>0.4</v>
      </c>
      <c r="M714" s="8">
        <v>0.57251882553100586</v>
      </c>
      <c r="N714" s="8">
        <f>ProbStrikeFrancis(K714, I714, L714, INDEX('Route Data'!$G$7:$G$8,E714),C714, INDEX('Route Data'!$F$7:$F$8,E714), INDEX('Route Data'!$O$7:$O$8,E714), INDEX('Route Data'!$H$7:$H$18,E714))</f>
        <v>1</v>
      </c>
      <c r="O714" s="5" t="str">
        <f>IF(F714&gt;=1,IF(M714&lt;=N714,"STRIKE","pass"),IF(M714&lt;=INDEX('Route Data'!$R$7:$R$8,E714),"NO PASS","pass"))</f>
        <v>STRIKE</v>
      </c>
      <c r="P714" s="5">
        <f>IF(F714&gt;=1,IF(M714&lt;=N714,1,0),IF(M714&lt;=INDEX('Route Data'!$R$7:$R$8,E714),-1,0))</f>
        <v>1</v>
      </c>
    </row>
    <row r="715" spans="1:16">
      <c r="A715" s="5">
        <v>705</v>
      </c>
      <c r="B715" s="12">
        <v>27.68</v>
      </c>
      <c r="C715" s="12">
        <f t="shared" ref="C715:C778" si="11">ROUND(B715/12,2)</f>
        <v>2.31</v>
      </c>
      <c r="D715" s="8">
        <v>0.21308821439743042</v>
      </c>
      <c r="E715" s="5">
        <f>MATCH(D715,'Route Data'!$C$7:$C$8,1)</f>
        <v>2</v>
      </c>
      <c r="F715" s="5">
        <f>INDEX('Route Data'!$D$7:$D$8,E715)</f>
        <v>1</v>
      </c>
      <c r="G715" s="5" t="str">
        <f>INDEX('Route Data'!$A$7:$A$8,E715)</f>
        <v>u18</v>
      </c>
      <c r="H715" s="5">
        <f>EnergyCoeff(INDEX('Route Data'!$K$7:$K$8,E715),INDEX('Route Data'!$L$7:$L$8,E715)*2*PI()/60,INDEX('Route Data'!$F$7:$F$8,E715))</f>
        <v>0.19430699130049439</v>
      </c>
      <c r="I715" s="5">
        <f>DischargeCoeff(INDEX('Route Data'!$I$7:$I$8,E715), INDEX('Route Data'!$L$7:$L$8,E715)*2*PI()/60, INDEX('Route Data'!$F$7:$F$8,E715))</f>
        <v>0.15939200179827354</v>
      </c>
      <c r="J715" s="8">
        <f>FlowAngleRel(INDEX('Route Data'!$J$7:$J$8,E715)*INDEX('Route Data'!$I$7:$I$8,E715), INDEX('Route Data'!$L$7:$L$8,E715)*2*PI()/60, INDEX('Route Data'!$F$7:$F$8,E715),INDEX('Route Data'!$O$7:$O$8,E715), INDEX('Route Data'!$P$7:$P$8,E715),INDEX('Route Data'!$M$7:$M$8,E715))</f>
        <v>1.130811765868994</v>
      </c>
      <c r="K715" s="8">
        <f>FlowAngleAbsT(INDEX('Route Data'!$K$7:$K$8,E715), INDEX('Route Data'!$I$7:$I$8,E715), INDEX('Route Data'!$I$7:$I$8,E715)*INDEX('Route Data'!$J$7:$J$8,E715), INDEX('Route Data'!$L$7:$L$8,E715)*2*PI()/60, INDEX('Route Data'!$F$7:$F$8,E715),INDEX('Route Data'!$O$7:$O$8,E715), INDEX('Route Data'!$P$7:$P$8,E715), INDEX('Route Data'!$H$7:$H$8,E715), INDEX('Route Data'!$Q$7:$Q$8,E715), INDEX('Route Data'!$M$7:$M$8,E715))</f>
        <v>0.51617226640175828</v>
      </c>
      <c r="L715" s="5">
        <f>INDEX('Route Data'!$N$7:$N$8,E715)</f>
        <v>0.4</v>
      </c>
      <c r="M715" s="8">
        <v>0.92500275373458862</v>
      </c>
      <c r="N715" s="8">
        <f>ProbStrikeFrancis(K715, I715, L715, INDEX('Route Data'!$G$7:$G$8,E715),C715, INDEX('Route Data'!$F$7:$F$8,E715), INDEX('Route Data'!$O$7:$O$8,E715), INDEX('Route Data'!$H$7:$H$18,E715))</f>
        <v>1</v>
      </c>
      <c r="O715" s="5" t="str">
        <f>IF(F715&gt;=1,IF(M715&lt;=N715,"STRIKE","pass"),IF(M715&lt;=INDEX('Route Data'!$R$7:$R$8,E715),"NO PASS","pass"))</f>
        <v>STRIKE</v>
      </c>
      <c r="P715" s="5">
        <f>IF(F715&gt;=1,IF(M715&lt;=N715,1,0),IF(M715&lt;=INDEX('Route Data'!$R$7:$R$8,E715),-1,0))</f>
        <v>1</v>
      </c>
    </row>
    <row r="716" spans="1:16">
      <c r="A716" s="5">
        <v>706</v>
      </c>
      <c r="B716" s="12">
        <v>19.95</v>
      </c>
      <c r="C716" s="12">
        <f t="shared" si="11"/>
        <v>1.66</v>
      </c>
      <c r="D716" s="8">
        <v>0.18104422092437744</v>
      </c>
      <c r="E716" s="5">
        <f>MATCH(D716,'Route Data'!$C$7:$C$8,1)</f>
        <v>2</v>
      </c>
      <c r="F716" s="5">
        <f>INDEX('Route Data'!$D$7:$D$8,E716)</f>
        <v>1</v>
      </c>
      <c r="G716" s="5" t="str">
        <f>INDEX('Route Data'!$A$7:$A$8,E716)</f>
        <v>u18</v>
      </c>
      <c r="H716" s="5">
        <f>EnergyCoeff(INDEX('Route Data'!$K$7:$K$8,E716),INDEX('Route Data'!$L$7:$L$8,E716)*2*PI()/60,INDEX('Route Data'!$F$7:$F$8,E716))</f>
        <v>0.19430699130049439</v>
      </c>
      <c r="I716" s="5">
        <f>DischargeCoeff(INDEX('Route Data'!$I$7:$I$8,E716), INDEX('Route Data'!$L$7:$L$8,E716)*2*PI()/60, INDEX('Route Data'!$F$7:$F$8,E716))</f>
        <v>0.15939200179827354</v>
      </c>
      <c r="J716" s="8">
        <f>FlowAngleRel(INDEX('Route Data'!$J$7:$J$8,E716)*INDEX('Route Data'!$I$7:$I$8,E716), INDEX('Route Data'!$L$7:$L$8,E716)*2*PI()/60, INDEX('Route Data'!$F$7:$F$8,E716),INDEX('Route Data'!$O$7:$O$8,E716), INDEX('Route Data'!$P$7:$P$8,E716),INDEX('Route Data'!$M$7:$M$8,E716))</f>
        <v>1.130811765868994</v>
      </c>
      <c r="K716" s="8">
        <f>FlowAngleAbsT(INDEX('Route Data'!$K$7:$K$8,E716), INDEX('Route Data'!$I$7:$I$8,E716), INDEX('Route Data'!$I$7:$I$8,E716)*INDEX('Route Data'!$J$7:$J$8,E716), INDEX('Route Data'!$L$7:$L$8,E716)*2*PI()/60, INDEX('Route Data'!$F$7:$F$8,E716),INDEX('Route Data'!$O$7:$O$8,E716), INDEX('Route Data'!$P$7:$P$8,E716), INDEX('Route Data'!$H$7:$H$8,E716), INDEX('Route Data'!$Q$7:$Q$8,E716), INDEX('Route Data'!$M$7:$M$8,E716))</f>
        <v>0.51617226640175828</v>
      </c>
      <c r="L716" s="5">
        <f>INDEX('Route Data'!$N$7:$N$8,E716)</f>
        <v>0.4</v>
      </c>
      <c r="M716" s="8">
        <v>0.86755096912384033</v>
      </c>
      <c r="N716" s="8">
        <f>ProbStrikeFrancis(K716, I716, L716, INDEX('Route Data'!$G$7:$G$8,E716),C716, INDEX('Route Data'!$F$7:$F$8,E716), INDEX('Route Data'!$O$7:$O$8,E716), INDEX('Route Data'!$H$7:$H$18,E716))</f>
        <v>1</v>
      </c>
      <c r="O716" s="5" t="str">
        <f>IF(F716&gt;=1,IF(M716&lt;=N716,"STRIKE","pass"),IF(M716&lt;=INDEX('Route Data'!$R$7:$R$8,E716),"NO PASS","pass"))</f>
        <v>STRIKE</v>
      </c>
      <c r="P716" s="5">
        <f>IF(F716&gt;=1,IF(M716&lt;=N716,1,0),IF(M716&lt;=INDEX('Route Data'!$R$7:$R$8,E716),-1,0))</f>
        <v>1</v>
      </c>
    </row>
    <row r="717" spans="1:16">
      <c r="A717" s="5">
        <v>707</v>
      </c>
      <c r="B717" s="12">
        <v>24.06</v>
      </c>
      <c r="C717" s="12">
        <f t="shared" si="11"/>
        <v>2.0099999999999998</v>
      </c>
      <c r="D717" s="8">
        <v>0.27717620134353638</v>
      </c>
      <c r="E717" s="5">
        <f>MATCH(D717,'Route Data'!$C$7:$C$8,1)</f>
        <v>2</v>
      </c>
      <c r="F717" s="5">
        <f>INDEX('Route Data'!$D$7:$D$8,E717)</f>
        <v>1</v>
      </c>
      <c r="G717" s="5" t="str">
        <f>INDEX('Route Data'!$A$7:$A$8,E717)</f>
        <v>u18</v>
      </c>
      <c r="H717" s="5">
        <f>EnergyCoeff(INDEX('Route Data'!$K$7:$K$8,E717),INDEX('Route Data'!$L$7:$L$8,E717)*2*PI()/60,INDEX('Route Data'!$F$7:$F$8,E717))</f>
        <v>0.19430699130049439</v>
      </c>
      <c r="I717" s="5">
        <f>DischargeCoeff(INDEX('Route Data'!$I$7:$I$8,E717), INDEX('Route Data'!$L$7:$L$8,E717)*2*PI()/60, INDEX('Route Data'!$F$7:$F$8,E717))</f>
        <v>0.15939200179827354</v>
      </c>
      <c r="J717" s="8">
        <f>FlowAngleRel(INDEX('Route Data'!$J$7:$J$8,E717)*INDEX('Route Data'!$I$7:$I$8,E717), INDEX('Route Data'!$L$7:$L$8,E717)*2*PI()/60, INDEX('Route Data'!$F$7:$F$8,E717),INDEX('Route Data'!$O$7:$O$8,E717), INDEX('Route Data'!$P$7:$P$8,E717),INDEX('Route Data'!$M$7:$M$8,E717))</f>
        <v>1.130811765868994</v>
      </c>
      <c r="K717" s="8">
        <f>FlowAngleAbsT(INDEX('Route Data'!$K$7:$K$8,E717), INDEX('Route Data'!$I$7:$I$8,E717), INDEX('Route Data'!$I$7:$I$8,E717)*INDEX('Route Data'!$J$7:$J$8,E717), INDEX('Route Data'!$L$7:$L$8,E717)*2*PI()/60, INDEX('Route Data'!$F$7:$F$8,E717),INDEX('Route Data'!$O$7:$O$8,E717), INDEX('Route Data'!$P$7:$P$8,E717), INDEX('Route Data'!$H$7:$H$8,E717), INDEX('Route Data'!$Q$7:$Q$8,E717), INDEX('Route Data'!$M$7:$M$8,E717))</f>
        <v>0.51617226640175828</v>
      </c>
      <c r="L717" s="5">
        <f>INDEX('Route Data'!$N$7:$N$8,E717)</f>
        <v>0.4</v>
      </c>
      <c r="M717" s="8">
        <v>0.30548554658889771</v>
      </c>
      <c r="N717" s="8">
        <f>ProbStrikeFrancis(K717, I717, L717, INDEX('Route Data'!$G$7:$G$8,E717),C717, INDEX('Route Data'!$F$7:$F$8,E717), INDEX('Route Data'!$O$7:$O$8,E717), INDEX('Route Data'!$H$7:$H$18,E717))</f>
        <v>1</v>
      </c>
      <c r="O717" s="5" t="str">
        <f>IF(F717&gt;=1,IF(M717&lt;=N717,"STRIKE","pass"),IF(M717&lt;=INDEX('Route Data'!$R$7:$R$8,E717),"NO PASS","pass"))</f>
        <v>STRIKE</v>
      </c>
      <c r="P717" s="5">
        <f>IF(F717&gt;=1,IF(M717&lt;=N717,1,0),IF(M717&lt;=INDEX('Route Data'!$R$7:$R$8,E717),-1,0))</f>
        <v>1</v>
      </c>
    </row>
    <row r="718" spans="1:16">
      <c r="A718" s="5">
        <v>708</v>
      </c>
      <c r="B718" s="12">
        <v>24.08</v>
      </c>
      <c r="C718" s="12">
        <f t="shared" si="11"/>
        <v>2.0099999999999998</v>
      </c>
      <c r="D718" s="8">
        <v>0.72320103645324707</v>
      </c>
      <c r="E718" s="5">
        <f>MATCH(D718,'Route Data'!$C$7:$C$8,1)</f>
        <v>2</v>
      </c>
      <c r="F718" s="5">
        <f>INDEX('Route Data'!$D$7:$D$8,E718)</f>
        <v>1</v>
      </c>
      <c r="G718" s="5" t="str">
        <f>INDEX('Route Data'!$A$7:$A$8,E718)</f>
        <v>u18</v>
      </c>
      <c r="H718" s="5">
        <f>EnergyCoeff(INDEX('Route Data'!$K$7:$K$8,E718),INDEX('Route Data'!$L$7:$L$8,E718)*2*PI()/60,INDEX('Route Data'!$F$7:$F$8,E718))</f>
        <v>0.19430699130049439</v>
      </c>
      <c r="I718" s="5">
        <f>DischargeCoeff(INDEX('Route Data'!$I$7:$I$8,E718), INDEX('Route Data'!$L$7:$L$8,E718)*2*PI()/60, INDEX('Route Data'!$F$7:$F$8,E718))</f>
        <v>0.15939200179827354</v>
      </c>
      <c r="J718" s="8">
        <f>FlowAngleRel(INDEX('Route Data'!$J$7:$J$8,E718)*INDEX('Route Data'!$I$7:$I$8,E718), INDEX('Route Data'!$L$7:$L$8,E718)*2*PI()/60, INDEX('Route Data'!$F$7:$F$8,E718),INDEX('Route Data'!$O$7:$O$8,E718), INDEX('Route Data'!$P$7:$P$8,E718),INDEX('Route Data'!$M$7:$M$8,E718))</f>
        <v>1.130811765868994</v>
      </c>
      <c r="K718" s="8">
        <f>FlowAngleAbsT(INDEX('Route Data'!$K$7:$K$8,E718), INDEX('Route Data'!$I$7:$I$8,E718), INDEX('Route Data'!$I$7:$I$8,E718)*INDEX('Route Data'!$J$7:$J$8,E718), INDEX('Route Data'!$L$7:$L$8,E718)*2*PI()/60, INDEX('Route Data'!$F$7:$F$8,E718),INDEX('Route Data'!$O$7:$O$8,E718), INDEX('Route Data'!$P$7:$P$8,E718), INDEX('Route Data'!$H$7:$H$8,E718), INDEX('Route Data'!$Q$7:$Q$8,E718), INDEX('Route Data'!$M$7:$M$8,E718))</f>
        <v>0.51617226640175828</v>
      </c>
      <c r="L718" s="5">
        <f>INDEX('Route Data'!$N$7:$N$8,E718)</f>
        <v>0.4</v>
      </c>
      <c r="M718" s="8">
        <v>0.72610259056091309</v>
      </c>
      <c r="N718" s="8">
        <f>ProbStrikeFrancis(K718, I718, L718, INDEX('Route Data'!$G$7:$G$8,E718),C718, INDEX('Route Data'!$F$7:$F$8,E718), INDEX('Route Data'!$O$7:$O$8,E718), INDEX('Route Data'!$H$7:$H$18,E718))</f>
        <v>1</v>
      </c>
      <c r="O718" s="5" t="str">
        <f>IF(F718&gt;=1,IF(M718&lt;=N718,"STRIKE","pass"),IF(M718&lt;=INDEX('Route Data'!$R$7:$R$8,E718),"NO PASS","pass"))</f>
        <v>STRIKE</v>
      </c>
      <c r="P718" s="5">
        <f>IF(F718&gt;=1,IF(M718&lt;=N718,1,0),IF(M718&lt;=INDEX('Route Data'!$R$7:$R$8,E718),-1,0))</f>
        <v>1</v>
      </c>
    </row>
    <row r="719" spans="1:16">
      <c r="A719" s="5">
        <v>709</v>
      </c>
      <c r="B719" s="12">
        <v>20.100000000000001</v>
      </c>
      <c r="C719" s="12">
        <f t="shared" si="11"/>
        <v>1.68</v>
      </c>
      <c r="D719" s="8">
        <v>0.85396808385848999</v>
      </c>
      <c r="E719" s="5">
        <f>MATCH(D719,'Route Data'!$C$7:$C$8,1)</f>
        <v>2</v>
      </c>
      <c r="F719" s="5">
        <f>INDEX('Route Data'!$D$7:$D$8,E719)</f>
        <v>1</v>
      </c>
      <c r="G719" s="5" t="str">
        <f>INDEX('Route Data'!$A$7:$A$8,E719)</f>
        <v>u18</v>
      </c>
      <c r="H719" s="5">
        <f>EnergyCoeff(INDEX('Route Data'!$K$7:$K$8,E719),INDEX('Route Data'!$L$7:$L$8,E719)*2*PI()/60,INDEX('Route Data'!$F$7:$F$8,E719))</f>
        <v>0.19430699130049439</v>
      </c>
      <c r="I719" s="5">
        <f>DischargeCoeff(INDEX('Route Data'!$I$7:$I$8,E719), INDEX('Route Data'!$L$7:$L$8,E719)*2*PI()/60, INDEX('Route Data'!$F$7:$F$8,E719))</f>
        <v>0.15939200179827354</v>
      </c>
      <c r="J719" s="8">
        <f>FlowAngleRel(INDEX('Route Data'!$J$7:$J$8,E719)*INDEX('Route Data'!$I$7:$I$8,E719), INDEX('Route Data'!$L$7:$L$8,E719)*2*PI()/60, INDEX('Route Data'!$F$7:$F$8,E719),INDEX('Route Data'!$O$7:$O$8,E719), INDEX('Route Data'!$P$7:$P$8,E719),INDEX('Route Data'!$M$7:$M$8,E719))</f>
        <v>1.130811765868994</v>
      </c>
      <c r="K719" s="8">
        <f>FlowAngleAbsT(INDEX('Route Data'!$K$7:$K$8,E719), INDEX('Route Data'!$I$7:$I$8,E719), INDEX('Route Data'!$I$7:$I$8,E719)*INDEX('Route Data'!$J$7:$J$8,E719), INDEX('Route Data'!$L$7:$L$8,E719)*2*PI()/60, INDEX('Route Data'!$F$7:$F$8,E719),INDEX('Route Data'!$O$7:$O$8,E719), INDEX('Route Data'!$P$7:$P$8,E719), INDEX('Route Data'!$H$7:$H$8,E719), INDEX('Route Data'!$Q$7:$Q$8,E719), INDEX('Route Data'!$M$7:$M$8,E719))</f>
        <v>0.51617226640175828</v>
      </c>
      <c r="L719" s="5">
        <f>INDEX('Route Data'!$N$7:$N$8,E719)</f>
        <v>0.4</v>
      </c>
      <c r="M719" s="8">
        <v>0.19867223501205444</v>
      </c>
      <c r="N719" s="8">
        <f>ProbStrikeFrancis(K719, I719, L719, INDEX('Route Data'!$G$7:$G$8,E719),C719, INDEX('Route Data'!$F$7:$F$8,E719), INDEX('Route Data'!$O$7:$O$8,E719), INDEX('Route Data'!$H$7:$H$18,E719))</f>
        <v>1</v>
      </c>
      <c r="O719" s="5" t="str">
        <f>IF(F719&gt;=1,IF(M719&lt;=N719,"STRIKE","pass"),IF(M719&lt;=INDEX('Route Data'!$R$7:$R$8,E719),"NO PASS","pass"))</f>
        <v>STRIKE</v>
      </c>
      <c r="P719" s="5">
        <f>IF(F719&gt;=1,IF(M719&lt;=N719,1,0),IF(M719&lt;=INDEX('Route Data'!$R$7:$R$8,E719),-1,0))</f>
        <v>1</v>
      </c>
    </row>
    <row r="720" spans="1:16">
      <c r="A720" s="5">
        <v>710</v>
      </c>
      <c r="B720" s="12">
        <v>21.56</v>
      </c>
      <c r="C720" s="12">
        <f t="shared" si="11"/>
        <v>1.8</v>
      </c>
      <c r="D720" s="8">
        <v>0.99282538890838623</v>
      </c>
      <c r="E720" s="5">
        <f>MATCH(D720,'Route Data'!$C$7:$C$8,1)</f>
        <v>2</v>
      </c>
      <c r="F720" s="5">
        <f>INDEX('Route Data'!$D$7:$D$8,E720)</f>
        <v>1</v>
      </c>
      <c r="G720" s="5" t="str">
        <f>INDEX('Route Data'!$A$7:$A$8,E720)</f>
        <v>u18</v>
      </c>
      <c r="H720" s="5">
        <f>EnergyCoeff(INDEX('Route Data'!$K$7:$K$8,E720),INDEX('Route Data'!$L$7:$L$8,E720)*2*PI()/60,INDEX('Route Data'!$F$7:$F$8,E720))</f>
        <v>0.19430699130049439</v>
      </c>
      <c r="I720" s="5">
        <f>DischargeCoeff(INDEX('Route Data'!$I$7:$I$8,E720), INDEX('Route Data'!$L$7:$L$8,E720)*2*PI()/60, INDEX('Route Data'!$F$7:$F$8,E720))</f>
        <v>0.15939200179827354</v>
      </c>
      <c r="J720" s="8">
        <f>FlowAngleRel(INDEX('Route Data'!$J$7:$J$8,E720)*INDEX('Route Data'!$I$7:$I$8,E720), INDEX('Route Data'!$L$7:$L$8,E720)*2*PI()/60, INDEX('Route Data'!$F$7:$F$8,E720),INDEX('Route Data'!$O$7:$O$8,E720), INDEX('Route Data'!$P$7:$P$8,E720),INDEX('Route Data'!$M$7:$M$8,E720))</f>
        <v>1.130811765868994</v>
      </c>
      <c r="K720" s="8">
        <f>FlowAngleAbsT(INDEX('Route Data'!$K$7:$K$8,E720), INDEX('Route Data'!$I$7:$I$8,E720), INDEX('Route Data'!$I$7:$I$8,E720)*INDEX('Route Data'!$J$7:$J$8,E720), INDEX('Route Data'!$L$7:$L$8,E720)*2*PI()/60, INDEX('Route Data'!$F$7:$F$8,E720),INDEX('Route Data'!$O$7:$O$8,E720), INDEX('Route Data'!$P$7:$P$8,E720), INDEX('Route Data'!$H$7:$H$8,E720), INDEX('Route Data'!$Q$7:$Q$8,E720), INDEX('Route Data'!$M$7:$M$8,E720))</f>
        <v>0.51617226640175828</v>
      </c>
      <c r="L720" s="5">
        <f>INDEX('Route Data'!$N$7:$N$8,E720)</f>
        <v>0.4</v>
      </c>
      <c r="M720" s="8">
        <v>4.6542525291442871E-2</v>
      </c>
      <c r="N720" s="8">
        <f>ProbStrikeFrancis(K720, I720, L720, INDEX('Route Data'!$G$7:$G$8,E720),C720, INDEX('Route Data'!$F$7:$F$8,E720), INDEX('Route Data'!$O$7:$O$8,E720), INDEX('Route Data'!$H$7:$H$18,E720))</f>
        <v>1</v>
      </c>
      <c r="O720" s="5" t="str">
        <f>IF(F720&gt;=1,IF(M720&lt;=N720,"STRIKE","pass"),IF(M720&lt;=INDEX('Route Data'!$R$7:$R$8,E720),"NO PASS","pass"))</f>
        <v>STRIKE</v>
      </c>
      <c r="P720" s="5">
        <f>IF(F720&gt;=1,IF(M720&lt;=N720,1,0),IF(M720&lt;=INDEX('Route Data'!$R$7:$R$8,E720),-1,0))</f>
        <v>1</v>
      </c>
    </row>
    <row r="721" spans="1:16">
      <c r="A721" s="5">
        <v>711</v>
      </c>
      <c r="B721" s="12">
        <v>23.47</v>
      </c>
      <c r="C721" s="12">
        <f t="shared" si="11"/>
        <v>1.96</v>
      </c>
      <c r="D721" s="8">
        <v>0.57625347375869751</v>
      </c>
      <c r="E721" s="5">
        <f>MATCH(D721,'Route Data'!$C$7:$C$8,1)</f>
        <v>2</v>
      </c>
      <c r="F721" s="5">
        <f>INDEX('Route Data'!$D$7:$D$8,E721)</f>
        <v>1</v>
      </c>
      <c r="G721" s="5" t="str">
        <f>INDEX('Route Data'!$A$7:$A$8,E721)</f>
        <v>u18</v>
      </c>
      <c r="H721" s="5">
        <f>EnergyCoeff(INDEX('Route Data'!$K$7:$K$8,E721),INDEX('Route Data'!$L$7:$L$8,E721)*2*PI()/60,INDEX('Route Data'!$F$7:$F$8,E721))</f>
        <v>0.19430699130049439</v>
      </c>
      <c r="I721" s="5">
        <f>DischargeCoeff(INDEX('Route Data'!$I$7:$I$8,E721), INDEX('Route Data'!$L$7:$L$8,E721)*2*PI()/60, INDEX('Route Data'!$F$7:$F$8,E721))</f>
        <v>0.15939200179827354</v>
      </c>
      <c r="J721" s="8">
        <f>FlowAngleRel(INDEX('Route Data'!$J$7:$J$8,E721)*INDEX('Route Data'!$I$7:$I$8,E721), INDEX('Route Data'!$L$7:$L$8,E721)*2*PI()/60, INDEX('Route Data'!$F$7:$F$8,E721),INDEX('Route Data'!$O$7:$O$8,E721), INDEX('Route Data'!$P$7:$P$8,E721),INDEX('Route Data'!$M$7:$M$8,E721))</f>
        <v>1.130811765868994</v>
      </c>
      <c r="K721" s="8">
        <f>FlowAngleAbsT(INDEX('Route Data'!$K$7:$K$8,E721), INDEX('Route Data'!$I$7:$I$8,E721), INDEX('Route Data'!$I$7:$I$8,E721)*INDEX('Route Data'!$J$7:$J$8,E721), INDEX('Route Data'!$L$7:$L$8,E721)*2*PI()/60, INDEX('Route Data'!$F$7:$F$8,E721),INDEX('Route Data'!$O$7:$O$8,E721), INDEX('Route Data'!$P$7:$P$8,E721), INDEX('Route Data'!$H$7:$H$8,E721), INDEX('Route Data'!$Q$7:$Q$8,E721), INDEX('Route Data'!$M$7:$M$8,E721))</f>
        <v>0.51617226640175828</v>
      </c>
      <c r="L721" s="5">
        <f>INDEX('Route Data'!$N$7:$N$8,E721)</f>
        <v>0.4</v>
      </c>
      <c r="M721" s="8">
        <v>0.97177320718765259</v>
      </c>
      <c r="N721" s="8">
        <f>ProbStrikeFrancis(K721, I721, L721, INDEX('Route Data'!$G$7:$G$8,E721),C721, INDEX('Route Data'!$F$7:$F$8,E721), INDEX('Route Data'!$O$7:$O$8,E721), INDEX('Route Data'!$H$7:$H$18,E721))</f>
        <v>1</v>
      </c>
      <c r="O721" s="5" t="str">
        <f>IF(F721&gt;=1,IF(M721&lt;=N721,"STRIKE","pass"),IF(M721&lt;=INDEX('Route Data'!$R$7:$R$8,E721),"NO PASS","pass"))</f>
        <v>STRIKE</v>
      </c>
      <c r="P721" s="5">
        <f>IF(F721&gt;=1,IF(M721&lt;=N721,1,0),IF(M721&lt;=INDEX('Route Data'!$R$7:$R$8,E721),-1,0))</f>
        <v>1</v>
      </c>
    </row>
    <row r="722" spans="1:16">
      <c r="A722" s="5">
        <v>712</v>
      </c>
      <c r="B722" s="12">
        <v>19.510000000000002</v>
      </c>
      <c r="C722" s="12">
        <f t="shared" si="11"/>
        <v>1.63</v>
      </c>
      <c r="D722" s="8">
        <v>0.82596921920776367</v>
      </c>
      <c r="E722" s="5">
        <f>MATCH(D722,'Route Data'!$C$7:$C$8,1)</f>
        <v>2</v>
      </c>
      <c r="F722" s="5">
        <f>INDEX('Route Data'!$D$7:$D$8,E722)</f>
        <v>1</v>
      </c>
      <c r="G722" s="5" t="str">
        <f>INDEX('Route Data'!$A$7:$A$8,E722)</f>
        <v>u18</v>
      </c>
      <c r="H722" s="5">
        <f>EnergyCoeff(INDEX('Route Data'!$K$7:$K$8,E722),INDEX('Route Data'!$L$7:$L$8,E722)*2*PI()/60,INDEX('Route Data'!$F$7:$F$8,E722))</f>
        <v>0.19430699130049439</v>
      </c>
      <c r="I722" s="5">
        <f>DischargeCoeff(INDEX('Route Data'!$I$7:$I$8,E722), INDEX('Route Data'!$L$7:$L$8,E722)*2*PI()/60, INDEX('Route Data'!$F$7:$F$8,E722))</f>
        <v>0.15939200179827354</v>
      </c>
      <c r="J722" s="8">
        <f>FlowAngleRel(INDEX('Route Data'!$J$7:$J$8,E722)*INDEX('Route Data'!$I$7:$I$8,E722), INDEX('Route Data'!$L$7:$L$8,E722)*2*PI()/60, INDEX('Route Data'!$F$7:$F$8,E722),INDEX('Route Data'!$O$7:$O$8,E722), INDEX('Route Data'!$P$7:$P$8,E722),INDEX('Route Data'!$M$7:$M$8,E722))</f>
        <v>1.130811765868994</v>
      </c>
      <c r="K722" s="8">
        <f>FlowAngleAbsT(INDEX('Route Data'!$K$7:$K$8,E722), INDEX('Route Data'!$I$7:$I$8,E722), INDEX('Route Data'!$I$7:$I$8,E722)*INDEX('Route Data'!$J$7:$J$8,E722), INDEX('Route Data'!$L$7:$L$8,E722)*2*PI()/60, INDEX('Route Data'!$F$7:$F$8,E722),INDEX('Route Data'!$O$7:$O$8,E722), INDEX('Route Data'!$P$7:$P$8,E722), INDEX('Route Data'!$H$7:$H$8,E722), INDEX('Route Data'!$Q$7:$Q$8,E722), INDEX('Route Data'!$M$7:$M$8,E722))</f>
        <v>0.51617226640175828</v>
      </c>
      <c r="L722" s="5">
        <f>INDEX('Route Data'!$N$7:$N$8,E722)</f>
        <v>0.4</v>
      </c>
      <c r="M722" s="8">
        <v>0.19608116149902344</v>
      </c>
      <c r="N722" s="8">
        <f>ProbStrikeFrancis(K722, I722, L722, INDEX('Route Data'!$G$7:$G$8,E722),C722, INDEX('Route Data'!$F$7:$F$8,E722), INDEX('Route Data'!$O$7:$O$8,E722), INDEX('Route Data'!$H$7:$H$18,E722))</f>
        <v>1</v>
      </c>
      <c r="O722" s="5" t="str">
        <f>IF(F722&gt;=1,IF(M722&lt;=N722,"STRIKE","pass"),IF(M722&lt;=INDEX('Route Data'!$R$7:$R$8,E722),"NO PASS","pass"))</f>
        <v>STRIKE</v>
      </c>
      <c r="P722" s="5">
        <f>IF(F722&gt;=1,IF(M722&lt;=N722,1,0),IF(M722&lt;=INDEX('Route Data'!$R$7:$R$8,E722),-1,0))</f>
        <v>1</v>
      </c>
    </row>
    <row r="723" spans="1:16">
      <c r="A723" s="5">
        <v>713</v>
      </c>
      <c r="B723" s="12">
        <v>22.82</v>
      </c>
      <c r="C723" s="12">
        <f t="shared" si="11"/>
        <v>1.9</v>
      </c>
      <c r="D723" s="8">
        <v>0.81124275922775269</v>
      </c>
      <c r="E723" s="5">
        <f>MATCH(D723,'Route Data'!$C$7:$C$8,1)</f>
        <v>2</v>
      </c>
      <c r="F723" s="5">
        <f>INDEX('Route Data'!$D$7:$D$8,E723)</f>
        <v>1</v>
      </c>
      <c r="G723" s="5" t="str">
        <f>INDEX('Route Data'!$A$7:$A$8,E723)</f>
        <v>u18</v>
      </c>
      <c r="H723" s="5">
        <f>EnergyCoeff(INDEX('Route Data'!$K$7:$K$8,E723),INDEX('Route Data'!$L$7:$L$8,E723)*2*PI()/60,INDEX('Route Data'!$F$7:$F$8,E723))</f>
        <v>0.19430699130049439</v>
      </c>
      <c r="I723" s="5">
        <f>DischargeCoeff(INDEX('Route Data'!$I$7:$I$8,E723), INDEX('Route Data'!$L$7:$L$8,E723)*2*PI()/60, INDEX('Route Data'!$F$7:$F$8,E723))</f>
        <v>0.15939200179827354</v>
      </c>
      <c r="J723" s="8">
        <f>FlowAngleRel(INDEX('Route Data'!$J$7:$J$8,E723)*INDEX('Route Data'!$I$7:$I$8,E723), INDEX('Route Data'!$L$7:$L$8,E723)*2*PI()/60, INDEX('Route Data'!$F$7:$F$8,E723),INDEX('Route Data'!$O$7:$O$8,E723), INDEX('Route Data'!$P$7:$P$8,E723),INDEX('Route Data'!$M$7:$M$8,E723))</f>
        <v>1.130811765868994</v>
      </c>
      <c r="K723" s="8">
        <f>FlowAngleAbsT(INDEX('Route Data'!$K$7:$K$8,E723), INDEX('Route Data'!$I$7:$I$8,E723), INDEX('Route Data'!$I$7:$I$8,E723)*INDEX('Route Data'!$J$7:$J$8,E723), INDEX('Route Data'!$L$7:$L$8,E723)*2*PI()/60, INDEX('Route Data'!$F$7:$F$8,E723),INDEX('Route Data'!$O$7:$O$8,E723), INDEX('Route Data'!$P$7:$P$8,E723), INDEX('Route Data'!$H$7:$H$8,E723), INDEX('Route Data'!$Q$7:$Q$8,E723), INDEX('Route Data'!$M$7:$M$8,E723))</f>
        <v>0.51617226640175828</v>
      </c>
      <c r="L723" s="5">
        <f>INDEX('Route Data'!$N$7:$N$8,E723)</f>
        <v>0.4</v>
      </c>
      <c r="M723" s="8">
        <v>0.52315729856491089</v>
      </c>
      <c r="N723" s="8">
        <f>ProbStrikeFrancis(K723, I723, L723, INDEX('Route Data'!$G$7:$G$8,E723),C723, INDEX('Route Data'!$F$7:$F$8,E723), INDEX('Route Data'!$O$7:$O$8,E723), INDEX('Route Data'!$H$7:$H$18,E723))</f>
        <v>1</v>
      </c>
      <c r="O723" s="5" t="str">
        <f>IF(F723&gt;=1,IF(M723&lt;=N723,"STRIKE","pass"),IF(M723&lt;=INDEX('Route Data'!$R$7:$R$8,E723),"NO PASS","pass"))</f>
        <v>STRIKE</v>
      </c>
      <c r="P723" s="5">
        <f>IF(F723&gt;=1,IF(M723&lt;=N723,1,0),IF(M723&lt;=INDEX('Route Data'!$R$7:$R$8,E723),-1,0))</f>
        <v>1</v>
      </c>
    </row>
    <row r="724" spans="1:16">
      <c r="A724" s="5">
        <v>714</v>
      </c>
      <c r="B724" s="12">
        <v>19.25</v>
      </c>
      <c r="C724" s="12">
        <f t="shared" si="11"/>
        <v>1.6</v>
      </c>
      <c r="D724" s="8">
        <v>0.12100136280059814</v>
      </c>
      <c r="E724" s="5">
        <f>MATCH(D724,'Route Data'!$C$7:$C$8,1)</f>
        <v>2</v>
      </c>
      <c r="F724" s="5">
        <f>INDEX('Route Data'!$D$7:$D$8,E724)</f>
        <v>1</v>
      </c>
      <c r="G724" s="5" t="str">
        <f>INDEX('Route Data'!$A$7:$A$8,E724)</f>
        <v>u18</v>
      </c>
      <c r="H724" s="5">
        <f>EnergyCoeff(INDEX('Route Data'!$K$7:$K$8,E724),INDEX('Route Data'!$L$7:$L$8,E724)*2*PI()/60,INDEX('Route Data'!$F$7:$F$8,E724))</f>
        <v>0.19430699130049439</v>
      </c>
      <c r="I724" s="5">
        <f>DischargeCoeff(INDEX('Route Data'!$I$7:$I$8,E724), INDEX('Route Data'!$L$7:$L$8,E724)*2*PI()/60, INDEX('Route Data'!$F$7:$F$8,E724))</f>
        <v>0.15939200179827354</v>
      </c>
      <c r="J724" s="8">
        <f>FlowAngleRel(INDEX('Route Data'!$J$7:$J$8,E724)*INDEX('Route Data'!$I$7:$I$8,E724), INDEX('Route Data'!$L$7:$L$8,E724)*2*PI()/60, INDEX('Route Data'!$F$7:$F$8,E724),INDEX('Route Data'!$O$7:$O$8,E724), INDEX('Route Data'!$P$7:$P$8,E724),INDEX('Route Data'!$M$7:$M$8,E724))</f>
        <v>1.130811765868994</v>
      </c>
      <c r="K724" s="8">
        <f>FlowAngleAbsT(INDEX('Route Data'!$K$7:$K$8,E724), INDEX('Route Data'!$I$7:$I$8,E724), INDEX('Route Data'!$I$7:$I$8,E724)*INDEX('Route Data'!$J$7:$J$8,E724), INDEX('Route Data'!$L$7:$L$8,E724)*2*PI()/60, INDEX('Route Data'!$F$7:$F$8,E724),INDEX('Route Data'!$O$7:$O$8,E724), INDEX('Route Data'!$P$7:$P$8,E724), INDEX('Route Data'!$H$7:$H$8,E724), INDEX('Route Data'!$Q$7:$Q$8,E724), INDEX('Route Data'!$M$7:$M$8,E724))</f>
        <v>0.51617226640175828</v>
      </c>
      <c r="L724" s="5">
        <f>INDEX('Route Data'!$N$7:$N$8,E724)</f>
        <v>0.4</v>
      </c>
      <c r="M724" s="8">
        <v>0.80750811100006104</v>
      </c>
      <c r="N724" s="8">
        <f>ProbStrikeFrancis(K724, I724, L724, INDEX('Route Data'!$G$7:$G$8,E724),C724, INDEX('Route Data'!$F$7:$F$8,E724), INDEX('Route Data'!$O$7:$O$8,E724), INDEX('Route Data'!$H$7:$H$18,E724))</f>
        <v>1</v>
      </c>
      <c r="O724" s="5" t="str">
        <f>IF(F724&gt;=1,IF(M724&lt;=N724,"STRIKE","pass"),IF(M724&lt;=INDEX('Route Data'!$R$7:$R$8,E724),"NO PASS","pass"))</f>
        <v>STRIKE</v>
      </c>
      <c r="P724" s="5">
        <f>IF(F724&gt;=1,IF(M724&lt;=N724,1,0),IF(M724&lt;=INDEX('Route Data'!$R$7:$R$8,E724),-1,0))</f>
        <v>1</v>
      </c>
    </row>
    <row r="725" spans="1:16">
      <c r="A725" s="5">
        <v>715</v>
      </c>
      <c r="B725" s="12">
        <v>23.33</v>
      </c>
      <c r="C725" s="12">
        <f t="shared" si="11"/>
        <v>1.94</v>
      </c>
      <c r="D725" s="8">
        <v>0.19172555208206177</v>
      </c>
      <c r="E725" s="5">
        <f>MATCH(D725,'Route Data'!$C$7:$C$8,1)</f>
        <v>2</v>
      </c>
      <c r="F725" s="5">
        <f>INDEX('Route Data'!$D$7:$D$8,E725)</f>
        <v>1</v>
      </c>
      <c r="G725" s="5" t="str">
        <f>INDEX('Route Data'!$A$7:$A$8,E725)</f>
        <v>u18</v>
      </c>
      <c r="H725" s="5">
        <f>EnergyCoeff(INDEX('Route Data'!$K$7:$K$8,E725),INDEX('Route Data'!$L$7:$L$8,E725)*2*PI()/60,INDEX('Route Data'!$F$7:$F$8,E725))</f>
        <v>0.19430699130049439</v>
      </c>
      <c r="I725" s="5">
        <f>DischargeCoeff(INDEX('Route Data'!$I$7:$I$8,E725), INDEX('Route Data'!$L$7:$L$8,E725)*2*PI()/60, INDEX('Route Data'!$F$7:$F$8,E725))</f>
        <v>0.15939200179827354</v>
      </c>
      <c r="J725" s="8">
        <f>FlowAngleRel(INDEX('Route Data'!$J$7:$J$8,E725)*INDEX('Route Data'!$I$7:$I$8,E725), INDEX('Route Data'!$L$7:$L$8,E725)*2*PI()/60, INDEX('Route Data'!$F$7:$F$8,E725),INDEX('Route Data'!$O$7:$O$8,E725), INDEX('Route Data'!$P$7:$P$8,E725),INDEX('Route Data'!$M$7:$M$8,E725))</f>
        <v>1.130811765868994</v>
      </c>
      <c r="K725" s="8">
        <f>FlowAngleAbsT(INDEX('Route Data'!$K$7:$K$8,E725), INDEX('Route Data'!$I$7:$I$8,E725), INDEX('Route Data'!$I$7:$I$8,E725)*INDEX('Route Data'!$J$7:$J$8,E725), INDEX('Route Data'!$L$7:$L$8,E725)*2*PI()/60, INDEX('Route Data'!$F$7:$F$8,E725),INDEX('Route Data'!$O$7:$O$8,E725), INDEX('Route Data'!$P$7:$P$8,E725), INDEX('Route Data'!$H$7:$H$8,E725), INDEX('Route Data'!$Q$7:$Q$8,E725), INDEX('Route Data'!$M$7:$M$8,E725))</f>
        <v>0.51617226640175828</v>
      </c>
      <c r="L725" s="5">
        <f>INDEX('Route Data'!$N$7:$N$8,E725)</f>
        <v>0.4</v>
      </c>
      <c r="M725" s="8">
        <v>0.2200348973274231</v>
      </c>
      <c r="N725" s="8">
        <f>ProbStrikeFrancis(K725, I725, L725, INDEX('Route Data'!$G$7:$G$8,E725),C725, INDEX('Route Data'!$F$7:$F$8,E725), INDEX('Route Data'!$O$7:$O$8,E725), INDEX('Route Data'!$H$7:$H$18,E725))</f>
        <v>1</v>
      </c>
      <c r="O725" s="5" t="str">
        <f>IF(F725&gt;=1,IF(M725&lt;=N725,"STRIKE","pass"),IF(M725&lt;=INDEX('Route Data'!$R$7:$R$8,E725),"NO PASS","pass"))</f>
        <v>STRIKE</v>
      </c>
      <c r="P725" s="5">
        <f>IF(F725&gt;=1,IF(M725&lt;=N725,1,0),IF(M725&lt;=INDEX('Route Data'!$R$7:$R$8,E725),-1,0))</f>
        <v>1</v>
      </c>
    </row>
    <row r="726" spans="1:16">
      <c r="A726" s="5">
        <v>716</v>
      </c>
      <c r="B726" s="12">
        <v>27.91</v>
      </c>
      <c r="C726" s="12">
        <f t="shared" si="11"/>
        <v>2.33</v>
      </c>
      <c r="D726" s="8">
        <v>0.2451322078704834</v>
      </c>
      <c r="E726" s="5">
        <f>MATCH(D726,'Route Data'!$C$7:$C$8,1)</f>
        <v>2</v>
      </c>
      <c r="F726" s="5">
        <f>INDEX('Route Data'!$D$7:$D$8,E726)</f>
        <v>1</v>
      </c>
      <c r="G726" s="5" t="str">
        <f>INDEX('Route Data'!$A$7:$A$8,E726)</f>
        <v>u18</v>
      </c>
      <c r="H726" s="5">
        <f>EnergyCoeff(INDEX('Route Data'!$K$7:$K$8,E726),INDEX('Route Data'!$L$7:$L$8,E726)*2*PI()/60,INDEX('Route Data'!$F$7:$F$8,E726))</f>
        <v>0.19430699130049439</v>
      </c>
      <c r="I726" s="5">
        <f>DischargeCoeff(INDEX('Route Data'!$I$7:$I$8,E726), INDEX('Route Data'!$L$7:$L$8,E726)*2*PI()/60, INDEX('Route Data'!$F$7:$F$8,E726))</f>
        <v>0.15939200179827354</v>
      </c>
      <c r="J726" s="8">
        <f>FlowAngleRel(INDEX('Route Data'!$J$7:$J$8,E726)*INDEX('Route Data'!$I$7:$I$8,E726), INDEX('Route Data'!$L$7:$L$8,E726)*2*PI()/60, INDEX('Route Data'!$F$7:$F$8,E726),INDEX('Route Data'!$O$7:$O$8,E726), INDEX('Route Data'!$P$7:$P$8,E726),INDEX('Route Data'!$M$7:$M$8,E726))</f>
        <v>1.130811765868994</v>
      </c>
      <c r="K726" s="8">
        <f>FlowAngleAbsT(INDEX('Route Data'!$K$7:$K$8,E726), INDEX('Route Data'!$I$7:$I$8,E726), INDEX('Route Data'!$I$7:$I$8,E726)*INDEX('Route Data'!$J$7:$J$8,E726), INDEX('Route Data'!$L$7:$L$8,E726)*2*PI()/60, INDEX('Route Data'!$F$7:$F$8,E726),INDEX('Route Data'!$O$7:$O$8,E726), INDEX('Route Data'!$P$7:$P$8,E726), INDEX('Route Data'!$H$7:$H$8,E726), INDEX('Route Data'!$Q$7:$Q$8,E726), INDEX('Route Data'!$M$7:$M$8,E726))</f>
        <v>0.51617226640175828</v>
      </c>
      <c r="L726" s="5">
        <f>INDEX('Route Data'!$N$7:$N$8,E726)</f>
        <v>0.4</v>
      </c>
      <c r="M726" s="8">
        <v>0.98245453834533691</v>
      </c>
      <c r="N726" s="8">
        <f>ProbStrikeFrancis(K726, I726, L726, INDEX('Route Data'!$G$7:$G$8,E726),C726, INDEX('Route Data'!$F$7:$F$8,E726), INDEX('Route Data'!$O$7:$O$8,E726), INDEX('Route Data'!$H$7:$H$18,E726))</f>
        <v>1</v>
      </c>
      <c r="O726" s="5" t="str">
        <f>IF(F726&gt;=1,IF(M726&lt;=N726,"STRIKE","pass"),IF(M726&lt;=INDEX('Route Data'!$R$7:$R$8,E726),"NO PASS","pass"))</f>
        <v>STRIKE</v>
      </c>
      <c r="P726" s="5">
        <f>IF(F726&gt;=1,IF(M726&lt;=N726,1,0),IF(M726&lt;=INDEX('Route Data'!$R$7:$R$8,E726),-1,0))</f>
        <v>1</v>
      </c>
    </row>
    <row r="727" spans="1:16">
      <c r="A727" s="5">
        <v>717</v>
      </c>
      <c r="B727" s="12">
        <v>22.09</v>
      </c>
      <c r="C727" s="12">
        <f t="shared" si="11"/>
        <v>1.84</v>
      </c>
      <c r="D727" s="8">
        <v>8.4912240505218506E-2</v>
      </c>
      <c r="E727" s="5">
        <f>MATCH(D727,'Route Data'!$C$7:$C$8,1)</f>
        <v>2</v>
      </c>
      <c r="F727" s="5">
        <f>INDEX('Route Data'!$D$7:$D$8,E727)</f>
        <v>1</v>
      </c>
      <c r="G727" s="5" t="str">
        <f>INDEX('Route Data'!$A$7:$A$8,E727)</f>
        <v>u18</v>
      </c>
      <c r="H727" s="5">
        <f>EnergyCoeff(INDEX('Route Data'!$K$7:$K$8,E727),INDEX('Route Data'!$L$7:$L$8,E727)*2*PI()/60,INDEX('Route Data'!$F$7:$F$8,E727))</f>
        <v>0.19430699130049439</v>
      </c>
      <c r="I727" s="5">
        <f>DischargeCoeff(INDEX('Route Data'!$I$7:$I$8,E727), INDEX('Route Data'!$L$7:$L$8,E727)*2*PI()/60, INDEX('Route Data'!$F$7:$F$8,E727))</f>
        <v>0.15939200179827354</v>
      </c>
      <c r="J727" s="8">
        <f>FlowAngleRel(INDEX('Route Data'!$J$7:$J$8,E727)*INDEX('Route Data'!$I$7:$I$8,E727), INDEX('Route Data'!$L$7:$L$8,E727)*2*PI()/60, INDEX('Route Data'!$F$7:$F$8,E727),INDEX('Route Data'!$O$7:$O$8,E727), INDEX('Route Data'!$P$7:$P$8,E727),INDEX('Route Data'!$M$7:$M$8,E727))</f>
        <v>1.130811765868994</v>
      </c>
      <c r="K727" s="8">
        <f>FlowAngleAbsT(INDEX('Route Data'!$K$7:$K$8,E727), INDEX('Route Data'!$I$7:$I$8,E727), INDEX('Route Data'!$I$7:$I$8,E727)*INDEX('Route Data'!$J$7:$J$8,E727), INDEX('Route Data'!$L$7:$L$8,E727)*2*PI()/60, INDEX('Route Data'!$F$7:$F$8,E727),INDEX('Route Data'!$O$7:$O$8,E727), INDEX('Route Data'!$P$7:$P$8,E727), INDEX('Route Data'!$H$7:$H$8,E727), INDEX('Route Data'!$Q$7:$Q$8,E727), INDEX('Route Data'!$M$7:$M$8,E727))</f>
        <v>0.51617226640175828</v>
      </c>
      <c r="L727" s="5">
        <f>INDEX('Route Data'!$N$7:$N$8,E727)</f>
        <v>0.4</v>
      </c>
      <c r="M727" s="8">
        <v>0.16403716802597046</v>
      </c>
      <c r="N727" s="8">
        <f>ProbStrikeFrancis(K727, I727, L727, INDEX('Route Data'!$G$7:$G$8,E727),C727, INDEX('Route Data'!$F$7:$F$8,E727), INDEX('Route Data'!$O$7:$O$8,E727), INDEX('Route Data'!$H$7:$H$18,E727))</f>
        <v>1</v>
      </c>
      <c r="O727" s="5" t="str">
        <f>IF(F727&gt;=1,IF(M727&lt;=N727,"STRIKE","pass"),IF(M727&lt;=INDEX('Route Data'!$R$7:$R$8,E727),"NO PASS","pass"))</f>
        <v>STRIKE</v>
      </c>
      <c r="P727" s="5">
        <f>IF(F727&gt;=1,IF(M727&lt;=N727,1,0),IF(M727&lt;=INDEX('Route Data'!$R$7:$R$8,E727),-1,0))</f>
        <v>1</v>
      </c>
    </row>
    <row r="728" spans="1:16">
      <c r="A728" s="5">
        <v>718</v>
      </c>
      <c r="B728" s="12">
        <v>28.07</v>
      </c>
      <c r="C728" s="12">
        <f t="shared" si="11"/>
        <v>2.34</v>
      </c>
      <c r="D728" s="8">
        <v>0.56557214260101318</v>
      </c>
      <c r="E728" s="5">
        <f>MATCH(D728,'Route Data'!$C$7:$C$8,1)</f>
        <v>2</v>
      </c>
      <c r="F728" s="5">
        <f>INDEX('Route Data'!$D$7:$D$8,E728)</f>
        <v>1</v>
      </c>
      <c r="G728" s="5" t="str">
        <f>INDEX('Route Data'!$A$7:$A$8,E728)</f>
        <v>u18</v>
      </c>
      <c r="H728" s="5">
        <f>EnergyCoeff(INDEX('Route Data'!$K$7:$K$8,E728),INDEX('Route Data'!$L$7:$L$8,E728)*2*PI()/60,INDEX('Route Data'!$F$7:$F$8,E728))</f>
        <v>0.19430699130049439</v>
      </c>
      <c r="I728" s="5">
        <f>DischargeCoeff(INDEX('Route Data'!$I$7:$I$8,E728), INDEX('Route Data'!$L$7:$L$8,E728)*2*PI()/60, INDEX('Route Data'!$F$7:$F$8,E728))</f>
        <v>0.15939200179827354</v>
      </c>
      <c r="J728" s="8">
        <f>FlowAngleRel(INDEX('Route Data'!$J$7:$J$8,E728)*INDEX('Route Data'!$I$7:$I$8,E728), INDEX('Route Data'!$L$7:$L$8,E728)*2*PI()/60, INDEX('Route Data'!$F$7:$F$8,E728),INDEX('Route Data'!$O$7:$O$8,E728), INDEX('Route Data'!$P$7:$P$8,E728),INDEX('Route Data'!$M$7:$M$8,E728))</f>
        <v>1.130811765868994</v>
      </c>
      <c r="K728" s="8">
        <f>FlowAngleAbsT(INDEX('Route Data'!$K$7:$K$8,E728), INDEX('Route Data'!$I$7:$I$8,E728), INDEX('Route Data'!$I$7:$I$8,E728)*INDEX('Route Data'!$J$7:$J$8,E728), INDEX('Route Data'!$L$7:$L$8,E728)*2*PI()/60, INDEX('Route Data'!$F$7:$F$8,E728),INDEX('Route Data'!$O$7:$O$8,E728), INDEX('Route Data'!$P$7:$P$8,E728), INDEX('Route Data'!$H$7:$H$8,E728), INDEX('Route Data'!$Q$7:$Q$8,E728), INDEX('Route Data'!$M$7:$M$8,E728))</f>
        <v>0.51617226640175828</v>
      </c>
      <c r="L728" s="5">
        <f>INDEX('Route Data'!$N$7:$N$8,E728)</f>
        <v>0.4</v>
      </c>
      <c r="M728" s="8">
        <v>0.61928927898406982</v>
      </c>
      <c r="N728" s="8">
        <f>ProbStrikeFrancis(K728, I728, L728, INDEX('Route Data'!$G$7:$G$8,E728),C728, INDEX('Route Data'!$F$7:$F$8,E728), INDEX('Route Data'!$O$7:$O$8,E728), INDEX('Route Data'!$H$7:$H$18,E728))</f>
        <v>1</v>
      </c>
      <c r="O728" s="5" t="str">
        <f>IF(F728&gt;=1,IF(M728&lt;=N728,"STRIKE","pass"),IF(M728&lt;=INDEX('Route Data'!$R$7:$R$8,E728),"NO PASS","pass"))</f>
        <v>STRIKE</v>
      </c>
      <c r="P728" s="5">
        <f>IF(F728&gt;=1,IF(M728&lt;=N728,1,0),IF(M728&lt;=INDEX('Route Data'!$R$7:$R$8,E728),-1,0))</f>
        <v>1</v>
      </c>
    </row>
    <row r="729" spans="1:16">
      <c r="A729" s="5">
        <v>719</v>
      </c>
      <c r="B729" s="12">
        <v>19.59</v>
      </c>
      <c r="C729" s="12">
        <f t="shared" si="11"/>
        <v>1.63</v>
      </c>
      <c r="D729" s="8">
        <v>0.85801321268081665</v>
      </c>
      <c r="E729" s="5">
        <f>MATCH(D729,'Route Data'!$C$7:$C$8,1)</f>
        <v>2</v>
      </c>
      <c r="F729" s="5">
        <f>INDEX('Route Data'!$D$7:$D$8,E729)</f>
        <v>1</v>
      </c>
      <c r="G729" s="5" t="str">
        <f>INDEX('Route Data'!$A$7:$A$8,E729)</f>
        <v>u18</v>
      </c>
      <c r="H729" s="5">
        <f>EnergyCoeff(INDEX('Route Data'!$K$7:$K$8,E729),INDEX('Route Data'!$L$7:$L$8,E729)*2*PI()/60,INDEX('Route Data'!$F$7:$F$8,E729))</f>
        <v>0.19430699130049439</v>
      </c>
      <c r="I729" s="5">
        <f>DischargeCoeff(INDEX('Route Data'!$I$7:$I$8,E729), INDEX('Route Data'!$L$7:$L$8,E729)*2*PI()/60, INDEX('Route Data'!$F$7:$F$8,E729))</f>
        <v>0.15939200179827354</v>
      </c>
      <c r="J729" s="8">
        <f>FlowAngleRel(INDEX('Route Data'!$J$7:$J$8,E729)*INDEX('Route Data'!$I$7:$I$8,E729), INDEX('Route Data'!$L$7:$L$8,E729)*2*PI()/60, INDEX('Route Data'!$F$7:$F$8,E729),INDEX('Route Data'!$O$7:$O$8,E729), INDEX('Route Data'!$P$7:$P$8,E729),INDEX('Route Data'!$M$7:$M$8,E729))</f>
        <v>1.130811765868994</v>
      </c>
      <c r="K729" s="8">
        <f>FlowAngleAbsT(INDEX('Route Data'!$K$7:$K$8,E729), INDEX('Route Data'!$I$7:$I$8,E729), INDEX('Route Data'!$I$7:$I$8,E729)*INDEX('Route Data'!$J$7:$J$8,E729), INDEX('Route Data'!$L$7:$L$8,E729)*2*PI()/60, INDEX('Route Data'!$F$7:$F$8,E729),INDEX('Route Data'!$O$7:$O$8,E729), INDEX('Route Data'!$P$7:$P$8,E729), INDEX('Route Data'!$H$7:$H$8,E729), INDEX('Route Data'!$Q$7:$Q$8,E729), INDEX('Route Data'!$M$7:$M$8,E729))</f>
        <v>0.51617226640175828</v>
      </c>
      <c r="L729" s="5">
        <f>INDEX('Route Data'!$N$7:$N$8,E729)</f>
        <v>0.4</v>
      </c>
      <c r="M729" s="8">
        <v>0.51911216974258423</v>
      </c>
      <c r="N729" s="8">
        <f>ProbStrikeFrancis(K729, I729, L729, INDEX('Route Data'!$G$7:$G$8,E729),C729, INDEX('Route Data'!$F$7:$F$8,E729), INDEX('Route Data'!$O$7:$O$8,E729), INDEX('Route Data'!$H$7:$H$18,E729))</f>
        <v>1</v>
      </c>
      <c r="O729" s="5" t="str">
        <f>IF(F729&gt;=1,IF(M729&lt;=N729,"STRIKE","pass"),IF(M729&lt;=INDEX('Route Data'!$R$7:$R$8,E729),"NO PASS","pass"))</f>
        <v>STRIKE</v>
      </c>
      <c r="P729" s="5">
        <f>IF(F729&gt;=1,IF(M729&lt;=N729,1,0),IF(M729&lt;=INDEX('Route Data'!$R$7:$R$8,E729),-1,0))</f>
        <v>1</v>
      </c>
    </row>
    <row r="730" spans="1:16">
      <c r="A730" s="5">
        <v>720</v>
      </c>
      <c r="B730" s="12">
        <v>17.71</v>
      </c>
      <c r="C730" s="12">
        <f t="shared" si="11"/>
        <v>1.48</v>
      </c>
      <c r="D730" s="8">
        <v>0.71511077880859375</v>
      </c>
      <c r="E730" s="5">
        <f>MATCH(D730,'Route Data'!$C$7:$C$8,1)</f>
        <v>2</v>
      </c>
      <c r="F730" s="5">
        <f>INDEX('Route Data'!$D$7:$D$8,E730)</f>
        <v>1</v>
      </c>
      <c r="G730" s="5" t="str">
        <f>INDEX('Route Data'!$A$7:$A$8,E730)</f>
        <v>u18</v>
      </c>
      <c r="H730" s="5">
        <f>EnergyCoeff(INDEX('Route Data'!$K$7:$K$8,E730),INDEX('Route Data'!$L$7:$L$8,E730)*2*PI()/60,INDEX('Route Data'!$F$7:$F$8,E730))</f>
        <v>0.19430699130049439</v>
      </c>
      <c r="I730" s="5">
        <f>DischargeCoeff(INDEX('Route Data'!$I$7:$I$8,E730), INDEX('Route Data'!$L$7:$L$8,E730)*2*PI()/60, INDEX('Route Data'!$F$7:$F$8,E730))</f>
        <v>0.15939200179827354</v>
      </c>
      <c r="J730" s="8">
        <f>FlowAngleRel(INDEX('Route Data'!$J$7:$J$8,E730)*INDEX('Route Data'!$I$7:$I$8,E730), INDEX('Route Data'!$L$7:$L$8,E730)*2*PI()/60, INDEX('Route Data'!$F$7:$F$8,E730),INDEX('Route Data'!$O$7:$O$8,E730), INDEX('Route Data'!$P$7:$P$8,E730),INDEX('Route Data'!$M$7:$M$8,E730))</f>
        <v>1.130811765868994</v>
      </c>
      <c r="K730" s="8">
        <f>FlowAngleAbsT(INDEX('Route Data'!$K$7:$K$8,E730), INDEX('Route Data'!$I$7:$I$8,E730), INDEX('Route Data'!$I$7:$I$8,E730)*INDEX('Route Data'!$J$7:$J$8,E730), INDEX('Route Data'!$L$7:$L$8,E730)*2*PI()/60, INDEX('Route Data'!$F$7:$F$8,E730),INDEX('Route Data'!$O$7:$O$8,E730), INDEX('Route Data'!$P$7:$P$8,E730), INDEX('Route Data'!$H$7:$H$8,E730), INDEX('Route Data'!$Q$7:$Q$8,E730), INDEX('Route Data'!$M$7:$M$8,E730))</f>
        <v>0.51617226640175828</v>
      </c>
      <c r="L730" s="5">
        <f>INDEX('Route Data'!$N$7:$N$8,E730)</f>
        <v>0.4</v>
      </c>
      <c r="M730" s="8">
        <v>8.5222721099853516E-2</v>
      </c>
      <c r="N730" s="8">
        <f>ProbStrikeFrancis(K730, I730, L730, INDEX('Route Data'!$G$7:$G$8,E730),C730, INDEX('Route Data'!$F$7:$F$8,E730), INDEX('Route Data'!$O$7:$O$8,E730), INDEX('Route Data'!$H$7:$H$18,E730))</f>
        <v>1</v>
      </c>
      <c r="O730" s="5" t="str">
        <f>IF(F730&gt;=1,IF(M730&lt;=N730,"STRIKE","pass"),IF(M730&lt;=INDEX('Route Data'!$R$7:$R$8,E730),"NO PASS","pass"))</f>
        <v>STRIKE</v>
      </c>
      <c r="P730" s="5">
        <f>IF(F730&gt;=1,IF(M730&lt;=N730,1,0),IF(M730&lt;=INDEX('Route Data'!$R$7:$R$8,E730),-1,0))</f>
        <v>1</v>
      </c>
    </row>
    <row r="731" spans="1:16">
      <c r="A731" s="5">
        <v>721</v>
      </c>
      <c r="B731" s="12">
        <v>21.75</v>
      </c>
      <c r="C731" s="12">
        <f t="shared" si="11"/>
        <v>1.81</v>
      </c>
      <c r="D731" s="8">
        <v>0.40939730405807495</v>
      </c>
      <c r="E731" s="5">
        <f>MATCH(D731,'Route Data'!$C$7:$C$8,1)</f>
        <v>2</v>
      </c>
      <c r="F731" s="5">
        <f>INDEX('Route Data'!$D$7:$D$8,E731)</f>
        <v>1</v>
      </c>
      <c r="G731" s="5" t="str">
        <f>INDEX('Route Data'!$A$7:$A$8,E731)</f>
        <v>u18</v>
      </c>
      <c r="H731" s="5">
        <f>EnergyCoeff(INDEX('Route Data'!$K$7:$K$8,E731),INDEX('Route Data'!$L$7:$L$8,E731)*2*PI()/60,INDEX('Route Data'!$F$7:$F$8,E731))</f>
        <v>0.19430699130049439</v>
      </c>
      <c r="I731" s="5">
        <f>DischargeCoeff(INDEX('Route Data'!$I$7:$I$8,E731), INDEX('Route Data'!$L$7:$L$8,E731)*2*PI()/60, INDEX('Route Data'!$F$7:$F$8,E731))</f>
        <v>0.15939200179827354</v>
      </c>
      <c r="J731" s="8">
        <f>FlowAngleRel(INDEX('Route Data'!$J$7:$J$8,E731)*INDEX('Route Data'!$I$7:$I$8,E731), INDEX('Route Data'!$L$7:$L$8,E731)*2*PI()/60, INDEX('Route Data'!$F$7:$F$8,E731),INDEX('Route Data'!$O$7:$O$8,E731), INDEX('Route Data'!$P$7:$P$8,E731),INDEX('Route Data'!$M$7:$M$8,E731))</f>
        <v>1.130811765868994</v>
      </c>
      <c r="K731" s="8">
        <f>FlowAngleAbsT(INDEX('Route Data'!$K$7:$K$8,E731), INDEX('Route Data'!$I$7:$I$8,E731), INDEX('Route Data'!$I$7:$I$8,E731)*INDEX('Route Data'!$J$7:$J$8,E731), INDEX('Route Data'!$L$7:$L$8,E731)*2*PI()/60, INDEX('Route Data'!$F$7:$F$8,E731),INDEX('Route Data'!$O$7:$O$8,E731), INDEX('Route Data'!$P$7:$P$8,E731), INDEX('Route Data'!$H$7:$H$8,E731), INDEX('Route Data'!$Q$7:$Q$8,E731), INDEX('Route Data'!$M$7:$M$8,E731))</f>
        <v>0.51617226640175828</v>
      </c>
      <c r="L731" s="5">
        <f>INDEX('Route Data'!$N$7:$N$8,E731)</f>
        <v>0.4</v>
      </c>
      <c r="M731" s="8">
        <v>0.26225727796554565</v>
      </c>
      <c r="N731" s="8">
        <f>ProbStrikeFrancis(K731, I731, L731, INDEX('Route Data'!$G$7:$G$8,E731),C731, INDEX('Route Data'!$F$7:$F$8,E731), INDEX('Route Data'!$O$7:$O$8,E731), INDEX('Route Data'!$H$7:$H$18,E731))</f>
        <v>1</v>
      </c>
      <c r="O731" s="5" t="str">
        <f>IF(F731&gt;=1,IF(M731&lt;=N731,"STRIKE","pass"),IF(M731&lt;=INDEX('Route Data'!$R$7:$R$8,E731),"NO PASS","pass"))</f>
        <v>STRIKE</v>
      </c>
      <c r="P731" s="5">
        <f>IF(F731&gt;=1,IF(M731&lt;=N731,1,0),IF(M731&lt;=INDEX('Route Data'!$R$7:$R$8,E731),-1,0))</f>
        <v>1</v>
      </c>
    </row>
    <row r="732" spans="1:16">
      <c r="A732" s="5">
        <v>722</v>
      </c>
      <c r="B732" s="12">
        <v>18.329999999999998</v>
      </c>
      <c r="C732" s="12">
        <f t="shared" si="11"/>
        <v>1.53</v>
      </c>
      <c r="D732" s="8">
        <v>6.0958504676818848E-2</v>
      </c>
      <c r="E732" s="5">
        <f>MATCH(D732,'Route Data'!$C$7:$C$8,1)</f>
        <v>2</v>
      </c>
      <c r="F732" s="5">
        <f>INDEX('Route Data'!$D$7:$D$8,E732)</f>
        <v>1</v>
      </c>
      <c r="G732" s="5" t="str">
        <f>INDEX('Route Data'!$A$7:$A$8,E732)</f>
        <v>u18</v>
      </c>
      <c r="H732" s="5">
        <f>EnergyCoeff(INDEX('Route Data'!$K$7:$K$8,E732),INDEX('Route Data'!$L$7:$L$8,E732)*2*PI()/60,INDEX('Route Data'!$F$7:$F$8,E732))</f>
        <v>0.19430699130049439</v>
      </c>
      <c r="I732" s="5">
        <f>DischargeCoeff(INDEX('Route Data'!$I$7:$I$8,E732), INDEX('Route Data'!$L$7:$L$8,E732)*2*PI()/60, INDEX('Route Data'!$F$7:$F$8,E732))</f>
        <v>0.15939200179827354</v>
      </c>
      <c r="J732" s="8">
        <f>FlowAngleRel(INDEX('Route Data'!$J$7:$J$8,E732)*INDEX('Route Data'!$I$7:$I$8,E732), INDEX('Route Data'!$L$7:$L$8,E732)*2*PI()/60, INDEX('Route Data'!$F$7:$F$8,E732),INDEX('Route Data'!$O$7:$O$8,E732), INDEX('Route Data'!$P$7:$P$8,E732),INDEX('Route Data'!$M$7:$M$8,E732))</f>
        <v>1.130811765868994</v>
      </c>
      <c r="K732" s="8">
        <f>FlowAngleAbsT(INDEX('Route Data'!$K$7:$K$8,E732), INDEX('Route Data'!$I$7:$I$8,E732), INDEX('Route Data'!$I$7:$I$8,E732)*INDEX('Route Data'!$J$7:$J$8,E732), INDEX('Route Data'!$L$7:$L$8,E732)*2*PI()/60, INDEX('Route Data'!$F$7:$F$8,E732),INDEX('Route Data'!$O$7:$O$8,E732), INDEX('Route Data'!$P$7:$P$8,E732), INDEX('Route Data'!$H$7:$H$8,E732), INDEX('Route Data'!$Q$7:$Q$8,E732), INDEX('Route Data'!$M$7:$M$8,E732))</f>
        <v>0.51617226640175828</v>
      </c>
      <c r="L732" s="5">
        <f>INDEX('Route Data'!$N$7:$N$8,E732)</f>
        <v>0.4</v>
      </c>
      <c r="M732" s="8">
        <v>0.88841068744659424</v>
      </c>
      <c r="N732" s="8">
        <f>ProbStrikeFrancis(K732, I732, L732, INDEX('Route Data'!$G$7:$G$8,E732),C732, INDEX('Route Data'!$F$7:$F$8,E732), INDEX('Route Data'!$O$7:$O$8,E732), INDEX('Route Data'!$H$7:$H$18,E732))</f>
        <v>1</v>
      </c>
      <c r="O732" s="5" t="str">
        <f>IF(F732&gt;=1,IF(M732&lt;=N732,"STRIKE","pass"),IF(M732&lt;=INDEX('Route Data'!$R$7:$R$8,E732),"NO PASS","pass"))</f>
        <v>STRIKE</v>
      </c>
      <c r="P732" s="5">
        <f>IF(F732&gt;=1,IF(M732&lt;=N732,1,0),IF(M732&lt;=INDEX('Route Data'!$R$7:$R$8,E732),-1,0))</f>
        <v>1</v>
      </c>
    </row>
    <row r="733" spans="1:16">
      <c r="A733" s="5">
        <v>723</v>
      </c>
      <c r="B733" s="12">
        <v>22.65</v>
      </c>
      <c r="C733" s="12">
        <f t="shared" si="11"/>
        <v>1.89</v>
      </c>
      <c r="D733" s="8">
        <v>0.10627490282058716</v>
      </c>
      <c r="E733" s="5">
        <f>MATCH(D733,'Route Data'!$C$7:$C$8,1)</f>
        <v>2</v>
      </c>
      <c r="F733" s="5">
        <f>INDEX('Route Data'!$D$7:$D$8,E733)</f>
        <v>1</v>
      </c>
      <c r="G733" s="5" t="str">
        <f>INDEX('Route Data'!$A$7:$A$8,E733)</f>
        <v>u18</v>
      </c>
      <c r="H733" s="5">
        <f>EnergyCoeff(INDEX('Route Data'!$K$7:$K$8,E733),INDEX('Route Data'!$L$7:$L$8,E733)*2*PI()/60,INDEX('Route Data'!$F$7:$F$8,E733))</f>
        <v>0.19430699130049439</v>
      </c>
      <c r="I733" s="5">
        <f>DischargeCoeff(INDEX('Route Data'!$I$7:$I$8,E733), INDEX('Route Data'!$L$7:$L$8,E733)*2*PI()/60, INDEX('Route Data'!$F$7:$F$8,E733))</f>
        <v>0.15939200179827354</v>
      </c>
      <c r="J733" s="8">
        <f>FlowAngleRel(INDEX('Route Data'!$J$7:$J$8,E733)*INDEX('Route Data'!$I$7:$I$8,E733), INDEX('Route Data'!$L$7:$L$8,E733)*2*PI()/60, INDEX('Route Data'!$F$7:$F$8,E733),INDEX('Route Data'!$O$7:$O$8,E733), INDEX('Route Data'!$P$7:$P$8,E733),INDEX('Route Data'!$M$7:$M$8,E733))</f>
        <v>1.130811765868994</v>
      </c>
      <c r="K733" s="8">
        <f>FlowAngleAbsT(INDEX('Route Data'!$K$7:$K$8,E733), INDEX('Route Data'!$I$7:$I$8,E733), INDEX('Route Data'!$I$7:$I$8,E733)*INDEX('Route Data'!$J$7:$J$8,E733), INDEX('Route Data'!$L$7:$L$8,E733)*2*PI()/60, INDEX('Route Data'!$F$7:$F$8,E733),INDEX('Route Data'!$O$7:$O$8,E733), INDEX('Route Data'!$P$7:$P$8,E733), INDEX('Route Data'!$H$7:$H$8,E733), INDEX('Route Data'!$Q$7:$Q$8,E733), INDEX('Route Data'!$M$7:$M$8,E733))</f>
        <v>0.51617226640175828</v>
      </c>
      <c r="L733" s="5">
        <f>INDEX('Route Data'!$N$7:$N$8,E733)</f>
        <v>0.4</v>
      </c>
      <c r="M733" s="8">
        <v>0.27552968263626099</v>
      </c>
      <c r="N733" s="8">
        <f>ProbStrikeFrancis(K733, I733, L733, INDEX('Route Data'!$G$7:$G$8,E733),C733, INDEX('Route Data'!$F$7:$F$8,E733), INDEX('Route Data'!$O$7:$O$8,E733), INDEX('Route Data'!$H$7:$H$18,E733))</f>
        <v>1</v>
      </c>
      <c r="O733" s="5" t="str">
        <f>IF(F733&gt;=1,IF(M733&lt;=N733,"STRIKE","pass"),IF(M733&lt;=INDEX('Route Data'!$R$7:$R$8,E733),"NO PASS","pass"))</f>
        <v>STRIKE</v>
      </c>
      <c r="P733" s="5">
        <f>IF(F733&gt;=1,IF(M733&lt;=N733,1,0),IF(M733&lt;=INDEX('Route Data'!$R$7:$R$8,E733),-1,0))</f>
        <v>1</v>
      </c>
    </row>
    <row r="734" spans="1:16">
      <c r="A734" s="5">
        <v>724</v>
      </c>
      <c r="B734" s="12">
        <v>19.989999999999998</v>
      </c>
      <c r="C734" s="12">
        <f t="shared" si="11"/>
        <v>1.67</v>
      </c>
      <c r="D734" s="8">
        <v>0.50148415565490723</v>
      </c>
      <c r="E734" s="5">
        <f>MATCH(D734,'Route Data'!$C$7:$C$8,1)</f>
        <v>2</v>
      </c>
      <c r="F734" s="5">
        <f>INDEX('Route Data'!$D$7:$D$8,E734)</f>
        <v>1</v>
      </c>
      <c r="G734" s="5" t="str">
        <f>INDEX('Route Data'!$A$7:$A$8,E734)</f>
        <v>u18</v>
      </c>
      <c r="H734" s="5">
        <f>EnergyCoeff(INDEX('Route Data'!$K$7:$K$8,E734),INDEX('Route Data'!$L$7:$L$8,E734)*2*PI()/60,INDEX('Route Data'!$F$7:$F$8,E734))</f>
        <v>0.19430699130049439</v>
      </c>
      <c r="I734" s="5">
        <f>DischargeCoeff(INDEX('Route Data'!$I$7:$I$8,E734), INDEX('Route Data'!$L$7:$L$8,E734)*2*PI()/60, INDEX('Route Data'!$F$7:$F$8,E734))</f>
        <v>0.15939200179827354</v>
      </c>
      <c r="J734" s="8">
        <f>FlowAngleRel(INDEX('Route Data'!$J$7:$J$8,E734)*INDEX('Route Data'!$I$7:$I$8,E734), INDEX('Route Data'!$L$7:$L$8,E734)*2*PI()/60, INDEX('Route Data'!$F$7:$F$8,E734),INDEX('Route Data'!$O$7:$O$8,E734), INDEX('Route Data'!$P$7:$P$8,E734),INDEX('Route Data'!$M$7:$M$8,E734))</f>
        <v>1.130811765868994</v>
      </c>
      <c r="K734" s="8">
        <f>FlowAngleAbsT(INDEX('Route Data'!$K$7:$K$8,E734), INDEX('Route Data'!$I$7:$I$8,E734), INDEX('Route Data'!$I$7:$I$8,E734)*INDEX('Route Data'!$J$7:$J$8,E734), INDEX('Route Data'!$L$7:$L$8,E734)*2*PI()/60, INDEX('Route Data'!$F$7:$F$8,E734),INDEX('Route Data'!$O$7:$O$8,E734), INDEX('Route Data'!$P$7:$P$8,E734), INDEX('Route Data'!$H$7:$H$8,E734), INDEX('Route Data'!$Q$7:$Q$8,E734), INDEX('Route Data'!$M$7:$M$8,E734))</f>
        <v>0.51617226640175828</v>
      </c>
      <c r="L734" s="5">
        <f>INDEX('Route Data'!$N$7:$N$8,E734)</f>
        <v>0.4</v>
      </c>
      <c r="M734" s="8">
        <v>0.37975192070007324</v>
      </c>
      <c r="N734" s="8">
        <f>ProbStrikeFrancis(K734, I734, L734, INDEX('Route Data'!$G$7:$G$8,E734),C734, INDEX('Route Data'!$F$7:$F$8,E734), INDEX('Route Data'!$O$7:$O$8,E734), INDEX('Route Data'!$H$7:$H$18,E734))</f>
        <v>1</v>
      </c>
      <c r="O734" s="5" t="str">
        <f>IF(F734&gt;=1,IF(M734&lt;=N734,"STRIKE","pass"),IF(M734&lt;=INDEX('Route Data'!$R$7:$R$8,E734),"NO PASS","pass"))</f>
        <v>STRIKE</v>
      </c>
      <c r="P734" s="5">
        <f>IF(F734&gt;=1,IF(M734&lt;=N734,1,0),IF(M734&lt;=INDEX('Route Data'!$R$7:$R$8,E734),-1,0))</f>
        <v>1</v>
      </c>
    </row>
    <row r="735" spans="1:16">
      <c r="A735" s="5">
        <v>725</v>
      </c>
      <c r="B735" s="12">
        <v>21.82</v>
      </c>
      <c r="C735" s="12">
        <f t="shared" si="11"/>
        <v>1.82</v>
      </c>
      <c r="D735" s="8">
        <v>5.0277173519134521E-2</v>
      </c>
      <c r="E735" s="5">
        <f>MATCH(D735,'Route Data'!$C$7:$C$8,1)</f>
        <v>2</v>
      </c>
      <c r="F735" s="5">
        <f>INDEX('Route Data'!$D$7:$D$8,E735)</f>
        <v>1</v>
      </c>
      <c r="G735" s="5" t="str">
        <f>INDEX('Route Data'!$A$7:$A$8,E735)</f>
        <v>u18</v>
      </c>
      <c r="H735" s="5">
        <f>EnergyCoeff(INDEX('Route Data'!$K$7:$K$8,E735),INDEX('Route Data'!$L$7:$L$8,E735)*2*PI()/60,INDEX('Route Data'!$F$7:$F$8,E735))</f>
        <v>0.19430699130049439</v>
      </c>
      <c r="I735" s="5">
        <f>DischargeCoeff(INDEX('Route Data'!$I$7:$I$8,E735), INDEX('Route Data'!$L$7:$L$8,E735)*2*PI()/60, INDEX('Route Data'!$F$7:$F$8,E735))</f>
        <v>0.15939200179827354</v>
      </c>
      <c r="J735" s="8">
        <f>FlowAngleRel(INDEX('Route Data'!$J$7:$J$8,E735)*INDEX('Route Data'!$I$7:$I$8,E735), INDEX('Route Data'!$L$7:$L$8,E735)*2*PI()/60, INDEX('Route Data'!$F$7:$F$8,E735),INDEX('Route Data'!$O$7:$O$8,E735), INDEX('Route Data'!$P$7:$P$8,E735),INDEX('Route Data'!$M$7:$M$8,E735))</f>
        <v>1.130811765868994</v>
      </c>
      <c r="K735" s="8">
        <f>FlowAngleAbsT(INDEX('Route Data'!$K$7:$K$8,E735), INDEX('Route Data'!$I$7:$I$8,E735), INDEX('Route Data'!$I$7:$I$8,E735)*INDEX('Route Data'!$J$7:$J$8,E735), INDEX('Route Data'!$L$7:$L$8,E735)*2*PI()/60, INDEX('Route Data'!$F$7:$F$8,E735),INDEX('Route Data'!$O$7:$O$8,E735), INDEX('Route Data'!$P$7:$P$8,E735), INDEX('Route Data'!$H$7:$H$8,E735), INDEX('Route Data'!$Q$7:$Q$8,E735), INDEX('Route Data'!$M$7:$M$8,E735))</f>
        <v>0.51617226640175828</v>
      </c>
      <c r="L735" s="5">
        <f>INDEX('Route Data'!$N$7:$N$8,E735)</f>
        <v>0.4</v>
      </c>
      <c r="M735" s="8">
        <v>0.53592675924301147</v>
      </c>
      <c r="N735" s="8">
        <f>ProbStrikeFrancis(K735, I735, L735, INDEX('Route Data'!$G$7:$G$8,E735),C735, INDEX('Route Data'!$F$7:$F$8,E735), INDEX('Route Data'!$O$7:$O$8,E735), INDEX('Route Data'!$H$7:$H$18,E735))</f>
        <v>1</v>
      </c>
      <c r="O735" s="5" t="str">
        <f>IF(F735&gt;=1,IF(M735&lt;=N735,"STRIKE","pass"),IF(M735&lt;=INDEX('Route Data'!$R$7:$R$8,E735),"NO PASS","pass"))</f>
        <v>STRIKE</v>
      </c>
      <c r="P735" s="5">
        <f>IF(F735&gt;=1,IF(M735&lt;=N735,1,0),IF(M735&lt;=INDEX('Route Data'!$R$7:$R$8,E735),-1,0))</f>
        <v>1</v>
      </c>
    </row>
    <row r="736" spans="1:16">
      <c r="A736" s="5">
        <v>726</v>
      </c>
      <c r="B736" s="12">
        <v>22.7</v>
      </c>
      <c r="C736" s="12">
        <f t="shared" si="11"/>
        <v>1.89</v>
      </c>
      <c r="D736" s="8">
        <v>0.13831889629364014</v>
      </c>
      <c r="E736" s="5">
        <f>MATCH(D736,'Route Data'!$C$7:$C$8,1)</f>
        <v>2</v>
      </c>
      <c r="F736" s="5">
        <f>INDEX('Route Data'!$D$7:$D$8,E736)</f>
        <v>1</v>
      </c>
      <c r="G736" s="5" t="str">
        <f>INDEX('Route Data'!$A$7:$A$8,E736)</f>
        <v>u18</v>
      </c>
      <c r="H736" s="5">
        <f>EnergyCoeff(INDEX('Route Data'!$K$7:$K$8,E736),INDEX('Route Data'!$L$7:$L$8,E736)*2*PI()/60,INDEX('Route Data'!$F$7:$F$8,E736))</f>
        <v>0.19430699130049439</v>
      </c>
      <c r="I736" s="5">
        <f>DischargeCoeff(INDEX('Route Data'!$I$7:$I$8,E736), INDEX('Route Data'!$L$7:$L$8,E736)*2*PI()/60, INDEX('Route Data'!$F$7:$F$8,E736))</f>
        <v>0.15939200179827354</v>
      </c>
      <c r="J736" s="8">
        <f>FlowAngleRel(INDEX('Route Data'!$J$7:$J$8,E736)*INDEX('Route Data'!$I$7:$I$8,E736), INDEX('Route Data'!$L$7:$L$8,E736)*2*PI()/60, INDEX('Route Data'!$F$7:$F$8,E736),INDEX('Route Data'!$O$7:$O$8,E736), INDEX('Route Data'!$P$7:$P$8,E736),INDEX('Route Data'!$M$7:$M$8,E736))</f>
        <v>1.130811765868994</v>
      </c>
      <c r="K736" s="8">
        <f>FlowAngleAbsT(INDEX('Route Data'!$K$7:$K$8,E736), INDEX('Route Data'!$I$7:$I$8,E736), INDEX('Route Data'!$I$7:$I$8,E736)*INDEX('Route Data'!$J$7:$J$8,E736), INDEX('Route Data'!$L$7:$L$8,E736)*2*PI()/60, INDEX('Route Data'!$F$7:$F$8,E736),INDEX('Route Data'!$O$7:$O$8,E736), INDEX('Route Data'!$P$7:$P$8,E736), INDEX('Route Data'!$H$7:$H$8,E736), INDEX('Route Data'!$Q$7:$Q$8,E736), INDEX('Route Data'!$M$7:$M$8,E736))</f>
        <v>0.51617226640175828</v>
      </c>
      <c r="L736" s="5">
        <f>INDEX('Route Data'!$N$7:$N$8,E736)</f>
        <v>0.4</v>
      </c>
      <c r="M736" s="8">
        <v>0.33298146724700928</v>
      </c>
      <c r="N736" s="8">
        <f>ProbStrikeFrancis(K736, I736, L736, INDEX('Route Data'!$G$7:$G$8,E736),C736, INDEX('Route Data'!$F$7:$F$8,E736), INDEX('Route Data'!$O$7:$O$8,E736), INDEX('Route Data'!$H$7:$H$18,E736))</f>
        <v>1</v>
      </c>
      <c r="O736" s="5" t="str">
        <f>IF(F736&gt;=1,IF(M736&lt;=N736,"STRIKE","pass"),IF(M736&lt;=INDEX('Route Data'!$R$7:$R$8,E736),"NO PASS","pass"))</f>
        <v>STRIKE</v>
      </c>
      <c r="P736" s="5">
        <f>IF(F736&gt;=1,IF(M736&lt;=N736,1,0),IF(M736&lt;=INDEX('Route Data'!$R$7:$R$8,E736),-1,0))</f>
        <v>1</v>
      </c>
    </row>
    <row r="737" spans="1:16">
      <c r="A737" s="5">
        <v>727</v>
      </c>
      <c r="B737" s="12">
        <v>22.12</v>
      </c>
      <c r="C737" s="12">
        <f t="shared" si="11"/>
        <v>1.84</v>
      </c>
      <c r="D737" s="8">
        <v>0.40535217523574829</v>
      </c>
      <c r="E737" s="5">
        <f>MATCH(D737,'Route Data'!$C$7:$C$8,1)</f>
        <v>2</v>
      </c>
      <c r="F737" s="5">
        <f>INDEX('Route Data'!$D$7:$D$8,E737)</f>
        <v>1</v>
      </c>
      <c r="G737" s="5" t="str">
        <f>INDEX('Route Data'!$A$7:$A$8,E737)</f>
        <v>u18</v>
      </c>
      <c r="H737" s="5">
        <f>EnergyCoeff(INDEX('Route Data'!$K$7:$K$8,E737),INDEX('Route Data'!$L$7:$L$8,E737)*2*PI()/60,INDEX('Route Data'!$F$7:$F$8,E737))</f>
        <v>0.19430699130049439</v>
      </c>
      <c r="I737" s="5">
        <f>DischargeCoeff(INDEX('Route Data'!$I$7:$I$8,E737), INDEX('Route Data'!$L$7:$L$8,E737)*2*PI()/60, INDEX('Route Data'!$F$7:$F$8,E737))</f>
        <v>0.15939200179827354</v>
      </c>
      <c r="J737" s="8">
        <f>FlowAngleRel(INDEX('Route Data'!$J$7:$J$8,E737)*INDEX('Route Data'!$I$7:$I$8,E737), INDEX('Route Data'!$L$7:$L$8,E737)*2*PI()/60, INDEX('Route Data'!$F$7:$F$8,E737),INDEX('Route Data'!$O$7:$O$8,E737), INDEX('Route Data'!$P$7:$P$8,E737),INDEX('Route Data'!$M$7:$M$8,E737))</f>
        <v>1.130811765868994</v>
      </c>
      <c r="K737" s="8">
        <f>FlowAngleAbsT(INDEX('Route Data'!$K$7:$K$8,E737), INDEX('Route Data'!$I$7:$I$8,E737), INDEX('Route Data'!$I$7:$I$8,E737)*INDEX('Route Data'!$J$7:$J$8,E737), INDEX('Route Data'!$L$7:$L$8,E737)*2*PI()/60, INDEX('Route Data'!$F$7:$F$8,E737),INDEX('Route Data'!$O$7:$O$8,E737), INDEX('Route Data'!$P$7:$P$8,E737), INDEX('Route Data'!$H$7:$H$8,E737), INDEX('Route Data'!$Q$7:$Q$8,E737), INDEX('Route Data'!$M$7:$M$8,E737))</f>
        <v>0.51617226640175828</v>
      </c>
      <c r="L737" s="5">
        <f>INDEX('Route Data'!$N$7:$N$8,E737)</f>
        <v>0.4</v>
      </c>
      <c r="M737" s="8">
        <v>0.94181734323501587</v>
      </c>
      <c r="N737" s="8">
        <f>ProbStrikeFrancis(K737, I737, L737, INDEX('Route Data'!$G$7:$G$8,E737),C737, INDEX('Route Data'!$F$7:$F$8,E737), INDEX('Route Data'!$O$7:$O$8,E737), INDEX('Route Data'!$H$7:$H$18,E737))</f>
        <v>1</v>
      </c>
      <c r="O737" s="5" t="str">
        <f>IF(F737&gt;=1,IF(M737&lt;=N737,"STRIKE","pass"),IF(M737&lt;=INDEX('Route Data'!$R$7:$R$8,E737),"NO PASS","pass"))</f>
        <v>STRIKE</v>
      </c>
      <c r="P737" s="5">
        <f>IF(F737&gt;=1,IF(M737&lt;=N737,1,0),IF(M737&lt;=INDEX('Route Data'!$R$7:$R$8,E737),-1,0))</f>
        <v>1</v>
      </c>
    </row>
    <row r="738" spans="1:16">
      <c r="A738" s="5">
        <v>728</v>
      </c>
      <c r="B738" s="12">
        <v>24.5</v>
      </c>
      <c r="C738" s="12">
        <f t="shared" si="11"/>
        <v>2.04</v>
      </c>
      <c r="D738" s="8">
        <v>0.33867311477661133</v>
      </c>
      <c r="E738" s="5">
        <f>MATCH(D738,'Route Data'!$C$7:$C$8,1)</f>
        <v>2</v>
      </c>
      <c r="F738" s="5">
        <f>INDEX('Route Data'!$D$7:$D$8,E738)</f>
        <v>1</v>
      </c>
      <c r="G738" s="5" t="str">
        <f>INDEX('Route Data'!$A$7:$A$8,E738)</f>
        <v>u18</v>
      </c>
      <c r="H738" s="5">
        <f>EnergyCoeff(INDEX('Route Data'!$K$7:$K$8,E738),INDEX('Route Data'!$L$7:$L$8,E738)*2*PI()/60,INDEX('Route Data'!$F$7:$F$8,E738))</f>
        <v>0.19430699130049439</v>
      </c>
      <c r="I738" s="5">
        <f>DischargeCoeff(INDEX('Route Data'!$I$7:$I$8,E738), INDEX('Route Data'!$L$7:$L$8,E738)*2*PI()/60, INDEX('Route Data'!$F$7:$F$8,E738))</f>
        <v>0.15939200179827354</v>
      </c>
      <c r="J738" s="8">
        <f>FlowAngleRel(INDEX('Route Data'!$J$7:$J$8,E738)*INDEX('Route Data'!$I$7:$I$8,E738), INDEX('Route Data'!$L$7:$L$8,E738)*2*PI()/60, INDEX('Route Data'!$F$7:$F$8,E738),INDEX('Route Data'!$O$7:$O$8,E738), INDEX('Route Data'!$P$7:$P$8,E738),INDEX('Route Data'!$M$7:$M$8,E738))</f>
        <v>1.130811765868994</v>
      </c>
      <c r="K738" s="8">
        <f>FlowAngleAbsT(INDEX('Route Data'!$K$7:$K$8,E738), INDEX('Route Data'!$I$7:$I$8,E738), INDEX('Route Data'!$I$7:$I$8,E738)*INDEX('Route Data'!$J$7:$J$8,E738), INDEX('Route Data'!$L$7:$L$8,E738)*2*PI()/60, INDEX('Route Data'!$F$7:$F$8,E738),INDEX('Route Data'!$O$7:$O$8,E738), INDEX('Route Data'!$P$7:$P$8,E738), INDEX('Route Data'!$H$7:$H$8,E738), INDEX('Route Data'!$Q$7:$Q$8,E738), INDEX('Route Data'!$M$7:$M$8,E738))</f>
        <v>0.51617226640175828</v>
      </c>
      <c r="L738" s="5">
        <f>INDEX('Route Data'!$N$7:$N$8,E738)</f>
        <v>0.4</v>
      </c>
      <c r="M738" s="8">
        <v>0.11530971527099609</v>
      </c>
      <c r="N738" s="8">
        <f>ProbStrikeFrancis(K738, I738, L738, INDEX('Route Data'!$G$7:$G$8,E738),C738, INDEX('Route Data'!$F$7:$F$8,E738), INDEX('Route Data'!$O$7:$O$8,E738), INDEX('Route Data'!$H$7:$H$18,E738))</f>
        <v>1</v>
      </c>
      <c r="O738" s="5" t="str">
        <f>IF(F738&gt;=1,IF(M738&lt;=N738,"STRIKE","pass"),IF(M738&lt;=INDEX('Route Data'!$R$7:$R$8,E738),"NO PASS","pass"))</f>
        <v>STRIKE</v>
      </c>
      <c r="P738" s="5">
        <f>IF(F738&gt;=1,IF(M738&lt;=N738,1,0),IF(M738&lt;=INDEX('Route Data'!$R$7:$R$8,E738),-1,0))</f>
        <v>1</v>
      </c>
    </row>
    <row r="739" spans="1:16">
      <c r="A739" s="5">
        <v>729</v>
      </c>
      <c r="B739" s="12">
        <v>21.15</v>
      </c>
      <c r="C739" s="12">
        <f t="shared" si="11"/>
        <v>1.76</v>
      </c>
      <c r="D739" s="8">
        <v>7.5518488883972168E-3</v>
      </c>
      <c r="E739" s="5">
        <f>MATCH(D739,'Route Data'!$C$7:$C$8,1)</f>
        <v>2</v>
      </c>
      <c r="F739" s="5">
        <f>INDEX('Route Data'!$D$7:$D$8,E739)</f>
        <v>1</v>
      </c>
      <c r="G739" s="5" t="str">
        <f>INDEX('Route Data'!$A$7:$A$8,E739)</f>
        <v>u18</v>
      </c>
      <c r="H739" s="5">
        <f>EnergyCoeff(INDEX('Route Data'!$K$7:$K$8,E739),INDEX('Route Data'!$L$7:$L$8,E739)*2*PI()/60,INDEX('Route Data'!$F$7:$F$8,E739))</f>
        <v>0.19430699130049439</v>
      </c>
      <c r="I739" s="5">
        <f>DischargeCoeff(INDEX('Route Data'!$I$7:$I$8,E739), INDEX('Route Data'!$L$7:$L$8,E739)*2*PI()/60, INDEX('Route Data'!$F$7:$F$8,E739))</f>
        <v>0.15939200179827354</v>
      </c>
      <c r="J739" s="8">
        <f>FlowAngleRel(INDEX('Route Data'!$J$7:$J$8,E739)*INDEX('Route Data'!$I$7:$I$8,E739), INDEX('Route Data'!$L$7:$L$8,E739)*2*PI()/60, INDEX('Route Data'!$F$7:$F$8,E739),INDEX('Route Data'!$O$7:$O$8,E739), INDEX('Route Data'!$P$7:$P$8,E739),INDEX('Route Data'!$M$7:$M$8,E739))</f>
        <v>1.130811765868994</v>
      </c>
      <c r="K739" s="8">
        <f>FlowAngleAbsT(INDEX('Route Data'!$K$7:$K$8,E739), INDEX('Route Data'!$I$7:$I$8,E739), INDEX('Route Data'!$I$7:$I$8,E739)*INDEX('Route Data'!$J$7:$J$8,E739), INDEX('Route Data'!$L$7:$L$8,E739)*2*PI()/60, INDEX('Route Data'!$F$7:$F$8,E739),INDEX('Route Data'!$O$7:$O$8,E739), INDEX('Route Data'!$P$7:$P$8,E739), INDEX('Route Data'!$H$7:$H$8,E739), INDEX('Route Data'!$Q$7:$Q$8,E739), INDEX('Route Data'!$M$7:$M$8,E739))</f>
        <v>0.51617226640175828</v>
      </c>
      <c r="L739" s="5">
        <f>INDEX('Route Data'!$N$7:$N$8,E739)</f>
        <v>0.4</v>
      </c>
      <c r="M739" s="8">
        <v>0.12599104642868042</v>
      </c>
      <c r="N739" s="8">
        <f>ProbStrikeFrancis(K739, I739, L739, INDEX('Route Data'!$G$7:$G$8,E739),C739, INDEX('Route Data'!$F$7:$F$8,E739), INDEX('Route Data'!$O$7:$O$8,E739), INDEX('Route Data'!$H$7:$H$18,E739))</f>
        <v>1</v>
      </c>
      <c r="O739" s="5" t="str">
        <f>IF(F739&gt;=1,IF(M739&lt;=N739,"STRIKE","pass"),IF(M739&lt;=INDEX('Route Data'!$R$7:$R$8,E739),"NO PASS","pass"))</f>
        <v>STRIKE</v>
      </c>
      <c r="P739" s="5">
        <f>IF(F739&gt;=1,IF(M739&lt;=N739,1,0),IF(M739&lt;=INDEX('Route Data'!$R$7:$R$8,E739),-1,0))</f>
        <v>1</v>
      </c>
    </row>
    <row r="740" spans="1:16">
      <c r="A740" s="5">
        <v>730</v>
      </c>
      <c r="B740" s="12">
        <v>23.41</v>
      </c>
      <c r="C740" s="12">
        <f t="shared" si="11"/>
        <v>1.95</v>
      </c>
      <c r="D740" s="8">
        <v>0.26649487018585205</v>
      </c>
      <c r="E740" s="5">
        <f>MATCH(D740,'Route Data'!$C$7:$C$8,1)</f>
        <v>2</v>
      </c>
      <c r="F740" s="5">
        <f>INDEX('Route Data'!$D$7:$D$8,E740)</f>
        <v>1</v>
      </c>
      <c r="G740" s="5" t="str">
        <f>INDEX('Route Data'!$A$7:$A$8,E740)</f>
        <v>u18</v>
      </c>
      <c r="H740" s="5">
        <f>EnergyCoeff(INDEX('Route Data'!$K$7:$K$8,E740),INDEX('Route Data'!$L$7:$L$8,E740)*2*PI()/60,INDEX('Route Data'!$F$7:$F$8,E740))</f>
        <v>0.19430699130049439</v>
      </c>
      <c r="I740" s="5">
        <f>DischargeCoeff(INDEX('Route Data'!$I$7:$I$8,E740), INDEX('Route Data'!$L$7:$L$8,E740)*2*PI()/60, INDEX('Route Data'!$F$7:$F$8,E740))</f>
        <v>0.15939200179827354</v>
      </c>
      <c r="J740" s="8">
        <f>FlowAngleRel(INDEX('Route Data'!$J$7:$J$8,E740)*INDEX('Route Data'!$I$7:$I$8,E740), INDEX('Route Data'!$L$7:$L$8,E740)*2*PI()/60, INDEX('Route Data'!$F$7:$F$8,E740),INDEX('Route Data'!$O$7:$O$8,E740), INDEX('Route Data'!$P$7:$P$8,E740),INDEX('Route Data'!$M$7:$M$8,E740))</f>
        <v>1.130811765868994</v>
      </c>
      <c r="K740" s="8">
        <f>FlowAngleAbsT(INDEX('Route Data'!$K$7:$K$8,E740), INDEX('Route Data'!$I$7:$I$8,E740), INDEX('Route Data'!$I$7:$I$8,E740)*INDEX('Route Data'!$J$7:$J$8,E740), INDEX('Route Data'!$L$7:$L$8,E740)*2*PI()/60, INDEX('Route Data'!$F$7:$F$8,E740),INDEX('Route Data'!$O$7:$O$8,E740), INDEX('Route Data'!$P$7:$P$8,E740), INDEX('Route Data'!$H$7:$H$8,E740), INDEX('Route Data'!$Q$7:$Q$8,E740), INDEX('Route Data'!$M$7:$M$8,E740))</f>
        <v>0.51617226640175828</v>
      </c>
      <c r="L740" s="5">
        <f>INDEX('Route Data'!$N$7:$N$8,E740)</f>
        <v>0.4</v>
      </c>
      <c r="M740" s="8">
        <v>9.3947052955627441E-2</v>
      </c>
      <c r="N740" s="8">
        <f>ProbStrikeFrancis(K740, I740, L740, INDEX('Route Data'!$G$7:$G$8,E740),C740, INDEX('Route Data'!$F$7:$F$8,E740), INDEX('Route Data'!$O$7:$O$8,E740), INDEX('Route Data'!$H$7:$H$18,E740))</f>
        <v>1</v>
      </c>
      <c r="O740" s="5" t="str">
        <f>IF(F740&gt;=1,IF(M740&lt;=N740,"STRIKE","pass"),IF(M740&lt;=INDEX('Route Data'!$R$7:$R$8,E740),"NO PASS","pass"))</f>
        <v>STRIKE</v>
      </c>
      <c r="P740" s="5">
        <f>IF(F740&gt;=1,IF(M740&lt;=N740,1,0),IF(M740&lt;=INDEX('Route Data'!$R$7:$R$8,E740),-1,0))</f>
        <v>1</v>
      </c>
    </row>
    <row r="741" spans="1:16">
      <c r="A741" s="5">
        <v>731</v>
      </c>
      <c r="B741" s="12">
        <v>24.74</v>
      </c>
      <c r="C741" s="12">
        <f t="shared" si="11"/>
        <v>2.06</v>
      </c>
      <c r="D741" s="8">
        <v>0.75524502992630005</v>
      </c>
      <c r="E741" s="5">
        <f>MATCH(D741,'Route Data'!$C$7:$C$8,1)</f>
        <v>2</v>
      </c>
      <c r="F741" s="5">
        <f>INDEX('Route Data'!$D$7:$D$8,E741)</f>
        <v>1</v>
      </c>
      <c r="G741" s="5" t="str">
        <f>INDEX('Route Data'!$A$7:$A$8,E741)</f>
        <v>u18</v>
      </c>
      <c r="H741" s="5">
        <f>EnergyCoeff(INDEX('Route Data'!$K$7:$K$8,E741),INDEX('Route Data'!$L$7:$L$8,E741)*2*PI()/60,INDEX('Route Data'!$F$7:$F$8,E741))</f>
        <v>0.19430699130049439</v>
      </c>
      <c r="I741" s="5">
        <f>DischargeCoeff(INDEX('Route Data'!$I$7:$I$8,E741), INDEX('Route Data'!$L$7:$L$8,E741)*2*PI()/60, INDEX('Route Data'!$F$7:$F$8,E741))</f>
        <v>0.15939200179827354</v>
      </c>
      <c r="J741" s="8">
        <f>FlowAngleRel(INDEX('Route Data'!$J$7:$J$8,E741)*INDEX('Route Data'!$I$7:$I$8,E741), INDEX('Route Data'!$L$7:$L$8,E741)*2*PI()/60, INDEX('Route Data'!$F$7:$F$8,E741),INDEX('Route Data'!$O$7:$O$8,E741), INDEX('Route Data'!$P$7:$P$8,E741),INDEX('Route Data'!$M$7:$M$8,E741))</f>
        <v>1.130811765868994</v>
      </c>
      <c r="K741" s="8">
        <f>FlowAngleAbsT(INDEX('Route Data'!$K$7:$K$8,E741), INDEX('Route Data'!$I$7:$I$8,E741), INDEX('Route Data'!$I$7:$I$8,E741)*INDEX('Route Data'!$J$7:$J$8,E741), INDEX('Route Data'!$L$7:$L$8,E741)*2*PI()/60, INDEX('Route Data'!$F$7:$F$8,E741),INDEX('Route Data'!$O$7:$O$8,E741), INDEX('Route Data'!$P$7:$P$8,E741), INDEX('Route Data'!$H$7:$H$8,E741), INDEX('Route Data'!$Q$7:$Q$8,E741), INDEX('Route Data'!$M$7:$M$8,E741))</f>
        <v>0.51617226640175828</v>
      </c>
      <c r="L741" s="5">
        <f>INDEX('Route Data'!$N$7:$N$8,E741)</f>
        <v>0.4</v>
      </c>
      <c r="M741" s="8">
        <v>0.19007903337478638</v>
      </c>
      <c r="N741" s="8">
        <f>ProbStrikeFrancis(K741, I741, L741, INDEX('Route Data'!$G$7:$G$8,E741),C741, INDEX('Route Data'!$F$7:$F$8,E741), INDEX('Route Data'!$O$7:$O$8,E741), INDEX('Route Data'!$H$7:$H$18,E741))</f>
        <v>1</v>
      </c>
      <c r="O741" s="5" t="str">
        <f>IF(F741&gt;=1,IF(M741&lt;=N741,"STRIKE","pass"),IF(M741&lt;=INDEX('Route Data'!$R$7:$R$8,E741),"NO PASS","pass"))</f>
        <v>STRIKE</v>
      </c>
      <c r="P741" s="5">
        <f>IF(F741&gt;=1,IF(M741&lt;=N741,1,0),IF(M741&lt;=INDEX('Route Data'!$R$7:$R$8,E741),-1,0))</f>
        <v>1</v>
      </c>
    </row>
    <row r="742" spans="1:16">
      <c r="A742" s="5">
        <v>732</v>
      </c>
      <c r="B742" s="12">
        <v>25.04</v>
      </c>
      <c r="C742" s="12">
        <f t="shared" si="11"/>
        <v>2.09</v>
      </c>
      <c r="D742" s="8">
        <v>0.75783610343933105</v>
      </c>
      <c r="E742" s="5">
        <f>MATCH(D742,'Route Data'!$C$7:$C$8,1)</f>
        <v>2</v>
      </c>
      <c r="F742" s="5">
        <f>INDEX('Route Data'!$D$7:$D$8,E742)</f>
        <v>1</v>
      </c>
      <c r="G742" s="5" t="str">
        <f>INDEX('Route Data'!$A$7:$A$8,E742)</f>
        <v>u18</v>
      </c>
      <c r="H742" s="5">
        <f>EnergyCoeff(INDEX('Route Data'!$K$7:$K$8,E742),INDEX('Route Data'!$L$7:$L$8,E742)*2*PI()/60,INDEX('Route Data'!$F$7:$F$8,E742))</f>
        <v>0.19430699130049439</v>
      </c>
      <c r="I742" s="5">
        <f>DischargeCoeff(INDEX('Route Data'!$I$7:$I$8,E742), INDEX('Route Data'!$L$7:$L$8,E742)*2*PI()/60, INDEX('Route Data'!$F$7:$F$8,E742))</f>
        <v>0.15939200179827354</v>
      </c>
      <c r="J742" s="8">
        <f>FlowAngleRel(INDEX('Route Data'!$J$7:$J$8,E742)*INDEX('Route Data'!$I$7:$I$8,E742), INDEX('Route Data'!$L$7:$L$8,E742)*2*PI()/60, INDEX('Route Data'!$F$7:$F$8,E742),INDEX('Route Data'!$O$7:$O$8,E742), INDEX('Route Data'!$P$7:$P$8,E742),INDEX('Route Data'!$M$7:$M$8,E742))</f>
        <v>1.130811765868994</v>
      </c>
      <c r="K742" s="8">
        <f>FlowAngleAbsT(INDEX('Route Data'!$K$7:$K$8,E742), INDEX('Route Data'!$I$7:$I$8,E742), INDEX('Route Data'!$I$7:$I$8,E742)*INDEX('Route Data'!$J$7:$J$8,E742), INDEX('Route Data'!$L$7:$L$8,E742)*2*PI()/60, INDEX('Route Data'!$F$7:$F$8,E742),INDEX('Route Data'!$O$7:$O$8,E742), INDEX('Route Data'!$P$7:$P$8,E742), INDEX('Route Data'!$H$7:$H$8,E742), INDEX('Route Data'!$Q$7:$Q$8,E742), INDEX('Route Data'!$M$7:$M$8,E742))</f>
        <v>0.51617226640175828</v>
      </c>
      <c r="L742" s="5">
        <f>INDEX('Route Data'!$N$7:$N$8,E742)</f>
        <v>0.4</v>
      </c>
      <c r="M742" s="8">
        <v>0.63610386848449707</v>
      </c>
      <c r="N742" s="8">
        <f>ProbStrikeFrancis(K742, I742, L742, INDEX('Route Data'!$G$7:$G$8,E742),C742, INDEX('Route Data'!$F$7:$F$8,E742), INDEX('Route Data'!$O$7:$O$8,E742), INDEX('Route Data'!$H$7:$H$18,E742))</f>
        <v>1</v>
      </c>
      <c r="O742" s="5" t="str">
        <f>IF(F742&gt;=1,IF(M742&lt;=N742,"STRIKE","pass"),IF(M742&lt;=INDEX('Route Data'!$R$7:$R$8,E742),"NO PASS","pass"))</f>
        <v>STRIKE</v>
      </c>
      <c r="P742" s="5">
        <f>IF(F742&gt;=1,IF(M742&lt;=N742,1,0),IF(M742&lt;=INDEX('Route Data'!$R$7:$R$8,E742),-1,0))</f>
        <v>1</v>
      </c>
    </row>
    <row r="743" spans="1:16">
      <c r="A743" s="5">
        <v>733</v>
      </c>
      <c r="B743" s="12">
        <v>29.09</v>
      </c>
      <c r="C743" s="12">
        <f t="shared" si="11"/>
        <v>2.42</v>
      </c>
      <c r="D743" s="8">
        <v>0.28122133016586304</v>
      </c>
      <c r="E743" s="5">
        <f>MATCH(D743,'Route Data'!$C$7:$C$8,1)</f>
        <v>2</v>
      </c>
      <c r="F743" s="5">
        <f>INDEX('Route Data'!$D$7:$D$8,E743)</f>
        <v>1</v>
      </c>
      <c r="G743" s="5" t="str">
        <f>INDEX('Route Data'!$A$7:$A$8,E743)</f>
        <v>u18</v>
      </c>
      <c r="H743" s="5">
        <f>EnergyCoeff(INDEX('Route Data'!$K$7:$K$8,E743),INDEX('Route Data'!$L$7:$L$8,E743)*2*PI()/60,INDEX('Route Data'!$F$7:$F$8,E743))</f>
        <v>0.19430699130049439</v>
      </c>
      <c r="I743" s="5">
        <f>DischargeCoeff(INDEX('Route Data'!$I$7:$I$8,E743), INDEX('Route Data'!$L$7:$L$8,E743)*2*PI()/60, INDEX('Route Data'!$F$7:$F$8,E743))</f>
        <v>0.15939200179827354</v>
      </c>
      <c r="J743" s="8">
        <f>FlowAngleRel(INDEX('Route Data'!$J$7:$J$8,E743)*INDEX('Route Data'!$I$7:$I$8,E743), INDEX('Route Data'!$L$7:$L$8,E743)*2*PI()/60, INDEX('Route Data'!$F$7:$F$8,E743),INDEX('Route Data'!$O$7:$O$8,E743), INDEX('Route Data'!$P$7:$P$8,E743),INDEX('Route Data'!$M$7:$M$8,E743))</f>
        <v>1.130811765868994</v>
      </c>
      <c r="K743" s="8">
        <f>FlowAngleAbsT(INDEX('Route Data'!$K$7:$K$8,E743), INDEX('Route Data'!$I$7:$I$8,E743), INDEX('Route Data'!$I$7:$I$8,E743)*INDEX('Route Data'!$J$7:$J$8,E743), INDEX('Route Data'!$L$7:$L$8,E743)*2*PI()/60, INDEX('Route Data'!$F$7:$F$8,E743),INDEX('Route Data'!$O$7:$O$8,E743), INDEX('Route Data'!$P$7:$P$8,E743), INDEX('Route Data'!$H$7:$H$8,E743), INDEX('Route Data'!$Q$7:$Q$8,E743), INDEX('Route Data'!$M$7:$M$8,E743))</f>
        <v>0.51617226640175828</v>
      </c>
      <c r="L743" s="5">
        <f>INDEX('Route Data'!$N$7:$N$8,E743)</f>
        <v>0.4</v>
      </c>
      <c r="M743" s="8">
        <v>0.76687091588973999</v>
      </c>
      <c r="N743" s="8">
        <f>ProbStrikeFrancis(K743, I743, L743, INDEX('Route Data'!$G$7:$G$8,E743),C743, INDEX('Route Data'!$F$7:$F$8,E743), INDEX('Route Data'!$O$7:$O$8,E743), INDEX('Route Data'!$H$7:$H$18,E743))</f>
        <v>1</v>
      </c>
      <c r="O743" s="5" t="str">
        <f>IF(F743&gt;=1,IF(M743&lt;=N743,"STRIKE","pass"),IF(M743&lt;=INDEX('Route Data'!$R$7:$R$8,E743),"NO PASS","pass"))</f>
        <v>STRIKE</v>
      </c>
      <c r="P743" s="5">
        <f>IF(F743&gt;=1,IF(M743&lt;=N743,1,0),IF(M743&lt;=INDEX('Route Data'!$R$7:$R$8,E743),-1,0))</f>
        <v>1</v>
      </c>
    </row>
    <row r="744" spans="1:16">
      <c r="A744" s="5">
        <v>734</v>
      </c>
      <c r="B744" s="12">
        <v>21.93</v>
      </c>
      <c r="C744" s="12">
        <f t="shared" si="11"/>
        <v>1.83</v>
      </c>
      <c r="D744" s="8">
        <v>0.44548642635345459</v>
      </c>
      <c r="E744" s="5">
        <f>MATCH(D744,'Route Data'!$C$7:$C$8,1)</f>
        <v>2</v>
      </c>
      <c r="F744" s="5">
        <f>INDEX('Route Data'!$D$7:$D$8,E744)</f>
        <v>1</v>
      </c>
      <c r="G744" s="5" t="str">
        <f>INDEX('Route Data'!$A$7:$A$8,E744)</f>
        <v>u18</v>
      </c>
      <c r="H744" s="5">
        <f>EnergyCoeff(INDEX('Route Data'!$K$7:$K$8,E744),INDEX('Route Data'!$L$7:$L$8,E744)*2*PI()/60,INDEX('Route Data'!$F$7:$F$8,E744))</f>
        <v>0.19430699130049439</v>
      </c>
      <c r="I744" s="5">
        <f>DischargeCoeff(INDEX('Route Data'!$I$7:$I$8,E744), INDEX('Route Data'!$L$7:$L$8,E744)*2*PI()/60, INDEX('Route Data'!$F$7:$F$8,E744))</f>
        <v>0.15939200179827354</v>
      </c>
      <c r="J744" s="8">
        <f>FlowAngleRel(INDEX('Route Data'!$J$7:$J$8,E744)*INDEX('Route Data'!$I$7:$I$8,E744), INDEX('Route Data'!$L$7:$L$8,E744)*2*PI()/60, INDEX('Route Data'!$F$7:$F$8,E744),INDEX('Route Data'!$O$7:$O$8,E744), INDEX('Route Data'!$P$7:$P$8,E744),INDEX('Route Data'!$M$7:$M$8,E744))</f>
        <v>1.130811765868994</v>
      </c>
      <c r="K744" s="8">
        <f>FlowAngleAbsT(INDEX('Route Data'!$K$7:$K$8,E744), INDEX('Route Data'!$I$7:$I$8,E744), INDEX('Route Data'!$I$7:$I$8,E744)*INDEX('Route Data'!$J$7:$J$8,E744), INDEX('Route Data'!$L$7:$L$8,E744)*2*PI()/60, INDEX('Route Data'!$F$7:$F$8,E744),INDEX('Route Data'!$O$7:$O$8,E744), INDEX('Route Data'!$P$7:$P$8,E744), INDEX('Route Data'!$H$7:$H$8,E744), INDEX('Route Data'!$Q$7:$Q$8,E744), INDEX('Route Data'!$M$7:$M$8,E744))</f>
        <v>0.51617226640175828</v>
      </c>
      <c r="L744" s="5">
        <f>INDEX('Route Data'!$N$7:$N$8,E744)</f>
        <v>0.4</v>
      </c>
      <c r="M744" s="8">
        <v>0.90572822093963623</v>
      </c>
      <c r="N744" s="8">
        <f>ProbStrikeFrancis(K744, I744, L744, INDEX('Route Data'!$G$7:$G$8,E744),C744, INDEX('Route Data'!$F$7:$F$8,E744), INDEX('Route Data'!$O$7:$O$8,E744), INDEX('Route Data'!$H$7:$H$18,E744))</f>
        <v>1</v>
      </c>
      <c r="O744" s="5" t="str">
        <f>IF(F744&gt;=1,IF(M744&lt;=N744,"STRIKE","pass"),IF(M744&lt;=INDEX('Route Data'!$R$7:$R$8,E744),"NO PASS","pass"))</f>
        <v>STRIKE</v>
      </c>
      <c r="P744" s="5">
        <f>IF(F744&gt;=1,IF(M744&lt;=N744,1,0),IF(M744&lt;=INDEX('Route Data'!$R$7:$R$8,E744),-1,0))</f>
        <v>1</v>
      </c>
    </row>
    <row r="745" spans="1:16">
      <c r="A745" s="5">
        <v>735</v>
      </c>
      <c r="B745" s="12">
        <v>21.12</v>
      </c>
      <c r="C745" s="12">
        <f t="shared" si="11"/>
        <v>1.76</v>
      </c>
      <c r="D745" s="8">
        <v>0.68711191415786743</v>
      </c>
      <c r="E745" s="5">
        <f>MATCH(D745,'Route Data'!$C$7:$C$8,1)</f>
        <v>2</v>
      </c>
      <c r="F745" s="5">
        <f>INDEX('Route Data'!$D$7:$D$8,E745)</f>
        <v>1</v>
      </c>
      <c r="G745" s="5" t="str">
        <f>INDEX('Route Data'!$A$7:$A$8,E745)</f>
        <v>u18</v>
      </c>
      <c r="H745" s="5">
        <f>EnergyCoeff(INDEX('Route Data'!$K$7:$K$8,E745),INDEX('Route Data'!$L$7:$L$8,E745)*2*PI()/60,INDEX('Route Data'!$F$7:$F$8,E745))</f>
        <v>0.19430699130049439</v>
      </c>
      <c r="I745" s="5">
        <f>DischargeCoeff(INDEX('Route Data'!$I$7:$I$8,E745), INDEX('Route Data'!$L$7:$L$8,E745)*2*PI()/60, INDEX('Route Data'!$F$7:$F$8,E745))</f>
        <v>0.15939200179827354</v>
      </c>
      <c r="J745" s="8">
        <f>FlowAngleRel(INDEX('Route Data'!$J$7:$J$8,E745)*INDEX('Route Data'!$I$7:$I$8,E745), INDEX('Route Data'!$L$7:$L$8,E745)*2*PI()/60, INDEX('Route Data'!$F$7:$F$8,E745),INDEX('Route Data'!$O$7:$O$8,E745), INDEX('Route Data'!$P$7:$P$8,E745),INDEX('Route Data'!$M$7:$M$8,E745))</f>
        <v>1.130811765868994</v>
      </c>
      <c r="K745" s="8">
        <f>FlowAngleAbsT(INDEX('Route Data'!$K$7:$K$8,E745), INDEX('Route Data'!$I$7:$I$8,E745), INDEX('Route Data'!$I$7:$I$8,E745)*INDEX('Route Data'!$J$7:$J$8,E745), INDEX('Route Data'!$L$7:$L$8,E745)*2*PI()/60, INDEX('Route Data'!$F$7:$F$8,E745),INDEX('Route Data'!$O$7:$O$8,E745), INDEX('Route Data'!$P$7:$P$8,E745), INDEX('Route Data'!$H$7:$H$8,E745), INDEX('Route Data'!$Q$7:$Q$8,E745), INDEX('Route Data'!$M$7:$M$8,E745))</f>
        <v>0.51617226640175828</v>
      </c>
      <c r="L745" s="5">
        <f>INDEX('Route Data'!$N$7:$N$8,E745)</f>
        <v>0.4</v>
      </c>
      <c r="M745" s="8">
        <v>0.48915630578994751</v>
      </c>
      <c r="N745" s="8">
        <f>ProbStrikeFrancis(K745, I745, L745, INDEX('Route Data'!$G$7:$G$8,E745),C745, INDEX('Route Data'!$F$7:$F$8,E745), INDEX('Route Data'!$O$7:$O$8,E745), INDEX('Route Data'!$H$7:$H$18,E745))</f>
        <v>1</v>
      </c>
      <c r="O745" s="5" t="str">
        <f>IF(F745&gt;=1,IF(M745&lt;=N745,"STRIKE","pass"),IF(M745&lt;=INDEX('Route Data'!$R$7:$R$8,E745),"NO PASS","pass"))</f>
        <v>STRIKE</v>
      </c>
      <c r="P745" s="5">
        <f>IF(F745&gt;=1,IF(M745&lt;=N745,1,0),IF(M745&lt;=INDEX('Route Data'!$R$7:$R$8,E745),-1,0))</f>
        <v>1</v>
      </c>
    </row>
    <row r="746" spans="1:16">
      <c r="A746" s="5">
        <v>736</v>
      </c>
      <c r="B746" s="12">
        <v>26.48</v>
      </c>
      <c r="C746" s="12">
        <f t="shared" si="11"/>
        <v>2.21</v>
      </c>
      <c r="D746" s="8">
        <v>0.22781467437744141</v>
      </c>
      <c r="E746" s="5">
        <f>MATCH(D746,'Route Data'!$C$7:$C$8,1)</f>
        <v>2</v>
      </c>
      <c r="F746" s="5">
        <f>INDEX('Route Data'!$D$7:$D$8,E746)</f>
        <v>1</v>
      </c>
      <c r="G746" s="5" t="str">
        <f>INDEX('Route Data'!$A$7:$A$8,E746)</f>
        <v>u18</v>
      </c>
      <c r="H746" s="5">
        <f>EnergyCoeff(INDEX('Route Data'!$K$7:$K$8,E746),INDEX('Route Data'!$L$7:$L$8,E746)*2*PI()/60,INDEX('Route Data'!$F$7:$F$8,E746))</f>
        <v>0.19430699130049439</v>
      </c>
      <c r="I746" s="5">
        <f>DischargeCoeff(INDEX('Route Data'!$I$7:$I$8,E746), INDEX('Route Data'!$L$7:$L$8,E746)*2*PI()/60, INDEX('Route Data'!$F$7:$F$8,E746))</f>
        <v>0.15939200179827354</v>
      </c>
      <c r="J746" s="8">
        <f>FlowAngleRel(INDEX('Route Data'!$J$7:$J$8,E746)*INDEX('Route Data'!$I$7:$I$8,E746), INDEX('Route Data'!$L$7:$L$8,E746)*2*PI()/60, INDEX('Route Data'!$F$7:$F$8,E746),INDEX('Route Data'!$O$7:$O$8,E746), INDEX('Route Data'!$P$7:$P$8,E746),INDEX('Route Data'!$M$7:$M$8,E746))</f>
        <v>1.130811765868994</v>
      </c>
      <c r="K746" s="8">
        <f>FlowAngleAbsT(INDEX('Route Data'!$K$7:$K$8,E746), INDEX('Route Data'!$I$7:$I$8,E746), INDEX('Route Data'!$I$7:$I$8,E746)*INDEX('Route Data'!$J$7:$J$8,E746), INDEX('Route Data'!$L$7:$L$8,E746)*2*PI()/60, INDEX('Route Data'!$F$7:$F$8,E746),INDEX('Route Data'!$O$7:$O$8,E746), INDEX('Route Data'!$P$7:$P$8,E746), INDEX('Route Data'!$H$7:$H$8,E746), INDEX('Route Data'!$Q$7:$Q$8,E746), INDEX('Route Data'!$M$7:$M$8,E746))</f>
        <v>0.51617226640175828</v>
      </c>
      <c r="L746" s="5">
        <f>INDEX('Route Data'!$N$7:$N$8,E746)</f>
        <v>0.4</v>
      </c>
      <c r="M746" s="8">
        <v>0.73887205123901367</v>
      </c>
      <c r="N746" s="8">
        <f>ProbStrikeFrancis(K746, I746, L746, INDEX('Route Data'!$G$7:$G$8,E746),C746, INDEX('Route Data'!$F$7:$F$8,E746), INDEX('Route Data'!$O$7:$O$8,E746), INDEX('Route Data'!$H$7:$H$18,E746))</f>
        <v>1</v>
      </c>
      <c r="O746" s="5" t="str">
        <f>IF(F746&gt;=1,IF(M746&lt;=N746,"STRIKE","pass"),IF(M746&lt;=INDEX('Route Data'!$R$7:$R$8,E746),"NO PASS","pass"))</f>
        <v>STRIKE</v>
      </c>
      <c r="P746" s="5">
        <f>IF(F746&gt;=1,IF(M746&lt;=N746,1,0),IF(M746&lt;=INDEX('Route Data'!$R$7:$R$8,E746),-1,0))</f>
        <v>1</v>
      </c>
    </row>
    <row r="747" spans="1:16">
      <c r="A747" s="5">
        <v>737</v>
      </c>
      <c r="B747" s="12">
        <v>27.27</v>
      </c>
      <c r="C747" s="12">
        <f t="shared" si="11"/>
        <v>2.27</v>
      </c>
      <c r="D747" s="8">
        <v>0.60570639371871948</v>
      </c>
      <c r="E747" s="5">
        <f>MATCH(D747,'Route Data'!$C$7:$C$8,1)</f>
        <v>2</v>
      </c>
      <c r="F747" s="5">
        <f>INDEX('Route Data'!$D$7:$D$8,E747)</f>
        <v>1</v>
      </c>
      <c r="G747" s="5" t="str">
        <f>INDEX('Route Data'!$A$7:$A$8,E747)</f>
        <v>u18</v>
      </c>
      <c r="H747" s="5">
        <f>EnergyCoeff(INDEX('Route Data'!$K$7:$K$8,E747),INDEX('Route Data'!$L$7:$L$8,E747)*2*PI()/60,INDEX('Route Data'!$F$7:$F$8,E747))</f>
        <v>0.19430699130049439</v>
      </c>
      <c r="I747" s="5">
        <f>DischargeCoeff(INDEX('Route Data'!$I$7:$I$8,E747), INDEX('Route Data'!$L$7:$L$8,E747)*2*PI()/60, INDEX('Route Data'!$F$7:$F$8,E747))</f>
        <v>0.15939200179827354</v>
      </c>
      <c r="J747" s="8">
        <f>FlowAngleRel(INDEX('Route Data'!$J$7:$J$8,E747)*INDEX('Route Data'!$I$7:$I$8,E747), INDEX('Route Data'!$L$7:$L$8,E747)*2*PI()/60, INDEX('Route Data'!$F$7:$F$8,E747),INDEX('Route Data'!$O$7:$O$8,E747), INDEX('Route Data'!$P$7:$P$8,E747),INDEX('Route Data'!$M$7:$M$8,E747))</f>
        <v>1.130811765868994</v>
      </c>
      <c r="K747" s="8">
        <f>FlowAngleAbsT(INDEX('Route Data'!$K$7:$K$8,E747), INDEX('Route Data'!$I$7:$I$8,E747), INDEX('Route Data'!$I$7:$I$8,E747)*INDEX('Route Data'!$J$7:$J$8,E747), INDEX('Route Data'!$L$7:$L$8,E747)*2*PI()/60, INDEX('Route Data'!$F$7:$F$8,E747),INDEX('Route Data'!$O$7:$O$8,E747), INDEX('Route Data'!$P$7:$P$8,E747), INDEX('Route Data'!$H$7:$H$8,E747), INDEX('Route Data'!$Q$7:$Q$8,E747), INDEX('Route Data'!$M$7:$M$8,E747))</f>
        <v>0.51617226640175828</v>
      </c>
      <c r="L747" s="5">
        <f>INDEX('Route Data'!$N$7:$N$8,E747)</f>
        <v>0.4</v>
      </c>
      <c r="M747" s="8">
        <v>0.72414559125900269</v>
      </c>
      <c r="N747" s="8">
        <f>ProbStrikeFrancis(K747, I747, L747, INDEX('Route Data'!$G$7:$G$8,E747),C747, INDEX('Route Data'!$F$7:$F$8,E747), INDEX('Route Data'!$O$7:$O$8,E747), INDEX('Route Data'!$H$7:$H$18,E747))</f>
        <v>1</v>
      </c>
      <c r="O747" s="5" t="str">
        <f>IF(F747&gt;=1,IF(M747&lt;=N747,"STRIKE","pass"),IF(M747&lt;=INDEX('Route Data'!$R$7:$R$8,E747),"NO PASS","pass"))</f>
        <v>STRIKE</v>
      </c>
      <c r="P747" s="5">
        <f>IF(F747&gt;=1,IF(M747&lt;=N747,1,0),IF(M747&lt;=INDEX('Route Data'!$R$7:$R$8,E747),-1,0))</f>
        <v>1</v>
      </c>
    </row>
    <row r="748" spans="1:16">
      <c r="A748" s="5">
        <v>738</v>
      </c>
      <c r="B748" s="12">
        <v>22.93</v>
      </c>
      <c r="C748" s="12">
        <f t="shared" si="11"/>
        <v>1.91</v>
      </c>
      <c r="D748" s="8">
        <v>0.20645201206207275</v>
      </c>
      <c r="E748" s="5">
        <f>MATCH(D748,'Route Data'!$C$7:$C$8,1)</f>
        <v>2</v>
      </c>
      <c r="F748" s="5">
        <f>INDEX('Route Data'!$D$7:$D$8,E748)</f>
        <v>1</v>
      </c>
      <c r="G748" s="5" t="str">
        <f>INDEX('Route Data'!$A$7:$A$8,E748)</f>
        <v>u18</v>
      </c>
      <c r="H748" s="5">
        <f>EnergyCoeff(INDEX('Route Data'!$K$7:$K$8,E748),INDEX('Route Data'!$L$7:$L$8,E748)*2*PI()/60,INDEX('Route Data'!$F$7:$F$8,E748))</f>
        <v>0.19430699130049439</v>
      </c>
      <c r="I748" s="5">
        <f>DischargeCoeff(INDEX('Route Data'!$I$7:$I$8,E748), INDEX('Route Data'!$L$7:$L$8,E748)*2*PI()/60, INDEX('Route Data'!$F$7:$F$8,E748))</f>
        <v>0.15939200179827354</v>
      </c>
      <c r="J748" s="8">
        <f>FlowAngleRel(INDEX('Route Data'!$J$7:$J$8,E748)*INDEX('Route Data'!$I$7:$I$8,E748), INDEX('Route Data'!$L$7:$L$8,E748)*2*PI()/60, INDEX('Route Data'!$F$7:$F$8,E748),INDEX('Route Data'!$O$7:$O$8,E748), INDEX('Route Data'!$P$7:$P$8,E748),INDEX('Route Data'!$M$7:$M$8,E748))</f>
        <v>1.130811765868994</v>
      </c>
      <c r="K748" s="8">
        <f>FlowAngleAbsT(INDEX('Route Data'!$K$7:$K$8,E748), INDEX('Route Data'!$I$7:$I$8,E748), INDEX('Route Data'!$I$7:$I$8,E748)*INDEX('Route Data'!$J$7:$J$8,E748), INDEX('Route Data'!$L$7:$L$8,E748)*2*PI()/60, INDEX('Route Data'!$F$7:$F$8,E748),INDEX('Route Data'!$O$7:$O$8,E748), INDEX('Route Data'!$P$7:$P$8,E748), INDEX('Route Data'!$H$7:$H$8,E748), INDEX('Route Data'!$Q$7:$Q$8,E748), INDEX('Route Data'!$M$7:$M$8,E748))</f>
        <v>0.51617226640175828</v>
      </c>
      <c r="L748" s="5">
        <f>INDEX('Route Data'!$N$7:$N$8,E748)</f>
        <v>0.4</v>
      </c>
      <c r="M748" s="8">
        <v>3.3904194831848145E-2</v>
      </c>
      <c r="N748" s="8">
        <f>ProbStrikeFrancis(K748, I748, L748, INDEX('Route Data'!$G$7:$G$8,E748),C748, INDEX('Route Data'!$F$7:$F$8,E748), INDEX('Route Data'!$O$7:$O$8,E748), INDEX('Route Data'!$H$7:$H$18,E748))</f>
        <v>1</v>
      </c>
      <c r="O748" s="5" t="str">
        <f>IF(F748&gt;=1,IF(M748&lt;=N748,"STRIKE","pass"),IF(M748&lt;=INDEX('Route Data'!$R$7:$R$8,E748),"NO PASS","pass"))</f>
        <v>STRIKE</v>
      </c>
      <c r="P748" s="5">
        <f>IF(F748&gt;=1,IF(M748&lt;=N748,1,0),IF(M748&lt;=INDEX('Route Data'!$R$7:$R$8,E748),-1,0))</f>
        <v>1</v>
      </c>
    </row>
    <row r="749" spans="1:16">
      <c r="A749" s="5">
        <v>739</v>
      </c>
      <c r="B749" s="12">
        <v>23.93</v>
      </c>
      <c r="C749" s="12">
        <f t="shared" si="11"/>
        <v>1.99</v>
      </c>
      <c r="D749" s="8">
        <v>0.81073981523513794</v>
      </c>
      <c r="E749" s="5">
        <f>MATCH(D749,'Route Data'!$C$7:$C$8,1)</f>
        <v>2</v>
      </c>
      <c r="F749" s="5">
        <f>INDEX('Route Data'!$D$7:$D$8,E749)</f>
        <v>1</v>
      </c>
      <c r="G749" s="5" t="str">
        <f>INDEX('Route Data'!$A$7:$A$8,E749)</f>
        <v>u18</v>
      </c>
      <c r="H749" s="5">
        <f>EnergyCoeff(INDEX('Route Data'!$K$7:$K$8,E749),INDEX('Route Data'!$L$7:$L$8,E749)*2*PI()/60,INDEX('Route Data'!$F$7:$F$8,E749))</f>
        <v>0.19430699130049439</v>
      </c>
      <c r="I749" s="5">
        <f>DischargeCoeff(INDEX('Route Data'!$I$7:$I$8,E749), INDEX('Route Data'!$L$7:$L$8,E749)*2*PI()/60, INDEX('Route Data'!$F$7:$F$8,E749))</f>
        <v>0.15939200179827354</v>
      </c>
      <c r="J749" s="8">
        <f>FlowAngleRel(INDEX('Route Data'!$J$7:$J$8,E749)*INDEX('Route Data'!$I$7:$I$8,E749), INDEX('Route Data'!$L$7:$L$8,E749)*2*PI()/60, INDEX('Route Data'!$F$7:$F$8,E749),INDEX('Route Data'!$O$7:$O$8,E749), INDEX('Route Data'!$P$7:$P$8,E749),INDEX('Route Data'!$M$7:$M$8,E749))</f>
        <v>1.130811765868994</v>
      </c>
      <c r="K749" s="8">
        <f>FlowAngleAbsT(INDEX('Route Data'!$K$7:$K$8,E749), INDEX('Route Data'!$I$7:$I$8,E749), INDEX('Route Data'!$I$7:$I$8,E749)*INDEX('Route Data'!$J$7:$J$8,E749), INDEX('Route Data'!$L$7:$L$8,E749)*2*PI()/60, INDEX('Route Data'!$F$7:$F$8,E749),INDEX('Route Data'!$O$7:$O$8,E749), INDEX('Route Data'!$P$7:$P$8,E749), INDEX('Route Data'!$H$7:$H$8,E749), INDEX('Route Data'!$Q$7:$Q$8,E749), INDEX('Route Data'!$M$7:$M$8,E749))</f>
        <v>0.51617226640175828</v>
      </c>
      <c r="L749" s="5">
        <f>INDEX('Route Data'!$N$7:$N$8,E749)</f>
        <v>0.4</v>
      </c>
      <c r="M749" s="8">
        <v>0.10462838411331177</v>
      </c>
      <c r="N749" s="8">
        <f>ProbStrikeFrancis(K749, I749, L749, INDEX('Route Data'!$G$7:$G$8,E749),C749, INDEX('Route Data'!$F$7:$F$8,E749), INDEX('Route Data'!$O$7:$O$8,E749), INDEX('Route Data'!$H$7:$H$18,E749))</f>
        <v>1</v>
      </c>
      <c r="O749" s="5" t="str">
        <f>IF(F749&gt;=1,IF(M749&lt;=N749,"STRIKE","pass"),IF(M749&lt;=INDEX('Route Data'!$R$7:$R$8,E749),"NO PASS","pass"))</f>
        <v>STRIKE</v>
      </c>
      <c r="P749" s="5">
        <f>IF(F749&gt;=1,IF(M749&lt;=N749,1,0),IF(M749&lt;=INDEX('Route Data'!$R$7:$R$8,E749),-1,0))</f>
        <v>1</v>
      </c>
    </row>
    <row r="750" spans="1:16">
      <c r="A750" s="5">
        <v>740</v>
      </c>
      <c r="B750" s="12">
        <v>17.559999999999999</v>
      </c>
      <c r="C750" s="12">
        <f t="shared" si="11"/>
        <v>1.46</v>
      </c>
      <c r="D750" s="8">
        <v>0.15513348579406738</v>
      </c>
      <c r="E750" s="5">
        <f>MATCH(D750,'Route Data'!$C$7:$C$8,1)</f>
        <v>2</v>
      </c>
      <c r="F750" s="5">
        <f>INDEX('Route Data'!$D$7:$D$8,E750)</f>
        <v>1</v>
      </c>
      <c r="G750" s="5" t="str">
        <f>INDEX('Route Data'!$A$7:$A$8,E750)</f>
        <v>u18</v>
      </c>
      <c r="H750" s="5">
        <f>EnergyCoeff(INDEX('Route Data'!$K$7:$K$8,E750),INDEX('Route Data'!$L$7:$L$8,E750)*2*PI()/60,INDEX('Route Data'!$F$7:$F$8,E750))</f>
        <v>0.19430699130049439</v>
      </c>
      <c r="I750" s="5">
        <f>DischargeCoeff(INDEX('Route Data'!$I$7:$I$8,E750), INDEX('Route Data'!$L$7:$L$8,E750)*2*PI()/60, INDEX('Route Data'!$F$7:$F$8,E750))</f>
        <v>0.15939200179827354</v>
      </c>
      <c r="J750" s="8">
        <f>FlowAngleRel(INDEX('Route Data'!$J$7:$J$8,E750)*INDEX('Route Data'!$I$7:$I$8,E750), INDEX('Route Data'!$L$7:$L$8,E750)*2*PI()/60, INDEX('Route Data'!$F$7:$F$8,E750),INDEX('Route Data'!$O$7:$O$8,E750), INDEX('Route Data'!$P$7:$P$8,E750),INDEX('Route Data'!$M$7:$M$8,E750))</f>
        <v>1.130811765868994</v>
      </c>
      <c r="K750" s="8">
        <f>FlowAngleAbsT(INDEX('Route Data'!$K$7:$K$8,E750), INDEX('Route Data'!$I$7:$I$8,E750), INDEX('Route Data'!$I$7:$I$8,E750)*INDEX('Route Data'!$J$7:$J$8,E750), INDEX('Route Data'!$L$7:$L$8,E750)*2*PI()/60, INDEX('Route Data'!$F$7:$F$8,E750),INDEX('Route Data'!$O$7:$O$8,E750), INDEX('Route Data'!$P$7:$P$8,E750), INDEX('Route Data'!$H$7:$H$8,E750), INDEX('Route Data'!$Q$7:$Q$8,E750), INDEX('Route Data'!$M$7:$M$8,E750))</f>
        <v>0.51617226640175828</v>
      </c>
      <c r="L750" s="5">
        <f>INDEX('Route Data'!$N$7:$N$8,E750)</f>
        <v>0.4</v>
      </c>
      <c r="M750" s="8">
        <v>0.1580350399017334</v>
      </c>
      <c r="N750" s="8">
        <f>ProbStrikeFrancis(K750, I750, L750, INDEX('Route Data'!$G$7:$G$8,E750),C750, INDEX('Route Data'!$F$7:$F$8,E750), INDEX('Route Data'!$O$7:$O$8,E750), INDEX('Route Data'!$H$7:$H$18,E750))</f>
        <v>1</v>
      </c>
      <c r="O750" s="5" t="str">
        <f>IF(F750&gt;=1,IF(M750&lt;=N750,"STRIKE","pass"),IF(M750&lt;=INDEX('Route Data'!$R$7:$R$8,E750),"NO PASS","pass"))</f>
        <v>STRIKE</v>
      </c>
      <c r="P750" s="5">
        <f>IF(F750&gt;=1,IF(M750&lt;=N750,1,0),IF(M750&lt;=INDEX('Route Data'!$R$7:$R$8,E750),-1,0))</f>
        <v>1</v>
      </c>
    </row>
    <row r="751" spans="1:16">
      <c r="A751" s="5">
        <v>741</v>
      </c>
      <c r="B751" s="12">
        <v>19.96</v>
      </c>
      <c r="C751" s="12">
        <f t="shared" si="11"/>
        <v>1.66</v>
      </c>
      <c r="D751" s="8">
        <v>0.65311092138290405</v>
      </c>
      <c r="E751" s="5">
        <f>MATCH(D751,'Route Data'!$C$7:$C$8,1)</f>
        <v>2</v>
      </c>
      <c r="F751" s="5">
        <f>INDEX('Route Data'!$D$7:$D$8,E751)</f>
        <v>1</v>
      </c>
      <c r="G751" s="5" t="str">
        <f>INDEX('Route Data'!$A$7:$A$8,E751)</f>
        <v>u18</v>
      </c>
      <c r="H751" s="5">
        <f>EnergyCoeff(INDEX('Route Data'!$K$7:$K$8,E751),INDEX('Route Data'!$L$7:$L$8,E751)*2*PI()/60,INDEX('Route Data'!$F$7:$F$8,E751))</f>
        <v>0.19430699130049439</v>
      </c>
      <c r="I751" s="5">
        <f>DischargeCoeff(INDEX('Route Data'!$I$7:$I$8,E751), INDEX('Route Data'!$L$7:$L$8,E751)*2*PI()/60, INDEX('Route Data'!$F$7:$F$8,E751))</f>
        <v>0.15939200179827354</v>
      </c>
      <c r="J751" s="8">
        <f>FlowAngleRel(INDEX('Route Data'!$J$7:$J$8,E751)*INDEX('Route Data'!$I$7:$I$8,E751), INDEX('Route Data'!$L$7:$L$8,E751)*2*PI()/60, INDEX('Route Data'!$F$7:$F$8,E751),INDEX('Route Data'!$O$7:$O$8,E751), INDEX('Route Data'!$P$7:$P$8,E751),INDEX('Route Data'!$M$7:$M$8,E751))</f>
        <v>1.130811765868994</v>
      </c>
      <c r="K751" s="8">
        <f>FlowAngleAbsT(INDEX('Route Data'!$K$7:$K$8,E751), INDEX('Route Data'!$I$7:$I$8,E751), INDEX('Route Data'!$I$7:$I$8,E751)*INDEX('Route Data'!$J$7:$J$8,E751), INDEX('Route Data'!$L$7:$L$8,E751)*2*PI()/60, INDEX('Route Data'!$F$7:$F$8,E751),INDEX('Route Data'!$O$7:$O$8,E751), INDEX('Route Data'!$P$7:$P$8,E751), INDEX('Route Data'!$H$7:$H$8,E751), INDEX('Route Data'!$Q$7:$Q$8,E751), INDEX('Route Data'!$M$7:$M$8,E751))</f>
        <v>0.51617226640175828</v>
      </c>
      <c r="L751" s="5">
        <f>INDEX('Route Data'!$N$7:$N$8,E751)</f>
        <v>0.4</v>
      </c>
      <c r="M751" s="8">
        <v>0.99781507253646851</v>
      </c>
      <c r="N751" s="8">
        <f>ProbStrikeFrancis(K751, I751, L751, INDEX('Route Data'!$G$7:$G$8,E751),C751, INDEX('Route Data'!$F$7:$F$8,E751), INDEX('Route Data'!$O$7:$O$8,E751), INDEX('Route Data'!$H$7:$H$18,E751))</f>
        <v>1</v>
      </c>
      <c r="O751" s="5" t="str">
        <f>IF(F751&gt;=1,IF(M751&lt;=N751,"STRIKE","pass"),IF(M751&lt;=INDEX('Route Data'!$R$7:$R$8,E751),"NO PASS","pass"))</f>
        <v>STRIKE</v>
      </c>
      <c r="P751" s="5">
        <f>IF(F751&gt;=1,IF(M751&lt;=N751,1,0),IF(M751&lt;=INDEX('Route Data'!$R$7:$R$8,E751),-1,0))</f>
        <v>1</v>
      </c>
    </row>
    <row r="752" spans="1:16">
      <c r="A752" s="5">
        <v>742</v>
      </c>
      <c r="B752" s="12">
        <v>15.45</v>
      </c>
      <c r="C752" s="12">
        <f t="shared" si="11"/>
        <v>1.29</v>
      </c>
      <c r="D752" s="8">
        <v>0.15917861461639404</v>
      </c>
      <c r="E752" s="5">
        <f>MATCH(D752,'Route Data'!$C$7:$C$8,1)</f>
        <v>2</v>
      </c>
      <c r="F752" s="5">
        <f>INDEX('Route Data'!$D$7:$D$8,E752)</f>
        <v>1</v>
      </c>
      <c r="G752" s="5" t="str">
        <f>INDEX('Route Data'!$A$7:$A$8,E752)</f>
        <v>u18</v>
      </c>
      <c r="H752" s="5">
        <f>EnergyCoeff(INDEX('Route Data'!$K$7:$K$8,E752),INDEX('Route Data'!$L$7:$L$8,E752)*2*PI()/60,INDEX('Route Data'!$F$7:$F$8,E752))</f>
        <v>0.19430699130049439</v>
      </c>
      <c r="I752" s="5">
        <f>DischargeCoeff(INDEX('Route Data'!$I$7:$I$8,E752), INDEX('Route Data'!$L$7:$L$8,E752)*2*PI()/60, INDEX('Route Data'!$F$7:$F$8,E752))</f>
        <v>0.15939200179827354</v>
      </c>
      <c r="J752" s="8">
        <f>FlowAngleRel(INDEX('Route Data'!$J$7:$J$8,E752)*INDEX('Route Data'!$I$7:$I$8,E752), INDEX('Route Data'!$L$7:$L$8,E752)*2*PI()/60, INDEX('Route Data'!$F$7:$F$8,E752),INDEX('Route Data'!$O$7:$O$8,E752), INDEX('Route Data'!$P$7:$P$8,E752),INDEX('Route Data'!$M$7:$M$8,E752))</f>
        <v>1.130811765868994</v>
      </c>
      <c r="K752" s="8">
        <f>FlowAngleAbsT(INDEX('Route Data'!$K$7:$K$8,E752), INDEX('Route Data'!$I$7:$I$8,E752), INDEX('Route Data'!$I$7:$I$8,E752)*INDEX('Route Data'!$J$7:$J$8,E752), INDEX('Route Data'!$L$7:$L$8,E752)*2*PI()/60, INDEX('Route Data'!$F$7:$F$8,E752),INDEX('Route Data'!$O$7:$O$8,E752), INDEX('Route Data'!$P$7:$P$8,E752), INDEX('Route Data'!$H$7:$H$8,E752), INDEX('Route Data'!$Q$7:$Q$8,E752), INDEX('Route Data'!$M$7:$M$8,E752))</f>
        <v>0.51617226640175828</v>
      </c>
      <c r="L752" s="5">
        <f>INDEX('Route Data'!$N$7:$N$8,E752)</f>
        <v>0.4</v>
      </c>
      <c r="M752" s="8">
        <v>0.47847497463226318</v>
      </c>
      <c r="N752" s="8">
        <f>ProbStrikeFrancis(K752, I752, L752, INDEX('Route Data'!$G$7:$G$8,E752),C752, INDEX('Route Data'!$F$7:$F$8,E752), INDEX('Route Data'!$O$7:$O$8,E752), INDEX('Route Data'!$H$7:$H$18,E752))</f>
        <v>1</v>
      </c>
      <c r="O752" s="5" t="str">
        <f>IF(F752&gt;=1,IF(M752&lt;=N752,"STRIKE","pass"),IF(M752&lt;=INDEX('Route Data'!$R$7:$R$8,E752),"NO PASS","pass"))</f>
        <v>STRIKE</v>
      </c>
      <c r="P752" s="5">
        <f>IF(F752&gt;=1,IF(M752&lt;=N752,1,0),IF(M752&lt;=INDEX('Route Data'!$R$7:$R$8,E752),-1,0))</f>
        <v>1</v>
      </c>
    </row>
    <row r="753" spans="1:16">
      <c r="A753" s="5">
        <v>743</v>
      </c>
      <c r="B753" s="12">
        <v>23.36</v>
      </c>
      <c r="C753" s="12">
        <f t="shared" si="11"/>
        <v>1.95</v>
      </c>
      <c r="D753" s="8">
        <v>0.37539631128311157</v>
      </c>
      <c r="E753" s="5">
        <f>MATCH(D753,'Route Data'!$C$7:$C$8,1)</f>
        <v>2</v>
      </c>
      <c r="F753" s="5">
        <f>INDEX('Route Data'!$D$7:$D$8,E753)</f>
        <v>1</v>
      </c>
      <c r="G753" s="5" t="str">
        <f>INDEX('Route Data'!$A$7:$A$8,E753)</f>
        <v>u18</v>
      </c>
      <c r="H753" s="5">
        <f>EnergyCoeff(INDEX('Route Data'!$K$7:$K$8,E753),INDEX('Route Data'!$L$7:$L$8,E753)*2*PI()/60,INDEX('Route Data'!$F$7:$F$8,E753))</f>
        <v>0.19430699130049439</v>
      </c>
      <c r="I753" s="5">
        <f>DischargeCoeff(INDEX('Route Data'!$I$7:$I$8,E753), INDEX('Route Data'!$L$7:$L$8,E753)*2*PI()/60, INDEX('Route Data'!$F$7:$F$8,E753))</f>
        <v>0.15939200179827354</v>
      </c>
      <c r="J753" s="8">
        <f>FlowAngleRel(INDEX('Route Data'!$J$7:$J$8,E753)*INDEX('Route Data'!$I$7:$I$8,E753), INDEX('Route Data'!$L$7:$L$8,E753)*2*PI()/60, INDEX('Route Data'!$F$7:$F$8,E753),INDEX('Route Data'!$O$7:$O$8,E753), INDEX('Route Data'!$P$7:$P$8,E753),INDEX('Route Data'!$M$7:$M$8,E753))</f>
        <v>1.130811765868994</v>
      </c>
      <c r="K753" s="8">
        <f>FlowAngleAbsT(INDEX('Route Data'!$K$7:$K$8,E753), INDEX('Route Data'!$I$7:$I$8,E753), INDEX('Route Data'!$I$7:$I$8,E753)*INDEX('Route Data'!$J$7:$J$8,E753), INDEX('Route Data'!$L$7:$L$8,E753)*2*PI()/60, INDEX('Route Data'!$F$7:$F$8,E753),INDEX('Route Data'!$O$7:$O$8,E753), INDEX('Route Data'!$P$7:$P$8,E753), INDEX('Route Data'!$H$7:$H$8,E753), INDEX('Route Data'!$Q$7:$Q$8,E753), INDEX('Route Data'!$M$7:$M$8,E753))</f>
        <v>0.51617226640175828</v>
      </c>
      <c r="L753" s="5">
        <f>INDEX('Route Data'!$N$7:$N$8,E753)</f>
        <v>0.4</v>
      </c>
      <c r="M753" s="8">
        <v>0.77091604471206665</v>
      </c>
      <c r="N753" s="8">
        <f>ProbStrikeFrancis(K753, I753, L753, INDEX('Route Data'!$G$7:$G$8,E753),C753, INDEX('Route Data'!$F$7:$F$8,E753), INDEX('Route Data'!$O$7:$O$8,E753), INDEX('Route Data'!$H$7:$H$18,E753))</f>
        <v>1</v>
      </c>
      <c r="O753" s="5" t="str">
        <f>IF(F753&gt;=1,IF(M753&lt;=N753,"STRIKE","pass"),IF(M753&lt;=INDEX('Route Data'!$R$7:$R$8,E753),"NO PASS","pass"))</f>
        <v>STRIKE</v>
      </c>
      <c r="P753" s="5">
        <f>IF(F753&gt;=1,IF(M753&lt;=N753,1,0),IF(M753&lt;=INDEX('Route Data'!$R$7:$R$8,E753),-1,0))</f>
        <v>1</v>
      </c>
    </row>
    <row r="754" spans="1:16">
      <c r="A754" s="5">
        <v>744</v>
      </c>
      <c r="B754" s="12">
        <v>22.63</v>
      </c>
      <c r="C754" s="12">
        <f t="shared" si="11"/>
        <v>1.89</v>
      </c>
      <c r="D754" s="8">
        <v>0.25790166854858398</v>
      </c>
      <c r="E754" s="5">
        <f>MATCH(D754,'Route Data'!$C$7:$C$8,1)</f>
        <v>2</v>
      </c>
      <c r="F754" s="5">
        <f>INDEX('Route Data'!$D$7:$D$8,E754)</f>
        <v>1</v>
      </c>
      <c r="G754" s="5" t="str">
        <f>INDEX('Route Data'!$A$7:$A$8,E754)</f>
        <v>u18</v>
      </c>
      <c r="H754" s="5">
        <f>EnergyCoeff(INDEX('Route Data'!$K$7:$K$8,E754),INDEX('Route Data'!$L$7:$L$8,E754)*2*PI()/60,INDEX('Route Data'!$F$7:$F$8,E754))</f>
        <v>0.19430699130049439</v>
      </c>
      <c r="I754" s="5">
        <f>DischargeCoeff(INDEX('Route Data'!$I$7:$I$8,E754), INDEX('Route Data'!$L$7:$L$8,E754)*2*PI()/60, INDEX('Route Data'!$F$7:$F$8,E754))</f>
        <v>0.15939200179827354</v>
      </c>
      <c r="J754" s="8">
        <f>FlowAngleRel(INDEX('Route Data'!$J$7:$J$8,E754)*INDEX('Route Data'!$I$7:$I$8,E754), INDEX('Route Data'!$L$7:$L$8,E754)*2*PI()/60, INDEX('Route Data'!$F$7:$F$8,E754),INDEX('Route Data'!$O$7:$O$8,E754), INDEX('Route Data'!$P$7:$P$8,E754),INDEX('Route Data'!$M$7:$M$8,E754))</f>
        <v>1.130811765868994</v>
      </c>
      <c r="K754" s="8">
        <f>FlowAngleAbsT(INDEX('Route Data'!$K$7:$K$8,E754), INDEX('Route Data'!$I$7:$I$8,E754), INDEX('Route Data'!$I$7:$I$8,E754)*INDEX('Route Data'!$J$7:$J$8,E754), INDEX('Route Data'!$L$7:$L$8,E754)*2*PI()/60, INDEX('Route Data'!$F$7:$F$8,E754),INDEX('Route Data'!$O$7:$O$8,E754), INDEX('Route Data'!$P$7:$P$8,E754), INDEX('Route Data'!$H$7:$H$8,E754), INDEX('Route Data'!$Q$7:$Q$8,E754), INDEX('Route Data'!$M$7:$M$8,E754))</f>
        <v>0.51617226640175828</v>
      </c>
      <c r="L754" s="5">
        <f>INDEX('Route Data'!$N$7:$N$8,E754)</f>
        <v>0.4</v>
      </c>
      <c r="M754" s="8">
        <v>0.62801361083984375</v>
      </c>
      <c r="N754" s="8">
        <f>ProbStrikeFrancis(K754, I754, L754, INDEX('Route Data'!$G$7:$G$8,E754),C754, INDEX('Route Data'!$F$7:$F$8,E754), INDEX('Route Data'!$O$7:$O$8,E754), INDEX('Route Data'!$H$7:$H$18,E754))</f>
        <v>1</v>
      </c>
      <c r="O754" s="5" t="str">
        <f>IF(F754&gt;=1,IF(M754&lt;=N754,"STRIKE","pass"),IF(M754&lt;=INDEX('Route Data'!$R$7:$R$8,E754),"NO PASS","pass"))</f>
        <v>STRIKE</v>
      </c>
      <c r="P754" s="5">
        <f>IF(F754&gt;=1,IF(M754&lt;=N754,1,0),IF(M754&lt;=INDEX('Route Data'!$R$7:$R$8,E754),-1,0))</f>
        <v>1</v>
      </c>
    </row>
    <row r="755" spans="1:16">
      <c r="A755" s="5">
        <v>745</v>
      </c>
      <c r="B755" s="12">
        <v>22.71</v>
      </c>
      <c r="C755" s="12">
        <f t="shared" si="11"/>
        <v>1.89</v>
      </c>
      <c r="D755" s="8">
        <v>0.61038559675216675</v>
      </c>
      <c r="E755" s="5">
        <f>MATCH(D755,'Route Data'!$C$7:$C$8,1)</f>
        <v>2</v>
      </c>
      <c r="F755" s="5">
        <f>INDEX('Route Data'!$D$7:$D$8,E755)</f>
        <v>1</v>
      </c>
      <c r="G755" s="5" t="str">
        <f>INDEX('Route Data'!$A$7:$A$8,E755)</f>
        <v>u18</v>
      </c>
      <c r="H755" s="5">
        <f>EnergyCoeff(INDEX('Route Data'!$K$7:$K$8,E755),INDEX('Route Data'!$L$7:$L$8,E755)*2*PI()/60,INDEX('Route Data'!$F$7:$F$8,E755))</f>
        <v>0.19430699130049439</v>
      </c>
      <c r="I755" s="5">
        <f>DischargeCoeff(INDEX('Route Data'!$I$7:$I$8,E755), INDEX('Route Data'!$L$7:$L$8,E755)*2*PI()/60, INDEX('Route Data'!$F$7:$F$8,E755))</f>
        <v>0.15939200179827354</v>
      </c>
      <c r="J755" s="8">
        <f>FlowAngleRel(INDEX('Route Data'!$J$7:$J$8,E755)*INDEX('Route Data'!$I$7:$I$8,E755), INDEX('Route Data'!$L$7:$L$8,E755)*2*PI()/60, INDEX('Route Data'!$F$7:$F$8,E755),INDEX('Route Data'!$O$7:$O$8,E755), INDEX('Route Data'!$P$7:$P$8,E755),INDEX('Route Data'!$M$7:$M$8,E755))</f>
        <v>1.130811765868994</v>
      </c>
      <c r="K755" s="8">
        <f>FlowAngleAbsT(INDEX('Route Data'!$K$7:$K$8,E755), INDEX('Route Data'!$I$7:$I$8,E755), INDEX('Route Data'!$I$7:$I$8,E755)*INDEX('Route Data'!$J$7:$J$8,E755), INDEX('Route Data'!$L$7:$L$8,E755)*2*PI()/60, INDEX('Route Data'!$F$7:$F$8,E755),INDEX('Route Data'!$O$7:$O$8,E755), INDEX('Route Data'!$P$7:$P$8,E755), INDEX('Route Data'!$H$7:$H$8,E755), INDEX('Route Data'!$Q$7:$Q$8,E755), INDEX('Route Data'!$M$7:$M$8,E755))</f>
        <v>0.51617226640175828</v>
      </c>
      <c r="L755" s="5">
        <f>INDEX('Route Data'!$N$7:$N$8,E755)</f>
        <v>0.4</v>
      </c>
      <c r="M755" s="8">
        <v>0.32230013608932495</v>
      </c>
      <c r="N755" s="8">
        <f>ProbStrikeFrancis(K755, I755, L755, INDEX('Route Data'!$G$7:$G$8,E755),C755, INDEX('Route Data'!$F$7:$F$8,E755), INDEX('Route Data'!$O$7:$O$8,E755), INDEX('Route Data'!$H$7:$H$18,E755))</f>
        <v>1</v>
      </c>
      <c r="O755" s="5" t="str">
        <f>IF(F755&gt;=1,IF(M755&lt;=N755,"STRIKE","pass"),IF(M755&lt;=INDEX('Route Data'!$R$7:$R$8,E755),"NO PASS","pass"))</f>
        <v>STRIKE</v>
      </c>
      <c r="P755" s="5">
        <f>IF(F755&gt;=1,IF(M755&lt;=N755,1,0),IF(M755&lt;=INDEX('Route Data'!$R$7:$R$8,E755),-1,0))</f>
        <v>1</v>
      </c>
    </row>
    <row r="756" spans="1:16">
      <c r="A756" s="5">
        <v>746</v>
      </c>
      <c r="B756" s="12">
        <v>22.46</v>
      </c>
      <c r="C756" s="12">
        <f t="shared" si="11"/>
        <v>1.87</v>
      </c>
      <c r="D756" s="8">
        <v>0.28735458850860596</v>
      </c>
      <c r="E756" s="5">
        <f>MATCH(D756,'Route Data'!$C$7:$C$8,1)</f>
        <v>2</v>
      </c>
      <c r="F756" s="5">
        <f>INDEX('Route Data'!$D$7:$D$8,E756)</f>
        <v>1</v>
      </c>
      <c r="G756" s="5" t="str">
        <f>INDEX('Route Data'!$A$7:$A$8,E756)</f>
        <v>u18</v>
      </c>
      <c r="H756" s="5">
        <f>EnergyCoeff(INDEX('Route Data'!$K$7:$K$8,E756),INDEX('Route Data'!$L$7:$L$8,E756)*2*PI()/60,INDEX('Route Data'!$F$7:$F$8,E756))</f>
        <v>0.19430699130049439</v>
      </c>
      <c r="I756" s="5">
        <f>DischargeCoeff(INDEX('Route Data'!$I$7:$I$8,E756), INDEX('Route Data'!$L$7:$L$8,E756)*2*PI()/60, INDEX('Route Data'!$F$7:$F$8,E756))</f>
        <v>0.15939200179827354</v>
      </c>
      <c r="J756" s="8">
        <f>FlowAngleRel(INDEX('Route Data'!$J$7:$J$8,E756)*INDEX('Route Data'!$I$7:$I$8,E756), INDEX('Route Data'!$L$7:$L$8,E756)*2*PI()/60, INDEX('Route Data'!$F$7:$F$8,E756),INDEX('Route Data'!$O$7:$O$8,E756), INDEX('Route Data'!$P$7:$P$8,E756),INDEX('Route Data'!$M$7:$M$8,E756))</f>
        <v>1.130811765868994</v>
      </c>
      <c r="K756" s="8">
        <f>FlowAngleAbsT(INDEX('Route Data'!$K$7:$K$8,E756), INDEX('Route Data'!$I$7:$I$8,E756), INDEX('Route Data'!$I$7:$I$8,E756)*INDEX('Route Data'!$J$7:$J$8,E756), INDEX('Route Data'!$L$7:$L$8,E756)*2*PI()/60, INDEX('Route Data'!$F$7:$F$8,E756),INDEX('Route Data'!$O$7:$O$8,E756), INDEX('Route Data'!$P$7:$P$8,E756), INDEX('Route Data'!$H$7:$H$8,E756), INDEX('Route Data'!$Q$7:$Q$8,E756), INDEX('Route Data'!$M$7:$M$8,E756))</f>
        <v>0.51617226640175828</v>
      </c>
      <c r="L756" s="5">
        <f>INDEX('Route Data'!$N$7:$N$8,E756)</f>
        <v>0.4</v>
      </c>
      <c r="M756" s="8">
        <v>0.97386133670806885</v>
      </c>
      <c r="N756" s="8">
        <f>ProbStrikeFrancis(K756, I756, L756, INDEX('Route Data'!$G$7:$G$8,E756),C756, INDEX('Route Data'!$F$7:$F$8,E756), INDEX('Route Data'!$O$7:$O$8,E756), INDEX('Route Data'!$H$7:$H$18,E756))</f>
        <v>1</v>
      </c>
      <c r="O756" s="5" t="str">
        <f>IF(F756&gt;=1,IF(M756&lt;=N756,"STRIKE","pass"),IF(M756&lt;=INDEX('Route Data'!$R$7:$R$8,E756),"NO PASS","pass"))</f>
        <v>STRIKE</v>
      </c>
      <c r="P756" s="5">
        <f>IF(F756&gt;=1,IF(M756&lt;=N756,1,0),IF(M756&lt;=INDEX('Route Data'!$R$7:$R$8,E756),-1,0))</f>
        <v>1</v>
      </c>
    </row>
    <row r="757" spans="1:16">
      <c r="A757" s="5">
        <v>747</v>
      </c>
      <c r="B757" s="12">
        <v>23.22</v>
      </c>
      <c r="C757" s="12">
        <f t="shared" si="11"/>
        <v>1.94</v>
      </c>
      <c r="D757" s="8">
        <v>0.72528916597366333</v>
      </c>
      <c r="E757" s="5">
        <f>MATCH(D757,'Route Data'!$C$7:$C$8,1)</f>
        <v>2</v>
      </c>
      <c r="F757" s="5">
        <f>INDEX('Route Data'!$D$7:$D$8,E757)</f>
        <v>1</v>
      </c>
      <c r="G757" s="5" t="str">
        <f>INDEX('Route Data'!$A$7:$A$8,E757)</f>
        <v>u18</v>
      </c>
      <c r="H757" s="5">
        <f>EnergyCoeff(INDEX('Route Data'!$K$7:$K$8,E757),INDEX('Route Data'!$L$7:$L$8,E757)*2*PI()/60,INDEX('Route Data'!$F$7:$F$8,E757))</f>
        <v>0.19430699130049439</v>
      </c>
      <c r="I757" s="5">
        <f>DischargeCoeff(INDEX('Route Data'!$I$7:$I$8,E757), INDEX('Route Data'!$L$7:$L$8,E757)*2*PI()/60, INDEX('Route Data'!$F$7:$F$8,E757))</f>
        <v>0.15939200179827354</v>
      </c>
      <c r="J757" s="8">
        <f>FlowAngleRel(INDEX('Route Data'!$J$7:$J$8,E757)*INDEX('Route Data'!$I$7:$I$8,E757), INDEX('Route Data'!$L$7:$L$8,E757)*2*PI()/60, INDEX('Route Data'!$F$7:$F$8,E757),INDEX('Route Data'!$O$7:$O$8,E757), INDEX('Route Data'!$P$7:$P$8,E757),INDEX('Route Data'!$M$7:$M$8,E757))</f>
        <v>1.130811765868994</v>
      </c>
      <c r="K757" s="8">
        <f>FlowAngleAbsT(INDEX('Route Data'!$K$7:$K$8,E757), INDEX('Route Data'!$I$7:$I$8,E757), INDEX('Route Data'!$I$7:$I$8,E757)*INDEX('Route Data'!$J$7:$J$8,E757), INDEX('Route Data'!$L$7:$L$8,E757)*2*PI()/60, INDEX('Route Data'!$F$7:$F$8,E757),INDEX('Route Data'!$O$7:$O$8,E757), INDEX('Route Data'!$P$7:$P$8,E757), INDEX('Route Data'!$H$7:$H$8,E757), INDEX('Route Data'!$Q$7:$Q$8,E757), INDEX('Route Data'!$M$7:$M$8,E757))</f>
        <v>0.51617226640175828</v>
      </c>
      <c r="L757" s="5">
        <f>INDEX('Route Data'!$N$7:$N$8,E757)</f>
        <v>0.4</v>
      </c>
      <c r="M757" s="8">
        <v>1.9177734851837158E-2</v>
      </c>
      <c r="N757" s="8">
        <f>ProbStrikeFrancis(K757, I757, L757, INDEX('Route Data'!$G$7:$G$8,E757),C757, INDEX('Route Data'!$F$7:$F$8,E757), INDEX('Route Data'!$O$7:$O$8,E757), INDEX('Route Data'!$H$7:$H$18,E757))</f>
        <v>1</v>
      </c>
      <c r="O757" s="5" t="str">
        <f>IF(F757&gt;=1,IF(M757&lt;=N757,"STRIKE","pass"),IF(M757&lt;=INDEX('Route Data'!$R$7:$R$8,E757),"NO PASS","pass"))</f>
        <v>STRIKE</v>
      </c>
      <c r="P757" s="5">
        <f>IF(F757&gt;=1,IF(M757&lt;=N757,1,0),IF(M757&lt;=INDEX('Route Data'!$R$7:$R$8,E757),-1,0))</f>
        <v>1</v>
      </c>
    </row>
    <row r="758" spans="1:16">
      <c r="A758" s="5">
        <v>748</v>
      </c>
      <c r="B758" s="12">
        <v>20.91</v>
      </c>
      <c r="C758" s="12">
        <f t="shared" si="11"/>
        <v>1.74</v>
      </c>
      <c r="D758" s="8">
        <v>0.41148543357849121</v>
      </c>
      <c r="E758" s="5">
        <f>MATCH(D758,'Route Data'!$C$7:$C$8,1)</f>
        <v>2</v>
      </c>
      <c r="F758" s="5">
        <f>INDEX('Route Data'!$D$7:$D$8,E758)</f>
        <v>1</v>
      </c>
      <c r="G758" s="5" t="str">
        <f>INDEX('Route Data'!$A$7:$A$8,E758)</f>
        <v>u18</v>
      </c>
      <c r="H758" s="5">
        <f>EnergyCoeff(INDEX('Route Data'!$K$7:$K$8,E758),INDEX('Route Data'!$L$7:$L$8,E758)*2*PI()/60,INDEX('Route Data'!$F$7:$F$8,E758))</f>
        <v>0.19430699130049439</v>
      </c>
      <c r="I758" s="5">
        <f>DischargeCoeff(INDEX('Route Data'!$I$7:$I$8,E758), INDEX('Route Data'!$L$7:$L$8,E758)*2*PI()/60, INDEX('Route Data'!$F$7:$F$8,E758))</f>
        <v>0.15939200179827354</v>
      </c>
      <c r="J758" s="8">
        <f>FlowAngleRel(INDEX('Route Data'!$J$7:$J$8,E758)*INDEX('Route Data'!$I$7:$I$8,E758), INDEX('Route Data'!$L$7:$L$8,E758)*2*PI()/60, INDEX('Route Data'!$F$7:$F$8,E758),INDEX('Route Data'!$O$7:$O$8,E758), INDEX('Route Data'!$P$7:$P$8,E758),INDEX('Route Data'!$M$7:$M$8,E758))</f>
        <v>1.130811765868994</v>
      </c>
      <c r="K758" s="8">
        <f>FlowAngleAbsT(INDEX('Route Data'!$K$7:$K$8,E758), INDEX('Route Data'!$I$7:$I$8,E758), INDEX('Route Data'!$I$7:$I$8,E758)*INDEX('Route Data'!$J$7:$J$8,E758), INDEX('Route Data'!$L$7:$L$8,E758)*2*PI()/60, INDEX('Route Data'!$F$7:$F$8,E758),INDEX('Route Data'!$O$7:$O$8,E758), INDEX('Route Data'!$P$7:$P$8,E758), INDEX('Route Data'!$H$7:$H$8,E758), INDEX('Route Data'!$Q$7:$Q$8,E758), INDEX('Route Data'!$M$7:$M$8,E758))</f>
        <v>0.51617226640175828</v>
      </c>
      <c r="L758" s="5">
        <f>INDEX('Route Data'!$N$7:$N$8,E758)</f>
        <v>0.4</v>
      </c>
      <c r="M758" s="8">
        <v>0.41438698768615723</v>
      </c>
      <c r="N758" s="8">
        <f>ProbStrikeFrancis(K758, I758, L758, INDEX('Route Data'!$G$7:$G$8,E758),C758, INDEX('Route Data'!$F$7:$F$8,E758), INDEX('Route Data'!$O$7:$O$8,E758), INDEX('Route Data'!$H$7:$H$18,E758))</f>
        <v>1</v>
      </c>
      <c r="O758" s="5" t="str">
        <f>IF(F758&gt;=1,IF(M758&lt;=N758,"STRIKE","pass"),IF(M758&lt;=INDEX('Route Data'!$R$7:$R$8,E758),"NO PASS","pass"))</f>
        <v>STRIKE</v>
      </c>
      <c r="P758" s="5">
        <f>IF(F758&gt;=1,IF(M758&lt;=N758,1,0),IF(M758&lt;=INDEX('Route Data'!$R$7:$R$8,E758),-1,0))</f>
        <v>1</v>
      </c>
    </row>
    <row r="759" spans="1:16">
      <c r="A759" s="5">
        <v>749</v>
      </c>
      <c r="B759" s="12">
        <v>21.98</v>
      </c>
      <c r="C759" s="12">
        <f t="shared" si="11"/>
        <v>1.83</v>
      </c>
      <c r="D759" s="8">
        <v>0.61847585439682007</v>
      </c>
      <c r="E759" s="5">
        <f>MATCH(D759,'Route Data'!$C$7:$C$8,1)</f>
        <v>2</v>
      </c>
      <c r="F759" s="5">
        <f>INDEX('Route Data'!$D$7:$D$8,E759)</f>
        <v>1</v>
      </c>
      <c r="G759" s="5" t="str">
        <f>INDEX('Route Data'!$A$7:$A$8,E759)</f>
        <v>u18</v>
      </c>
      <c r="H759" s="5">
        <f>EnergyCoeff(INDEX('Route Data'!$K$7:$K$8,E759),INDEX('Route Data'!$L$7:$L$8,E759)*2*PI()/60,INDEX('Route Data'!$F$7:$F$8,E759))</f>
        <v>0.19430699130049439</v>
      </c>
      <c r="I759" s="5">
        <f>DischargeCoeff(INDEX('Route Data'!$I$7:$I$8,E759), INDEX('Route Data'!$L$7:$L$8,E759)*2*PI()/60, INDEX('Route Data'!$F$7:$F$8,E759))</f>
        <v>0.15939200179827354</v>
      </c>
      <c r="J759" s="8">
        <f>FlowAngleRel(INDEX('Route Data'!$J$7:$J$8,E759)*INDEX('Route Data'!$I$7:$I$8,E759), INDEX('Route Data'!$L$7:$L$8,E759)*2*PI()/60, INDEX('Route Data'!$F$7:$F$8,E759),INDEX('Route Data'!$O$7:$O$8,E759), INDEX('Route Data'!$P$7:$P$8,E759),INDEX('Route Data'!$M$7:$M$8,E759))</f>
        <v>1.130811765868994</v>
      </c>
      <c r="K759" s="8">
        <f>FlowAngleAbsT(INDEX('Route Data'!$K$7:$K$8,E759), INDEX('Route Data'!$I$7:$I$8,E759), INDEX('Route Data'!$I$7:$I$8,E759)*INDEX('Route Data'!$J$7:$J$8,E759), INDEX('Route Data'!$L$7:$L$8,E759)*2*PI()/60, INDEX('Route Data'!$F$7:$F$8,E759),INDEX('Route Data'!$O$7:$O$8,E759), INDEX('Route Data'!$P$7:$P$8,E759), INDEX('Route Data'!$H$7:$H$8,E759), INDEX('Route Data'!$Q$7:$Q$8,E759), INDEX('Route Data'!$M$7:$M$8,E759))</f>
        <v>0.51617226640175828</v>
      </c>
      <c r="L759" s="5">
        <f>INDEX('Route Data'!$N$7:$N$8,E759)</f>
        <v>0.4</v>
      </c>
      <c r="M759" s="8">
        <v>0.96318000555038452</v>
      </c>
      <c r="N759" s="8">
        <f>ProbStrikeFrancis(K759, I759, L759, INDEX('Route Data'!$G$7:$G$8,E759),C759, INDEX('Route Data'!$F$7:$F$8,E759), INDEX('Route Data'!$O$7:$O$8,E759), INDEX('Route Data'!$H$7:$H$18,E759))</f>
        <v>1</v>
      </c>
      <c r="O759" s="5" t="str">
        <f>IF(F759&gt;=1,IF(M759&lt;=N759,"STRIKE","pass"),IF(M759&lt;=INDEX('Route Data'!$R$7:$R$8,E759),"NO PASS","pass"))</f>
        <v>STRIKE</v>
      </c>
      <c r="P759" s="5">
        <f>IF(F759&gt;=1,IF(M759&lt;=N759,1,0),IF(M759&lt;=INDEX('Route Data'!$R$7:$R$8,E759),-1,0))</f>
        <v>1</v>
      </c>
    </row>
    <row r="760" spans="1:16">
      <c r="A760" s="5">
        <v>750</v>
      </c>
      <c r="B760" s="12">
        <v>23.07</v>
      </c>
      <c r="C760" s="12">
        <f t="shared" si="11"/>
        <v>1.92</v>
      </c>
      <c r="D760" s="8">
        <v>0.731925368309021</v>
      </c>
      <c r="E760" s="5">
        <f>MATCH(D760,'Route Data'!$C$7:$C$8,1)</f>
        <v>2</v>
      </c>
      <c r="F760" s="5">
        <f>INDEX('Route Data'!$D$7:$D$8,E760)</f>
        <v>1</v>
      </c>
      <c r="G760" s="5" t="str">
        <f>INDEX('Route Data'!$A$7:$A$8,E760)</f>
        <v>u18</v>
      </c>
      <c r="H760" s="5">
        <f>EnergyCoeff(INDEX('Route Data'!$K$7:$K$8,E760),INDEX('Route Data'!$L$7:$L$8,E760)*2*PI()/60,INDEX('Route Data'!$F$7:$F$8,E760))</f>
        <v>0.19430699130049439</v>
      </c>
      <c r="I760" s="5">
        <f>DischargeCoeff(INDEX('Route Data'!$I$7:$I$8,E760), INDEX('Route Data'!$L$7:$L$8,E760)*2*PI()/60, INDEX('Route Data'!$F$7:$F$8,E760))</f>
        <v>0.15939200179827354</v>
      </c>
      <c r="J760" s="8">
        <f>FlowAngleRel(INDEX('Route Data'!$J$7:$J$8,E760)*INDEX('Route Data'!$I$7:$I$8,E760), INDEX('Route Data'!$L$7:$L$8,E760)*2*PI()/60, INDEX('Route Data'!$F$7:$F$8,E760),INDEX('Route Data'!$O$7:$O$8,E760), INDEX('Route Data'!$P$7:$P$8,E760),INDEX('Route Data'!$M$7:$M$8,E760))</f>
        <v>1.130811765868994</v>
      </c>
      <c r="K760" s="8">
        <f>FlowAngleAbsT(INDEX('Route Data'!$K$7:$K$8,E760), INDEX('Route Data'!$I$7:$I$8,E760), INDEX('Route Data'!$I$7:$I$8,E760)*INDEX('Route Data'!$J$7:$J$8,E760), INDEX('Route Data'!$L$7:$L$8,E760)*2*PI()/60, INDEX('Route Data'!$F$7:$F$8,E760),INDEX('Route Data'!$O$7:$O$8,E760), INDEX('Route Data'!$P$7:$P$8,E760), INDEX('Route Data'!$H$7:$H$8,E760), INDEX('Route Data'!$Q$7:$Q$8,E760), INDEX('Route Data'!$M$7:$M$8,E760))</f>
        <v>0.51617226640175828</v>
      </c>
      <c r="L760" s="5">
        <f>INDEX('Route Data'!$N$7:$N$8,E760)</f>
        <v>0.4</v>
      </c>
      <c r="M760" s="8">
        <v>5.1221728324890137E-2</v>
      </c>
      <c r="N760" s="8">
        <f>ProbStrikeFrancis(K760, I760, L760, INDEX('Route Data'!$G$7:$G$8,E760),C760, INDEX('Route Data'!$F$7:$F$8,E760), INDEX('Route Data'!$O$7:$O$8,E760), INDEX('Route Data'!$H$7:$H$18,E760))</f>
        <v>1</v>
      </c>
      <c r="O760" s="5" t="str">
        <f>IF(F760&gt;=1,IF(M760&lt;=N760,"STRIKE","pass"),IF(M760&lt;=INDEX('Route Data'!$R$7:$R$8,E760),"NO PASS","pass"))</f>
        <v>STRIKE</v>
      </c>
      <c r="P760" s="5">
        <f>IF(F760&gt;=1,IF(M760&lt;=N760,1,0),IF(M760&lt;=INDEX('Route Data'!$R$7:$R$8,E760),-1,0))</f>
        <v>1</v>
      </c>
    </row>
    <row r="761" spans="1:16">
      <c r="A761" s="5">
        <v>751</v>
      </c>
      <c r="B761" s="12">
        <v>26.43</v>
      </c>
      <c r="C761" s="12">
        <f t="shared" si="11"/>
        <v>2.2000000000000002</v>
      </c>
      <c r="D761" s="8">
        <v>0.65715605020523071</v>
      </c>
      <c r="E761" s="5">
        <f>MATCH(D761,'Route Data'!$C$7:$C$8,1)</f>
        <v>2</v>
      </c>
      <c r="F761" s="5">
        <f>INDEX('Route Data'!$D$7:$D$8,E761)</f>
        <v>1</v>
      </c>
      <c r="G761" s="5" t="str">
        <f>INDEX('Route Data'!$A$7:$A$8,E761)</f>
        <v>u18</v>
      </c>
      <c r="H761" s="5">
        <f>EnergyCoeff(INDEX('Route Data'!$K$7:$K$8,E761),INDEX('Route Data'!$L$7:$L$8,E761)*2*PI()/60,INDEX('Route Data'!$F$7:$F$8,E761))</f>
        <v>0.19430699130049439</v>
      </c>
      <c r="I761" s="5">
        <f>DischargeCoeff(INDEX('Route Data'!$I$7:$I$8,E761), INDEX('Route Data'!$L$7:$L$8,E761)*2*PI()/60, INDEX('Route Data'!$F$7:$F$8,E761))</f>
        <v>0.15939200179827354</v>
      </c>
      <c r="J761" s="8">
        <f>FlowAngleRel(INDEX('Route Data'!$J$7:$J$8,E761)*INDEX('Route Data'!$I$7:$I$8,E761), INDEX('Route Data'!$L$7:$L$8,E761)*2*PI()/60, INDEX('Route Data'!$F$7:$F$8,E761),INDEX('Route Data'!$O$7:$O$8,E761), INDEX('Route Data'!$P$7:$P$8,E761),INDEX('Route Data'!$M$7:$M$8,E761))</f>
        <v>1.130811765868994</v>
      </c>
      <c r="K761" s="8">
        <f>FlowAngleAbsT(INDEX('Route Data'!$K$7:$K$8,E761), INDEX('Route Data'!$I$7:$I$8,E761), INDEX('Route Data'!$I$7:$I$8,E761)*INDEX('Route Data'!$J$7:$J$8,E761), INDEX('Route Data'!$L$7:$L$8,E761)*2*PI()/60, INDEX('Route Data'!$F$7:$F$8,E761),INDEX('Route Data'!$O$7:$O$8,E761), INDEX('Route Data'!$P$7:$P$8,E761), INDEX('Route Data'!$H$7:$H$8,E761), INDEX('Route Data'!$Q$7:$Q$8,E761), INDEX('Route Data'!$M$7:$M$8,E761))</f>
        <v>0.51617226640175828</v>
      </c>
      <c r="L761" s="5">
        <f>INDEX('Route Data'!$N$7:$N$8,E761)</f>
        <v>0.4</v>
      </c>
      <c r="M761" s="8">
        <v>0.31825500726699829</v>
      </c>
      <c r="N761" s="8">
        <f>ProbStrikeFrancis(K761, I761, L761, INDEX('Route Data'!$G$7:$G$8,E761),C761, INDEX('Route Data'!$F$7:$F$8,E761), INDEX('Route Data'!$O$7:$O$8,E761), INDEX('Route Data'!$H$7:$H$18,E761))</f>
        <v>1</v>
      </c>
      <c r="O761" s="5" t="str">
        <f>IF(F761&gt;=1,IF(M761&lt;=N761,"STRIKE","pass"),IF(M761&lt;=INDEX('Route Data'!$R$7:$R$8,E761),"NO PASS","pass"))</f>
        <v>STRIKE</v>
      </c>
      <c r="P761" s="5">
        <f>IF(F761&gt;=1,IF(M761&lt;=N761,1,0),IF(M761&lt;=INDEX('Route Data'!$R$7:$R$8,E761),-1,0))</f>
        <v>1</v>
      </c>
    </row>
    <row r="762" spans="1:16">
      <c r="A762" s="5">
        <v>752</v>
      </c>
      <c r="B762" s="12">
        <v>21.76</v>
      </c>
      <c r="C762" s="12">
        <f t="shared" si="11"/>
        <v>1.81</v>
      </c>
      <c r="D762" s="8">
        <v>0.88146400451660156</v>
      </c>
      <c r="E762" s="5">
        <f>MATCH(D762,'Route Data'!$C$7:$C$8,1)</f>
        <v>2</v>
      </c>
      <c r="F762" s="5">
        <f>INDEX('Route Data'!$D$7:$D$8,E762)</f>
        <v>1</v>
      </c>
      <c r="G762" s="5" t="str">
        <f>INDEX('Route Data'!$A$7:$A$8,E762)</f>
        <v>u18</v>
      </c>
      <c r="H762" s="5">
        <f>EnergyCoeff(INDEX('Route Data'!$K$7:$K$8,E762),INDEX('Route Data'!$L$7:$L$8,E762)*2*PI()/60,INDEX('Route Data'!$F$7:$F$8,E762))</f>
        <v>0.19430699130049439</v>
      </c>
      <c r="I762" s="5">
        <f>DischargeCoeff(INDEX('Route Data'!$I$7:$I$8,E762), INDEX('Route Data'!$L$7:$L$8,E762)*2*PI()/60, INDEX('Route Data'!$F$7:$F$8,E762))</f>
        <v>0.15939200179827354</v>
      </c>
      <c r="J762" s="8">
        <f>FlowAngleRel(INDEX('Route Data'!$J$7:$J$8,E762)*INDEX('Route Data'!$I$7:$I$8,E762), INDEX('Route Data'!$L$7:$L$8,E762)*2*PI()/60, INDEX('Route Data'!$F$7:$F$8,E762),INDEX('Route Data'!$O$7:$O$8,E762), INDEX('Route Data'!$P$7:$P$8,E762),INDEX('Route Data'!$M$7:$M$8,E762))</f>
        <v>1.130811765868994</v>
      </c>
      <c r="K762" s="8">
        <f>FlowAngleAbsT(INDEX('Route Data'!$K$7:$K$8,E762), INDEX('Route Data'!$I$7:$I$8,E762), INDEX('Route Data'!$I$7:$I$8,E762)*INDEX('Route Data'!$J$7:$J$8,E762), INDEX('Route Data'!$L$7:$L$8,E762)*2*PI()/60, INDEX('Route Data'!$F$7:$F$8,E762),INDEX('Route Data'!$O$7:$O$8,E762), INDEX('Route Data'!$P$7:$P$8,E762), INDEX('Route Data'!$H$7:$H$8,E762), INDEX('Route Data'!$Q$7:$Q$8,E762), INDEX('Route Data'!$M$7:$M$8,E762))</f>
        <v>0.51617226640175828</v>
      </c>
      <c r="L762" s="5">
        <f>INDEX('Route Data'!$N$7:$N$8,E762)</f>
        <v>0.4</v>
      </c>
      <c r="M762" s="8">
        <v>0.25157594680786133</v>
      </c>
      <c r="N762" s="8">
        <f>ProbStrikeFrancis(K762, I762, L762, INDEX('Route Data'!$G$7:$G$8,E762),C762, INDEX('Route Data'!$F$7:$F$8,E762), INDEX('Route Data'!$O$7:$O$8,E762), INDEX('Route Data'!$H$7:$H$18,E762))</f>
        <v>1</v>
      </c>
      <c r="O762" s="5" t="str">
        <f>IF(F762&gt;=1,IF(M762&lt;=N762,"STRIKE","pass"),IF(M762&lt;=INDEX('Route Data'!$R$7:$R$8,E762),"NO PASS","pass"))</f>
        <v>STRIKE</v>
      </c>
      <c r="P762" s="5">
        <f>IF(F762&gt;=1,IF(M762&lt;=N762,1,0),IF(M762&lt;=INDEX('Route Data'!$R$7:$R$8,E762),-1,0))</f>
        <v>1</v>
      </c>
    </row>
    <row r="763" spans="1:16">
      <c r="A763" s="5">
        <v>753</v>
      </c>
      <c r="B763" s="12">
        <v>21.64</v>
      </c>
      <c r="C763" s="12">
        <f t="shared" si="11"/>
        <v>1.8</v>
      </c>
      <c r="D763" s="8">
        <v>0.20854014158248901</v>
      </c>
      <c r="E763" s="5">
        <f>MATCH(D763,'Route Data'!$C$7:$C$8,1)</f>
        <v>2</v>
      </c>
      <c r="F763" s="5">
        <f>INDEX('Route Data'!$D$7:$D$8,E763)</f>
        <v>1</v>
      </c>
      <c r="G763" s="5" t="str">
        <f>INDEX('Route Data'!$A$7:$A$8,E763)</f>
        <v>u18</v>
      </c>
      <c r="H763" s="5">
        <f>EnergyCoeff(INDEX('Route Data'!$K$7:$K$8,E763),INDEX('Route Data'!$L$7:$L$8,E763)*2*PI()/60,INDEX('Route Data'!$F$7:$F$8,E763))</f>
        <v>0.19430699130049439</v>
      </c>
      <c r="I763" s="5">
        <f>DischargeCoeff(INDEX('Route Data'!$I$7:$I$8,E763), INDEX('Route Data'!$L$7:$L$8,E763)*2*PI()/60, INDEX('Route Data'!$F$7:$F$8,E763))</f>
        <v>0.15939200179827354</v>
      </c>
      <c r="J763" s="8">
        <f>FlowAngleRel(INDEX('Route Data'!$J$7:$J$8,E763)*INDEX('Route Data'!$I$7:$I$8,E763), INDEX('Route Data'!$L$7:$L$8,E763)*2*PI()/60, INDEX('Route Data'!$F$7:$F$8,E763),INDEX('Route Data'!$O$7:$O$8,E763), INDEX('Route Data'!$P$7:$P$8,E763),INDEX('Route Data'!$M$7:$M$8,E763))</f>
        <v>1.130811765868994</v>
      </c>
      <c r="K763" s="8">
        <f>FlowAngleAbsT(INDEX('Route Data'!$K$7:$K$8,E763), INDEX('Route Data'!$I$7:$I$8,E763), INDEX('Route Data'!$I$7:$I$8,E763)*INDEX('Route Data'!$J$7:$J$8,E763), INDEX('Route Data'!$L$7:$L$8,E763)*2*PI()/60, INDEX('Route Data'!$F$7:$F$8,E763),INDEX('Route Data'!$O$7:$O$8,E763), INDEX('Route Data'!$P$7:$P$8,E763), INDEX('Route Data'!$H$7:$H$8,E763), INDEX('Route Data'!$Q$7:$Q$8,E763), INDEX('Route Data'!$M$7:$M$8,E763))</f>
        <v>0.51617226640175828</v>
      </c>
      <c r="L763" s="5">
        <f>INDEX('Route Data'!$N$7:$N$8,E763)</f>
        <v>0.4</v>
      </c>
      <c r="M763" s="8">
        <v>0.92045468091964722</v>
      </c>
      <c r="N763" s="8">
        <f>ProbStrikeFrancis(K763, I763, L763, INDEX('Route Data'!$G$7:$G$8,E763),C763, INDEX('Route Data'!$F$7:$F$8,E763), INDEX('Route Data'!$O$7:$O$8,E763), INDEX('Route Data'!$H$7:$H$18,E763))</f>
        <v>1</v>
      </c>
      <c r="O763" s="5" t="str">
        <f>IF(F763&gt;=1,IF(M763&lt;=N763,"STRIKE","pass"),IF(M763&lt;=INDEX('Route Data'!$R$7:$R$8,E763),"NO PASS","pass"))</f>
        <v>STRIKE</v>
      </c>
      <c r="P763" s="5">
        <f>IF(F763&gt;=1,IF(M763&lt;=N763,1,0),IF(M763&lt;=INDEX('Route Data'!$R$7:$R$8,E763),-1,0))</f>
        <v>1</v>
      </c>
    </row>
    <row r="764" spans="1:16">
      <c r="A764" s="5">
        <v>754</v>
      </c>
      <c r="B764" s="12">
        <v>24.15</v>
      </c>
      <c r="C764" s="12">
        <f t="shared" si="11"/>
        <v>2.0099999999999998</v>
      </c>
      <c r="D764" s="8">
        <v>0.49289095401763916</v>
      </c>
      <c r="E764" s="5">
        <f>MATCH(D764,'Route Data'!$C$7:$C$8,1)</f>
        <v>2</v>
      </c>
      <c r="F764" s="5">
        <f>INDEX('Route Data'!$D$7:$D$8,E764)</f>
        <v>1</v>
      </c>
      <c r="G764" s="5" t="str">
        <f>INDEX('Route Data'!$A$7:$A$8,E764)</f>
        <v>u18</v>
      </c>
      <c r="H764" s="5">
        <f>EnergyCoeff(INDEX('Route Data'!$K$7:$K$8,E764),INDEX('Route Data'!$L$7:$L$8,E764)*2*PI()/60,INDEX('Route Data'!$F$7:$F$8,E764))</f>
        <v>0.19430699130049439</v>
      </c>
      <c r="I764" s="5">
        <f>DischargeCoeff(INDEX('Route Data'!$I$7:$I$8,E764), INDEX('Route Data'!$L$7:$L$8,E764)*2*PI()/60, INDEX('Route Data'!$F$7:$F$8,E764))</f>
        <v>0.15939200179827354</v>
      </c>
      <c r="J764" s="8">
        <f>FlowAngleRel(INDEX('Route Data'!$J$7:$J$8,E764)*INDEX('Route Data'!$I$7:$I$8,E764), INDEX('Route Data'!$L$7:$L$8,E764)*2*PI()/60, INDEX('Route Data'!$F$7:$F$8,E764),INDEX('Route Data'!$O$7:$O$8,E764), INDEX('Route Data'!$P$7:$P$8,E764),INDEX('Route Data'!$M$7:$M$8,E764))</f>
        <v>1.130811765868994</v>
      </c>
      <c r="K764" s="8">
        <f>FlowAngleAbsT(INDEX('Route Data'!$K$7:$K$8,E764), INDEX('Route Data'!$I$7:$I$8,E764), INDEX('Route Data'!$I$7:$I$8,E764)*INDEX('Route Data'!$J$7:$J$8,E764), INDEX('Route Data'!$L$7:$L$8,E764)*2*PI()/60, INDEX('Route Data'!$F$7:$F$8,E764),INDEX('Route Data'!$O$7:$O$8,E764), INDEX('Route Data'!$P$7:$P$8,E764), INDEX('Route Data'!$H$7:$H$8,E764), INDEX('Route Data'!$Q$7:$Q$8,E764), INDEX('Route Data'!$M$7:$M$8,E764))</f>
        <v>0.51617226640175828</v>
      </c>
      <c r="L764" s="5">
        <f>INDEX('Route Data'!$N$7:$N$8,E764)</f>
        <v>0.4</v>
      </c>
      <c r="M764" s="8">
        <v>0.17939770221710205</v>
      </c>
      <c r="N764" s="8">
        <f>ProbStrikeFrancis(K764, I764, L764, INDEX('Route Data'!$G$7:$G$8,E764),C764, INDEX('Route Data'!$F$7:$F$8,E764), INDEX('Route Data'!$O$7:$O$8,E764), INDEX('Route Data'!$H$7:$H$18,E764))</f>
        <v>1</v>
      </c>
      <c r="O764" s="5" t="str">
        <f>IF(F764&gt;=1,IF(M764&lt;=N764,"STRIKE","pass"),IF(M764&lt;=INDEX('Route Data'!$R$7:$R$8,E764),"NO PASS","pass"))</f>
        <v>STRIKE</v>
      </c>
      <c r="P764" s="5">
        <f>IF(F764&gt;=1,IF(M764&lt;=N764,1,0),IF(M764&lt;=INDEX('Route Data'!$R$7:$R$8,E764),-1,0))</f>
        <v>1</v>
      </c>
    </row>
    <row r="765" spans="1:16">
      <c r="A765" s="5">
        <v>755</v>
      </c>
      <c r="B765" s="12">
        <v>22.54</v>
      </c>
      <c r="C765" s="12">
        <f t="shared" si="11"/>
        <v>1.88</v>
      </c>
      <c r="D765" s="8">
        <v>0.63983851671218872</v>
      </c>
      <c r="E765" s="5">
        <f>MATCH(D765,'Route Data'!$C$7:$C$8,1)</f>
        <v>2</v>
      </c>
      <c r="F765" s="5">
        <f>INDEX('Route Data'!$D$7:$D$8,E765)</f>
        <v>1</v>
      </c>
      <c r="G765" s="5" t="str">
        <f>INDEX('Route Data'!$A$7:$A$8,E765)</f>
        <v>u18</v>
      </c>
      <c r="H765" s="5">
        <f>EnergyCoeff(INDEX('Route Data'!$K$7:$K$8,E765),INDEX('Route Data'!$L$7:$L$8,E765)*2*PI()/60,INDEX('Route Data'!$F$7:$F$8,E765))</f>
        <v>0.19430699130049439</v>
      </c>
      <c r="I765" s="5">
        <f>DischargeCoeff(INDEX('Route Data'!$I$7:$I$8,E765), INDEX('Route Data'!$L$7:$L$8,E765)*2*PI()/60, INDEX('Route Data'!$F$7:$F$8,E765))</f>
        <v>0.15939200179827354</v>
      </c>
      <c r="J765" s="8">
        <f>FlowAngleRel(INDEX('Route Data'!$J$7:$J$8,E765)*INDEX('Route Data'!$I$7:$I$8,E765), INDEX('Route Data'!$L$7:$L$8,E765)*2*PI()/60, INDEX('Route Data'!$F$7:$F$8,E765),INDEX('Route Data'!$O$7:$O$8,E765), INDEX('Route Data'!$P$7:$P$8,E765),INDEX('Route Data'!$M$7:$M$8,E765))</f>
        <v>1.130811765868994</v>
      </c>
      <c r="K765" s="8">
        <f>FlowAngleAbsT(INDEX('Route Data'!$K$7:$K$8,E765), INDEX('Route Data'!$I$7:$I$8,E765), INDEX('Route Data'!$I$7:$I$8,E765)*INDEX('Route Data'!$J$7:$J$8,E765), INDEX('Route Data'!$L$7:$L$8,E765)*2*PI()/60, INDEX('Route Data'!$F$7:$F$8,E765),INDEX('Route Data'!$O$7:$O$8,E765), INDEX('Route Data'!$P$7:$P$8,E765), INDEX('Route Data'!$H$7:$H$8,E765), INDEX('Route Data'!$Q$7:$Q$8,E765), INDEX('Route Data'!$M$7:$M$8,E765))</f>
        <v>0.51617226640175828</v>
      </c>
      <c r="L765" s="5">
        <f>INDEX('Route Data'!$N$7:$N$8,E765)</f>
        <v>0.4</v>
      </c>
      <c r="M765" s="8">
        <v>0.66814786195755005</v>
      </c>
      <c r="N765" s="8">
        <f>ProbStrikeFrancis(K765, I765, L765, INDEX('Route Data'!$G$7:$G$8,E765),C765, INDEX('Route Data'!$F$7:$F$8,E765), INDEX('Route Data'!$O$7:$O$8,E765), INDEX('Route Data'!$H$7:$H$18,E765))</f>
        <v>1</v>
      </c>
      <c r="O765" s="5" t="str">
        <f>IF(F765&gt;=1,IF(M765&lt;=N765,"STRIKE","pass"),IF(M765&lt;=INDEX('Route Data'!$R$7:$R$8,E765),"NO PASS","pass"))</f>
        <v>STRIKE</v>
      </c>
      <c r="P765" s="5">
        <f>IF(F765&gt;=1,IF(M765&lt;=N765,1,0),IF(M765&lt;=INDEX('Route Data'!$R$7:$R$8,E765),-1,0))</f>
        <v>1</v>
      </c>
    </row>
    <row r="766" spans="1:16">
      <c r="A766" s="5">
        <v>756</v>
      </c>
      <c r="B766" s="12">
        <v>22.96</v>
      </c>
      <c r="C766" s="12">
        <f t="shared" si="11"/>
        <v>1.91</v>
      </c>
      <c r="D766" s="8">
        <v>0.66783738136291504</v>
      </c>
      <c r="E766" s="5">
        <f>MATCH(D766,'Route Data'!$C$7:$C$8,1)</f>
        <v>2</v>
      </c>
      <c r="F766" s="5">
        <f>INDEX('Route Data'!$D$7:$D$8,E766)</f>
        <v>1</v>
      </c>
      <c r="G766" s="5" t="str">
        <f>INDEX('Route Data'!$A$7:$A$8,E766)</f>
        <v>u18</v>
      </c>
      <c r="H766" s="5">
        <f>EnergyCoeff(INDEX('Route Data'!$K$7:$K$8,E766),INDEX('Route Data'!$L$7:$L$8,E766)*2*PI()/60,INDEX('Route Data'!$F$7:$F$8,E766))</f>
        <v>0.19430699130049439</v>
      </c>
      <c r="I766" s="5">
        <f>DischargeCoeff(INDEX('Route Data'!$I$7:$I$8,E766), INDEX('Route Data'!$L$7:$L$8,E766)*2*PI()/60, INDEX('Route Data'!$F$7:$F$8,E766))</f>
        <v>0.15939200179827354</v>
      </c>
      <c r="J766" s="8">
        <f>FlowAngleRel(INDEX('Route Data'!$J$7:$J$8,E766)*INDEX('Route Data'!$I$7:$I$8,E766), INDEX('Route Data'!$L$7:$L$8,E766)*2*PI()/60, INDEX('Route Data'!$F$7:$F$8,E766),INDEX('Route Data'!$O$7:$O$8,E766), INDEX('Route Data'!$P$7:$P$8,E766),INDEX('Route Data'!$M$7:$M$8,E766))</f>
        <v>1.130811765868994</v>
      </c>
      <c r="K766" s="8">
        <f>FlowAngleAbsT(INDEX('Route Data'!$K$7:$K$8,E766), INDEX('Route Data'!$I$7:$I$8,E766), INDEX('Route Data'!$I$7:$I$8,E766)*INDEX('Route Data'!$J$7:$J$8,E766), INDEX('Route Data'!$L$7:$L$8,E766)*2*PI()/60, INDEX('Route Data'!$F$7:$F$8,E766),INDEX('Route Data'!$O$7:$O$8,E766), INDEX('Route Data'!$P$7:$P$8,E766), INDEX('Route Data'!$H$7:$H$8,E766), INDEX('Route Data'!$Q$7:$Q$8,E766), INDEX('Route Data'!$M$7:$M$8,E766))</f>
        <v>0.51617226640175828</v>
      </c>
      <c r="L766" s="5">
        <f>INDEX('Route Data'!$N$7:$N$8,E766)</f>
        <v>0.4</v>
      </c>
      <c r="M766" s="8">
        <v>0.67073893547058105</v>
      </c>
      <c r="N766" s="8">
        <f>ProbStrikeFrancis(K766, I766, L766, INDEX('Route Data'!$G$7:$G$8,E766),C766, INDEX('Route Data'!$F$7:$F$8,E766), INDEX('Route Data'!$O$7:$O$8,E766), INDEX('Route Data'!$H$7:$H$18,E766))</f>
        <v>1</v>
      </c>
      <c r="O766" s="5" t="str">
        <f>IF(F766&gt;=1,IF(M766&lt;=N766,"STRIKE","pass"),IF(M766&lt;=INDEX('Route Data'!$R$7:$R$8,E766),"NO PASS","pass"))</f>
        <v>STRIKE</v>
      </c>
      <c r="P766" s="5">
        <f>IF(F766&gt;=1,IF(M766&lt;=N766,1,0),IF(M766&lt;=INDEX('Route Data'!$R$7:$R$8,E766),-1,0))</f>
        <v>1</v>
      </c>
    </row>
    <row r="767" spans="1:16">
      <c r="A767" s="5">
        <v>757</v>
      </c>
      <c r="B767" s="12">
        <v>21.71</v>
      </c>
      <c r="C767" s="12">
        <f t="shared" si="11"/>
        <v>1.81</v>
      </c>
      <c r="D767" s="8">
        <v>0.84942001104354858</v>
      </c>
      <c r="E767" s="5">
        <f>MATCH(D767,'Route Data'!$C$7:$C$8,1)</f>
        <v>2</v>
      </c>
      <c r="F767" s="5">
        <f>INDEX('Route Data'!$D$7:$D$8,E767)</f>
        <v>1</v>
      </c>
      <c r="G767" s="5" t="str">
        <f>INDEX('Route Data'!$A$7:$A$8,E767)</f>
        <v>u18</v>
      </c>
      <c r="H767" s="5">
        <f>EnergyCoeff(INDEX('Route Data'!$K$7:$K$8,E767),INDEX('Route Data'!$L$7:$L$8,E767)*2*PI()/60,INDEX('Route Data'!$F$7:$F$8,E767))</f>
        <v>0.19430699130049439</v>
      </c>
      <c r="I767" s="5">
        <f>DischargeCoeff(INDEX('Route Data'!$I$7:$I$8,E767), INDEX('Route Data'!$L$7:$L$8,E767)*2*PI()/60, INDEX('Route Data'!$F$7:$F$8,E767))</f>
        <v>0.15939200179827354</v>
      </c>
      <c r="J767" s="8">
        <f>FlowAngleRel(INDEX('Route Data'!$J$7:$J$8,E767)*INDEX('Route Data'!$I$7:$I$8,E767), INDEX('Route Data'!$L$7:$L$8,E767)*2*PI()/60, INDEX('Route Data'!$F$7:$F$8,E767),INDEX('Route Data'!$O$7:$O$8,E767), INDEX('Route Data'!$P$7:$P$8,E767),INDEX('Route Data'!$M$7:$M$8,E767))</f>
        <v>1.130811765868994</v>
      </c>
      <c r="K767" s="8">
        <f>FlowAngleAbsT(INDEX('Route Data'!$K$7:$K$8,E767), INDEX('Route Data'!$I$7:$I$8,E767), INDEX('Route Data'!$I$7:$I$8,E767)*INDEX('Route Data'!$J$7:$J$8,E767), INDEX('Route Data'!$L$7:$L$8,E767)*2*PI()/60, INDEX('Route Data'!$F$7:$F$8,E767),INDEX('Route Data'!$O$7:$O$8,E767), INDEX('Route Data'!$P$7:$P$8,E767), INDEX('Route Data'!$H$7:$H$8,E767), INDEX('Route Data'!$Q$7:$Q$8,E767), INDEX('Route Data'!$M$7:$M$8,E767))</f>
        <v>0.51617226640175828</v>
      </c>
      <c r="L767" s="5">
        <f>INDEX('Route Data'!$N$7:$N$8,E767)</f>
        <v>0.4</v>
      </c>
      <c r="M767" s="8">
        <v>0.19412416219711304</v>
      </c>
      <c r="N767" s="8">
        <f>ProbStrikeFrancis(K767, I767, L767, INDEX('Route Data'!$G$7:$G$8,E767),C767, INDEX('Route Data'!$F$7:$F$8,E767), INDEX('Route Data'!$O$7:$O$8,E767), INDEX('Route Data'!$H$7:$H$18,E767))</f>
        <v>1</v>
      </c>
      <c r="O767" s="5" t="str">
        <f>IF(F767&gt;=1,IF(M767&lt;=N767,"STRIKE","pass"),IF(M767&lt;=INDEX('Route Data'!$R$7:$R$8,E767),"NO PASS","pass"))</f>
        <v>STRIKE</v>
      </c>
      <c r="P767" s="5">
        <f>IF(F767&gt;=1,IF(M767&lt;=N767,1,0),IF(M767&lt;=INDEX('Route Data'!$R$7:$R$8,E767),-1,0))</f>
        <v>1</v>
      </c>
    </row>
    <row r="768" spans="1:16">
      <c r="A768" s="5">
        <v>758</v>
      </c>
      <c r="B768" s="12">
        <v>26.24</v>
      </c>
      <c r="C768" s="12">
        <f t="shared" si="11"/>
        <v>2.19</v>
      </c>
      <c r="D768" s="8">
        <v>0.30467212200164795</v>
      </c>
      <c r="E768" s="5">
        <f>MATCH(D768,'Route Data'!$C$7:$C$8,1)</f>
        <v>2</v>
      </c>
      <c r="F768" s="5">
        <f>INDEX('Route Data'!$D$7:$D$8,E768)</f>
        <v>1</v>
      </c>
      <c r="G768" s="5" t="str">
        <f>INDEX('Route Data'!$A$7:$A$8,E768)</f>
        <v>u18</v>
      </c>
      <c r="H768" s="5">
        <f>EnergyCoeff(INDEX('Route Data'!$K$7:$K$8,E768),INDEX('Route Data'!$L$7:$L$8,E768)*2*PI()/60,INDEX('Route Data'!$F$7:$F$8,E768))</f>
        <v>0.19430699130049439</v>
      </c>
      <c r="I768" s="5">
        <f>DischargeCoeff(INDEX('Route Data'!$I$7:$I$8,E768), INDEX('Route Data'!$L$7:$L$8,E768)*2*PI()/60, INDEX('Route Data'!$F$7:$F$8,E768))</f>
        <v>0.15939200179827354</v>
      </c>
      <c r="J768" s="8">
        <f>FlowAngleRel(INDEX('Route Data'!$J$7:$J$8,E768)*INDEX('Route Data'!$I$7:$I$8,E768), INDEX('Route Data'!$L$7:$L$8,E768)*2*PI()/60, INDEX('Route Data'!$F$7:$F$8,E768),INDEX('Route Data'!$O$7:$O$8,E768), INDEX('Route Data'!$P$7:$P$8,E768),INDEX('Route Data'!$M$7:$M$8,E768))</f>
        <v>1.130811765868994</v>
      </c>
      <c r="K768" s="8">
        <f>FlowAngleAbsT(INDEX('Route Data'!$K$7:$K$8,E768), INDEX('Route Data'!$I$7:$I$8,E768), INDEX('Route Data'!$I$7:$I$8,E768)*INDEX('Route Data'!$J$7:$J$8,E768), INDEX('Route Data'!$L$7:$L$8,E768)*2*PI()/60, INDEX('Route Data'!$F$7:$F$8,E768),INDEX('Route Data'!$O$7:$O$8,E768), INDEX('Route Data'!$P$7:$P$8,E768), INDEX('Route Data'!$H$7:$H$8,E768), INDEX('Route Data'!$Q$7:$Q$8,E768), INDEX('Route Data'!$M$7:$M$8,E768))</f>
        <v>0.51617226640175828</v>
      </c>
      <c r="L768" s="5">
        <f>INDEX('Route Data'!$N$7:$N$8,E768)</f>
        <v>0.4</v>
      </c>
      <c r="M768" s="8">
        <v>0.35838925838470459</v>
      </c>
      <c r="N768" s="8">
        <f>ProbStrikeFrancis(K768, I768, L768, INDEX('Route Data'!$G$7:$G$8,E768),C768, INDEX('Route Data'!$F$7:$F$8,E768), INDEX('Route Data'!$O$7:$O$8,E768), INDEX('Route Data'!$H$7:$H$18,E768))</f>
        <v>1</v>
      </c>
      <c r="O768" s="5" t="str">
        <f>IF(F768&gt;=1,IF(M768&lt;=N768,"STRIKE","pass"),IF(M768&lt;=INDEX('Route Data'!$R$7:$R$8,E768),"NO PASS","pass"))</f>
        <v>STRIKE</v>
      </c>
      <c r="P768" s="5">
        <f>IF(F768&gt;=1,IF(M768&lt;=N768,1,0),IF(M768&lt;=INDEX('Route Data'!$R$7:$R$8,E768),-1,0))</f>
        <v>1</v>
      </c>
    </row>
    <row r="769" spans="1:16">
      <c r="A769" s="5">
        <v>759</v>
      </c>
      <c r="B769" s="12">
        <v>22.01</v>
      </c>
      <c r="C769" s="12">
        <f t="shared" si="11"/>
        <v>1.83</v>
      </c>
      <c r="D769" s="8">
        <v>0.20449501276016235</v>
      </c>
      <c r="E769" s="5">
        <f>MATCH(D769,'Route Data'!$C$7:$C$8,1)</f>
        <v>2</v>
      </c>
      <c r="F769" s="5">
        <f>INDEX('Route Data'!$D$7:$D$8,E769)</f>
        <v>1</v>
      </c>
      <c r="G769" s="5" t="str">
        <f>INDEX('Route Data'!$A$7:$A$8,E769)</f>
        <v>u18</v>
      </c>
      <c r="H769" s="5">
        <f>EnergyCoeff(INDEX('Route Data'!$K$7:$K$8,E769),INDEX('Route Data'!$L$7:$L$8,E769)*2*PI()/60,INDEX('Route Data'!$F$7:$F$8,E769))</f>
        <v>0.19430699130049439</v>
      </c>
      <c r="I769" s="5">
        <f>DischargeCoeff(INDEX('Route Data'!$I$7:$I$8,E769), INDEX('Route Data'!$L$7:$L$8,E769)*2*PI()/60, INDEX('Route Data'!$F$7:$F$8,E769))</f>
        <v>0.15939200179827354</v>
      </c>
      <c r="J769" s="8">
        <f>FlowAngleRel(INDEX('Route Data'!$J$7:$J$8,E769)*INDEX('Route Data'!$I$7:$I$8,E769), INDEX('Route Data'!$L$7:$L$8,E769)*2*PI()/60, INDEX('Route Data'!$F$7:$F$8,E769),INDEX('Route Data'!$O$7:$O$8,E769), INDEX('Route Data'!$P$7:$P$8,E769),INDEX('Route Data'!$M$7:$M$8,E769))</f>
        <v>1.130811765868994</v>
      </c>
      <c r="K769" s="8">
        <f>FlowAngleAbsT(INDEX('Route Data'!$K$7:$K$8,E769), INDEX('Route Data'!$I$7:$I$8,E769), INDEX('Route Data'!$I$7:$I$8,E769)*INDEX('Route Data'!$J$7:$J$8,E769), INDEX('Route Data'!$L$7:$L$8,E769)*2*PI()/60, INDEX('Route Data'!$F$7:$F$8,E769),INDEX('Route Data'!$O$7:$O$8,E769), INDEX('Route Data'!$P$7:$P$8,E769), INDEX('Route Data'!$H$7:$H$8,E769), INDEX('Route Data'!$Q$7:$Q$8,E769), INDEX('Route Data'!$M$7:$M$8,E769))</f>
        <v>0.51617226640175828</v>
      </c>
      <c r="L769" s="5">
        <f>INDEX('Route Data'!$N$7:$N$8,E769)</f>
        <v>0.4</v>
      </c>
      <c r="M769" s="8">
        <v>0.60001474618911743</v>
      </c>
      <c r="N769" s="8">
        <f>ProbStrikeFrancis(K769, I769, L769, INDEX('Route Data'!$G$7:$G$8,E769),C769, INDEX('Route Data'!$F$7:$F$8,E769), INDEX('Route Data'!$O$7:$O$8,E769), INDEX('Route Data'!$H$7:$H$18,E769))</f>
        <v>1</v>
      </c>
      <c r="O769" s="5" t="str">
        <f>IF(F769&gt;=1,IF(M769&lt;=N769,"STRIKE","pass"),IF(M769&lt;=INDEX('Route Data'!$R$7:$R$8,E769),"NO PASS","pass"))</f>
        <v>STRIKE</v>
      </c>
      <c r="P769" s="5">
        <f>IF(F769&gt;=1,IF(M769&lt;=N769,1,0),IF(M769&lt;=INDEX('Route Data'!$R$7:$R$8,E769),-1,0))</f>
        <v>1</v>
      </c>
    </row>
    <row r="770" spans="1:16">
      <c r="A770" s="5">
        <v>760</v>
      </c>
      <c r="B770" s="12">
        <v>17.04</v>
      </c>
      <c r="C770" s="12">
        <f t="shared" si="11"/>
        <v>1.42</v>
      </c>
      <c r="D770" s="8">
        <v>0.77060556411743164</v>
      </c>
      <c r="E770" s="5">
        <f>MATCH(D770,'Route Data'!$C$7:$C$8,1)</f>
        <v>2</v>
      </c>
      <c r="F770" s="5">
        <f>INDEX('Route Data'!$D$7:$D$8,E770)</f>
        <v>1</v>
      </c>
      <c r="G770" s="5" t="str">
        <f>INDEX('Route Data'!$A$7:$A$8,E770)</f>
        <v>u18</v>
      </c>
      <c r="H770" s="5">
        <f>EnergyCoeff(INDEX('Route Data'!$K$7:$K$8,E770),INDEX('Route Data'!$L$7:$L$8,E770)*2*PI()/60,INDEX('Route Data'!$F$7:$F$8,E770))</f>
        <v>0.19430699130049439</v>
      </c>
      <c r="I770" s="5">
        <f>DischargeCoeff(INDEX('Route Data'!$I$7:$I$8,E770), INDEX('Route Data'!$L$7:$L$8,E770)*2*PI()/60, INDEX('Route Data'!$F$7:$F$8,E770))</f>
        <v>0.15939200179827354</v>
      </c>
      <c r="J770" s="8">
        <f>FlowAngleRel(INDEX('Route Data'!$J$7:$J$8,E770)*INDEX('Route Data'!$I$7:$I$8,E770), INDEX('Route Data'!$L$7:$L$8,E770)*2*PI()/60, INDEX('Route Data'!$F$7:$F$8,E770),INDEX('Route Data'!$O$7:$O$8,E770), INDEX('Route Data'!$P$7:$P$8,E770),INDEX('Route Data'!$M$7:$M$8,E770))</f>
        <v>1.130811765868994</v>
      </c>
      <c r="K770" s="8">
        <f>FlowAngleAbsT(INDEX('Route Data'!$K$7:$K$8,E770), INDEX('Route Data'!$I$7:$I$8,E770), INDEX('Route Data'!$I$7:$I$8,E770)*INDEX('Route Data'!$J$7:$J$8,E770), INDEX('Route Data'!$L$7:$L$8,E770)*2*PI()/60, INDEX('Route Data'!$F$7:$F$8,E770),INDEX('Route Data'!$O$7:$O$8,E770), INDEX('Route Data'!$P$7:$P$8,E770), INDEX('Route Data'!$H$7:$H$8,E770), INDEX('Route Data'!$Q$7:$Q$8,E770), INDEX('Route Data'!$M$7:$M$8,E770))</f>
        <v>0.51617226640175828</v>
      </c>
      <c r="L770" s="5">
        <f>INDEX('Route Data'!$N$7:$N$8,E770)</f>
        <v>0.4</v>
      </c>
      <c r="M770" s="8">
        <v>0.14071750640869141</v>
      </c>
      <c r="N770" s="8">
        <f>ProbStrikeFrancis(K770, I770, L770, INDEX('Route Data'!$G$7:$G$8,E770),C770, INDEX('Route Data'!$F$7:$F$8,E770), INDEX('Route Data'!$O$7:$O$8,E770), INDEX('Route Data'!$H$7:$H$18,E770))</f>
        <v>1</v>
      </c>
      <c r="O770" s="5" t="str">
        <f>IF(F770&gt;=1,IF(M770&lt;=N770,"STRIKE","pass"),IF(M770&lt;=INDEX('Route Data'!$R$7:$R$8,E770),"NO PASS","pass"))</f>
        <v>STRIKE</v>
      </c>
      <c r="P770" s="5">
        <f>IF(F770&gt;=1,IF(M770&lt;=N770,1,0),IF(M770&lt;=INDEX('Route Data'!$R$7:$R$8,E770),-1,0))</f>
        <v>1</v>
      </c>
    </row>
    <row r="771" spans="1:16">
      <c r="A771" s="5">
        <v>761</v>
      </c>
      <c r="B771" s="12">
        <v>13.39</v>
      </c>
      <c r="C771" s="12">
        <f t="shared" si="11"/>
        <v>1.1200000000000001</v>
      </c>
      <c r="D771" s="8">
        <v>0.80669468641281128</v>
      </c>
      <c r="E771" s="5">
        <f>MATCH(D771,'Route Data'!$C$7:$C$8,1)</f>
        <v>2</v>
      </c>
      <c r="F771" s="5">
        <f>INDEX('Route Data'!$D$7:$D$8,E771)</f>
        <v>1</v>
      </c>
      <c r="G771" s="5" t="str">
        <f>INDEX('Route Data'!$A$7:$A$8,E771)</f>
        <v>u18</v>
      </c>
      <c r="H771" s="5">
        <f>EnergyCoeff(INDEX('Route Data'!$K$7:$K$8,E771),INDEX('Route Data'!$L$7:$L$8,E771)*2*PI()/60,INDEX('Route Data'!$F$7:$F$8,E771))</f>
        <v>0.19430699130049439</v>
      </c>
      <c r="I771" s="5">
        <f>DischargeCoeff(INDEX('Route Data'!$I$7:$I$8,E771), INDEX('Route Data'!$L$7:$L$8,E771)*2*PI()/60, INDEX('Route Data'!$F$7:$F$8,E771))</f>
        <v>0.15939200179827354</v>
      </c>
      <c r="J771" s="8">
        <f>FlowAngleRel(INDEX('Route Data'!$J$7:$J$8,E771)*INDEX('Route Data'!$I$7:$I$8,E771), INDEX('Route Data'!$L$7:$L$8,E771)*2*PI()/60, INDEX('Route Data'!$F$7:$F$8,E771),INDEX('Route Data'!$O$7:$O$8,E771), INDEX('Route Data'!$P$7:$P$8,E771),INDEX('Route Data'!$M$7:$M$8,E771))</f>
        <v>1.130811765868994</v>
      </c>
      <c r="K771" s="8">
        <f>FlowAngleAbsT(INDEX('Route Data'!$K$7:$K$8,E771), INDEX('Route Data'!$I$7:$I$8,E771), INDEX('Route Data'!$I$7:$I$8,E771)*INDEX('Route Data'!$J$7:$J$8,E771), INDEX('Route Data'!$L$7:$L$8,E771)*2*PI()/60, INDEX('Route Data'!$F$7:$F$8,E771),INDEX('Route Data'!$O$7:$O$8,E771), INDEX('Route Data'!$P$7:$P$8,E771), INDEX('Route Data'!$H$7:$H$8,E771), INDEX('Route Data'!$Q$7:$Q$8,E771), INDEX('Route Data'!$M$7:$M$8,E771))</f>
        <v>0.51617226640175828</v>
      </c>
      <c r="L771" s="5">
        <f>INDEX('Route Data'!$N$7:$N$8,E771)</f>
        <v>0.4</v>
      </c>
      <c r="M771" s="8">
        <v>0.51860922574996948</v>
      </c>
      <c r="N771" s="8">
        <f>ProbStrikeFrancis(K771, I771, L771, INDEX('Route Data'!$G$7:$G$8,E771),C771, INDEX('Route Data'!$F$7:$F$8,E771), INDEX('Route Data'!$O$7:$O$8,E771), INDEX('Route Data'!$H$7:$H$18,E771))</f>
        <v>0.9145584651753994</v>
      </c>
      <c r="O771" s="5" t="str">
        <f>IF(F771&gt;=1,IF(M771&lt;=N771,"STRIKE","pass"),IF(M771&lt;=INDEX('Route Data'!$R$7:$R$8,E771),"NO PASS","pass"))</f>
        <v>STRIKE</v>
      </c>
      <c r="P771" s="5">
        <f>IF(F771&gt;=1,IF(M771&lt;=N771,1,0),IF(M771&lt;=INDEX('Route Data'!$R$7:$R$8,E771),-1,0))</f>
        <v>1</v>
      </c>
    </row>
    <row r="772" spans="1:16">
      <c r="A772" s="5">
        <v>762</v>
      </c>
      <c r="B772" s="12">
        <v>23.62</v>
      </c>
      <c r="C772" s="12">
        <f t="shared" si="11"/>
        <v>1.97</v>
      </c>
      <c r="D772" s="8">
        <v>0.43284809589385986</v>
      </c>
      <c r="E772" s="5">
        <f>MATCH(D772,'Route Data'!$C$7:$C$8,1)</f>
        <v>2</v>
      </c>
      <c r="F772" s="5">
        <f>INDEX('Route Data'!$D$7:$D$8,E772)</f>
        <v>1</v>
      </c>
      <c r="G772" s="5" t="str">
        <f>INDEX('Route Data'!$A$7:$A$8,E772)</f>
        <v>u18</v>
      </c>
      <c r="H772" s="5">
        <f>EnergyCoeff(INDEX('Route Data'!$K$7:$K$8,E772),INDEX('Route Data'!$L$7:$L$8,E772)*2*PI()/60,INDEX('Route Data'!$F$7:$F$8,E772))</f>
        <v>0.19430699130049439</v>
      </c>
      <c r="I772" s="5">
        <f>DischargeCoeff(INDEX('Route Data'!$I$7:$I$8,E772), INDEX('Route Data'!$L$7:$L$8,E772)*2*PI()/60, INDEX('Route Data'!$F$7:$F$8,E772))</f>
        <v>0.15939200179827354</v>
      </c>
      <c r="J772" s="8">
        <f>FlowAngleRel(INDEX('Route Data'!$J$7:$J$8,E772)*INDEX('Route Data'!$I$7:$I$8,E772), INDEX('Route Data'!$L$7:$L$8,E772)*2*PI()/60, INDEX('Route Data'!$F$7:$F$8,E772),INDEX('Route Data'!$O$7:$O$8,E772), INDEX('Route Data'!$P$7:$P$8,E772),INDEX('Route Data'!$M$7:$M$8,E772))</f>
        <v>1.130811765868994</v>
      </c>
      <c r="K772" s="8">
        <f>FlowAngleAbsT(INDEX('Route Data'!$K$7:$K$8,E772), INDEX('Route Data'!$I$7:$I$8,E772), INDEX('Route Data'!$I$7:$I$8,E772)*INDEX('Route Data'!$J$7:$J$8,E772), INDEX('Route Data'!$L$7:$L$8,E772)*2*PI()/60, INDEX('Route Data'!$F$7:$F$8,E772),INDEX('Route Data'!$O$7:$O$8,E772), INDEX('Route Data'!$P$7:$P$8,E772), INDEX('Route Data'!$H$7:$H$8,E772), INDEX('Route Data'!$Q$7:$Q$8,E772), INDEX('Route Data'!$M$7:$M$8,E772))</f>
        <v>0.51617226640175828</v>
      </c>
      <c r="L772" s="5">
        <f>INDEX('Route Data'!$N$7:$N$8,E772)</f>
        <v>0.4</v>
      </c>
      <c r="M772" s="8">
        <v>0.11935484409332275</v>
      </c>
      <c r="N772" s="8">
        <f>ProbStrikeFrancis(K772, I772, L772, INDEX('Route Data'!$G$7:$G$8,E772),C772, INDEX('Route Data'!$F$7:$F$8,E772), INDEX('Route Data'!$O$7:$O$8,E772), INDEX('Route Data'!$H$7:$H$18,E772))</f>
        <v>1</v>
      </c>
      <c r="O772" s="5" t="str">
        <f>IF(F772&gt;=1,IF(M772&lt;=N772,"STRIKE","pass"),IF(M772&lt;=INDEX('Route Data'!$R$7:$R$8,E772),"NO PASS","pass"))</f>
        <v>STRIKE</v>
      </c>
      <c r="P772" s="5">
        <f>IF(F772&gt;=1,IF(M772&lt;=N772,1,0),IF(M772&lt;=INDEX('Route Data'!$R$7:$R$8,E772),-1,0))</f>
        <v>1</v>
      </c>
    </row>
    <row r="773" spans="1:16">
      <c r="A773" s="5">
        <v>763</v>
      </c>
      <c r="B773" s="12">
        <v>21.88</v>
      </c>
      <c r="C773" s="12">
        <f t="shared" si="11"/>
        <v>1.82</v>
      </c>
      <c r="D773" s="8">
        <v>0.55438786745071411</v>
      </c>
      <c r="E773" s="5">
        <f>MATCH(D773,'Route Data'!$C$7:$C$8,1)</f>
        <v>2</v>
      </c>
      <c r="F773" s="5">
        <f>INDEX('Route Data'!$D$7:$D$8,E773)</f>
        <v>1</v>
      </c>
      <c r="G773" s="5" t="str">
        <f>INDEX('Route Data'!$A$7:$A$8,E773)</f>
        <v>u18</v>
      </c>
      <c r="H773" s="5">
        <f>EnergyCoeff(INDEX('Route Data'!$K$7:$K$8,E773),INDEX('Route Data'!$L$7:$L$8,E773)*2*PI()/60,INDEX('Route Data'!$F$7:$F$8,E773))</f>
        <v>0.19430699130049439</v>
      </c>
      <c r="I773" s="5">
        <f>DischargeCoeff(INDEX('Route Data'!$I$7:$I$8,E773), INDEX('Route Data'!$L$7:$L$8,E773)*2*PI()/60, INDEX('Route Data'!$F$7:$F$8,E773))</f>
        <v>0.15939200179827354</v>
      </c>
      <c r="J773" s="8">
        <f>FlowAngleRel(INDEX('Route Data'!$J$7:$J$8,E773)*INDEX('Route Data'!$I$7:$I$8,E773), INDEX('Route Data'!$L$7:$L$8,E773)*2*PI()/60, INDEX('Route Data'!$F$7:$F$8,E773),INDEX('Route Data'!$O$7:$O$8,E773), INDEX('Route Data'!$P$7:$P$8,E773),INDEX('Route Data'!$M$7:$M$8,E773))</f>
        <v>1.130811765868994</v>
      </c>
      <c r="K773" s="8">
        <f>FlowAngleAbsT(INDEX('Route Data'!$K$7:$K$8,E773), INDEX('Route Data'!$I$7:$I$8,E773), INDEX('Route Data'!$I$7:$I$8,E773)*INDEX('Route Data'!$J$7:$J$8,E773), INDEX('Route Data'!$L$7:$L$8,E773)*2*PI()/60, INDEX('Route Data'!$F$7:$F$8,E773),INDEX('Route Data'!$O$7:$O$8,E773), INDEX('Route Data'!$P$7:$P$8,E773), INDEX('Route Data'!$H$7:$H$8,E773), INDEX('Route Data'!$Q$7:$Q$8,E773), INDEX('Route Data'!$M$7:$M$8,E773))</f>
        <v>0.51617226640175828</v>
      </c>
      <c r="L773" s="5">
        <f>INDEX('Route Data'!$N$7:$N$8,E773)</f>
        <v>0.4</v>
      </c>
      <c r="M773" s="8">
        <v>0.58269721269607544</v>
      </c>
      <c r="N773" s="8">
        <f>ProbStrikeFrancis(K773, I773, L773, INDEX('Route Data'!$G$7:$G$8,E773),C773, INDEX('Route Data'!$F$7:$F$8,E773), INDEX('Route Data'!$O$7:$O$8,E773), INDEX('Route Data'!$H$7:$H$18,E773))</f>
        <v>1</v>
      </c>
      <c r="O773" s="5" t="str">
        <f>IF(F773&gt;=1,IF(M773&lt;=N773,"STRIKE","pass"),IF(M773&lt;=INDEX('Route Data'!$R$7:$R$8,E773),"NO PASS","pass"))</f>
        <v>STRIKE</v>
      </c>
      <c r="P773" s="5">
        <f>IF(F773&gt;=1,IF(M773&lt;=N773,1,0),IF(M773&lt;=INDEX('Route Data'!$R$7:$R$8,E773),-1,0))</f>
        <v>1</v>
      </c>
    </row>
    <row r="774" spans="1:16">
      <c r="A774" s="5">
        <v>764</v>
      </c>
      <c r="B774" s="12">
        <v>25.34</v>
      </c>
      <c r="C774" s="12">
        <f t="shared" si="11"/>
        <v>2.11</v>
      </c>
      <c r="D774" s="8">
        <v>0.92418932914733887</v>
      </c>
      <c r="E774" s="5">
        <f>MATCH(D774,'Route Data'!$C$7:$C$8,1)</f>
        <v>2</v>
      </c>
      <c r="F774" s="5">
        <f>INDEX('Route Data'!$D$7:$D$8,E774)</f>
        <v>1</v>
      </c>
      <c r="G774" s="5" t="str">
        <f>INDEX('Route Data'!$A$7:$A$8,E774)</f>
        <v>u18</v>
      </c>
      <c r="H774" s="5">
        <f>EnergyCoeff(INDEX('Route Data'!$K$7:$K$8,E774),INDEX('Route Data'!$L$7:$L$8,E774)*2*PI()/60,INDEX('Route Data'!$F$7:$F$8,E774))</f>
        <v>0.19430699130049439</v>
      </c>
      <c r="I774" s="5">
        <f>DischargeCoeff(INDEX('Route Data'!$I$7:$I$8,E774), INDEX('Route Data'!$L$7:$L$8,E774)*2*PI()/60, INDEX('Route Data'!$F$7:$F$8,E774))</f>
        <v>0.15939200179827354</v>
      </c>
      <c r="J774" s="8">
        <f>FlowAngleRel(INDEX('Route Data'!$J$7:$J$8,E774)*INDEX('Route Data'!$I$7:$I$8,E774), INDEX('Route Data'!$L$7:$L$8,E774)*2*PI()/60, INDEX('Route Data'!$F$7:$F$8,E774),INDEX('Route Data'!$O$7:$O$8,E774), INDEX('Route Data'!$P$7:$P$8,E774),INDEX('Route Data'!$M$7:$M$8,E774))</f>
        <v>1.130811765868994</v>
      </c>
      <c r="K774" s="8">
        <f>FlowAngleAbsT(INDEX('Route Data'!$K$7:$K$8,E774), INDEX('Route Data'!$I$7:$I$8,E774), INDEX('Route Data'!$I$7:$I$8,E774)*INDEX('Route Data'!$J$7:$J$8,E774), INDEX('Route Data'!$L$7:$L$8,E774)*2*PI()/60, INDEX('Route Data'!$F$7:$F$8,E774),INDEX('Route Data'!$O$7:$O$8,E774), INDEX('Route Data'!$P$7:$P$8,E774), INDEX('Route Data'!$H$7:$H$8,E774), INDEX('Route Data'!$Q$7:$Q$8,E774), INDEX('Route Data'!$M$7:$M$8,E774))</f>
        <v>0.51617226640175828</v>
      </c>
      <c r="L774" s="5">
        <f>INDEX('Route Data'!$N$7:$N$8,E774)</f>
        <v>0.4</v>
      </c>
      <c r="M774" s="8">
        <v>0.92709088325500488</v>
      </c>
      <c r="N774" s="8">
        <f>ProbStrikeFrancis(K774, I774, L774, INDEX('Route Data'!$G$7:$G$8,E774),C774, INDEX('Route Data'!$F$7:$F$8,E774), INDEX('Route Data'!$O$7:$O$8,E774), INDEX('Route Data'!$H$7:$H$18,E774))</f>
        <v>1</v>
      </c>
      <c r="O774" s="5" t="str">
        <f>IF(F774&gt;=1,IF(M774&lt;=N774,"STRIKE","pass"),IF(M774&lt;=INDEX('Route Data'!$R$7:$R$8,E774),"NO PASS","pass"))</f>
        <v>STRIKE</v>
      </c>
      <c r="P774" s="5">
        <f>IF(F774&gt;=1,IF(M774&lt;=N774,1,0),IF(M774&lt;=INDEX('Route Data'!$R$7:$R$8,E774),-1,0))</f>
        <v>1</v>
      </c>
    </row>
    <row r="775" spans="1:16">
      <c r="A775" s="5">
        <v>765</v>
      </c>
      <c r="B775" s="12">
        <v>23.53</v>
      </c>
      <c r="C775" s="12">
        <f t="shared" si="11"/>
        <v>1.96</v>
      </c>
      <c r="D775" s="8">
        <v>8.03641676902771E-2</v>
      </c>
      <c r="E775" s="5">
        <f>MATCH(D775,'Route Data'!$C$7:$C$8,1)</f>
        <v>2</v>
      </c>
      <c r="F775" s="5">
        <f>INDEX('Route Data'!$D$7:$D$8,E775)</f>
        <v>1</v>
      </c>
      <c r="G775" s="5" t="str">
        <f>INDEX('Route Data'!$A$7:$A$8,E775)</f>
        <v>u18</v>
      </c>
      <c r="H775" s="5">
        <f>EnergyCoeff(INDEX('Route Data'!$K$7:$K$8,E775),INDEX('Route Data'!$L$7:$L$8,E775)*2*PI()/60,INDEX('Route Data'!$F$7:$F$8,E775))</f>
        <v>0.19430699130049439</v>
      </c>
      <c r="I775" s="5">
        <f>DischargeCoeff(INDEX('Route Data'!$I$7:$I$8,E775), INDEX('Route Data'!$L$7:$L$8,E775)*2*PI()/60, INDEX('Route Data'!$F$7:$F$8,E775))</f>
        <v>0.15939200179827354</v>
      </c>
      <c r="J775" s="8">
        <f>FlowAngleRel(INDEX('Route Data'!$J$7:$J$8,E775)*INDEX('Route Data'!$I$7:$I$8,E775), INDEX('Route Data'!$L$7:$L$8,E775)*2*PI()/60, INDEX('Route Data'!$F$7:$F$8,E775),INDEX('Route Data'!$O$7:$O$8,E775), INDEX('Route Data'!$P$7:$P$8,E775),INDEX('Route Data'!$M$7:$M$8,E775))</f>
        <v>1.130811765868994</v>
      </c>
      <c r="K775" s="8">
        <f>FlowAngleAbsT(INDEX('Route Data'!$K$7:$K$8,E775), INDEX('Route Data'!$I$7:$I$8,E775), INDEX('Route Data'!$I$7:$I$8,E775)*INDEX('Route Data'!$J$7:$J$8,E775), INDEX('Route Data'!$L$7:$L$8,E775)*2*PI()/60, INDEX('Route Data'!$F$7:$F$8,E775),INDEX('Route Data'!$O$7:$O$8,E775), INDEX('Route Data'!$P$7:$P$8,E775), INDEX('Route Data'!$H$7:$H$8,E775), INDEX('Route Data'!$Q$7:$Q$8,E775), INDEX('Route Data'!$M$7:$M$8,E775))</f>
        <v>0.51617226640175828</v>
      </c>
      <c r="L775" s="5">
        <f>INDEX('Route Data'!$N$7:$N$8,E775)</f>
        <v>0.4</v>
      </c>
      <c r="M775" s="8">
        <v>0.42506831884384155</v>
      </c>
      <c r="N775" s="8">
        <f>ProbStrikeFrancis(K775, I775, L775, INDEX('Route Data'!$G$7:$G$8,E775),C775, INDEX('Route Data'!$F$7:$F$8,E775), INDEX('Route Data'!$O$7:$O$8,E775), INDEX('Route Data'!$H$7:$H$18,E775))</f>
        <v>1</v>
      </c>
      <c r="O775" s="5" t="str">
        <f>IF(F775&gt;=1,IF(M775&lt;=N775,"STRIKE","pass"),IF(M775&lt;=INDEX('Route Data'!$R$7:$R$8,E775),"NO PASS","pass"))</f>
        <v>STRIKE</v>
      </c>
      <c r="P775" s="5">
        <f>IF(F775&gt;=1,IF(M775&lt;=N775,1,0),IF(M775&lt;=INDEX('Route Data'!$R$7:$R$8,E775),-1,0))</f>
        <v>1</v>
      </c>
    </row>
    <row r="776" spans="1:16">
      <c r="A776" s="5">
        <v>766</v>
      </c>
      <c r="B776" s="12">
        <v>22.13</v>
      </c>
      <c r="C776" s="12">
        <f t="shared" si="11"/>
        <v>1.84</v>
      </c>
      <c r="D776" s="8">
        <v>0.8774188756942749</v>
      </c>
      <c r="E776" s="5">
        <f>MATCH(D776,'Route Data'!$C$7:$C$8,1)</f>
        <v>2</v>
      </c>
      <c r="F776" s="5">
        <f>INDEX('Route Data'!$D$7:$D$8,E776)</f>
        <v>1</v>
      </c>
      <c r="G776" s="5" t="str">
        <f>INDEX('Route Data'!$A$7:$A$8,E776)</f>
        <v>u18</v>
      </c>
      <c r="H776" s="5">
        <f>EnergyCoeff(INDEX('Route Data'!$K$7:$K$8,E776),INDEX('Route Data'!$L$7:$L$8,E776)*2*PI()/60,INDEX('Route Data'!$F$7:$F$8,E776))</f>
        <v>0.19430699130049439</v>
      </c>
      <c r="I776" s="5">
        <f>DischargeCoeff(INDEX('Route Data'!$I$7:$I$8,E776), INDEX('Route Data'!$L$7:$L$8,E776)*2*PI()/60, INDEX('Route Data'!$F$7:$F$8,E776))</f>
        <v>0.15939200179827354</v>
      </c>
      <c r="J776" s="8">
        <f>FlowAngleRel(INDEX('Route Data'!$J$7:$J$8,E776)*INDEX('Route Data'!$I$7:$I$8,E776), INDEX('Route Data'!$L$7:$L$8,E776)*2*PI()/60, INDEX('Route Data'!$F$7:$F$8,E776),INDEX('Route Data'!$O$7:$O$8,E776), INDEX('Route Data'!$P$7:$P$8,E776),INDEX('Route Data'!$M$7:$M$8,E776))</f>
        <v>1.130811765868994</v>
      </c>
      <c r="K776" s="8">
        <f>FlowAngleAbsT(INDEX('Route Data'!$K$7:$K$8,E776), INDEX('Route Data'!$I$7:$I$8,E776), INDEX('Route Data'!$I$7:$I$8,E776)*INDEX('Route Data'!$J$7:$J$8,E776), INDEX('Route Data'!$L$7:$L$8,E776)*2*PI()/60, INDEX('Route Data'!$F$7:$F$8,E776),INDEX('Route Data'!$O$7:$O$8,E776), INDEX('Route Data'!$P$7:$P$8,E776), INDEX('Route Data'!$H$7:$H$8,E776), INDEX('Route Data'!$Q$7:$Q$8,E776), INDEX('Route Data'!$M$7:$M$8,E776))</f>
        <v>0.51617226640175828</v>
      </c>
      <c r="L776" s="5">
        <f>INDEX('Route Data'!$N$7:$N$8,E776)</f>
        <v>0.4</v>
      </c>
      <c r="M776" s="8">
        <v>0.93113601207733154</v>
      </c>
      <c r="N776" s="8">
        <f>ProbStrikeFrancis(K776, I776, L776, INDEX('Route Data'!$G$7:$G$8,E776),C776, INDEX('Route Data'!$F$7:$F$8,E776), INDEX('Route Data'!$O$7:$O$8,E776), INDEX('Route Data'!$H$7:$H$18,E776))</f>
        <v>1</v>
      </c>
      <c r="O776" s="5" t="str">
        <f>IF(F776&gt;=1,IF(M776&lt;=N776,"STRIKE","pass"),IF(M776&lt;=INDEX('Route Data'!$R$7:$R$8,E776),"NO PASS","pass"))</f>
        <v>STRIKE</v>
      </c>
      <c r="P776" s="5">
        <f>IF(F776&gt;=1,IF(M776&lt;=N776,1,0),IF(M776&lt;=INDEX('Route Data'!$R$7:$R$8,E776),-1,0))</f>
        <v>1</v>
      </c>
    </row>
    <row r="777" spans="1:16">
      <c r="A777" s="5">
        <v>767</v>
      </c>
      <c r="B777" s="12">
        <v>24.32</v>
      </c>
      <c r="C777" s="12">
        <f t="shared" si="11"/>
        <v>2.0299999999999998</v>
      </c>
      <c r="D777" s="8">
        <v>0.48625475168228149</v>
      </c>
      <c r="E777" s="5">
        <f>MATCH(D777,'Route Data'!$C$7:$C$8,1)</f>
        <v>2</v>
      </c>
      <c r="F777" s="5">
        <f>INDEX('Route Data'!$D$7:$D$8,E777)</f>
        <v>1</v>
      </c>
      <c r="G777" s="5" t="str">
        <f>INDEX('Route Data'!$A$7:$A$8,E777)</f>
        <v>u18</v>
      </c>
      <c r="H777" s="5">
        <f>EnergyCoeff(INDEX('Route Data'!$K$7:$K$8,E777),INDEX('Route Data'!$L$7:$L$8,E777)*2*PI()/60,INDEX('Route Data'!$F$7:$F$8,E777))</f>
        <v>0.19430699130049439</v>
      </c>
      <c r="I777" s="5">
        <f>DischargeCoeff(INDEX('Route Data'!$I$7:$I$8,E777), INDEX('Route Data'!$L$7:$L$8,E777)*2*PI()/60, INDEX('Route Data'!$F$7:$F$8,E777))</f>
        <v>0.15939200179827354</v>
      </c>
      <c r="J777" s="8">
        <f>FlowAngleRel(INDEX('Route Data'!$J$7:$J$8,E777)*INDEX('Route Data'!$I$7:$I$8,E777), INDEX('Route Data'!$L$7:$L$8,E777)*2*PI()/60, INDEX('Route Data'!$F$7:$F$8,E777),INDEX('Route Data'!$O$7:$O$8,E777), INDEX('Route Data'!$P$7:$P$8,E777),INDEX('Route Data'!$M$7:$M$8,E777))</f>
        <v>1.130811765868994</v>
      </c>
      <c r="K777" s="8">
        <f>FlowAngleAbsT(INDEX('Route Data'!$K$7:$K$8,E777), INDEX('Route Data'!$I$7:$I$8,E777), INDEX('Route Data'!$I$7:$I$8,E777)*INDEX('Route Data'!$J$7:$J$8,E777), INDEX('Route Data'!$L$7:$L$8,E777)*2*PI()/60, INDEX('Route Data'!$F$7:$F$8,E777),INDEX('Route Data'!$O$7:$O$8,E777), INDEX('Route Data'!$P$7:$P$8,E777), INDEX('Route Data'!$H$7:$H$8,E777), INDEX('Route Data'!$Q$7:$Q$8,E777), INDEX('Route Data'!$M$7:$M$8,E777))</f>
        <v>0.51617226640175828</v>
      </c>
      <c r="L777" s="5">
        <f>INDEX('Route Data'!$N$7:$N$8,E777)</f>
        <v>0.4</v>
      </c>
      <c r="M777" s="8">
        <v>0.14735370874404907</v>
      </c>
      <c r="N777" s="8">
        <f>ProbStrikeFrancis(K777, I777, L777, INDEX('Route Data'!$G$7:$G$8,E777),C777, INDEX('Route Data'!$F$7:$F$8,E777), INDEX('Route Data'!$O$7:$O$8,E777), INDEX('Route Data'!$H$7:$H$18,E777))</f>
        <v>1</v>
      </c>
      <c r="O777" s="5" t="str">
        <f>IF(F777&gt;=1,IF(M777&lt;=N777,"STRIKE","pass"),IF(M777&lt;=INDEX('Route Data'!$R$7:$R$8,E777),"NO PASS","pass"))</f>
        <v>STRIKE</v>
      </c>
      <c r="P777" s="5">
        <f>IF(F777&gt;=1,IF(M777&lt;=N777,1,0),IF(M777&lt;=INDEX('Route Data'!$R$7:$R$8,E777),-1,0))</f>
        <v>1</v>
      </c>
    </row>
    <row r="778" spans="1:16">
      <c r="A778" s="5">
        <v>768</v>
      </c>
      <c r="B778" s="12">
        <v>27</v>
      </c>
      <c r="C778" s="12">
        <f t="shared" si="11"/>
        <v>2.25</v>
      </c>
      <c r="D778" s="8">
        <v>0.39416790008544922</v>
      </c>
      <c r="E778" s="5">
        <f>MATCH(D778,'Route Data'!$C$7:$C$8,1)</f>
        <v>2</v>
      </c>
      <c r="F778" s="5">
        <f>INDEX('Route Data'!$D$7:$D$8,E778)</f>
        <v>1</v>
      </c>
      <c r="G778" s="5" t="str">
        <f>INDEX('Route Data'!$A$7:$A$8,E778)</f>
        <v>u18</v>
      </c>
      <c r="H778" s="5">
        <f>EnergyCoeff(INDEX('Route Data'!$K$7:$K$8,E778),INDEX('Route Data'!$L$7:$L$8,E778)*2*PI()/60,INDEX('Route Data'!$F$7:$F$8,E778))</f>
        <v>0.19430699130049439</v>
      </c>
      <c r="I778" s="5">
        <f>DischargeCoeff(INDEX('Route Data'!$I$7:$I$8,E778), INDEX('Route Data'!$L$7:$L$8,E778)*2*PI()/60, INDEX('Route Data'!$F$7:$F$8,E778))</f>
        <v>0.15939200179827354</v>
      </c>
      <c r="J778" s="8">
        <f>FlowAngleRel(INDEX('Route Data'!$J$7:$J$8,E778)*INDEX('Route Data'!$I$7:$I$8,E778), INDEX('Route Data'!$L$7:$L$8,E778)*2*PI()/60, INDEX('Route Data'!$F$7:$F$8,E778),INDEX('Route Data'!$O$7:$O$8,E778), INDEX('Route Data'!$P$7:$P$8,E778),INDEX('Route Data'!$M$7:$M$8,E778))</f>
        <v>1.130811765868994</v>
      </c>
      <c r="K778" s="8">
        <f>FlowAngleAbsT(INDEX('Route Data'!$K$7:$K$8,E778), INDEX('Route Data'!$I$7:$I$8,E778), INDEX('Route Data'!$I$7:$I$8,E778)*INDEX('Route Data'!$J$7:$J$8,E778), INDEX('Route Data'!$L$7:$L$8,E778)*2*PI()/60, INDEX('Route Data'!$F$7:$F$8,E778),INDEX('Route Data'!$O$7:$O$8,E778), INDEX('Route Data'!$P$7:$P$8,E778), INDEX('Route Data'!$H$7:$H$8,E778), INDEX('Route Data'!$Q$7:$Q$8,E778), INDEX('Route Data'!$M$7:$M$8,E778))</f>
        <v>0.51617226640175828</v>
      </c>
      <c r="L778" s="5">
        <f>INDEX('Route Data'!$N$7:$N$8,E778)</f>
        <v>0.4</v>
      </c>
      <c r="M778" s="8">
        <v>2.9859066009521484E-2</v>
      </c>
      <c r="N778" s="8">
        <f>ProbStrikeFrancis(K778, I778, L778, INDEX('Route Data'!$G$7:$G$8,E778),C778, INDEX('Route Data'!$F$7:$F$8,E778), INDEX('Route Data'!$O$7:$O$8,E778), INDEX('Route Data'!$H$7:$H$18,E778))</f>
        <v>1</v>
      </c>
      <c r="O778" s="5" t="str">
        <f>IF(F778&gt;=1,IF(M778&lt;=N778,"STRIKE","pass"),IF(M778&lt;=INDEX('Route Data'!$R$7:$R$8,E778),"NO PASS","pass"))</f>
        <v>STRIKE</v>
      </c>
      <c r="P778" s="5">
        <f>IF(F778&gt;=1,IF(M778&lt;=N778,1,0),IF(M778&lt;=INDEX('Route Data'!$R$7:$R$8,E778),-1,0))</f>
        <v>1</v>
      </c>
    </row>
    <row r="779" spans="1:16">
      <c r="A779" s="5">
        <v>769</v>
      </c>
      <c r="B779" s="12">
        <v>23.19</v>
      </c>
      <c r="C779" s="12">
        <f t="shared" ref="C779:C842" si="12">ROUND(B779/12,2)</f>
        <v>1.93</v>
      </c>
      <c r="D779" s="8">
        <v>0.40484923124313354</v>
      </c>
      <c r="E779" s="5">
        <f>MATCH(D779,'Route Data'!$C$7:$C$8,1)</f>
        <v>2</v>
      </c>
      <c r="F779" s="5">
        <f>INDEX('Route Data'!$D$7:$D$8,E779)</f>
        <v>1</v>
      </c>
      <c r="G779" s="5" t="str">
        <f>INDEX('Route Data'!$A$7:$A$8,E779)</f>
        <v>u18</v>
      </c>
      <c r="H779" s="5">
        <f>EnergyCoeff(INDEX('Route Data'!$K$7:$K$8,E779),INDEX('Route Data'!$L$7:$L$8,E779)*2*PI()/60,INDEX('Route Data'!$F$7:$F$8,E779))</f>
        <v>0.19430699130049439</v>
      </c>
      <c r="I779" s="5">
        <f>DischargeCoeff(INDEX('Route Data'!$I$7:$I$8,E779), INDEX('Route Data'!$L$7:$L$8,E779)*2*PI()/60, INDEX('Route Data'!$F$7:$F$8,E779))</f>
        <v>0.15939200179827354</v>
      </c>
      <c r="J779" s="8">
        <f>FlowAngleRel(INDEX('Route Data'!$J$7:$J$8,E779)*INDEX('Route Data'!$I$7:$I$8,E779), INDEX('Route Data'!$L$7:$L$8,E779)*2*PI()/60, INDEX('Route Data'!$F$7:$F$8,E779),INDEX('Route Data'!$O$7:$O$8,E779), INDEX('Route Data'!$P$7:$P$8,E779),INDEX('Route Data'!$M$7:$M$8,E779))</f>
        <v>1.130811765868994</v>
      </c>
      <c r="K779" s="8">
        <f>FlowAngleAbsT(INDEX('Route Data'!$K$7:$K$8,E779), INDEX('Route Data'!$I$7:$I$8,E779), INDEX('Route Data'!$I$7:$I$8,E779)*INDEX('Route Data'!$J$7:$J$8,E779), INDEX('Route Data'!$L$7:$L$8,E779)*2*PI()/60, INDEX('Route Data'!$F$7:$F$8,E779),INDEX('Route Data'!$O$7:$O$8,E779), INDEX('Route Data'!$P$7:$P$8,E779), INDEX('Route Data'!$H$7:$H$8,E779), INDEX('Route Data'!$Q$7:$Q$8,E779), INDEX('Route Data'!$M$7:$M$8,E779))</f>
        <v>0.51617226640175828</v>
      </c>
      <c r="L779" s="5">
        <f>INDEX('Route Data'!$N$7:$N$8,E779)</f>
        <v>0.4</v>
      </c>
      <c r="M779" s="8">
        <v>0.38234299421310425</v>
      </c>
      <c r="N779" s="8">
        <f>ProbStrikeFrancis(K779, I779, L779, INDEX('Route Data'!$G$7:$G$8,E779),C779, INDEX('Route Data'!$F$7:$F$8,E779), INDEX('Route Data'!$O$7:$O$8,E779), INDEX('Route Data'!$H$7:$H$18,E779))</f>
        <v>1</v>
      </c>
      <c r="O779" s="5" t="str">
        <f>IF(F779&gt;=1,IF(M779&lt;=N779,"STRIKE","pass"),IF(M779&lt;=INDEX('Route Data'!$R$7:$R$8,E779),"NO PASS","pass"))</f>
        <v>STRIKE</v>
      </c>
      <c r="P779" s="5">
        <f>IF(F779&gt;=1,IF(M779&lt;=N779,1,0),IF(M779&lt;=INDEX('Route Data'!$R$7:$R$8,E779),-1,0))</f>
        <v>1</v>
      </c>
    </row>
    <row r="780" spans="1:16">
      <c r="A780" s="5">
        <v>770</v>
      </c>
      <c r="B780" s="12">
        <v>23.13</v>
      </c>
      <c r="C780" s="12">
        <f t="shared" si="12"/>
        <v>1.93</v>
      </c>
      <c r="D780" s="8">
        <v>0.37280523777008057</v>
      </c>
      <c r="E780" s="5">
        <f>MATCH(D780,'Route Data'!$C$7:$C$8,1)</f>
        <v>2</v>
      </c>
      <c r="F780" s="5">
        <f>INDEX('Route Data'!$D$7:$D$8,E780)</f>
        <v>1</v>
      </c>
      <c r="G780" s="5" t="str">
        <f>INDEX('Route Data'!$A$7:$A$8,E780)</f>
        <v>u18</v>
      </c>
      <c r="H780" s="5">
        <f>EnergyCoeff(INDEX('Route Data'!$K$7:$K$8,E780),INDEX('Route Data'!$L$7:$L$8,E780)*2*PI()/60,INDEX('Route Data'!$F$7:$F$8,E780))</f>
        <v>0.19430699130049439</v>
      </c>
      <c r="I780" s="5">
        <f>DischargeCoeff(INDEX('Route Data'!$I$7:$I$8,E780), INDEX('Route Data'!$L$7:$L$8,E780)*2*PI()/60, INDEX('Route Data'!$F$7:$F$8,E780))</f>
        <v>0.15939200179827354</v>
      </c>
      <c r="J780" s="8">
        <f>FlowAngleRel(INDEX('Route Data'!$J$7:$J$8,E780)*INDEX('Route Data'!$I$7:$I$8,E780), INDEX('Route Data'!$L$7:$L$8,E780)*2*PI()/60, INDEX('Route Data'!$F$7:$F$8,E780),INDEX('Route Data'!$O$7:$O$8,E780), INDEX('Route Data'!$P$7:$P$8,E780),INDEX('Route Data'!$M$7:$M$8,E780))</f>
        <v>1.130811765868994</v>
      </c>
      <c r="K780" s="8">
        <f>FlowAngleAbsT(INDEX('Route Data'!$K$7:$K$8,E780), INDEX('Route Data'!$I$7:$I$8,E780), INDEX('Route Data'!$I$7:$I$8,E780)*INDEX('Route Data'!$J$7:$J$8,E780), INDEX('Route Data'!$L$7:$L$8,E780)*2*PI()/60, INDEX('Route Data'!$F$7:$F$8,E780),INDEX('Route Data'!$O$7:$O$8,E780), INDEX('Route Data'!$P$7:$P$8,E780), INDEX('Route Data'!$H$7:$H$8,E780), INDEX('Route Data'!$Q$7:$Q$8,E780), INDEX('Route Data'!$M$7:$M$8,E780))</f>
        <v>0.51617226640175828</v>
      </c>
      <c r="L780" s="5">
        <f>INDEX('Route Data'!$N$7:$N$8,E780)</f>
        <v>0.4</v>
      </c>
      <c r="M780" s="8">
        <v>5.9311985969543457E-2</v>
      </c>
      <c r="N780" s="8">
        <f>ProbStrikeFrancis(K780, I780, L780, INDEX('Route Data'!$G$7:$G$8,E780),C780, INDEX('Route Data'!$F$7:$F$8,E780), INDEX('Route Data'!$O$7:$O$8,E780), INDEX('Route Data'!$H$7:$H$18,E780))</f>
        <v>1</v>
      </c>
      <c r="O780" s="5" t="str">
        <f>IF(F780&gt;=1,IF(M780&lt;=N780,"STRIKE","pass"),IF(M780&lt;=INDEX('Route Data'!$R$7:$R$8,E780),"NO PASS","pass"))</f>
        <v>STRIKE</v>
      </c>
      <c r="P780" s="5">
        <f>IF(F780&gt;=1,IF(M780&lt;=N780,1,0),IF(M780&lt;=INDEX('Route Data'!$R$7:$R$8,E780),-1,0))</f>
        <v>1</v>
      </c>
    </row>
    <row r="781" spans="1:16">
      <c r="A781" s="5">
        <v>771</v>
      </c>
      <c r="B781" s="12">
        <v>21.19</v>
      </c>
      <c r="C781" s="12">
        <f t="shared" si="12"/>
        <v>1.77</v>
      </c>
      <c r="D781" s="8">
        <v>0.4689372181892395</v>
      </c>
      <c r="E781" s="5">
        <f>MATCH(D781,'Route Data'!$C$7:$C$8,1)</f>
        <v>2</v>
      </c>
      <c r="F781" s="5">
        <f>INDEX('Route Data'!$D$7:$D$8,E781)</f>
        <v>1</v>
      </c>
      <c r="G781" s="5" t="str">
        <f>INDEX('Route Data'!$A$7:$A$8,E781)</f>
        <v>u18</v>
      </c>
      <c r="H781" s="5">
        <f>EnergyCoeff(INDEX('Route Data'!$K$7:$K$8,E781),INDEX('Route Data'!$L$7:$L$8,E781)*2*PI()/60,INDEX('Route Data'!$F$7:$F$8,E781))</f>
        <v>0.19430699130049439</v>
      </c>
      <c r="I781" s="5">
        <f>DischargeCoeff(INDEX('Route Data'!$I$7:$I$8,E781), INDEX('Route Data'!$L$7:$L$8,E781)*2*PI()/60, INDEX('Route Data'!$F$7:$F$8,E781))</f>
        <v>0.15939200179827354</v>
      </c>
      <c r="J781" s="8">
        <f>FlowAngleRel(INDEX('Route Data'!$J$7:$J$8,E781)*INDEX('Route Data'!$I$7:$I$8,E781), INDEX('Route Data'!$L$7:$L$8,E781)*2*PI()/60, INDEX('Route Data'!$F$7:$F$8,E781),INDEX('Route Data'!$O$7:$O$8,E781), INDEX('Route Data'!$P$7:$P$8,E781),INDEX('Route Data'!$M$7:$M$8,E781))</f>
        <v>1.130811765868994</v>
      </c>
      <c r="K781" s="8">
        <f>FlowAngleAbsT(INDEX('Route Data'!$K$7:$K$8,E781), INDEX('Route Data'!$I$7:$I$8,E781), INDEX('Route Data'!$I$7:$I$8,E781)*INDEX('Route Data'!$J$7:$J$8,E781), INDEX('Route Data'!$L$7:$L$8,E781)*2*PI()/60, INDEX('Route Data'!$F$7:$F$8,E781),INDEX('Route Data'!$O$7:$O$8,E781), INDEX('Route Data'!$P$7:$P$8,E781), INDEX('Route Data'!$H$7:$H$8,E781), INDEX('Route Data'!$Q$7:$Q$8,E781), INDEX('Route Data'!$M$7:$M$8,E781))</f>
        <v>0.51617226640175828</v>
      </c>
      <c r="L781" s="5">
        <f>INDEX('Route Data'!$N$7:$N$8,E781)</f>
        <v>0.4</v>
      </c>
      <c r="M781" s="8">
        <v>0.49724656343460083</v>
      </c>
      <c r="N781" s="8">
        <f>ProbStrikeFrancis(K781, I781, L781, INDEX('Route Data'!$G$7:$G$8,E781),C781, INDEX('Route Data'!$F$7:$F$8,E781), INDEX('Route Data'!$O$7:$O$8,E781), INDEX('Route Data'!$H$7:$H$18,E781))</f>
        <v>1</v>
      </c>
      <c r="O781" s="5" t="str">
        <f>IF(F781&gt;=1,IF(M781&lt;=N781,"STRIKE","pass"),IF(M781&lt;=INDEX('Route Data'!$R$7:$R$8,E781),"NO PASS","pass"))</f>
        <v>STRIKE</v>
      </c>
      <c r="P781" s="5">
        <f>IF(F781&gt;=1,IF(M781&lt;=N781,1,0),IF(M781&lt;=INDEX('Route Data'!$R$7:$R$8,E781),-1,0))</f>
        <v>1</v>
      </c>
    </row>
    <row r="782" spans="1:16">
      <c r="A782" s="5">
        <v>772</v>
      </c>
      <c r="B782" s="12">
        <v>21.21</v>
      </c>
      <c r="C782" s="12">
        <f t="shared" si="12"/>
        <v>1.77</v>
      </c>
      <c r="D782" s="8">
        <v>0.1805412769317627</v>
      </c>
      <c r="E782" s="5">
        <f>MATCH(D782,'Route Data'!$C$7:$C$8,1)</f>
        <v>2</v>
      </c>
      <c r="F782" s="5">
        <f>INDEX('Route Data'!$D$7:$D$8,E782)</f>
        <v>1</v>
      </c>
      <c r="G782" s="5" t="str">
        <f>INDEX('Route Data'!$A$7:$A$8,E782)</f>
        <v>u18</v>
      </c>
      <c r="H782" s="5">
        <f>EnergyCoeff(INDEX('Route Data'!$K$7:$K$8,E782),INDEX('Route Data'!$L$7:$L$8,E782)*2*PI()/60,INDEX('Route Data'!$F$7:$F$8,E782))</f>
        <v>0.19430699130049439</v>
      </c>
      <c r="I782" s="5">
        <f>DischargeCoeff(INDEX('Route Data'!$I$7:$I$8,E782), INDEX('Route Data'!$L$7:$L$8,E782)*2*PI()/60, INDEX('Route Data'!$F$7:$F$8,E782))</f>
        <v>0.15939200179827354</v>
      </c>
      <c r="J782" s="8">
        <f>FlowAngleRel(INDEX('Route Data'!$J$7:$J$8,E782)*INDEX('Route Data'!$I$7:$I$8,E782), INDEX('Route Data'!$L$7:$L$8,E782)*2*PI()/60, INDEX('Route Data'!$F$7:$F$8,E782),INDEX('Route Data'!$O$7:$O$8,E782), INDEX('Route Data'!$P$7:$P$8,E782),INDEX('Route Data'!$M$7:$M$8,E782))</f>
        <v>1.130811765868994</v>
      </c>
      <c r="K782" s="8">
        <f>FlowAngleAbsT(INDEX('Route Data'!$K$7:$K$8,E782), INDEX('Route Data'!$I$7:$I$8,E782), INDEX('Route Data'!$I$7:$I$8,E782)*INDEX('Route Data'!$J$7:$J$8,E782), INDEX('Route Data'!$L$7:$L$8,E782)*2*PI()/60, INDEX('Route Data'!$F$7:$F$8,E782),INDEX('Route Data'!$O$7:$O$8,E782), INDEX('Route Data'!$P$7:$P$8,E782), INDEX('Route Data'!$H$7:$H$8,E782), INDEX('Route Data'!$Q$7:$Q$8,E782), INDEX('Route Data'!$M$7:$M$8,E782))</f>
        <v>0.51617226640175828</v>
      </c>
      <c r="L782" s="5">
        <f>INDEX('Route Data'!$N$7:$N$8,E782)</f>
        <v>0.4</v>
      </c>
      <c r="M782" s="8">
        <v>0.18344283103942871</v>
      </c>
      <c r="N782" s="8">
        <f>ProbStrikeFrancis(K782, I782, L782, INDEX('Route Data'!$G$7:$G$8,E782),C782, INDEX('Route Data'!$F$7:$F$8,E782), INDEX('Route Data'!$O$7:$O$8,E782), INDEX('Route Data'!$H$7:$H$18,E782))</f>
        <v>1</v>
      </c>
      <c r="O782" s="5" t="str">
        <f>IF(F782&gt;=1,IF(M782&lt;=N782,"STRIKE","pass"),IF(M782&lt;=INDEX('Route Data'!$R$7:$R$8,E782),"NO PASS","pass"))</f>
        <v>STRIKE</v>
      </c>
      <c r="P782" s="5">
        <f>IF(F782&gt;=1,IF(M782&lt;=N782,1,0),IF(M782&lt;=INDEX('Route Data'!$R$7:$R$8,E782),-1,0))</f>
        <v>1</v>
      </c>
    </row>
    <row r="783" spans="1:16">
      <c r="A783" s="5">
        <v>773</v>
      </c>
      <c r="B783" s="12">
        <v>25.95</v>
      </c>
      <c r="C783" s="12">
        <f t="shared" si="12"/>
        <v>2.16</v>
      </c>
      <c r="D783" s="8">
        <v>0.31130832433700562</v>
      </c>
      <c r="E783" s="5">
        <f>MATCH(D783,'Route Data'!$C$7:$C$8,1)</f>
        <v>2</v>
      </c>
      <c r="F783" s="5">
        <f>INDEX('Route Data'!$D$7:$D$8,E783)</f>
        <v>1</v>
      </c>
      <c r="G783" s="5" t="str">
        <f>INDEX('Route Data'!$A$7:$A$8,E783)</f>
        <v>u18</v>
      </c>
      <c r="H783" s="5">
        <f>EnergyCoeff(INDEX('Route Data'!$K$7:$K$8,E783),INDEX('Route Data'!$L$7:$L$8,E783)*2*PI()/60,INDEX('Route Data'!$F$7:$F$8,E783))</f>
        <v>0.19430699130049439</v>
      </c>
      <c r="I783" s="5">
        <f>DischargeCoeff(INDEX('Route Data'!$I$7:$I$8,E783), INDEX('Route Data'!$L$7:$L$8,E783)*2*PI()/60, INDEX('Route Data'!$F$7:$F$8,E783))</f>
        <v>0.15939200179827354</v>
      </c>
      <c r="J783" s="8">
        <f>FlowAngleRel(INDEX('Route Data'!$J$7:$J$8,E783)*INDEX('Route Data'!$I$7:$I$8,E783), INDEX('Route Data'!$L$7:$L$8,E783)*2*PI()/60, INDEX('Route Data'!$F$7:$F$8,E783),INDEX('Route Data'!$O$7:$O$8,E783), INDEX('Route Data'!$P$7:$P$8,E783),INDEX('Route Data'!$M$7:$M$8,E783))</f>
        <v>1.130811765868994</v>
      </c>
      <c r="K783" s="8">
        <f>FlowAngleAbsT(INDEX('Route Data'!$K$7:$K$8,E783), INDEX('Route Data'!$I$7:$I$8,E783), INDEX('Route Data'!$I$7:$I$8,E783)*INDEX('Route Data'!$J$7:$J$8,E783), INDEX('Route Data'!$L$7:$L$8,E783)*2*PI()/60, INDEX('Route Data'!$F$7:$F$8,E783),INDEX('Route Data'!$O$7:$O$8,E783), INDEX('Route Data'!$P$7:$P$8,E783), INDEX('Route Data'!$H$7:$H$8,E783), INDEX('Route Data'!$Q$7:$Q$8,E783), INDEX('Route Data'!$M$7:$M$8,E783))</f>
        <v>0.51617226640175828</v>
      </c>
      <c r="L783" s="5">
        <f>INDEX('Route Data'!$N$7:$N$8,E783)</f>
        <v>0.4</v>
      </c>
      <c r="M783" s="8">
        <v>0.39043325185775757</v>
      </c>
      <c r="N783" s="8">
        <f>ProbStrikeFrancis(K783, I783, L783, INDEX('Route Data'!$G$7:$G$8,E783),C783, INDEX('Route Data'!$F$7:$F$8,E783), INDEX('Route Data'!$O$7:$O$8,E783), INDEX('Route Data'!$H$7:$H$18,E783))</f>
        <v>1</v>
      </c>
      <c r="O783" s="5" t="str">
        <f>IF(F783&gt;=1,IF(M783&lt;=N783,"STRIKE","pass"),IF(M783&lt;=INDEX('Route Data'!$R$7:$R$8,E783),"NO PASS","pass"))</f>
        <v>STRIKE</v>
      </c>
      <c r="P783" s="5">
        <f>IF(F783&gt;=1,IF(M783&lt;=N783,1,0),IF(M783&lt;=INDEX('Route Data'!$R$7:$R$8,E783),-1,0))</f>
        <v>1</v>
      </c>
    </row>
    <row r="784" spans="1:16">
      <c r="A784" s="5">
        <v>774</v>
      </c>
      <c r="B784" s="12">
        <v>16.899999999999999</v>
      </c>
      <c r="C784" s="12">
        <f t="shared" si="12"/>
        <v>1.41</v>
      </c>
      <c r="D784" s="8">
        <v>0.45016562938690186</v>
      </c>
      <c r="E784" s="5">
        <f>MATCH(D784,'Route Data'!$C$7:$C$8,1)</f>
        <v>2</v>
      </c>
      <c r="F784" s="5">
        <f>INDEX('Route Data'!$D$7:$D$8,E784)</f>
        <v>1</v>
      </c>
      <c r="G784" s="5" t="str">
        <f>INDEX('Route Data'!$A$7:$A$8,E784)</f>
        <v>u18</v>
      </c>
      <c r="H784" s="5">
        <f>EnergyCoeff(INDEX('Route Data'!$K$7:$K$8,E784),INDEX('Route Data'!$L$7:$L$8,E784)*2*PI()/60,INDEX('Route Data'!$F$7:$F$8,E784))</f>
        <v>0.19430699130049439</v>
      </c>
      <c r="I784" s="5">
        <f>DischargeCoeff(INDEX('Route Data'!$I$7:$I$8,E784), INDEX('Route Data'!$L$7:$L$8,E784)*2*PI()/60, INDEX('Route Data'!$F$7:$F$8,E784))</f>
        <v>0.15939200179827354</v>
      </c>
      <c r="J784" s="8">
        <f>FlowAngleRel(INDEX('Route Data'!$J$7:$J$8,E784)*INDEX('Route Data'!$I$7:$I$8,E784), INDEX('Route Data'!$L$7:$L$8,E784)*2*PI()/60, INDEX('Route Data'!$F$7:$F$8,E784),INDEX('Route Data'!$O$7:$O$8,E784), INDEX('Route Data'!$P$7:$P$8,E784),INDEX('Route Data'!$M$7:$M$8,E784))</f>
        <v>1.130811765868994</v>
      </c>
      <c r="K784" s="8">
        <f>FlowAngleAbsT(INDEX('Route Data'!$K$7:$K$8,E784), INDEX('Route Data'!$I$7:$I$8,E784), INDEX('Route Data'!$I$7:$I$8,E784)*INDEX('Route Data'!$J$7:$J$8,E784), INDEX('Route Data'!$L$7:$L$8,E784)*2*PI()/60, INDEX('Route Data'!$F$7:$F$8,E784),INDEX('Route Data'!$O$7:$O$8,E784), INDEX('Route Data'!$P$7:$P$8,E784), INDEX('Route Data'!$H$7:$H$8,E784), INDEX('Route Data'!$Q$7:$Q$8,E784), INDEX('Route Data'!$M$7:$M$8,E784))</f>
        <v>0.51617226640175828</v>
      </c>
      <c r="L784" s="5">
        <f>INDEX('Route Data'!$N$7:$N$8,E784)</f>
        <v>0.4</v>
      </c>
      <c r="M784" s="8">
        <v>0.5038827657699585</v>
      </c>
      <c r="N784" s="8">
        <f>ProbStrikeFrancis(K784, I784, L784, INDEX('Route Data'!$G$7:$G$8,E784),C784, INDEX('Route Data'!$F$7:$F$8,E784), INDEX('Route Data'!$O$7:$O$8,E784), INDEX('Route Data'!$H$7:$H$18,E784))</f>
        <v>1</v>
      </c>
      <c r="O784" s="5" t="str">
        <f>IF(F784&gt;=1,IF(M784&lt;=N784,"STRIKE","pass"),IF(M784&lt;=INDEX('Route Data'!$R$7:$R$8,E784),"NO PASS","pass"))</f>
        <v>STRIKE</v>
      </c>
      <c r="P784" s="5">
        <f>IF(F784&gt;=1,IF(M784&lt;=N784,1,0),IF(M784&lt;=INDEX('Route Data'!$R$7:$R$8,E784),-1,0))</f>
        <v>1</v>
      </c>
    </row>
    <row r="785" spans="1:16">
      <c r="A785" s="5">
        <v>775</v>
      </c>
      <c r="B785" s="12">
        <v>20.59</v>
      </c>
      <c r="C785" s="12">
        <f t="shared" si="12"/>
        <v>1.72</v>
      </c>
      <c r="D785" s="8">
        <v>0.76801449060440063</v>
      </c>
      <c r="E785" s="5">
        <f>MATCH(D785,'Route Data'!$C$7:$C$8,1)</f>
        <v>2</v>
      </c>
      <c r="F785" s="5">
        <f>INDEX('Route Data'!$D$7:$D$8,E785)</f>
        <v>1</v>
      </c>
      <c r="G785" s="5" t="str">
        <f>INDEX('Route Data'!$A$7:$A$8,E785)</f>
        <v>u18</v>
      </c>
      <c r="H785" s="5">
        <f>EnergyCoeff(INDEX('Route Data'!$K$7:$K$8,E785),INDEX('Route Data'!$L$7:$L$8,E785)*2*PI()/60,INDEX('Route Data'!$F$7:$F$8,E785))</f>
        <v>0.19430699130049439</v>
      </c>
      <c r="I785" s="5">
        <f>DischargeCoeff(INDEX('Route Data'!$I$7:$I$8,E785), INDEX('Route Data'!$L$7:$L$8,E785)*2*PI()/60, INDEX('Route Data'!$F$7:$F$8,E785))</f>
        <v>0.15939200179827354</v>
      </c>
      <c r="J785" s="8">
        <f>FlowAngleRel(INDEX('Route Data'!$J$7:$J$8,E785)*INDEX('Route Data'!$I$7:$I$8,E785), INDEX('Route Data'!$L$7:$L$8,E785)*2*PI()/60, INDEX('Route Data'!$F$7:$F$8,E785),INDEX('Route Data'!$O$7:$O$8,E785), INDEX('Route Data'!$P$7:$P$8,E785),INDEX('Route Data'!$M$7:$M$8,E785))</f>
        <v>1.130811765868994</v>
      </c>
      <c r="K785" s="8">
        <f>FlowAngleAbsT(INDEX('Route Data'!$K$7:$K$8,E785), INDEX('Route Data'!$I$7:$I$8,E785), INDEX('Route Data'!$I$7:$I$8,E785)*INDEX('Route Data'!$J$7:$J$8,E785), INDEX('Route Data'!$L$7:$L$8,E785)*2*PI()/60, INDEX('Route Data'!$F$7:$F$8,E785),INDEX('Route Data'!$O$7:$O$8,E785), INDEX('Route Data'!$P$7:$P$8,E785), INDEX('Route Data'!$H$7:$H$8,E785), INDEX('Route Data'!$Q$7:$Q$8,E785), INDEX('Route Data'!$M$7:$M$8,E785))</f>
        <v>0.51617226640175828</v>
      </c>
      <c r="L785" s="5">
        <f>INDEX('Route Data'!$N$7:$N$8,E785)</f>
        <v>0.4</v>
      </c>
      <c r="M785" s="8">
        <v>0.42911344766616821</v>
      </c>
      <c r="N785" s="8">
        <f>ProbStrikeFrancis(K785, I785, L785, INDEX('Route Data'!$G$7:$G$8,E785),C785, INDEX('Route Data'!$F$7:$F$8,E785), INDEX('Route Data'!$O$7:$O$8,E785), INDEX('Route Data'!$H$7:$H$18,E785))</f>
        <v>1</v>
      </c>
      <c r="O785" s="5" t="str">
        <f>IF(F785&gt;=1,IF(M785&lt;=N785,"STRIKE","pass"),IF(M785&lt;=INDEX('Route Data'!$R$7:$R$8,E785),"NO PASS","pass"))</f>
        <v>STRIKE</v>
      </c>
      <c r="P785" s="5">
        <f>IF(F785&gt;=1,IF(M785&lt;=N785,1,0),IF(M785&lt;=INDEX('Route Data'!$R$7:$R$8,E785),-1,0))</f>
        <v>1</v>
      </c>
    </row>
    <row r="786" spans="1:16">
      <c r="A786" s="5">
        <v>776</v>
      </c>
      <c r="B786" s="12">
        <v>25.24</v>
      </c>
      <c r="C786" s="12">
        <f t="shared" si="12"/>
        <v>2.1</v>
      </c>
      <c r="D786" s="8">
        <v>0.2833094596862793</v>
      </c>
      <c r="E786" s="5">
        <f>MATCH(D786,'Route Data'!$C$7:$C$8,1)</f>
        <v>2</v>
      </c>
      <c r="F786" s="5">
        <f>INDEX('Route Data'!$D$7:$D$8,E786)</f>
        <v>1</v>
      </c>
      <c r="G786" s="5" t="str">
        <f>INDEX('Route Data'!$A$7:$A$8,E786)</f>
        <v>u18</v>
      </c>
      <c r="H786" s="5">
        <f>EnergyCoeff(INDEX('Route Data'!$K$7:$K$8,E786),INDEX('Route Data'!$L$7:$L$8,E786)*2*PI()/60,INDEX('Route Data'!$F$7:$F$8,E786))</f>
        <v>0.19430699130049439</v>
      </c>
      <c r="I786" s="5">
        <f>DischargeCoeff(INDEX('Route Data'!$I$7:$I$8,E786), INDEX('Route Data'!$L$7:$L$8,E786)*2*PI()/60, INDEX('Route Data'!$F$7:$F$8,E786))</f>
        <v>0.15939200179827354</v>
      </c>
      <c r="J786" s="8">
        <f>FlowAngleRel(INDEX('Route Data'!$J$7:$J$8,E786)*INDEX('Route Data'!$I$7:$I$8,E786), INDEX('Route Data'!$L$7:$L$8,E786)*2*PI()/60, INDEX('Route Data'!$F$7:$F$8,E786),INDEX('Route Data'!$O$7:$O$8,E786), INDEX('Route Data'!$P$7:$P$8,E786),INDEX('Route Data'!$M$7:$M$8,E786))</f>
        <v>1.130811765868994</v>
      </c>
      <c r="K786" s="8">
        <f>FlowAngleAbsT(INDEX('Route Data'!$K$7:$K$8,E786), INDEX('Route Data'!$I$7:$I$8,E786), INDEX('Route Data'!$I$7:$I$8,E786)*INDEX('Route Data'!$J$7:$J$8,E786), INDEX('Route Data'!$L$7:$L$8,E786)*2*PI()/60, INDEX('Route Data'!$F$7:$F$8,E786),INDEX('Route Data'!$O$7:$O$8,E786), INDEX('Route Data'!$P$7:$P$8,E786), INDEX('Route Data'!$H$7:$H$8,E786), INDEX('Route Data'!$Q$7:$Q$8,E786), INDEX('Route Data'!$M$7:$M$8,E786))</f>
        <v>0.51617226640175828</v>
      </c>
      <c r="L786" s="5">
        <f>INDEX('Route Data'!$N$7:$N$8,E786)</f>
        <v>0.4</v>
      </c>
      <c r="M786" s="8">
        <v>0.65342140197753906</v>
      </c>
      <c r="N786" s="8">
        <f>ProbStrikeFrancis(K786, I786, L786, INDEX('Route Data'!$G$7:$G$8,E786),C786, INDEX('Route Data'!$F$7:$F$8,E786), INDEX('Route Data'!$O$7:$O$8,E786), INDEX('Route Data'!$H$7:$H$18,E786))</f>
        <v>1</v>
      </c>
      <c r="O786" s="5" t="str">
        <f>IF(F786&gt;=1,IF(M786&lt;=N786,"STRIKE","pass"),IF(M786&lt;=INDEX('Route Data'!$R$7:$R$8,E786),"NO PASS","pass"))</f>
        <v>STRIKE</v>
      </c>
      <c r="P786" s="5">
        <f>IF(F786&gt;=1,IF(M786&lt;=N786,1,0),IF(M786&lt;=INDEX('Route Data'!$R$7:$R$8,E786),-1,0))</f>
        <v>1</v>
      </c>
    </row>
    <row r="787" spans="1:16">
      <c r="A787" s="5">
        <v>777</v>
      </c>
      <c r="B787" s="12">
        <v>19.77</v>
      </c>
      <c r="C787" s="12">
        <f t="shared" si="12"/>
        <v>1.65</v>
      </c>
      <c r="D787" s="8">
        <v>0.26858299970626831</v>
      </c>
      <c r="E787" s="5">
        <f>MATCH(D787,'Route Data'!$C$7:$C$8,1)</f>
        <v>2</v>
      </c>
      <c r="F787" s="5">
        <f>INDEX('Route Data'!$D$7:$D$8,E787)</f>
        <v>1</v>
      </c>
      <c r="G787" s="5" t="str">
        <f>INDEX('Route Data'!$A$7:$A$8,E787)</f>
        <v>u18</v>
      </c>
      <c r="H787" s="5">
        <f>EnergyCoeff(INDEX('Route Data'!$K$7:$K$8,E787),INDEX('Route Data'!$L$7:$L$8,E787)*2*PI()/60,INDEX('Route Data'!$F$7:$F$8,E787))</f>
        <v>0.19430699130049439</v>
      </c>
      <c r="I787" s="5">
        <f>DischargeCoeff(INDEX('Route Data'!$I$7:$I$8,E787), INDEX('Route Data'!$L$7:$L$8,E787)*2*PI()/60, INDEX('Route Data'!$F$7:$F$8,E787))</f>
        <v>0.15939200179827354</v>
      </c>
      <c r="J787" s="8">
        <f>FlowAngleRel(INDEX('Route Data'!$J$7:$J$8,E787)*INDEX('Route Data'!$I$7:$I$8,E787), INDEX('Route Data'!$L$7:$L$8,E787)*2*PI()/60, INDEX('Route Data'!$F$7:$F$8,E787),INDEX('Route Data'!$O$7:$O$8,E787), INDEX('Route Data'!$P$7:$P$8,E787),INDEX('Route Data'!$M$7:$M$8,E787))</f>
        <v>1.130811765868994</v>
      </c>
      <c r="K787" s="8">
        <f>FlowAngleAbsT(INDEX('Route Data'!$K$7:$K$8,E787), INDEX('Route Data'!$I$7:$I$8,E787), INDEX('Route Data'!$I$7:$I$8,E787)*INDEX('Route Data'!$J$7:$J$8,E787), INDEX('Route Data'!$L$7:$L$8,E787)*2*PI()/60, INDEX('Route Data'!$F$7:$F$8,E787),INDEX('Route Data'!$O$7:$O$8,E787), INDEX('Route Data'!$P$7:$P$8,E787), INDEX('Route Data'!$H$7:$H$8,E787), INDEX('Route Data'!$Q$7:$Q$8,E787), INDEX('Route Data'!$M$7:$M$8,E787))</f>
        <v>0.51617226640175828</v>
      </c>
      <c r="L787" s="5">
        <f>INDEX('Route Data'!$N$7:$N$8,E787)</f>
        <v>0.4</v>
      </c>
      <c r="M787" s="8">
        <v>0.98049753904342651</v>
      </c>
      <c r="N787" s="8">
        <f>ProbStrikeFrancis(K787, I787, L787, INDEX('Route Data'!$G$7:$G$8,E787),C787, INDEX('Route Data'!$F$7:$F$8,E787), INDEX('Route Data'!$O$7:$O$8,E787), INDEX('Route Data'!$H$7:$H$18,E787))</f>
        <v>1</v>
      </c>
      <c r="O787" s="5" t="str">
        <f>IF(F787&gt;=1,IF(M787&lt;=N787,"STRIKE","pass"),IF(M787&lt;=INDEX('Route Data'!$R$7:$R$8,E787),"NO PASS","pass"))</f>
        <v>STRIKE</v>
      </c>
      <c r="P787" s="5">
        <f>IF(F787&gt;=1,IF(M787&lt;=N787,1,0),IF(M787&lt;=INDEX('Route Data'!$R$7:$R$8,E787),-1,0))</f>
        <v>1</v>
      </c>
    </row>
    <row r="788" spans="1:16">
      <c r="A788" s="5">
        <v>778</v>
      </c>
      <c r="B788" s="12">
        <v>25</v>
      </c>
      <c r="C788" s="12">
        <f t="shared" si="12"/>
        <v>2.08</v>
      </c>
      <c r="D788" s="8">
        <v>0.57834160327911377</v>
      </c>
      <c r="E788" s="5">
        <f>MATCH(D788,'Route Data'!$C$7:$C$8,1)</f>
        <v>2</v>
      </c>
      <c r="F788" s="5">
        <f>INDEX('Route Data'!$D$7:$D$8,E788)</f>
        <v>1</v>
      </c>
      <c r="G788" s="5" t="str">
        <f>INDEX('Route Data'!$A$7:$A$8,E788)</f>
        <v>u18</v>
      </c>
      <c r="H788" s="5">
        <f>EnergyCoeff(INDEX('Route Data'!$K$7:$K$8,E788),INDEX('Route Data'!$L$7:$L$8,E788)*2*PI()/60,INDEX('Route Data'!$F$7:$F$8,E788))</f>
        <v>0.19430699130049439</v>
      </c>
      <c r="I788" s="5">
        <f>DischargeCoeff(INDEX('Route Data'!$I$7:$I$8,E788), INDEX('Route Data'!$L$7:$L$8,E788)*2*PI()/60, INDEX('Route Data'!$F$7:$F$8,E788))</f>
        <v>0.15939200179827354</v>
      </c>
      <c r="J788" s="8">
        <f>FlowAngleRel(INDEX('Route Data'!$J$7:$J$8,E788)*INDEX('Route Data'!$I$7:$I$8,E788), INDEX('Route Data'!$L$7:$L$8,E788)*2*PI()/60, INDEX('Route Data'!$F$7:$F$8,E788),INDEX('Route Data'!$O$7:$O$8,E788), INDEX('Route Data'!$P$7:$P$8,E788),INDEX('Route Data'!$M$7:$M$8,E788))</f>
        <v>1.130811765868994</v>
      </c>
      <c r="K788" s="8">
        <f>FlowAngleAbsT(INDEX('Route Data'!$K$7:$K$8,E788), INDEX('Route Data'!$I$7:$I$8,E788), INDEX('Route Data'!$I$7:$I$8,E788)*INDEX('Route Data'!$J$7:$J$8,E788), INDEX('Route Data'!$L$7:$L$8,E788)*2*PI()/60, INDEX('Route Data'!$F$7:$F$8,E788),INDEX('Route Data'!$O$7:$O$8,E788), INDEX('Route Data'!$P$7:$P$8,E788), INDEX('Route Data'!$H$7:$H$8,E788), INDEX('Route Data'!$Q$7:$Q$8,E788), INDEX('Route Data'!$M$7:$M$8,E788))</f>
        <v>0.51617226640175828</v>
      </c>
      <c r="L788" s="5">
        <f>INDEX('Route Data'!$N$7:$N$8,E788)</f>
        <v>0.4</v>
      </c>
      <c r="M788" s="8">
        <v>0.26484835147857666</v>
      </c>
      <c r="N788" s="8">
        <f>ProbStrikeFrancis(K788, I788, L788, INDEX('Route Data'!$G$7:$G$8,E788),C788, INDEX('Route Data'!$F$7:$F$8,E788), INDEX('Route Data'!$O$7:$O$8,E788), INDEX('Route Data'!$H$7:$H$18,E788))</f>
        <v>1</v>
      </c>
      <c r="O788" s="5" t="str">
        <f>IF(F788&gt;=1,IF(M788&lt;=N788,"STRIKE","pass"),IF(M788&lt;=INDEX('Route Data'!$R$7:$R$8,E788),"NO PASS","pass"))</f>
        <v>STRIKE</v>
      </c>
      <c r="P788" s="5">
        <f>IF(F788&gt;=1,IF(M788&lt;=N788,1,0),IF(M788&lt;=INDEX('Route Data'!$R$7:$R$8,E788),-1,0))</f>
        <v>1</v>
      </c>
    </row>
    <row r="789" spans="1:16">
      <c r="A789" s="5">
        <v>779</v>
      </c>
      <c r="B789" s="12">
        <v>20.43</v>
      </c>
      <c r="C789" s="12">
        <f t="shared" si="12"/>
        <v>1.7</v>
      </c>
      <c r="D789" s="8">
        <v>0.38348656892776489</v>
      </c>
      <c r="E789" s="5">
        <f>MATCH(D789,'Route Data'!$C$7:$C$8,1)</f>
        <v>2</v>
      </c>
      <c r="F789" s="5">
        <f>INDEX('Route Data'!$D$7:$D$8,E789)</f>
        <v>1</v>
      </c>
      <c r="G789" s="5" t="str">
        <f>INDEX('Route Data'!$A$7:$A$8,E789)</f>
        <v>u18</v>
      </c>
      <c r="H789" s="5">
        <f>EnergyCoeff(INDEX('Route Data'!$K$7:$K$8,E789),INDEX('Route Data'!$L$7:$L$8,E789)*2*PI()/60,INDEX('Route Data'!$F$7:$F$8,E789))</f>
        <v>0.19430699130049439</v>
      </c>
      <c r="I789" s="5">
        <f>DischargeCoeff(INDEX('Route Data'!$I$7:$I$8,E789), INDEX('Route Data'!$L$7:$L$8,E789)*2*PI()/60, INDEX('Route Data'!$F$7:$F$8,E789))</f>
        <v>0.15939200179827354</v>
      </c>
      <c r="J789" s="8">
        <f>FlowAngleRel(INDEX('Route Data'!$J$7:$J$8,E789)*INDEX('Route Data'!$I$7:$I$8,E789), INDEX('Route Data'!$L$7:$L$8,E789)*2*PI()/60, INDEX('Route Data'!$F$7:$F$8,E789),INDEX('Route Data'!$O$7:$O$8,E789), INDEX('Route Data'!$P$7:$P$8,E789),INDEX('Route Data'!$M$7:$M$8,E789))</f>
        <v>1.130811765868994</v>
      </c>
      <c r="K789" s="8">
        <f>FlowAngleAbsT(INDEX('Route Data'!$K$7:$K$8,E789), INDEX('Route Data'!$I$7:$I$8,E789), INDEX('Route Data'!$I$7:$I$8,E789)*INDEX('Route Data'!$J$7:$J$8,E789), INDEX('Route Data'!$L$7:$L$8,E789)*2*PI()/60, INDEX('Route Data'!$F$7:$F$8,E789),INDEX('Route Data'!$O$7:$O$8,E789), INDEX('Route Data'!$P$7:$P$8,E789), INDEX('Route Data'!$H$7:$H$8,E789), INDEX('Route Data'!$Q$7:$Q$8,E789), INDEX('Route Data'!$M$7:$M$8,E789))</f>
        <v>0.51617226640175828</v>
      </c>
      <c r="L789" s="5">
        <f>INDEX('Route Data'!$N$7:$N$8,E789)</f>
        <v>0.4</v>
      </c>
      <c r="M789" s="8">
        <v>0.41179591417312622</v>
      </c>
      <c r="N789" s="8">
        <f>ProbStrikeFrancis(K789, I789, L789, INDEX('Route Data'!$G$7:$G$8,E789),C789, INDEX('Route Data'!$F$7:$F$8,E789), INDEX('Route Data'!$O$7:$O$8,E789), INDEX('Route Data'!$H$7:$H$18,E789))</f>
        <v>1</v>
      </c>
      <c r="O789" s="5" t="str">
        <f>IF(F789&gt;=1,IF(M789&lt;=N789,"STRIKE","pass"),IF(M789&lt;=INDEX('Route Data'!$R$7:$R$8,E789),"NO PASS","pass"))</f>
        <v>STRIKE</v>
      </c>
      <c r="P789" s="5">
        <f>IF(F789&gt;=1,IF(M789&lt;=N789,1,0),IF(M789&lt;=INDEX('Route Data'!$R$7:$R$8,E789),-1,0))</f>
        <v>1</v>
      </c>
    </row>
    <row r="790" spans="1:16">
      <c r="A790" s="5">
        <v>780</v>
      </c>
      <c r="B790" s="12">
        <v>23.24</v>
      </c>
      <c r="C790" s="12">
        <f t="shared" si="12"/>
        <v>1.94</v>
      </c>
      <c r="D790" s="8">
        <v>0.43689322471618652</v>
      </c>
      <c r="E790" s="5">
        <f>MATCH(D790,'Route Data'!$C$7:$C$8,1)</f>
        <v>2</v>
      </c>
      <c r="F790" s="5">
        <f>INDEX('Route Data'!$D$7:$D$8,E790)</f>
        <v>1</v>
      </c>
      <c r="G790" s="5" t="str">
        <f>INDEX('Route Data'!$A$7:$A$8,E790)</f>
        <v>u18</v>
      </c>
      <c r="H790" s="5">
        <f>EnergyCoeff(INDEX('Route Data'!$K$7:$K$8,E790),INDEX('Route Data'!$L$7:$L$8,E790)*2*PI()/60,INDEX('Route Data'!$F$7:$F$8,E790))</f>
        <v>0.19430699130049439</v>
      </c>
      <c r="I790" s="5">
        <f>DischargeCoeff(INDEX('Route Data'!$I$7:$I$8,E790), INDEX('Route Data'!$L$7:$L$8,E790)*2*PI()/60, INDEX('Route Data'!$F$7:$F$8,E790))</f>
        <v>0.15939200179827354</v>
      </c>
      <c r="J790" s="8">
        <f>FlowAngleRel(INDEX('Route Data'!$J$7:$J$8,E790)*INDEX('Route Data'!$I$7:$I$8,E790), INDEX('Route Data'!$L$7:$L$8,E790)*2*PI()/60, INDEX('Route Data'!$F$7:$F$8,E790),INDEX('Route Data'!$O$7:$O$8,E790), INDEX('Route Data'!$P$7:$P$8,E790),INDEX('Route Data'!$M$7:$M$8,E790))</f>
        <v>1.130811765868994</v>
      </c>
      <c r="K790" s="8">
        <f>FlowAngleAbsT(INDEX('Route Data'!$K$7:$K$8,E790), INDEX('Route Data'!$I$7:$I$8,E790), INDEX('Route Data'!$I$7:$I$8,E790)*INDEX('Route Data'!$J$7:$J$8,E790), INDEX('Route Data'!$L$7:$L$8,E790)*2*PI()/60, INDEX('Route Data'!$F$7:$F$8,E790),INDEX('Route Data'!$O$7:$O$8,E790), INDEX('Route Data'!$P$7:$P$8,E790), INDEX('Route Data'!$H$7:$H$8,E790), INDEX('Route Data'!$Q$7:$Q$8,E790), INDEX('Route Data'!$M$7:$M$8,E790))</f>
        <v>0.51617226640175828</v>
      </c>
      <c r="L790" s="5">
        <f>INDEX('Route Data'!$N$7:$N$8,E790)</f>
        <v>0.4</v>
      </c>
      <c r="M790" s="8">
        <v>0.43979477882385254</v>
      </c>
      <c r="N790" s="8">
        <f>ProbStrikeFrancis(K790, I790, L790, INDEX('Route Data'!$G$7:$G$8,E790),C790, INDEX('Route Data'!$F$7:$F$8,E790), INDEX('Route Data'!$O$7:$O$8,E790), INDEX('Route Data'!$H$7:$H$18,E790))</f>
        <v>1</v>
      </c>
      <c r="O790" s="5" t="str">
        <f>IF(F790&gt;=1,IF(M790&lt;=N790,"STRIKE","pass"),IF(M790&lt;=INDEX('Route Data'!$R$7:$R$8,E790),"NO PASS","pass"))</f>
        <v>STRIKE</v>
      </c>
      <c r="P790" s="5">
        <f>IF(F790&gt;=1,IF(M790&lt;=N790,1,0),IF(M790&lt;=INDEX('Route Data'!$R$7:$R$8,E790),-1,0))</f>
        <v>1</v>
      </c>
    </row>
    <row r="791" spans="1:16">
      <c r="A791" s="5">
        <v>781</v>
      </c>
      <c r="B791" s="12">
        <v>25.47</v>
      </c>
      <c r="C791" s="12">
        <f t="shared" si="12"/>
        <v>2.12</v>
      </c>
      <c r="D791" s="8">
        <v>0.27667325735092163</v>
      </c>
      <c r="E791" s="5">
        <f>MATCH(D791,'Route Data'!$C$7:$C$8,1)</f>
        <v>2</v>
      </c>
      <c r="F791" s="5">
        <f>INDEX('Route Data'!$D$7:$D$8,E791)</f>
        <v>1</v>
      </c>
      <c r="G791" s="5" t="str">
        <f>INDEX('Route Data'!$A$7:$A$8,E791)</f>
        <v>u18</v>
      </c>
      <c r="H791" s="5">
        <f>EnergyCoeff(INDEX('Route Data'!$K$7:$K$8,E791),INDEX('Route Data'!$L$7:$L$8,E791)*2*PI()/60,INDEX('Route Data'!$F$7:$F$8,E791))</f>
        <v>0.19430699130049439</v>
      </c>
      <c r="I791" s="5">
        <f>DischargeCoeff(INDEX('Route Data'!$I$7:$I$8,E791), INDEX('Route Data'!$L$7:$L$8,E791)*2*PI()/60, INDEX('Route Data'!$F$7:$F$8,E791))</f>
        <v>0.15939200179827354</v>
      </c>
      <c r="J791" s="8">
        <f>FlowAngleRel(INDEX('Route Data'!$J$7:$J$8,E791)*INDEX('Route Data'!$I$7:$I$8,E791), INDEX('Route Data'!$L$7:$L$8,E791)*2*PI()/60, INDEX('Route Data'!$F$7:$F$8,E791),INDEX('Route Data'!$O$7:$O$8,E791), INDEX('Route Data'!$P$7:$P$8,E791),INDEX('Route Data'!$M$7:$M$8,E791))</f>
        <v>1.130811765868994</v>
      </c>
      <c r="K791" s="8">
        <f>FlowAngleAbsT(INDEX('Route Data'!$K$7:$K$8,E791), INDEX('Route Data'!$I$7:$I$8,E791), INDEX('Route Data'!$I$7:$I$8,E791)*INDEX('Route Data'!$J$7:$J$8,E791), INDEX('Route Data'!$L$7:$L$8,E791)*2*PI()/60, INDEX('Route Data'!$F$7:$F$8,E791),INDEX('Route Data'!$O$7:$O$8,E791), INDEX('Route Data'!$P$7:$P$8,E791), INDEX('Route Data'!$H$7:$H$8,E791), INDEX('Route Data'!$Q$7:$Q$8,E791), INDEX('Route Data'!$M$7:$M$8,E791))</f>
        <v>0.51617226640175828</v>
      </c>
      <c r="L791" s="5">
        <f>INDEX('Route Data'!$N$7:$N$8,E791)</f>
        <v>0.4</v>
      </c>
      <c r="M791" s="8">
        <v>0.62137740850448608</v>
      </c>
      <c r="N791" s="8">
        <f>ProbStrikeFrancis(K791, I791, L791, INDEX('Route Data'!$G$7:$G$8,E791),C791, INDEX('Route Data'!$F$7:$F$8,E791), INDEX('Route Data'!$O$7:$O$8,E791), INDEX('Route Data'!$H$7:$H$18,E791))</f>
        <v>1</v>
      </c>
      <c r="O791" s="5" t="str">
        <f>IF(F791&gt;=1,IF(M791&lt;=N791,"STRIKE","pass"),IF(M791&lt;=INDEX('Route Data'!$R$7:$R$8,E791),"NO PASS","pass"))</f>
        <v>STRIKE</v>
      </c>
      <c r="P791" s="5">
        <f>IF(F791&gt;=1,IF(M791&lt;=N791,1,0),IF(M791&lt;=INDEX('Route Data'!$R$7:$R$8,E791),-1,0))</f>
        <v>1</v>
      </c>
    </row>
    <row r="792" spans="1:16">
      <c r="A792" s="5">
        <v>782</v>
      </c>
      <c r="B792" s="12">
        <v>23.27</v>
      </c>
      <c r="C792" s="12">
        <f t="shared" si="12"/>
        <v>1.94</v>
      </c>
      <c r="D792" s="8">
        <v>0.75733315944671631</v>
      </c>
      <c r="E792" s="5">
        <f>MATCH(D792,'Route Data'!$C$7:$C$8,1)</f>
        <v>2</v>
      </c>
      <c r="F792" s="5">
        <f>INDEX('Route Data'!$D$7:$D$8,E792)</f>
        <v>1</v>
      </c>
      <c r="G792" s="5" t="str">
        <f>INDEX('Route Data'!$A$7:$A$8,E792)</f>
        <v>u18</v>
      </c>
      <c r="H792" s="5">
        <f>EnergyCoeff(INDEX('Route Data'!$K$7:$K$8,E792),INDEX('Route Data'!$L$7:$L$8,E792)*2*PI()/60,INDEX('Route Data'!$F$7:$F$8,E792))</f>
        <v>0.19430699130049439</v>
      </c>
      <c r="I792" s="5">
        <f>DischargeCoeff(INDEX('Route Data'!$I$7:$I$8,E792), INDEX('Route Data'!$L$7:$L$8,E792)*2*PI()/60, INDEX('Route Data'!$F$7:$F$8,E792))</f>
        <v>0.15939200179827354</v>
      </c>
      <c r="J792" s="8">
        <f>FlowAngleRel(INDEX('Route Data'!$J$7:$J$8,E792)*INDEX('Route Data'!$I$7:$I$8,E792), INDEX('Route Data'!$L$7:$L$8,E792)*2*PI()/60, INDEX('Route Data'!$F$7:$F$8,E792),INDEX('Route Data'!$O$7:$O$8,E792), INDEX('Route Data'!$P$7:$P$8,E792),INDEX('Route Data'!$M$7:$M$8,E792))</f>
        <v>1.130811765868994</v>
      </c>
      <c r="K792" s="8">
        <f>FlowAngleAbsT(INDEX('Route Data'!$K$7:$K$8,E792), INDEX('Route Data'!$I$7:$I$8,E792), INDEX('Route Data'!$I$7:$I$8,E792)*INDEX('Route Data'!$J$7:$J$8,E792), INDEX('Route Data'!$L$7:$L$8,E792)*2*PI()/60, INDEX('Route Data'!$F$7:$F$8,E792),INDEX('Route Data'!$O$7:$O$8,E792), INDEX('Route Data'!$P$7:$P$8,E792), INDEX('Route Data'!$H$7:$H$8,E792), INDEX('Route Data'!$Q$7:$Q$8,E792), INDEX('Route Data'!$M$7:$M$8,E792))</f>
        <v>0.51617226640175828</v>
      </c>
      <c r="L792" s="5">
        <f>INDEX('Route Data'!$N$7:$N$8,E792)</f>
        <v>0.4</v>
      </c>
      <c r="M792" s="8">
        <v>7.6629519462585449E-2</v>
      </c>
      <c r="N792" s="8">
        <f>ProbStrikeFrancis(K792, I792, L792, INDEX('Route Data'!$G$7:$G$8,E792),C792, INDEX('Route Data'!$F$7:$F$8,E792), INDEX('Route Data'!$O$7:$O$8,E792), INDEX('Route Data'!$H$7:$H$18,E792))</f>
        <v>1</v>
      </c>
      <c r="O792" s="5" t="str">
        <f>IF(F792&gt;=1,IF(M792&lt;=N792,"STRIKE","pass"),IF(M792&lt;=INDEX('Route Data'!$R$7:$R$8,E792),"NO PASS","pass"))</f>
        <v>STRIKE</v>
      </c>
      <c r="P792" s="5">
        <f>IF(F792&gt;=1,IF(M792&lt;=N792,1,0),IF(M792&lt;=INDEX('Route Data'!$R$7:$R$8,E792),-1,0))</f>
        <v>1</v>
      </c>
    </row>
    <row r="793" spans="1:16">
      <c r="A793" s="5">
        <v>783</v>
      </c>
      <c r="B793" s="12">
        <v>22.88</v>
      </c>
      <c r="C793" s="12">
        <f t="shared" si="12"/>
        <v>1.91</v>
      </c>
      <c r="D793" s="8">
        <v>0.31535345315933228</v>
      </c>
      <c r="E793" s="5">
        <f>MATCH(D793,'Route Data'!$C$7:$C$8,1)</f>
        <v>2</v>
      </c>
      <c r="F793" s="5">
        <f>INDEX('Route Data'!$D$7:$D$8,E793)</f>
        <v>1</v>
      </c>
      <c r="G793" s="5" t="str">
        <f>INDEX('Route Data'!$A$7:$A$8,E793)</f>
        <v>u18</v>
      </c>
      <c r="H793" s="5">
        <f>EnergyCoeff(INDEX('Route Data'!$K$7:$K$8,E793),INDEX('Route Data'!$L$7:$L$8,E793)*2*PI()/60,INDEX('Route Data'!$F$7:$F$8,E793))</f>
        <v>0.19430699130049439</v>
      </c>
      <c r="I793" s="5">
        <f>DischargeCoeff(INDEX('Route Data'!$I$7:$I$8,E793), INDEX('Route Data'!$L$7:$L$8,E793)*2*PI()/60, INDEX('Route Data'!$F$7:$F$8,E793))</f>
        <v>0.15939200179827354</v>
      </c>
      <c r="J793" s="8">
        <f>FlowAngleRel(INDEX('Route Data'!$J$7:$J$8,E793)*INDEX('Route Data'!$I$7:$I$8,E793), INDEX('Route Data'!$L$7:$L$8,E793)*2*PI()/60, INDEX('Route Data'!$F$7:$F$8,E793),INDEX('Route Data'!$O$7:$O$8,E793), INDEX('Route Data'!$P$7:$P$8,E793),INDEX('Route Data'!$M$7:$M$8,E793))</f>
        <v>1.130811765868994</v>
      </c>
      <c r="K793" s="8">
        <f>FlowAngleAbsT(INDEX('Route Data'!$K$7:$K$8,E793), INDEX('Route Data'!$I$7:$I$8,E793), INDEX('Route Data'!$I$7:$I$8,E793)*INDEX('Route Data'!$J$7:$J$8,E793), INDEX('Route Data'!$L$7:$L$8,E793)*2*PI()/60, INDEX('Route Data'!$F$7:$F$8,E793),INDEX('Route Data'!$O$7:$O$8,E793), INDEX('Route Data'!$P$7:$P$8,E793), INDEX('Route Data'!$H$7:$H$8,E793), INDEX('Route Data'!$Q$7:$Q$8,E793), INDEX('Route Data'!$M$7:$M$8,E793))</f>
        <v>0.51617226640175828</v>
      </c>
      <c r="L793" s="5">
        <f>INDEX('Route Data'!$N$7:$N$8,E793)</f>
        <v>0.4</v>
      </c>
      <c r="M793" s="8">
        <v>0.97645241022109985</v>
      </c>
      <c r="N793" s="8">
        <f>ProbStrikeFrancis(K793, I793, L793, INDEX('Route Data'!$G$7:$G$8,E793),C793, INDEX('Route Data'!$F$7:$F$8,E793), INDEX('Route Data'!$O$7:$O$8,E793), INDEX('Route Data'!$H$7:$H$18,E793))</f>
        <v>1</v>
      </c>
      <c r="O793" s="5" t="str">
        <f>IF(F793&gt;=1,IF(M793&lt;=N793,"STRIKE","pass"),IF(M793&lt;=INDEX('Route Data'!$R$7:$R$8,E793),"NO PASS","pass"))</f>
        <v>STRIKE</v>
      </c>
      <c r="P793" s="5">
        <f>IF(F793&gt;=1,IF(M793&lt;=N793,1,0),IF(M793&lt;=INDEX('Route Data'!$R$7:$R$8,E793),-1,0))</f>
        <v>1</v>
      </c>
    </row>
    <row r="794" spans="1:16">
      <c r="A794" s="5">
        <v>784</v>
      </c>
      <c r="B794" s="12">
        <v>21.96</v>
      </c>
      <c r="C794" s="12">
        <f t="shared" si="12"/>
        <v>1.83</v>
      </c>
      <c r="D794" s="8">
        <v>0.90687179565429688</v>
      </c>
      <c r="E794" s="5">
        <f>MATCH(D794,'Route Data'!$C$7:$C$8,1)</f>
        <v>2</v>
      </c>
      <c r="F794" s="5">
        <f>INDEX('Route Data'!$D$7:$D$8,E794)</f>
        <v>1</v>
      </c>
      <c r="G794" s="5" t="str">
        <f>INDEX('Route Data'!$A$7:$A$8,E794)</f>
        <v>u18</v>
      </c>
      <c r="H794" s="5">
        <f>EnergyCoeff(INDEX('Route Data'!$K$7:$K$8,E794),INDEX('Route Data'!$L$7:$L$8,E794)*2*PI()/60,INDEX('Route Data'!$F$7:$F$8,E794))</f>
        <v>0.19430699130049439</v>
      </c>
      <c r="I794" s="5">
        <f>DischargeCoeff(INDEX('Route Data'!$I$7:$I$8,E794), INDEX('Route Data'!$L$7:$L$8,E794)*2*PI()/60, INDEX('Route Data'!$F$7:$F$8,E794))</f>
        <v>0.15939200179827354</v>
      </c>
      <c r="J794" s="8">
        <f>FlowAngleRel(INDEX('Route Data'!$J$7:$J$8,E794)*INDEX('Route Data'!$I$7:$I$8,E794), INDEX('Route Data'!$L$7:$L$8,E794)*2*PI()/60, INDEX('Route Data'!$F$7:$F$8,E794),INDEX('Route Data'!$O$7:$O$8,E794), INDEX('Route Data'!$P$7:$P$8,E794),INDEX('Route Data'!$M$7:$M$8,E794))</f>
        <v>1.130811765868994</v>
      </c>
      <c r="K794" s="8">
        <f>FlowAngleAbsT(INDEX('Route Data'!$K$7:$K$8,E794), INDEX('Route Data'!$I$7:$I$8,E794), INDEX('Route Data'!$I$7:$I$8,E794)*INDEX('Route Data'!$J$7:$J$8,E794), INDEX('Route Data'!$L$7:$L$8,E794)*2*PI()/60, INDEX('Route Data'!$F$7:$F$8,E794),INDEX('Route Data'!$O$7:$O$8,E794), INDEX('Route Data'!$P$7:$P$8,E794), INDEX('Route Data'!$H$7:$H$8,E794), INDEX('Route Data'!$Q$7:$Q$8,E794), INDEX('Route Data'!$M$7:$M$8,E794))</f>
        <v>0.51617226640175828</v>
      </c>
      <c r="L794" s="5">
        <f>INDEX('Route Data'!$N$7:$N$8,E794)</f>
        <v>0.4</v>
      </c>
      <c r="M794" s="8">
        <v>0.54256296157836914</v>
      </c>
      <c r="N794" s="8">
        <f>ProbStrikeFrancis(K794, I794, L794, INDEX('Route Data'!$G$7:$G$8,E794),C794, INDEX('Route Data'!$F$7:$F$8,E794), INDEX('Route Data'!$O$7:$O$8,E794), INDEX('Route Data'!$H$7:$H$18,E794))</f>
        <v>1</v>
      </c>
      <c r="O794" s="5" t="str">
        <f>IF(F794&gt;=1,IF(M794&lt;=N794,"STRIKE","pass"),IF(M794&lt;=INDEX('Route Data'!$R$7:$R$8,E794),"NO PASS","pass"))</f>
        <v>STRIKE</v>
      </c>
      <c r="P794" s="5">
        <f>IF(F794&gt;=1,IF(M794&lt;=N794,1,0),IF(M794&lt;=INDEX('Route Data'!$R$7:$R$8,E794),-1,0))</f>
        <v>1</v>
      </c>
    </row>
    <row r="795" spans="1:16">
      <c r="A795" s="5">
        <v>785</v>
      </c>
      <c r="B795" s="12">
        <v>24.97</v>
      </c>
      <c r="C795" s="12">
        <f t="shared" si="12"/>
        <v>2.08</v>
      </c>
      <c r="D795" s="8">
        <v>0.86673754453659058</v>
      </c>
      <c r="E795" s="5">
        <f>MATCH(D795,'Route Data'!$C$7:$C$8,1)</f>
        <v>2</v>
      </c>
      <c r="F795" s="5">
        <f>INDEX('Route Data'!$D$7:$D$8,E795)</f>
        <v>1</v>
      </c>
      <c r="G795" s="5" t="str">
        <f>INDEX('Route Data'!$A$7:$A$8,E795)</f>
        <v>u18</v>
      </c>
      <c r="H795" s="5">
        <f>EnergyCoeff(INDEX('Route Data'!$K$7:$K$8,E795),INDEX('Route Data'!$L$7:$L$8,E795)*2*PI()/60,INDEX('Route Data'!$F$7:$F$8,E795))</f>
        <v>0.19430699130049439</v>
      </c>
      <c r="I795" s="5">
        <f>DischargeCoeff(INDEX('Route Data'!$I$7:$I$8,E795), INDEX('Route Data'!$L$7:$L$8,E795)*2*PI()/60, INDEX('Route Data'!$F$7:$F$8,E795))</f>
        <v>0.15939200179827354</v>
      </c>
      <c r="J795" s="8">
        <f>FlowAngleRel(INDEX('Route Data'!$J$7:$J$8,E795)*INDEX('Route Data'!$I$7:$I$8,E795), INDEX('Route Data'!$L$7:$L$8,E795)*2*PI()/60, INDEX('Route Data'!$F$7:$F$8,E795),INDEX('Route Data'!$O$7:$O$8,E795), INDEX('Route Data'!$P$7:$P$8,E795),INDEX('Route Data'!$M$7:$M$8,E795))</f>
        <v>1.130811765868994</v>
      </c>
      <c r="K795" s="8">
        <f>FlowAngleAbsT(INDEX('Route Data'!$K$7:$K$8,E795), INDEX('Route Data'!$I$7:$I$8,E795), INDEX('Route Data'!$I$7:$I$8,E795)*INDEX('Route Data'!$J$7:$J$8,E795), INDEX('Route Data'!$L$7:$L$8,E795)*2*PI()/60, INDEX('Route Data'!$F$7:$F$8,E795),INDEX('Route Data'!$O$7:$O$8,E795), INDEX('Route Data'!$P$7:$P$8,E795), INDEX('Route Data'!$H$7:$H$8,E795), INDEX('Route Data'!$Q$7:$Q$8,E795), INDEX('Route Data'!$M$7:$M$8,E795))</f>
        <v>0.51617226640175828</v>
      </c>
      <c r="L795" s="5">
        <f>INDEX('Route Data'!$N$7:$N$8,E795)</f>
        <v>0.4</v>
      </c>
      <c r="M795" s="8">
        <v>0.57865208387374878</v>
      </c>
      <c r="N795" s="8">
        <f>ProbStrikeFrancis(K795, I795, L795, INDEX('Route Data'!$G$7:$G$8,E795),C795, INDEX('Route Data'!$F$7:$F$8,E795), INDEX('Route Data'!$O$7:$O$8,E795), INDEX('Route Data'!$H$7:$H$18,E795))</f>
        <v>1</v>
      </c>
      <c r="O795" s="5" t="str">
        <f>IF(F795&gt;=1,IF(M795&lt;=N795,"STRIKE","pass"),IF(M795&lt;=INDEX('Route Data'!$R$7:$R$8,E795),"NO PASS","pass"))</f>
        <v>STRIKE</v>
      </c>
      <c r="P795" s="5">
        <f>IF(F795&gt;=1,IF(M795&lt;=N795,1,0),IF(M795&lt;=INDEX('Route Data'!$R$7:$R$8,E795),-1,0))</f>
        <v>1</v>
      </c>
    </row>
    <row r="796" spans="1:16">
      <c r="A796" s="5">
        <v>786</v>
      </c>
      <c r="B796" s="12">
        <v>24.38</v>
      </c>
      <c r="C796" s="12">
        <f t="shared" si="12"/>
        <v>2.0299999999999998</v>
      </c>
      <c r="D796" s="8">
        <v>0.51829874515533447</v>
      </c>
      <c r="E796" s="5">
        <f>MATCH(D796,'Route Data'!$C$7:$C$8,1)</f>
        <v>2</v>
      </c>
      <c r="F796" s="5">
        <f>INDEX('Route Data'!$D$7:$D$8,E796)</f>
        <v>1</v>
      </c>
      <c r="G796" s="5" t="str">
        <f>INDEX('Route Data'!$A$7:$A$8,E796)</f>
        <v>u18</v>
      </c>
      <c r="H796" s="5">
        <f>EnergyCoeff(INDEX('Route Data'!$K$7:$K$8,E796),INDEX('Route Data'!$L$7:$L$8,E796)*2*PI()/60,INDEX('Route Data'!$F$7:$F$8,E796))</f>
        <v>0.19430699130049439</v>
      </c>
      <c r="I796" s="5">
        <f>DischargeCoeff(INDEX('Route Data'!$I$7:$I$8,E796), INDEX('Route Data'!$L$7:$L$8,E796)*2*PI()/60, INDEX('Route Data'!$F$7:$F$8,E796))</f>
        <v>0.15939200179827354</v>
      </c>
      <c r="J796" s="8">
        <f>FlowAngleRel(INDEX('Route Data'!$J$7:$J$8,E796)*INDEX('Route Data'!$I$7:$I$8,E796), INDEX('Route Data'!$L$7:$L$8,E796)*2*PI()/60, INDEX('Route Data'!$F$7:$F$8,E796),INDEX('Route Data'!$O$7:$O$8,E796), INDEX('Route Data'!$P$7:$P$8,E796),INDEX('Route Data'!$M$7:$M$8,E796))</f>
        <v>1.130811765868994</v>
      </c>
      <c r="K796" s="8">
        <f>FlowAngleAbsT(INDEX('Route Data'!$K$7:$K$8,E796), INDEX('Route Data'!$I$7:$I$8,E796), INDEX('Route Data'!$I$7:$I$8,E796)*INDEX('Route Data'!$J$7:$J$8,E796), INDEX('Route Data'!$L$7:$L$8,E796)*2*PI()/60, INDEX('Route Data'!$F$7:$F$8,E796),INDEX('Route Data'!$O$7:$O$8,E796), INDEX('Route Data'!$P$7:$P$8,E796), INDEX('Route Data'!$H$7:$H$8,E796), INDEX('Route Data'!$Q$7:$Q$8,E796), INDEX('Route Data'!$M$7:$M$8,E796))</f>
        <v>0.51617226640175828</v>
      </c>
      <c r="L796" s="5">
        <f>INDEX('Route Data'!$N$7:$N$8,E796)</f>
        <v>0.4</v>
      </c>
      <c r="M796" s="8">
        <v>0.20480549335479736</v>
      </c>
      <c r="N796" s="8">
        <f>ProbStrikeFrancis(K796, I796, L796, INDEX('Route Data'!$G$7:$G$8,E796),C796, INDEX('Route Data'!$F$7:$F$8,E796), INDEX('Route Data'!$O$7:$O$8,E796), INDEX('Route Data'!$H$7:$H$18,E796))</f>
        <v>1</v>
      </c>
      <c r="O796" s="5" t="str">
        <f>IF(F796&gt;=1,IF(M796&lt;=N796,"STRIKE","pass"),IF(M796&lt;=INDEX('Route Data'!$R$7:$R$8,E796),"NO PASS","pass"))</f>
        <v>STRIKE</v>
      </c>
      <c r="P796" s="5">
        <f>IF(F796&gt;=1,IF(M796&lt;=N796,1,0),IF(M796&lt;=INDEX('Route Data'!$R$7:$R$8,E796),-1,0))</f>
        <v>1</v>
      </c>
    </row>
    <row r="797" spans="1:16">
      <c r="A797" s="5">
        <v>787</v>
      </c>
      <c r="B797" s="12">
        <v>19.52</v>
      </c>
      <c r="C797" s="12">
        <f t="shared" si="12"/>
        <v>1.63</v>
      </c>
      <c r="D797" s="8">
        <v>0.29803591966629028</v>
      </c>
      <c r="E797" s="5">
        <f>MATCH(D797,'Route Data'!$C$7:$C$8,1)</f>
        <v>2</v>
      </c>
      <c r="F797" s="5">
        <f>INDEX('Route Data'!$D$7:$D$8,E797)</f>
        <v>1</v>
      </c>
      <c r="G797" s="5" t="str">
        <f>INDEX('Route Data'!$A$7:$A$8,E797)</f>
        <v>u18</v>
      </c>
      <c r="H797" s="5">
        <f>EnergyCoeff(INDEX('Route Data'!$K$7:$K$8,E797),INDEX('Route Data'!$L$7:$L$8,E797)*2*PI()/60,INDEX('Route Data'!$F$7:$F$8,E797))</f>
        <v>0.19430699130049439</v>
      </c>
      <c r="I797" s="5">
        <f>DischargeCoeff(INDEX('Route Data'!$I$7:$I$8,E797), INDEX('Route Data'!$L$7:$L$8,E797)*2*PI()/60, INDEX('Route Data'!$F$7:$F$8,E797))</f>
        <v>0.15939200179827354</v>
      </c>
      <c r="J797" s="8">
        <f>FlowAngleRel(INDEX('Route Data'!$J$7:$J$8,E797)*INDEX('Route Data'!$I$7:$I$8,E797), INDEX('Route Data'!$L$7:$L$8,E797)*2*PI()/60, INDEX('Route Data'!$F$7:$F$8,E797),INDEX('Route Data'!$O$7:$O$8,E797), INDEX('Route Data'!$P$7:$P$8,E797),INDEX('Route Data'!$M$7:$M$8,E797))</f>
        <v>1.130811765868994</v>
      </c>
      <c r="K797" s="8">
        <f>FlowAngleAbsT(INDEX('Route Data'!$K$7:$K$8,E797), INDEX('Route Data'!$I$7:$I$8,E797), INDEX('Route Data'!$I$7:$I$8,E797)*INDEX('Route Data'!$J$7:$J$8,E797), INDEX('Route Data'!$L$7:$L$8,E797)*2*PI()/60, INDEX('Route Data'!$F$7:$F$8,E797),INDEX('Route Data'!$O$7:$O$8,E797), INDEX('Route Data'!$P$7:$P$8,E797), INDEX('Route Data'!$H$7:$H$8,E797), INDEX('Route Data'!$Q$7:$Q$8,E797), INDEX('Route Data'!$M$7:$M$8,E797))</f>
        <v>0.51617226640175828</v>
      </c>
      <c r="L797" s="5">
        <f>INDEX('Route Data'!$N$7:$N$8,E797)</f>
        <v>0.4</v>
      </c>
      <c r="M797" s="8">
        <v>0.32634526491165161</v>
      </c>
      <c r="N797" s="8">
        <f>ProbStrikeFrancis(K797, I797, L797, INDEX('Route Data'!$G$7:$G$8,E797),C797, INDEX('Route Data'!$F$7:$F$8,E797), INDEX('Route Data'!$O$7:$O$8,E797), INDEX('Route Data'!$H$7:$H$18,E797))</f>
        <v>1</v>
      </c>
      <c r="O797" s="5" t="str">
        <f>IF(F797&gt;=1,IF(M797&lt;=N797,"STRIKE","pass"),IF(M797&lt;=INDEX('Route Data'!$R$7:$R$8,E797),"NO PASS","pass"))</f>
        <v>STRIKE</v>
      </c>
      <c r="P797" s="5">
        <f>IF(F797&gt;=1,IF(M797&lt;=N797,1,0),IF(M797&lt;=INDEX('Route Data'!$R$7:$R$8,E797),-1,0))</f>
        <v>1</v>
      </c>
    </row>
    <row r="798" spans="1:16">
      <c r="A798" s="5">
        <v>788</v>
      </c>
      <c r="B798" s="12">
        <v>25.79</v>
      </c>
      <c r="C798" s="12">
        <f t="shared" si="12"/>
        <v>2.15</v>
      </c>
      <c r="D798" s="8">
        <v>0.69324517250061035</v>
      </c>
      <c r="E798" s="5">
        <f>MATCH(D798,'Route Data'!$C$7:$C$8,1)</f>
        <v>2</v>
      </c>
      <c r="F798" s="5">
        <f>INDEX('Route Data'!$D$7:$D$8,E798)</f>
        <v>1</v>
      </c>
      <c r="G798" s="5" t="str">
        <f>INDEX('Route Data'!$A$7:$A$8,E798)</f>
        <v>u18</v>
      </c>
      <c r="H798" s="5">
        <f>EnergyCoeff(INDEX('Route Data'!$K$7:$K$8,E798),INDEX('Route Data'!$L$7:$L$8,E798)*2*PI()/60,INDEX('Route Data'!$F$7:$F$8,E798))</f>
        <v>0.19430699130049439</v>
      </c>
      <c r="I798" s="5">
        <f>DischargeCoeff(INDEX('Route Data'!$I$7:$I$8,E798), INDEX('Route Data'!$L$7:$L$8,E798)*2*PI()/60, INDEX('Route Data'!$F$7:$F$8,E798))</f>
        <v>0.15939200179827354</v>
      </c>
      <c r="J798" s="8">
        <f>FlowAngleRel(INDEX('Route Data'!$J$7:$J$8,E798)*INDEX('Route Data'!$I$7:$I$8,E798), INDEX('Route Data'!$L$7:$L$8,E798)*2*PI()/60, INDEX('Route Data'!$F$7:$F$8,E798),INDEX('Route Data'!$O$7:$O$8,E798), INDEX('Route Data'!$P$7:$P$8,E798),INDEX('Route Data'!$M$7:$M$8,E798))</f>
        <v>1.130811765868994</v>
      </c>
      <c r="K798" s="8">
        <f>FlowAngleAbsT(INDEX('Route Data'!$K$7:$K$8,E798), INDEX('Route Data'!$I$7:$I$8,E798), INDEX('Route Data'!$I$7:$I$8,E798)*INDEX('Route Data'!$J$7:$J$8,E798), INDEX('Route Data'!$L$7:$L$8,E798)*2*PI()/60, INDEX('Route Data'!$F$7:$F$8,E798),INDEX('Route Data'!$O$7:$O$8,E798), INDEX('Route Data'!$P$7:$P$8,E798), INDEX('Route Data'!$H$7:$H$8,E798), INDEX('Route Data'!$Q$7:$Q$8,E798), INDEX('Route Data'!$M$7:$M$8,E798))</f>
        <v>0.51617226640175828</v>
      </c>
      <c r="L798" s="5">
        <f>INDEX('Route Data'!$N$7:$N$8,E798)</f>
        <v>0.4</v>
      </c>
      <c r="M798" s="8">
        <v>0.69614672660827637</v>
      </c>
      <c r="N798" s="8">
        <f>ProbStrikeFrancis(K798, I798, L798, INDEX('Route Data'!$G$7:$G$8,E798),C798, INDEX('Route Data'!$F$7:$F$8,E798), INDEX('Route Data'!$O$7:$O$8,E798), INDEX('Route Data'!$H$7:$H$18,E798))</f>
        <v>1</v>
      </c>
      <c r="O798" s="5" t="str">
        <f>IF(F798&gt;=1,IF(M798&lt;=N798,"STRIKE","pass"),IF(M798&lt;=INDEX('Route Data'!$R$7:$R$8,E798),"NO PASS","pass"))</f>
        <v>STRIKE</v>
      </c>
      <c r="P798" s="5">
        <f>IF(F798&gt;=1,IF(M798&lt;=N798,1,0),IF(M798&lt;=INDEX('Route Data'!$R$7:$R$8,E798),-1,0))</f>
        <v>1</v>
      </c>
    </row>
    <row r="799" spans="1:16">
      <c r="A799" s="5">
        <v>789</v>
      </c>
      <c r="B799" s="12">
        <v>17.82</v>
      </c>
      <c r="C799" s="12">
        <f t="shared" si="12"/>
        <v>1.49</v>
      </c>
      <c r="D799" s="8">
        <v>0.50761741399765015</v>
      </c>
      <c r="E799" s="5">
        <f>MATCH(D799,'Route Data'!$C$7:$C$8,1)</f>
        <v>2</v>
      </c>
      <c r="F799" s="5">
        <f>INDEX('Route Data'!$D$7:$D$8,E799)</f>
        <v>1</v>
      </c>
      <c r="G799" s="5" t="str">
        <f>INDEX('Route Data'!$A$7:$A$8,E799)</f>
        <v>u18</v>
      </c>
      <c r="H799" s="5">
        <f>EnergyCoeff(INDEX('Route Data'!$K$7:$K$8,E799),INDEX('Route Data'!$L$7:$L$8,E799)*2*PI()/60,INDEX('Route Data'!$F$7:$F$8,E799))</f>
        <v>0.19430699130049439</v>
      </c>
      <c r="I799" s="5">
        <f>DischargeCoeff(INDEX('Route Data'!$I$7:$I$8,E799), INDEX('Route Data'!$L$7:$L$8,E799)*2*PI()/60, INDEX('Route Data'!$F$7:$F$8,E799))</f>
        <v>0.15939200179827354</v>
      </c>
      <c r="J799" s="8">
        <f>FlowAngleRel(INDEX('Route Data'!$J$7:$J$8,E799)*INDEX('Route Data'!$I$7:$I$8,E799), INDEX('Route Data'!$L$7:$L$8,E799)*2*PI()/60, INDEX('Route Data'!$F$7:$F$8,E799),INDEX('Route Data'!$O$7:$O$8,E799), INDEX('Route Data'!$P$7:$P$8,E799),INDEX('Route Data'!$M$7:$M$8,E799))</f>
        <v>1.130811765868994</v>
      </c>
      <c r="K799" s="8">
        <f>FlowAngleAbsT(INDEX('Route Data'!$K$7:$K$8,E799), INDEX('Route Data'!$I$7:$I$8,E799), INDEX('Route Data'!$I$7:$I$8,E799)*INDEX('Route Data'!$J$7:$J$8,E799), INDEX('Route Data'!$L$7:$L$8,E799)*2*PI()/60, INDEX('Route Data'!$F$7:$F$8,E799),INDEX('Route Data'!$O$7:$O$8,E799), INDEX('Route Data'!$P$7:$P$8,E799), INDEX('Route Data'!$H$7:$H$8,E799), INDEX('Route Data'!$Q$7:$Q$8,E799), INDEX('Route Data'!$M$7:$M$8,E799))</f>
        <v>0.51617226640175828</v>
      </c>
      <c r="L799" s="5">
        <f>INDEX('Route Data'!$N$7:$N$8,E799)</f>
        <v>0.4</v>
      </c>
      <c r="M799" s="8">
        <v>0.8523215651512146</v>
      </c>
      <c r="N799" s="8">
        <f>ProbStrikeFrancis(K799, I799, L799, INDEX('Route Data'!$G$7:$G$8,E799),C799, INDEX('Route Data'!$F$7:$F$8,E799), INDEX('Route Data'!$O$7:$O$8,E799), INDEX('Route Data'!$H$7:$H$18,E799))</f>
        <v>1</v>
      </c>
      <c r="O799" s="5" t="str">
        <f>IF(F799&gt;=1,IF(M799&lt;=N799,"STRIKE","pass"),IF(M799&lt;=INDEX('Route Data'!$R$7:$R$8,E799),"NO PASS","pass"))</f>
        <v>STRIKE</v>
      </c>
      <c r="P799" s="5">
        <f>IF(F799&gt;=1,IF(M799&lt;=N799,1,0),IF(M799&lt;=INDEX('Route Data'!$R$7:$R$8,E799),-1,0))</f>
        <v>1</v>
      </c>
    </row>
    <row r="800" spans="1:16">
      <c r="A800" s="5">
        <v>790</v>
      </c>
      <c r="B800" s="12">
        <v>19.600000000000001</v>
      </c>
      <c r="C800" s="12">
        <f t="shared" si="12"/>
        <v>1.63</v>
      </c>
      <c r="D800" s="8">
        <v>0.33007991313934326</v>
      </c>
      <c r="E800" s="5">
        <f>MATCH(D800,'Route Data'!$C$7:$C$8,1)</f>
        <v>2</v>
      </c>
      <c r="F800" s="5">
        <f>INDEX('Route Data'!$D$7:$D$8,E800)</f>
        <v>1</v>
      </c>
      <c r="G800" s="5" t="str">
        <f>INDEX('Route Data'!$A$7:$A$8,E800)</f>
        <v>u18</v>
      </c>
      <c r="H800" s="5">
        <f>EnergyCoeff(INDEX('Route Data'!$K$7:$K$8,E800),INDEX('Route Data'!$L$7:$L$8,E800)*2*PI()/60,INDEX('Route Data'!$F$7:$F$8,E800))</f>
        <v>0.19430699130049439</v>
      </c>
      <c r="I800" s="5">
        <f>DischargeCoeff(INDEX('Route Data'!$I$7:$I$8,E800), INDEX('Route Data'!$L$7:$L$8,E800)*2*PI()/60, INDEX('Route Data'!$F$7:$F$8,E800))</f>
        <v>0.15939200179827354</v>
      </c>
      <c r="J800" s="8">
        <f>FlowAngleRel(INDEX('Route Data'!$J$7:$J$8,E800)*INDEX('Route Data'!$I$7:$I$8,E800), INDEX('Route Data'!$L$7:$L$8,E800)*2*PI()/60, INDEX('Route Data'!$F$7:$F$8,E800),INDEX('Route Data'!$O$7:$O$8,E800), INDEX('Route Data'!$P$7:$P$8,E800),INDEX('Route Data'!$M$7:$M$8,E800))</f>
        <v>1.130811765868994</v>
      </c>
      <c r="K800" s="8">
        <f>FlowAngleAbsT(INDEX('Route Data'!$K$7:$K$8,E800), INDEX('Route Data'!$I$7:$I$8,E800), INDEX('Route Data'!$I$7:$I$8,E800)*INDEX('Route Data'!$J$7:$J$8,E800), INDEX('Route Data'!$L$7:$L$8,E800)*2*PI()/60, INDEX('Route Data'!$F$7:$F$8,E800),INDEX('Route Data'!$O$7:$O$8,E800), INDEX('Route Data'!$P$7:$P$8,E800), INDEX('Route Data'!$H$7:$H$8,E800), INDEX('Route Data'!$Q$7:$Q$8,E800), INDEX('Route Data'!$M$7:$M$8,E800))</f>
        <v>0.51617226640175828</v>
      </c>
      <c r="L800" s="5">
        <f>INDEX('Route Data'!$N$7:$N$8,E800)</f>
        <v>0.4</v>
      </c>
      <c r="M800" s="8">
        <v>0.6493762731552124</v>
      </c>
      <c r="N800" s="8">
        <f>ProbStrikeFrancis(K800, I800, L800, INDEX('Route Data'!$G$7:$G$8,E800),C800, INDEX('Route Data'!$F$7:$F$8,E800), INDEX('Route Data'!$O$7:$O$8,E800), INDEX('Route Data'!$H$7:$H$18,E800))</f>
        <v>1</v>
      </c>
      <c r="O800" s="5" t="str">
        <f>IF(F800&gt;=1,IF(M800&lt;=N800,"STRIKE","pass"),IF(M800&lt;=INDEX('Route Data'!$R$7:$R$8,E800),"NO PASS","pass"))</f>
        <v>STRIKE</v>
      </c>
      <c r="P800" s="5">
        <f>IF(F800&gt;=1,IF(M800&lt;=N800,1,0),IF(M800&lt;=INDEX('Route Data'!$R$7:$R$8,E800),-1,0))</f>
        <v>1</v>
      </c>
    </row>
    <row r="801" spans="1:16">
      <c r="A801" s="5">
        <v>791</v>
      </c>
      <c r="B801" s="12">
        <v>18.579999999999998</v>
      </c>
      <c r="C801" s="12">
        <f t="shared" si="12"/>
        <v>1.55</v>
      </c>
      <c r="D801" s="8">
        <v>0.59711319208145142</v>
      </c>
      <c r="E801" s="5">
        <f>MATCH(D801,'Route Data'!$C$7:$C$8,1)</f>
        <v>2</v>
      </c>
      <c r="F801" s="5">
        <f>INDEX('Route Data'!$D$7:$D$8,E801)</f>
        <v>1</v>
      </c>
      <c r="G801" s="5" t="str">
        <f>INDEX('Route Data'!$A$7:$A$8,E801)</f>
        <v>u18</v>
      </c>
      <c r="H801" s="5">
        <f>EnergyCoeff(INDEX('Route Data'!$K$7:$K$8,E801),INDEX('Route Data'!$L$7:$L$8,E801)*2*PI()/60,INDEX('Route Data'!$F$7:$F$8,E801))</f>
        <v>0.19430699130049439</v>
      </c>
      <c r="I801" s="5">
        <f>DischargeCoeff(INDEX('Route Data'!$I$7:$I$8,E801), INDEX('Route Data'!$L$7:$L$8,E801)*2*PI()/60, INDEX('Route Data'!$F$7:$F$8,E801))</f>
        <v>0.15939200179827354</v>
      </c>
      <c r="J801" s="8">
        <f>FlowAngleRel(INDEX('Route Data'!$J$7:$J$8,E801)*INDEX('Route Data'!$I$7:$I$8,E801), INDEX('Route Data'!$L$7:$L$8,E801)*2*PI()/60, INDEX('Route Data'!$F$7:$F$8,E801),INDEX('Route Data'!$O$7:$O$8,E801), INDEX('Route Data'!$P$7:$P$8,E801),INDEX('Route Data'!$M$7:$M$8,E801))</f>
        <v>1.130811765868994</v>
      </c>
      <c r="K801" s="8">
        <f>FlowAngleAbsT(INDEX('Route Data'!$K$7:$K$8,E801), INDEX('Route Data'!$I$7:$I$8,E801), INDEX('Route Data'!$I$7:$I$8,E801)*INDEX('Route Data'!$J$7:$J$8,E801), INDEX('Route Data'!$L$7:$L$8,E801)*2*PI()/60, INDEX('Route Data'!$F$7:$F$8,E801),INDEX('Route Data'!$O$7:$O$8,E801), INDEX('Route Data'!$P$7:$P$8,E801), INDEX('Route Data'!$H$7:$H$8,E801), INDEX('Route Data'!$Q$7:$Q$8,E801), INDEX('Route Data'!$M$7:$M$8,E801))</f>
        <v>0.51617226640175828</v>
      </c>
      <c r="L801" s="5">
        <f>INDEX('Route Data'!$N$7:$N$8,E801)</f>
        <v>0.4</v>
      </c>
      <c r="M801" s="8">
        <v>0.25821214914321899</v>
      </c>
      <c r="N801" s="8">
        <f>ProbStrikeFrancis(K801, I801, L801, INDEX('Route Data'!$G$7:$G$8,E801),C801, INDEX('Route Data'!$F$7:$F$8,E801), INDEX('Route Data'!$O$7:$O$8,E801), INDEX('Route Data'!$H$7:$H$18,E801))</f>
        <v>1</v>
      </c>
      <c r="O801" s="5" t="str">
        <f>IF(F801&gt;=1,IF(M801&lt;=N801,"STRIKE","pass"),IF(M801&lt;=INDEX('Route Data'!$R$7:$R$8,E801),"NO PASS","pass"))</f>
        <v>STRIKE</v>
      </c>
      <c r="P801" s="5">
        <f>IF(F801&gt;=1,IF(M801&lt;=N801,1,0),IF(M801&lt;=INDEX('Route Data'!$R$7:$R$8,E801),-1,0))</f>
        <v>1</v>
      </c>
    </row>
    <row r="802" spans="1:16">
      <c r="A802" s="5">
        <v>792</v>
      </c>
      <c r="B802" s="12">
        <v>21.06</v>
      </c>
      <c r="C802" s="12">
        <f t="shared" si="12"/>
        <v>1.76</v>
      </c>
      <c r="D802" s="8">
        <v>0.79601335525512695</v>
      </c>
      <c r="E802" s="5">
        <f>MATCH(D802,'Route Data'!$C$7:$C$8,1)</f>
        <v>2</v>
      </c>
      <c r="F802" s="5">
        <f>INDEX('Route Data'!$D$7:$D$8,E802)</f>
        <v>1</v>
      </c>
      <c r="G802" s="5" t="str">
        <f>INDEX('Route Data'!$A$7:$A$8,E802)</f>
        <v>u18</v>
      </c>
      <c r="H802" s="5">
        <f>EnergyCoeff(INDEX('Route Data'!$K$7:$K$8,E802),INDEX('Route Data'!$L$7:$L$8,E802)*2*PI()/60,INDEX('Route Data'!$F$7:$F$8,E802))</f>
        <v>0.19430699130049439</v>
      </c>
      <c r="I802" s="5">
        <f>DischargeCoeff(INDEX('Route Data'!$I$7:$I$8,E802), INDEX('Route Data'!$L$7:$L$8,E802)*2*PI()/60, INDEX('Route Data'!$F$7:$F$8,E802))</f>
        <v>0.15939200179827354</v>
      </c>
      <c r="J802" s="8">
        <f>FlowAngleRel(INDEX('Route Data'!$J$7:$J$8,E802)*INDEX('Route Data'!$I$7:$I$8,E802), INDEX('Route Data'!$L$7:$L$8,E802)*2*PI()/60, INDEX('Route Data'!$F$7:$F$8,E802),INDEX('Route Data'!$O$7:$O$8,E802), INDEX('Route Data'!$P$7:$P$8,E802),INDEX('Route Data'!$M$7:$M$8,E802))</f>
        <v>1.130811765868994</v>
      </c>
      <c r="K802" s="8">
        <f>FlowAngleAbsT(INDEX('Route Data'!$K$7:$K$8,E802), INDEX('Route Data'!$I$7:$I$8,E802), INDEX('Route Data'!$I$7:$I$8,E802)*INDEX('Route Data'!$J$7:$J$8,E802), INDEX('Route Data'!$L$7:$L$8,E802)*2*PI()/60, INDEX('Route Data'!$F$7:$F$8,E802),INDEX('Route Data'!$O$7:$O$8,E802), INDEX('Route Data'!$P$7:$P$8,E802), INDEX('Route Data'!$H$7:$H$8,E802), INDEX('Route Data'!$Q$7:$Q$8,E802), INDEX('Route Data'!$M$7:$M$8,E802))</f>
        <v>0.51617226640175828</v>
      </c>
      <c r="L802" s="5">
        <f>INDEX('Route Data'!$N$7:$N$8,E802)</f>
        <v>0.4</v>
      </c>
      <c r="M802" s="8">
        <v>0.16612529754638672</v>
      </c>
      <c r="N802" s="8">
        <f>ProbStrikeFrancis(K802, I802, L802, INDEX('Route Data'!$G$7:$G$8,E802),C802, INDEX('Route Data'!$F$7:$F$8,E802), INDEX('Route Data'!$O$7:$O$8,E802), INDEX('Route Data'!$H$7:$H$18,E802))</f>
        <v>1</v>
      </c>
      <c r="O802" s="5" t="str">
        <f>IF(F802&gt;=1,IF(M802&lt;=N802,"STRIKE","pass"),IF(M802&lt;=INDEX('Route Data'!$R$7:$R$8,E802),"NO PASS","pass"))</f>
        <v>STRIKE</v>
      </c>
      <c r="P802" s="5">
        <f>IF(F802&gt;=1,IF(M802&lt;=N802,1,0),IF(M802&lt;=INDEX('Route Data'!$R$7:$R$8,E802),-1,0))</f>
        <v>1</v>
      </c>
    </row>
    <row r="803" spans="1:16">
      <c r="A803" s="5">
        <v>793</v>
      </c>
      <c r="B803" s="12">
        <v>23.68</v>
      </c>
      <c r="C803" s="12">
        <f t="shared" si="12"/>
        <v>1.97</v>
      </c>
      <c r="D803" s="8">
        <v>0.46489208936691284</v>
      </c>
      <c r="E803" s="5">
        <f>MATCH(D803,'Route Data'!$C$7:$C$8,1)</f>
        <v>2</v>
      </c>
      <c r="F803" s="5">
        <f>INDEX('Route Data'!$D$7:$D$8,E803)</f>
        <v>1</v>
      </c>
      <c r="G803" s="5" t="str">
        <f>INDEX('Route Data'!$A$7:$A$8,E803)</f>
        <v>u18</v>
      </c>
      <c r="H803" s="5">
        <f>EnergyCoeff(INDEX('Route Data'!$K$7:$K$8,E803),INDEX('Route Data'!$L$7:$L$8,E803)*2*PI()/60,INDEX('Route Data'!$F$7:$F$8,E803))</f>
        <v>0.19430699130049439</v>
      </c>
      <c r="I803" s="5">
        <f>DischargeCoeff(INDEX('Route Data'!$I$7:$I$8,E803), INDEX('Route Data'!$L$7:$L$8,E803)*2*PI()/60, INDEX('Route Data'!$F$7:$F$8,E803))</f>
        <v>0.15939200179827354</v>
      </c>
      <c r="J803" s="8">
        <f>FlowAngleRel(INDEX('Route Data'!$J$7:$J$8,E803)*INDEX('Route Data'!$I$7:$I$8,E803), INDEX('Route Data'!$L$7:$L$8,E803)*2*PI()/60, INDEX('Route Data'!$F$7:$F$8,E803),INDEX('Route Data'!$O$7:$O$8,E803), INDEX('Route Data'!$P$7:$P$8,E803),INDEX('Route Data'!$M$7:$M$8,E803))</f>
        <v>1.130811765868994</v>
      </c>
      <c r="K803" s="8">
        <f>FlowAngleAbsT(INDEX('Route Data'!$K$7:$K$8,E803), INDEX('Route Data'!$I$7:$I$8,E803), INDEX('Route Data'!$I$7:$I$8,E803)*INDEX('Route Data'!$J$7:$J$8,E803), INDEX('Route Data'!$L$7:$L$8,E803)*2*PI()/60, INDEX('Route Data'!$F$7:$F$8,E803),INDEX('Route Data'!$O$7:$O$8,E803), INDEX('Route Data'!$P$7:$P$8,E803), INDEX('Route Data'!$H$7:$H$8,E803), INDEX('Route Data'!$Q$7:$Q$8,E803), INDEX('Route Data'!$M$7:$M$8,E803))</f>
        <v>0.51617226640175828</v>
      </c>
      <c r="L803" s="5">
        <f>INDEX('Route Data'!$N$7:$N$8,E803)</f>
        <v>0.4</v>
      </c>
      <c r="M803" s="8">
        <v>0.17680662870407104</v>
      </c>
      <c r="N803" s="8">
        <f>ProbStrikeFrancis(K803, I803, L803, INDEX('Route Data'!$G$7:$G$8,E803),C803, INDEX('Route Data'!$F$7:$F$8,E803), INDEX('Route Data'!$O$7:$O$8,E803), INDEX('Route Data'!$H$7:$H$18,E803))</f>
        <v>1</v>
      </c>
      <c r="O803" s="5" t="str">
        <f>IF(F803&gt;=1,IF(M803&lt;=N803,"STRIKE","pass"),IF(M803&lt;=INDEX('Route Data'!$R$7:$R$8,E803),"NO PASS","pass"))</f>
        <v>STRIKE</v>
      </c>
      <c r="P803" s="5">
        <f>IF(F803&gt;=1,IF(M803&lt;=N803,1,0),IF(M803&lt;=INDEX('Route Data'!$R$7:$R$8,E803),-1,0))</f>
        <v>1</v>
      </c>
    </row>
    <row r="804" spans="1:16">
      <c r="A804" s="5">
        <v>794</v>
      </c>
      <c r="B804" s="12">
        <v>23.84</v>
      </c>
      <c r="C804" s="12">
        <f t="shared" si="12"/>
        <v>1.99</v>
      </c>
      <c r="D804" s="8">
        <v>0.45825588703155518</v>
      </c>
      <c r="E804" s="5">
        <f>MATCH(D804,'Route Data'!$C$7:$C$8,1)</f>
        <v>2</v>
      </c>
      <c r="F804" s="5">
        <f>INDEX('Route Data'!$D$7:$D$8,E804)</f>
        <v>1</v>
      </c>
      <c r="G804" s="5" t="str">
        <f>INDEX('Route Data'!$A$7:$A$8,E804)</f>
        <v>u18</v>
      </c>
      <c r="H804" s="5">
        <f>EnergyCoeff(INDEX('Route Data'!$K$7:$K$8,E804),INDEX('Route Data'!$L$7:$L$8,E804)*2*PI()/60,INDEX('Route Data'!$F$7:$F$8,E804))</f>
        <v>0.19430699130049439</v>
      </c>
      <c r="I804" s="5">
        <f>DischargeCoeff(INDEX('Route Data'!$I$7:$I$8,E804), INDEX('Route Data'!$L$7:$L$8,E804)*2*PI()/60, INDEX('Route Data'!$F$7:$F$8,E804))</f>
        <v>0.15939200179827354</v>
      </c>
      <c r="J804" s="8">
        <f>FlowAngleRel(INDEX('Route Data'!$J$7:$J$8,E804)*INDEX('Route Data'!$I$7:$I$8,E804), INDEX('Route Data'!$L$7:$L$8,E804)*2*PI()/60, INDEX('Route Data'!$F$7:$F$8,E804),INDEX('Route Data'!$O$7:$O$8,E804), INDEX('Route Data'!$P$7:$P$8,E804),INDEX('Route Data'!$M$7:$M$8,E804))</f>
        <v>1.130811765868994</v>
      </c>
      <c r="K804" s="8">
        <f>FlowAngleAbsT(INDEX('Route Data'!$K$7:$K$8,E804), INDEX('Route Data'!$I$7:$I$8,E804), INDEX('Route Data'!$I$7:$I$8,E804)*INDEX('Route Data'!$J$7:$J$8,E804), INDEX('Route Data'!$L$7:$L$8,E804)*2*PI()/60, INDEX('Route Data'!$F$7:$F$8,E804),INDEX('Route Data'!$O$7:$O$8,E804), INDEX('Route Data'!$P$7:$P$8,E804), INDEX('Route Data'!$H$7:$H$8,E804), INDEX('Route Data'!$Q$7:$Q$8,E804), INDEX('Route Data'!$M$7:$M$8,E804))</f>
        <v>0.51617226640175828</v>
      </c>
      <c r="L804" s="5">
        <f>INDEX('Route Data'!$N$7:$N$8,E804)</f>
        <v>0.4</v>
      </c>
      <c r="M804" s="8">
        <v>0.14476263523101807</v>
      </c>
      <c r="N804" s="8">
        <f>ProbStrikeFrancis(K804, I804, L804, INDEX('Route Data'!$G$7:$G$8,E804),C804, INDEX('Route Data'!$F$7:$F$8,E804), INDEX('Route Data'!$O$7:$O$8,E804), INDEX('Route Data'!$H$7:$H$18,E804))</f>
        <v>1</v>
      </c>
      <c r="O804" s="5" t="str">
        <f>IF(F804&gt;=1,IF(M804&lt;=N804,"STRIKE","pass"),IF(M804&lt;=INDEX('Route Data'!$R$7:$R$8,E804),"NO PASS","pass"))</f>
        <v>STRIKE</v>
      </c>
      <c r="P804" s="5">
        <f>IF(F804&gt;=1,IF(M804&lt;=N804,1,0),IF(M804&lt;=INDEX('Route Data'!$R$7:$R$8,E804),-1,0))</f>
        <v>1</v>
      </c>
    </row>
    <row r="805" spans="1:16">
      <c r="A805" s="5">
        <v>795</v>
      </c>
      <c r="B805" s="12">
        <v>18.27</v>
      </c>
      <c r="C805" s="12">
        <f t="shared" si="12"/>
        <v>1.52</v>
      </c>
      <c r="D805" s="8">
        <v>0.21258527040481567</v>
      </c>
      <c r="E805" s="5">
        <f>MATCH(D805,'Route Data'!$C$7:$C$8,1)</f>
        <v>2</v>
      </c>
      <c r="F805" s="5">
        <f>INDEX('Route Data'!$D$7:$D$8,E805)</f>
        <v>1</v>
      </c>
      <c r="G805" s="5" t="str">
        <f>INDEX('Route Data'!$A$7:$A$8,E805)</f>
        <v>u18</v>
      </c>
      <c r="H805" s="5">
        <f>EnergyCoeff(INDEX('Route Data'!$K$7:$K$8,E805),INDEX('Route Data'!$L$7:$L$8,E805)*2*PI()/60,INDEX('Route Data'!$F$7:$F$8,E805))</f>
        <v>0.19430699130049439</v>
      </c>
      <c r="I805" s="5">
        <f>DischargeCoeff(INDEX('Route Data'!$I$7:$I$8,E805), INDEX('Route Data'!$L$7:$L$8,E805)*2*PI()/60, INDEX('Route Data'!$F$7:$F$8,E805))</f>
        <v>0.15939200179827354</v>
      </c>
      <c r="J805" s="8">
        <f>FlowAngleRel(INDEX('Route Data'!$J$7:$J$8,E805)*INDEX('Route Data'!$I$7:$I$8,E805), INDEX('Route Data'!$L$7:$L$8,E805)*2*PI()/60, INDEX('Route Data'!$F$7:$F$8,E805),INDEX('Route Data'!$O$7:$O$8,E805), INDEX('Route Data'!$P$7:$P$8,E805),INDEX('Route Data'!$M$7:$M$8,E805))</f>
        <v>1.130811765868994</v>
      </c>
      <c r="K805" s="8">
        <f>FlowAngleAbsT(INDEX('Route Data'!$K$7:$K$8,E805), INDEX('Route Data'!$I$7:$I$8,E805), INDEX('Route Data'!$I$7:$I$8,E805)*INDEX('Route Data'!$J$7:$J$8,E805), INDEX('Route Data'!$L$7:$L$8,E805)*2*PI()/60, INDEX('Route Data'!$F$7:$F$8,E805),INDEX('Route Data'!$O$7:$O$8,E805), INDEX('Route Data'!$P$7:$P$8,E805), INDEX('Route Data'!$H$7:$H$8,E805), INDEX('Route Data'!$Q$7:$Q$8,E805), INDEX('Route Data'!$M$7:$M$8,E805))</f>
        <v>0.51617226640175828</v>
      </c>
      <c r="L805" s="5">
        <f>INDEX('Route Data'!$N$7:$N$8,E805)</f>
        <v>0.4</v>
      </c>
      <c r="M805" s="8">
        <v>0.240894615650177</v>
      </c>
      <c r="N805" s="8">
        <f>ProbStrikeFrancis(K805, I805, L805, INDEX('Route Data'!$G$7:$G$8,E805),C805, INDEX('Route Data'!$F$7:$F$8,E805), INDEX('Route Data'!$O$7:$O$8,E805), INDEX('Route Data'!$H$7:$H$18,E805))</f>
        <v>1</v>
      </c>
      <c r="O805" s="5" t="str">
        <f>IF(F805&gt;=1,IF(M805&lt;=N805,"STRIKE","pass"),IF(M805&lt;=INDEX('Route Data'!$R$7:$R$8,E805),"NO PASS","pass"))</f>
        <v>STRIKE</v>
      </c>
      <c r="P805" s="5">
        <f>IF(F805&gt;=1,IF(M805&lt;=N805,1,0),IF(M805&lt;=INDEX('Route Data'!$R$7:$R$8,E805),-1,0))</f>
        <v>1</v>
      </c>
    </row>
    <row r="806" spans="1:16">
      <c r="A806" s="5">
        <v>796</v>
      </c>
      <c r="B806" s="12">
        <v>18.75</v>
      </c>
      <c r="C806" s="12">
        <f t="shared" si="12"/>
        <v>1.56</v>
      </c>
      <c r="D806" s="8">
        <v>0.21517634391784668</v>
      </c>
      <c r="E806" s="5">
        <f>MATCH(D806,'Route Data'!$C$7:$C$8,1)</f>
        <v>2</v>
      </c>
      <c r="F806" s="5">
        <f>INDEX('Route Data'!$D$7:$D$8,E806)</f>
        <v>1</v>
      </c>
      <c r="G806" s="5" t="str">
        <f>INDEX('Route Data'!$A$7:$A$8,E806)</f>
        <v>u18</v>
      </c>
      <c r="H806" s="5">
        <f>EnergyCoeff(INDEX('Route Data'!$K$7:$K$8,E806),INDEX('Route Data'!$L$7:$L$8,E806)*2*PI()/60,INDEX('Route Data'!$F$7:$F$8,E806))</f>
        <v>0.19430699130049439</v>
      </c>
      <c r="I806" s="5">
        <f>DischargeCoeff(INDEX('Route Data'!$I$7:$I$8,E806), INDEX('Route Data'!$L$7:$L$8,E806)*2*PI()/60, INDEX('Route Data'!$F$7:$F$8,E806))</f>
        <v>0.15939200179827354</v>
      </c>
      <c r="J806" s="8">
        <f>FlowAngleRel(INDEX('Route Data'!$J$7:$J$8,E806)*INDEX('Route Data'!$I$7:$I$8,E806), INDEX('Route Data'!$L$7:$L$8,E806)*2*PI()/60, INDEX('Route Data'!$F$7:$F$8,E806),INDEX('Route Data'!$O$7:$O$8,E806), INDEX('Route Data'!$P$7:$P$8,E806),INDEX('Route Data'!$M$7:$M$8,E806))</f>
        <v>1.130811765868994</v>
      </c>
      <c r="K806" s="8">
        <f>FlowAngleAbsT(INDEX('Route Data'!$K$7:$K$8,E806), INDEX('Route Data'!$I$7:$I$8,E806), INDEX('Route Data'!$I$7:$I$8,E806)*INDEX('Route Data'!$J$7:$J$8,E806), INDEX('Route Data'!$L$7:$L$8,E806)*2*PI()/60, INDEX('Route Data'!$F$7:$F$8,E806),INDEX('Route Data'!$O$7:$O$8,E806), INDEX('Route Data'!$P$7:$P$8,E806), INDEX('Route Data'!$H$7:$H$8,E806), INDEX('Route Data'!$Q$7:$Q$8,E806), INDEX('Route Data'!$M$7:$M$8,E806))</f>
        <v>0.51617226640175828</v>
      </c>
      <c r="L806" s="5">
        <f>INDEX('Route Data'!$N$7:$N$8,E806)</f>
        <v>0.4</v>
      </c>
      <c r="M806" s="8">
        <v>0.9524986743927002</v>
      </c>
      <c r="N806" s="8">
        <f>ProbStrikeFrancis(K806, I806, L806, INDEX('Route Data'!$G$7:$G$8,E806),C806, INDEX('Route Data'!$F$7:$F$8,E806), INDEX('Route Data'!$O$7:$O$8,E806), INDEX('Route Data'!$H$7:$H$18,E806))</f>
        <v>1</v>
      </c>
      <c r="O806" s="5" t="str">
        <f>IF(F806&gt;=1,IF(M806&lt;=N806,"STRIKE","pass"),IF(M806&lt;=INDEX('Route Data'!$R$7:$R$8,E806),"NO PASS","pass"))</f>
        <v>STRIKE</v>
      </c>
      <c r="P806" s="5">
        <f>IF(F806&gt;=1,IF(M806&lt;=N806,1,0),IF(M806&lt;=INDEX('Route Data'!$R$7:$R$8,E806),-1,0))</f>
        <v>1</v>
      </c>
    </row>
    <row r="807" spans="1:16">
      <c r="A807" s="5">
        <v>797</v>
      </c>
      <c r="B807" s="12">
        <v>20.78</v>
      </c>
      <c r="C807" s="12">
        <f t="shared" si="12"/>
        <v>1.73</v>
      </c>
      <c r="D807" s="8">
        <v>0.73856157064437866</v>
      </c>
      <c r="E807" s="5">
        <f>MATCH(D807,'Route Data'!$C$7:$C$8,1)</f>
        <v>2</v>
      </c>
      <c r="F807" s="5">
        <f>INDEX('Route Data'!$D$7:$D$8,E807)</f>
        <v>1</v>
      </c>
      <c r="G807" s="5" t="str">
        <f>INDEX('Route Data'!$A$7:$A$8,E807)</f>
        <v>u18</v>
      </c>
      <c r="H807" s="5">
        <f>EnergyCoeff(INDEX('Route Data'!$K$7:$K$8,E807),INDEX('Route Data'!$L$7:$L$8,E807)*2*PI()/60,INDEX('Route Data'!$F$7:$F$8,E807))</f>
        <v>0.19430699130049439</v>
      </c>
      <c r="I807" s="5">
        <f>DischargeCoeff(INDEX('Route Data'!$I$7:$I$8,E807), INDEX('Route Data'!$L$7:$L$8,E807)*2*PI()/60, INDEX('Route Data'!$F$7:$F$8,E807))</f>
        <v>0.15939200179827354</v>
      </c>
      <c r="J807" s="8">
        <f>FlowAngleRel(INDEX('Route Data'!$J$7:$J$8,E807)*INDEX('Route Data'!$I$7:$I$8,E807), INDEX('Route Data'!$L$7:$L$8,E807)*2*PI()/60, INDEX('Route Data'!$F$7:$F$8,E807),INDEX('Route Data'!$O$7:$O$8,E807), INDEX('Route Data'!$P$7:$P$8,E807),INDEX('Route Data'!$M$7:$M$8,E807))</f>
        <v>1.130811765868994</v>
      </c>
      <c r="K807" s="8">
        <f>FlowAngleAbsT(INDEX('Route Data'!$K$7:$K$8,E807), INDEX('Route Data'!$I$7:$I$8,E807), INDEX('Route Data'!$I$7:$I$8,E807)*INDEX('Route Data'!$J$7:$J$8,E807), INDEX('Route Data'!$L$7:$L$8,E807)*2*PI()/60, INDEX('Route Data'!$F$7:$F$8,E807),INDEX('Route Data'!$O$7:$O$8,E807), INDEX('Route Data'!$P$7:$P$8,E807), INDEX('Route Data'!$H$7:$H$8,E807), INDEX('Route Data'!$Q$7:$Q$8,E807), INDEX('Route Data'!$M$7:$M$8,E807))</f>
        <v>0.51617226640175828</v>
      </c>
      <c r="L807" s="5">
        <f>INDEX('Route Data'!$N$7:$N$8,E807)</f>
        <v>0.4</v>
      </c>
      <c r="M807" s="8">
        <v>0.95863193273544312</v>
      </c>
      <c r="N807" s="8">
        <f>ProbStrikeFrancis(K807, I807, L807, INDEX('Route Data'!$G$7:$G$8,E807),C807, INDEX('Route Data'!$F$7:$F$8,E807), INDEX('Route Data'!$O$7:$O$8,E807), INDEX('Route Data'!$H$7:$H$18,E807))</f>
        <v>1</v>
      </c>
      <c r="O807" s="5" t="str">
        <f>IF(F807&gt;=1,IF(M807&lt;=N807,"STRIKE","pass"),IF(M807&lt;=INDEX('Route Data'!$R$7:$R$8,E807),"NO PASS","pass"))</f>
        <v>STRIKE</v>
      </c>
      <c r="P807" s="5">
        <f>IF(F807&gt;=1,IF(M807&lt;=N807,1,0),IF(M807&lt;=INDEX('Route Data'!$R$7:$R$8,E807),-1,0))</f>
        <v>1</v>
      </c>
    </row>
    <row r="808" spans="1:16">
      <c r="A808" s="5">
        <v>798</v>
      </c>
      <c r="B808" s="12">
        <v>24.55</v>
      </c>
      <c r="C808" s="12">
        <f t="shared" si="12"/>
        <v>2.0499999999999998</v>
      </c>
      <c r="D808" s="8">
        <v>0.90282666683197021</v>
      </c>
      <c r="E808" s="5">
        <f>MATCH(D808,'Route Data'!$C$7:$C$8,1)</f>
        <v>2</v>
      </c>
      <c r="F808" s="5">
        <f>INDEX('Route Data'!$D$7:$D$8,E808)</f>
        <v>1</v>
      </c>
      <c r="G808" s="5" t="str">
        <f>INDEX('Route Data'!$A$7:$A$8,E808)</f>
        <v>u18</v>
      </c>
      <c r="H808" s="5">
        <f>EnergyCoeff(INDEX('Route Data'!$K$7:$K$8,E808),INDEX('Route Data'!$L$7:$L$8,E808)*2*PI()/60,INDEX('Route Data'!$F$7:$F$8,E808))</f>
        <v>0.19430699130049439</v>
      </c>
      <c r="I808" s="5">
        <f>DischargeCoeff(INDEX('Route Data'!$I$7:$I$8,E808), INDEX('Route Data'!$L$7:$L$8,E808)*2*PI()/60, INDEX('Route Data'!$F$7:$F$8,E808))</f>
        <v>0.15939200179827354</v>
      </c>
      <c r="J808" s="8">
        <f>FlowAngleRel(INDEX('Route Data'!$J$7:$J$8,E808)*INDEX('Route Data'!$I$7:$I$8,E808), INDEX('Route Data'!$L$7:$L$8,E808)*2*PI()/60, INDEX('Route Data'!$F$7:$F$8,E808),INDEX('Route Data'!$O$7:$O$8,E808), INDEX('Route Data'!$P$7:$P$8,E808),INDEX('Route Data'!$M$7:$M$8,E808))</f>
        <v>1.130811765868994</v>
      </c>
      <c r="K808" s="8">
        <f>FlowAngleAbsT(INDEX('Route Data'!$K$7:$K$8,E808), INDEX('Route Data'!$I$7:$I$8,E808), INDEX('Route Data'!$I$7:$I$8,E808)*INDEX('Route Data'!$J$7:$J$8,E808), INDEX('Route Data'!$L$7:$L$8,E808)*2*PI()/60, INDEX('Route Data'!$F$7:$F$8,E808),INDEX('Route Data'!$O$7:$O$8,E808), INDEX('Route Data'!$P$7:$P$8,E808), INDEX('Route Data'!$H$7:$H$8,E808), INDEX('Route Data'!$Q$7:$Q$8,E808), INDEX('Route Data'!$M$7:$M$8,E808))</f>
        <v>0.51617226640175828</v>
      </c>
      <c r="L808" s="5">
        <f>INDEX('Route Data'!$N$7:$N$8,E808)</f>
        <v>0.4</v>
      </c>
      <c r="M808" s="8">
        <v>9.7489237785339355E-2</v>
      </c>
      <c r="N808" s="8">
        <f>ProbStrikeFrancis(K808, I808, L808, INDEX('Route Data'!$G$7:$G$8,E808),C808, INDEX('Route Data'!$F$7:$F$8,E808), INDEX('Route Data'!$O$7:$O$8,E808), INDEX('Route Data'!$H$7:$H$18,E808))</f>
        <v>1</v>
      </c>
      <c r="O808" s="5" t="str">
        <f>IF(F808&gt;=1,IF(M808&lt;=N808,"STRIKE","pass"),IF(M808&lt;=INDEX('Route Data'!$R$7:$R$8,E808),"NO PASS","pass"))</f>
        <v>STRIKE</v>
      </c>
      <c r="P808" s="5">
        <f>IF(F808&gt;=1,IF(M808&lt;=N808,1,0),IF(M808&lt;=INDEX('Route Data'!$R$7:$R$8,E808),-1,0))</f>
        <v>1</v>
      </c>
    </row>
    <row r="809" spans="1:16">
      <c r="A809" s="5">
        <v>799</v>
      </c>
      <c r="B809" s="12">
        <v>21.54</v>
      </c>
      <c r="C809" s="12">
        <f t="shared" si="12"/>
        <v>1.8</v>
      </c>
      <c r="D809" s="8">
        <v>0.14445215463638306</v>
      </c>
      <c r="E809" s="5">
        <f>MATCH(D809,'Route Data'!$C$7:$C$8,1)</f>
        <v>2</v>
      </c>
      <c r="F809" s="5">
        <f>INDEX('Route Data'!$D$7:$D$8,E809)</f>
        <v>1</v>
      </c>
      <c r="G809" s="5" t="str">
        <f>INDEX('Route Data'!$A$7:$A$8,E809)</f>
        <v>u18</v>
      </c>
      <c r="H809" s="5">
        <f>EnergyCoeff(INDEX('Route Data'!$K$7:$K$8,E809),INDEX('Route Data'!$L$7:$L$8,E809)*2*PI()/60,INDEX('Route Data'!$F$7:$F$8,E809))</f>
        <v>0.19430699130049439</v>
      </c>
      <c r="I809" s="5">
        <f>DischargeCoeff(INDEX('Route Data'!$I$7:$I$8,E809), INDEX('Route Data'!$L$7:$L$8,E809)*2*PI()/60, INDEX('Route Data'!$F$7:$F$8,E809))</f>
        <v>0.15939200179827354</v>
      </c>
      <c r="J809" s="8">
        <f>FlowAngleRel(INDEX('Route Data'!$J$7:$J$8,E809)*INDEX('Route Data'!$I$7:$I$8,E809), INDEX('Route Data'!$L$7:$L$8,E809)*2*PI()/60, INDEX('Route Data'!$F$7:$F$8,E809),INDEX('Route Data'!$O$7:$O$8,E809), INDEX('Route Data'!$P$7:$P$8,E809),INDEX('Route Data'!$M$7:$M$8,E809))</f>
        <v>1.130811765868994</v>
      </c>
      <c r="K809" s="8">
        <f>FlowAngleAbsT(INDEX('Route Data'!$K$7:$K$8,E809), INDEX('Route Data'!$I$7:$I$8,E809), INDEX('Route Data'!$I$7:$I$8,E809)*INDEX('Route Data'!$J$7:$J$8,E809), INDEX('Route Data'!$L$7:$L$8,E809)*2*PI()/60, INDEX('Route Data'!$F$7:$F$8,E809),INDEX('Route Data'!$O$7:$O$8,E809), INDEX('Route Data'!$P$7:$P$8,E809), INDEX('Route Data'!$H$7:$H$8,E809), INDEX('Route Data'!$Q$7:$Q$8,E809), INDEX('Route Data'!$M$7:$M$8,E809))</f>
        <v>0.51617226640175828</v>
      </c>
      <c r="L809" s="5">
        <f>INDEX('Route Data'!$N$7:$N$8,E809)</f>
        <v>0.4</v>
      </c>
      <c r="M809" s="8">
        <v>0.41533809900283813</v>
      </c>
      <c r="N809" s="8">
        <f>ProbStrikeFrancis(K809, I809, L809, INDEX('Route Data'!$G$7:$G$8,E809),C809, INDEX('Route Data'!$F$7:$F$8,E809), INDEX('Route Data'!$O$7:$O$8,E809), INDEX('Route Data'!$H$7:$H$18,E809))</f>
        <v>1</v>
      </c>
      <c r="O809" s="5" t="str">
        <f>IF(F809&gt;=1,IF(M809&lt;=N809,"STRIKE","pass"),IF(M809&lt;=INDEX('Route Data'!$R$7:$R$8,E809),"NO PASS","pass"))</f>
        <v>STRIKE</v>
      </c>
      <c r="P809" s="5">
        <f>IF(F809&gt;=1,IF(M809&lt;=N809,1,0),IF(M809&lt;=INDEX('Route Data'!$R$7:$R$8,E809),-1,0))</f>
        <v>1</v>
      </c>
    </row>
    <row r="810" spans="1:16">
      <c r="A810" s="5">
        <v>800</v>
      </c>
      <c r="B810" s="12">
        <v>27.71</v>
      </c>
      <c r="C810" s="12">
        <f t="shared" si="12"/>
        <v>2.31</v>
      </c>
      <c r="D810" s="8">
        <v>0.68515491485595703</v>
      </c>
      <c r="E810" s="5">
        <f>MATCH(D810,'Route Data'!$C$7:$C$8,1)</f>
        <v>2</v>
      </c>
      <c r="F810" s="5">
        <f>INDEX('Route Data'!$D$7:$D$8,E810)</f>
        <v>1</v>
      </c>
      <c r="G810" s="5" t="str">
        <f>INDEX('Route Data'!$A$7:$A$8,E810)</f>
        <v>u18</v>
      </c>
      <c r="H810" s="5">
        <f>EnergyCoeff(INDEX('Route Data'!$K$7:$K$8,E810),INDEX('Route Data'!$L$7:$L$8,E810)*2*PI()/60,INDEX('Route Data'!$F$7:$F$8,E810))</f>
        <v>0.19430699130049439</v>
      </c>
      <c r="I810" s="5">
        <f>DischargeCoeff(INDEX('Route Data'!$I$7:$I$8,E810), INDEX('Route Data'!$L$7:$L$8,E810)*2*PI()/60, INDEX('Route Data'!$F$7:$F$8,E810))</f>
        <v>0.15939200179827354</v>
      </c>
      <c r="J810" s="8">
        <f>FlowAngleRel(INDEX('Route Data'!$J$7:$J$8,E810)*INDEX('Route Data'!$I$7:$I$8,E810), INDEX('Route Data'!$L$7:$L$8,E810)*2*PI()/60, INDEX('Route Data'!$F$7:$F$8,E810),INDEX('Route Data'!$O$7:$O$8,E810), INDEX('Route Data'!$P$7:$P$8,E810),INDEX('Route Data'!$M$7:$M$8,E810))</f>
        <v>1.130811765868994</v>
      </c>
      <c r="K810" s="8">
        <f>FlowAngleAbsT(INDEX('Route Data'!$K$7:$K$8,E810), INDEX('Route Data'!$I$7:$I$8,E810), INDEX('Route Data'!$I$7:$I$8,E810)*INDEX('Route Data'!$J$7:$J$8,E810), INDEX('Route Data'!$L$7:$L$8,E810)*2*PI()/60, INDEX('Route Data'!$F$7:$F$8,E810),INDEX('Route Data'!$O$7:$O$8,E810), INDEX('Route Data'!$P$7:$P$8,E810), INDEX('Route Data'!$H$7:$H$8,E810), INDEX('Route Data'!$Q$7:$Q$8,E810), INDEX('Route Data'!$M$7:$M$8,E810))</f>
        <v>0.51617226640175828</v>
      </c>
      <c r="L810" s="5">
        <f>INDEX('Route Data'!$N$7:$N$8,E810)</f>
        <v>0.4</v>
      </c>
      <c r="M810" s="8">
        <v>0.9306330680847168</v>
      </c>
      <c r="N810" s="8">
        <f>ProbStrikeFrancis(K810, I810, L810, INDEX('Route Data'!$G$7:$G$8,E810),C810, INDEX('Route Data'!$F$7:$F$8,E810), INDEX('Route Data'!$O$7:$O$8,E810), INDEX('Route Data'!$H$7:$H$18,E810))</f>
        <v>1</v>
      </c>
      <c r="O810" s="5" t="str">
        <f>IF(F810&gt;=1,IF(M810&lt;=N810,"STRIKE","pass"),IF(M810&lt;=INDEX('Route Data'!$R$7:$R$8,E810),"NO PASS","pass"))</f>
        <v>STRIKE</v>
      </c>
      <c r="P810" s="5">
        <f>IF(F810&gt;=1,IF(M810&lt;=N810,1,0),IF(M810&lt;=INDEX('Route Data'!$R$7:$R$8,E810),-1,0))</f>
        <v>1</v>
      </c>
    </row>
    <row r="811" spans="1:16">
      <c r="A811" s="5">
        <v>801</v>
      </c>
      <c r="B811" s="12">
        <v>20.39</v>
      </c>
      <c r="C811" s="12">
        <f t="shared" si="12"/>
        <v>1.7</v>
      </c>
      <c r="D811" s="8">
        <v>6.3046634197235107E-2</v>
      </c>
      <c r="E811" s="5">
        <f>MATCH(D811,'Route Data'!$C$7:$C$8,1)</f>
        <v>2</v>
      </c>
      <c r="F811" s="5">
        <f>INDEX('Route Data'!$D$7:$D$8,E811)</f>
        <v>1</v>
      </c>
      <c r="G811" s="5" t="str">
        <f>INDEX('Route Data'!$A$7:$A$8,E811)</f>
        <v>u18</v>
      </c>
      <c r="H811" s="5">
        <f>EnergyCoeff(INDEX('Route Data'!$K$7:$K$8,E811),INDEX('Route Data'!$L$7:$L$8,E811)*2*PI()/60,INDEX('Route Data'!$F$7:$F$8,E811))</f>
        <v>0.19430699130049439</v>
      </c>
      <c r="I811" s="5">
        <f>DischargeCoeff(INDEX('Route Data'!$I$7:$I$8,E811), INDEX('Route Data'!$L$7:$L$8,E811)*2*PI()/60, INDEX('Route Data'!$F$7:$F$8,E811))</f>
        <v>0.15939200179827354</v>
      </c>
      <c r="J811" s="8">
        <f>FlowAngleRel(INDEX('Route Data'!$J$7:$J$8,E811)*INDEX('Route Data'!$I$7:$I$8,E811), INDEX('Route Data'!$L$7:$L$8,E811)*2*PI()/60, INDEX('Route Data'!$F$7:$F$8,E811),INDEX('Route Data'!$O$7:$O$8,E811), INDEX('Route Data'!$P$7:$P$8,E811),INDEX('Route Data'!$M$7:$M$8,E811))</f>
        <v>1.130811765868994</v>
      </c>
      <c r="K811" s="8">
        <f>FlowAngleAbsT(INDEX('Route Data'!$K$7:$K$8,E811), INDEX('Route Data'!$I$7:$I$8,E811), INDEX('Route Data'!$I$7:$I$8,E811)*INDEX('Route Data'!$J$7:$J$8,E811), INDEX('Route Data'!$L$7:$L$8,E811)*2*PI()/60, INDEX('Route Data'!$F$7:$F$8,E811),INDEX('Route Data'!$O$7:$O$8,E811), INDEX('Route Data'!$P$7:$P$8,E811), INDEX('Route Data'!$H$7:$H$8,E811), INDEX('Route Data'!$Q$7:$Q$8,E811), INDEX('Route Data'!$M$7:$M$8,E811))</f>
        <v>0.51617226640175828</v>
      </c>
      <c r="L811" s="5">
        <f>INDEX('Route Data'!$N$7:$N$8,E811)</f>
        <v>0.4</v>
      </c>
      <c r="M811" s="8">
        <v>0.91590660810470581</v>
      </c>
      <c r="N811" s="8">
        <f>ProbStrikeFrancis(K811, I811, L811, INDEX('Route Data'!$G$7:$G$8,E811),C811, INDEX('Route Data'!$F$7:$F$8,E811), INDEX('Route Data'!$O$7:$O$8,E811), INDEX('Route Data'!$H$7:$H$18,E811))</f>
        <v>1</v>
      </c>
      <c r="O811" s="5" t="str">
        <f>IF(F811&gt;=1,IF(M811&lt;=N811,"STRIKE","pass"),IF(M811&lt;=INDEX('Route Data'!$R$7:$R$8,E811),"NO PASS","pass"))</f>
        <v>STRIKE</v>
      </c>
      <c r="P811" s="5">
        <f>IF(F811&gt;=1,IF(M811&lt;=N811,1,0),IF(M811&lt;=INDEX('Route Data'!$R$7:$R$8,E811),-1,0))</f>
        <v>1</v>
      </c>
    </row>
    <row r="812" spans="1:16">
      <c r="A812" s="5">
        <v>802</v>
      </c>
      <c r="B812" s="12">
        <v>26.11</v>
      </c>
      <c r="C812" s="12">
        <f t="shared" si="12"/>
        <v>2.1800000000000002</v>
      </c>
      <c r="D812" s="8">
        <v>0.66379225254058838</v>
      </c>
      <c r="E812" s="5">
        <f>MATCH(D812,'Route Data'!$C$7:$C$8,1)</f>
        <v>2</v>
      </c>
      <c r="F812" s="5">
        <f>INDEX('Route Data'!$D$7:$D$8,E812)</f>
        <v>1</v>
      </c>
      <c r="G812" s="5" t="str">
        <f>INDEX('Route Data'!$A$7:$A$8,E812)</f>
        <v>u18</v>
      </c>
      <c r="H812" s="5">
        <f>EnergyCoeff(INDEX('Route Data'!$K$7:$K$8,E812),INDEX('Route Data'!$L$7:$L$8,E812)*2*PI()/60,INDEX('Route Data'!$F$7:$F$8,E812))</f>
        <v>0.19430699130049439</v>
      </c>
      <c r="I812" s="5">
        <f>DischargeCoeff(INDEX('Route Data'!$I$7:$I$8,E812), INDEX('Route Data'!$L$7:$L$8,E812)*2*PI()/60, INDEX('Route Data'!$F$7:$F$8,E812))</f>
        <v>0.15939200179827354</v>
      </c>
      <c r="J812" s="8">
        <f>FlowAngleRel(INDEX('Route Data'!$J$7:$J$8,E812)*INDEX('Route Data'!$I$7:$I$8,E812), INDEX('Route Data'!$L$7:$L$8,E812)*2*PI()/60, INDEX('Route Data'!$F$7:$F$8,E812),INDEX('Route Data'!$O$7:$O$8,E812), INDEX('Route Data'!$P$7:$P$8,E812),INDEX('Route Data'!$M$7:$M$8,E812))</f>
        <v>1.130811765868994</v>
      </c>
      <c r="K812" s="8">
        <f>FlowAngleAbsT(INDEX('Route Data'!$K$7:$K$8,E812), INDEX('Route Data'!$I$7:$I$8,E812), INDEX('Route Data'!$I$7:$I$8,E812)*INDEX('Route Data'!$J$7:$J$8,E812), INDEX('Route Data'!$L$7:$L$8,E812)*2*PI()/60, INDEX('Route Data'!$F$7:$F$8,E812),INDEX('Route Data'!$O$7:$O$8,E812), INDEX('Route Data'!$P$7:$P$8,E812), INDEX('Route Data'!$H$7:$H$8,E812), INDEX('Route Data'!$Q$7:$Q$8,E812), INDEX('Route Data'!$M$7:$M$8,E812))</f>
        <v>0.51617226640175828</v>
      </c>
      <c r="L812" s="5">
        <f>INDEX('Route Data'!$N$7:$N$8,E812)</f>
        <v>0.4</v>
      </c>
      <c r="M812" s="8">
        <v>0.22566521167755127</v>
      </c>
      <c r="N812" s="8">
        <f>ProbStrikeFrancis(K812, I812, L812, INDEX('Route Data'!$G$7:$G$8,E812),C812, INDEX('Route Data'!$F$7:$F$8,E812), INDEX('Route Data'!$O$7:$O$8,E812), INDEX('Route Data'!$H$7:$H$18,E812))</f>
        <v>1</v>
      </c>
      <c r="O812" s="5" t="str">
        <f>IF(F812&gt;=1,IF(M812&lt;=N812,"STRIKE","pass"),IF(M812&lt;=INDEX('Route Data'!$R$7:$R$8,E812),"NO PASS","pass"))</f>
        <v>STRIKE</v>
      </c>
      <c r="P812" s="5">
        <f>IF(F812&gt;=1,IF(M812&lt;=N812,1,0),IF(M812&lt;=INDEX('Route Data'!$R$7:$R$8,E812),-1,0))</f>
        <v>1</v>
      </c>
    </row>
    <row r="813" spans="1:16">
      <c r="A813" s="5">
        <v>803</v>
      </c>
      <c r="B813" s="12">
        <v>14.59</v>
      </c>
      <c r="C813" s="12">
        <f t="shared" si="12"/>
        <v>1.22</v>
      </c>
      <c r="D813" s="8">
        <v>0.12713462114334106</v>
      </c>
      <c r="E813" s="5">
        <f>MATCH(D813,'Route Data'!$C$7:$C$8,1)</f>
        <v>2</v>
      </c>
      <c r="F813" s="5">
        <f>INDEX('Route Data'!$D$7:$D$8,E813)</f>
        <v>1</v>
      </c>
      <c r="G813" s="5" t="str">
        <f>INDEX('Route Data'!$A$7:$A$8,E813)</f>
        <v>u18</v>
      </c>
      <c r="H813" s="5">
        <f>EnergyCoeff(INDEX('Route Data'!$K$7:$K$8,E813),INDEX('Route Data'!$L$7:$L$8,E813)*2*PI()/60,INDEX('Route Data'!$F$7:$F$8,E813))</f>
        <v>0.19430699130049439</v>
      </c>
      <c r="I813" s="5">
        <f>DischargeCoeff(INDEX('Route Data'!$I$7:$I$8,E813), INDEX('Route Data'!$L$7:$L$8,E813)*2*PI()/60, INDEX('Route Data'!$F$7:$F$8,E813))</f>
        <v>0.15939200179827354</v>
      </c>
      <c r="J813" s="8">
        <f>FlowAngleRel(INDEX('Route Data'!$J$7:$J$8,E813)*INDEX('Route Data'!$I$7:$I$8,E813), INDEX('Route Data'!$L$7:$L$8,E813)*2*PI()/60, INDEX('Route Data'!$F$7:$F$8,E813),INDEX('Route Data'!$O$7:$O$8,E813), INDEX('Route Data'!$P$7:$P$8,E813),INDEX('Route Data'!$M$7:$M$8,E813))</f>
        <v>1.130811765868994</v>
      </c>
      <c r="K813" s="8">
        <f>FlowAngleAbsT(INDEX('Route Data'!$K$7:$K$8,E813), INDEX('Route Data'!$I$7:$I$8,E813), INDEX('Route Data'!$I$7:$I$8,E813)*INDEX('Route Data'!$J$7:$J$8,E813), INDEX('Route Data'!$L$7:$L$8,E813)*2*PI()/60, INDEX('Route Data'!$F$7:$F$8,E813),INDEX('Route Data'!$O$7:$O$8,E813), INDEX('Route Data'!$P$7:$P$8,E813), INDEX('Route Data'!$H$7:$H$8,E813), INDEX('Route Data'!$Q$7:$Q$8,E813), INDEX('Route Data'!$M$7:$M$8,E813))</f>
        <v>0.51617226640175828</v>
      </c>
      <c r="L813" s="5">
        <f>INDEX('Route Data'!$N$7:$N$8,E813)</f>
        <v>0.4</v>
      </c>
      <c r="M813" s="8">
        <v>3.0810177326202393E-2</v>
      </c>
      <c r="N813" s="8">
        <f>ProbStrikeFrancis(K813, I813, L813, INDEX('Route Data'!$G$7:$G$8,E813),C813, INDEX('Route Data'!$F$7:$F$8,E813), INDEX('Route Data'!$O$7:$O$8,E813), INDEX('Route Data'!$H$7:$H$18,E813))</f>
        <v>0.99621547099463137</v>
      </c>
      <c r="O813" s="5" t="str">
        <f>IF(F813&gt;=1,IF(M813&lt;=N813,"STRIKE","pass"),IF(M813&lt;=INDEX('Route Data'!$R$7:$R$8,E813),"NO PASS","pass"))</f>
        <v>STRIKE</v>
      </c>
      <c r="P813" s="5">
        <f>IF(F813&gt;=1,IF(M813&lt;=N813,1,0),IF(M813&lt;=INDEX('Route Data'!$R$7:$R$8,E813),-1,0))</f>
        <v>1</v>
      </c>
    </row>
    <row r="814" spans="1:16">
      <c r="A814" s="5">
        <v>804</v>
      </c>
      <c r="B814" s="12">
        <v>21.42</v>
      </c>
      <c r="C814" s="12">
        <f t="shared" si="12"/>
        <v>1.79</v>
      </c>
      <c r="D814" s="8">
        <v>0.47152829170227051</v>
      </c>
      <c r="E814" s="5">
        <f>MATCH(D814,'Route Data'!$C$7:$C$8,1)</f>
        <v>2</v>
      </c>
      <c r="F814" s="5">
        <f>INDEX('Route Data'!$D$7:$D$8,E814)</f>
        <v>1</v>
      </c>
      <c r="G814" s="5" t="str">
        <f>INDEX('Route Data'!$A$7:$A$8,E814)</f>
        <v>u18</v>
      </c>
      <c r="H814" s="5">
        <f>EnergyCoeff(INDEX('Route Data'!$K$7:$K$8,E814),INDEX('Route Data'!$L$7:$L$8,E814)*2*PI()/60,INDEX('Route Data'!$F$7:$F$8,E814))</f>
        <v>0.19430699130049439</v>
      </c>
      <c r="I814" s="5">
        <f>DischargeCoeff(INDEX('Route Data'!$I$7:$I$8,E814), INDEX('Route Data'!$L$7:$L$8,E814)*2*PI()/60, INDEX('Route Data'!$F$7:$F$8,E814))</f>
        <v>0.15939200179827354</v>
      </c>
      <c r="J814" s="8">
        <f>FlowAngleRel(INDEX('Route Data'!$J$7:$J$8,E814)*INDEX('Route Data'!$I$7:$I$8,E814), INDEX('Route Data'!$L$7:$L$8,E814)*2*PI()/60, INDEX('Route Data'!$F$7:$F$8,E814),INDEX('Route Data'!$O$7:$O$8,E814), INDEX('Route Data'!$P$7:$P$8,E814),INDEX('Route Data'!$M$7:$M$8,E814))</f>
        <v>1.130811765868994</v>
      </c>
      <c r="K814" s="8">
        <f>FlowAngleAbsT(INDEX('Route Data'!$K$7:$K$8,E814), INDEX('Route Data'!$I$7:$I$8,E814), INDEX('Route Data'!$I$7:$I$8,E814)*INDEX('Route Data'!$J$7:$J$8,E814), INDEX('Route Data'!$L$7:$L$8,E814)*2*PI()/60, INDEX('Route Data'!$F$7:$F$8,E814),INDEX('Route Data'!$O$7:$O$8,E814), INDEX('Route Data'!$P$7:$P$8,E814), INDEX('Route Data'!$H$7:$H$8,E814), INDEX('Route Data'!$Q$7:$Q$8,E814), INDEX('Route Data'!$M$7:$M$8,E814))</f>
        <v>0.51617226640175828</v>
      </c>
      <c r="L814" s="5">
        <f>INDEX('Route Data'!$N$7:$N$8,E814)</f>
        <v>0.4</v>
      </c>
      <c r="M814" s="8">
        <v>8.4216833114624023E-2</v>
      </c>
      <c r="N814" s="8">
        <f>ProbStrikeFrancis(K814, I814, L814, INDEX('Route Data'!$G$7:$G$8,E814),C814, INDEX('Route Data'!$F$7:$F$8,E814), INDEX('Route Data'!$O$7:$O$8,E814), INDEX('Route Data'!$H$7:$H$18,E814))</f>
        <v>1</v>
      </c>
      <c r="O814" s="5" t="str">
        <f>IF(F814&gt;=1,IF(M814&lt;=N814,"STRIKE","pass"),IF(M814&lt;=INDEX('Route Data'!$R$7:$R$8,E814),"NO PASS","pass"))</f>
        <v>STRIKE</v>
      </c>
      <c r="P814" s="5">
        <f>IF(F814&gt;=1,IF(M814&lt;=N814,1,0),IF(M814&lt;=INDEX('Route Data'!$R$7:$R$8,E814),-1,0))</f>
        <v>1</v>
      </c>
    </row>
    <row r="815" spans="1:16">
      <c r="A815" s="5">
        <v>805</v>
      </c>
      <c r="B815" s="12">
        <v>22.65</v>
      </c>
      <c r="C815" s="12">
        <f t="shared" si="12"/>
        <v>1.89</v>
      </c>
      <c r="D815" s="8">
        <v>0.70392650365829468</v>
      </c>
      <c r="E815" s="5">
        <f>MATCH(D815,'Route Data'!$C$7:$C$8,1)</f>
        <v>2</v>
      </c>
      <c r="F815" s="5">
        <f>INDEX('Route Data'!$D$7:$D$8,E815)</f>
        <v>1</v>
      </c>
      <c r="G815" s="5" t="str">
        <f>INDEX('Route Data'!$A$7:$A$8,E815)</f>
        <v>u18</v>
      </c>
      <c r="H815" s="5">
        <f>EnergyCoeff(INDEX('Route Data'!$K$7:$K$8,E815),INDEX('Route Data'!$L$7:$L$8,E815)*2*PI()/60,INDEX('Route Data'!$F$7:$F$8,E815))</f>
        <v>0.19430699130049439</v>
      </c>
      <c r="I815" s="5">
        <f>DischargeCoeff(INDEX('Route Data'!$I$7:$I$8,E815), INDEX('Route Data'!$L$7:$L$8,E815)*2*PI()/60, INDEX('Route Data'!$F$7:$F$8,E815))</f>
        <v>0.15939200179827354</v>
      </c>
      <c r="J815" s="8">
        <f>FlowAngleRel(INDEX('Route Data'!$J$7:$J$8,E815)*INDEX('Route Data'!$I$7:$I$8,E815), INDEX('Route Data'!$L$7:$L$8,E815)*2*PI()/60, INDEX('Route Data'!$F$7:$F$8,E815),INDEX('Route Data'!$O$7:$O$8,E815), INDEX('Route Data'!$P$7:$P$8,E815),INDEX('Route Data'!$M$7:$M$8,E815))</f>
        <v>1.130811765868994</v>
      </c>
      <c r="K815" s="8">
        <f>FlowAngleAbsT(INDEX('Route Data'!$K$7:$K$8,E815), INDEX('Route Data'!$I$7:$I$8,E815), INDEX('Route Data'!$I$7:$I$8,E815)*INDEX('Route Data'!$J$7:$J$8,E815), INDEX('Route Data'!$L$7:$L$8,E815)*2*PI()/60, INDEX('Route Data'!$F$7:$F$8,E815),INDEX('Route Data'!$O$7:$O$8,E815), INDEX('Route Data'!$P$7:$P$8,E815), INDEX('Route Data'!$H$7:$H$8,E815), INDEX('Route Data'!$Q$7:$Q$8,E815), INDEX('Route Data'!$M$7:$M$8,E815))</f>
        <v>0.51617226640175828</v>
      </c>
      <c r="L815" s="5">
        <f>INDEX('Route Data'!$N$7:$N$8,E815)</f>
        <v>0.4</v>
      </c>
      <c r="M815" s="8">
        <v>0.92399686574935913</v>
      </c>
      <c r="N815" s="8">
        <f>ProbStrikeFrancis(K815, I815, L815, INDEX('Route Data'!$G$7:$G$8,E815),C815, INDEX('Route Data'!$F$7:$F$8,E815), INDEX('Route Data'!$O$7:$O$8,E815), INDEX('Route Data'!$H$7:$H$18,E815))</f>
        <v>1</v>
      </c>
      <c r="O815" s="5" t="str">
        <f>IF(F815&gt;=1,IF(M815&lt;=N815,"STRIKE","pass"),IF(M815&lt;=INDEX('Route Data'!$R$7:$R$8,E815),"NO PASS","pass"))</f>
        <v>STRIKE</v>
      </c>
      <c r="P815" s="5">
        <f>IF(F815&gt;=1,IF(M815&lt;=N815,1,0),IF(M815&lt;=INDEX('Route Data'!$R$7:$R$8,E815),-1,0))</f>
        <v>1</v>
      </c>
    </row>
    <row r="816" spans="1:16">
      <c r="A816" s="5">
        <v>806</v>
      </c>
      <c r="B816" s="12">
        <v>21.03</v>
      </c>
      <c r="C816" s="12">
        <f t="shared" si="12"/>
        <v>1.75</v>
      </c>
      <c r="D816" s="8">
        <v>0.47557342052459717</v>
      </c>
      <c r="E816" s="5">
        <f>MATCH(D816,'Route Data'!$C$7:$C$8,1)</f>
        <v>2</v>
      </c>
      <c r="F816" s="5">
        <f>INDEX('Route Data'!$D$7:$D$8,E816)</f>
        <v>1</v>
      </c>
      <c r="G816" s="5" t="str">
        <f>INDEX('Route Data'!$A$7:$A$8,E816)</f>
        <v>u18</v>
      </c>
      <c r="H816" s="5">
        <f>EnergyCoeff(INDEX('Route Data'!$K$7:$K$8,E816),INDEX('Route Data'!$L$7:$L$8,E816)*2*PI()/60,INDEX('Route Data'!$F$7:$F$8,E816))</f>
        <v>0.19430699130049439</v>
      </c>
      <c r="I816" s="5">
        <f>DischargeCoeff(INDEX('Route Data'!$I$7:$I$8,E816), INDEX('Route Data'!$L$7:$L$8,E816)*2*PI()/60, INDEX('Route Data'!$F$7:$F$8,E816))</f>
        <v>0.15939200179827354</v>
      </c>
      <c r="J816" s="8">
        <f>FlowAngleRel(INDEX('Route Data'!$J$7:$J$8,E816)*INDEX('Route Data'!$I$7:$I$8,E816), INDEX('Route Data'!$L$7:$L$8,E816)*2*PI()/60, INDEX('Route Data'!$F$7:$F$8,E816),INDEX('Route Data'!$O$7:$O$8,E816), INDEX('Route Data'!$P$7:$P$8,E816),INDEX('Route Data'!$M$7:$M$8,E816))</f>
        <v>1.130811765868994</v>
      </c>
      <c r="K816" s="8">
        <f>FlowAngleAbsT(INDEX('Route Data'!$K$7:$K$8,E816), INDEX('Route Data'!$I$7:$I$8,E816), INDEX('Route Data'!$I$7:$I$8,E816)*INDEX('Route Data'!$J$7:$J$8,E816), INDEX('Route Data'!$L$7:$L$8,E816)*2*PI()/60, INDEX('Route Data'!$F$7:$F$8,E816),INDEX('Route Data'!$O$7:$O$8,E816), INDEX('Route Data'!$P$7:$P$8,E816), INDEX('Route Data'!$H$7:$H$8,E816), INDEX('Route Data'!$Q$7:$Q$8,E816), INDEX('Route Data'!$M$7:$M$8,E816))</f>
        <v>0.51617226640175828</v>
      </c>
      <c r="L816" s="5">
        <f>INDEX('Route Data'!$N$7:$N$8,E816)</f>
        <v>0.4</v>
      </c>
      <c r="M816" s="8">
        <v>0.40465676784515381</v>
      </c>
      <c r="N816" s="8">
        <f>ProbStrikeFrancis(K816, I816, L816, INDEX('Route Data'!$G$7:$G$8,E816),C816, INDEX('Route Data'!$F$7:$F$8,E816), INDEX('Route Data'!$O$7:$O$8,E816), INDEX('Route Data'!$H$7:$H$18,E816))</f>
        <v>1</v>
      </c>
      <c r="O816" s="5" t="str">
        <f>IF(F816&gt;=1,IF(M816&lt;=N816,"STRIKE","pass"),IF(M816&lt;=INDEX('Route Data'!$R$7:$R$8,E816),"NO PASS","pass"))</f>
        <v>STRIKE</v>
      </c>
      <c r="P816" s="5">
        <f>IF(F816&gt;=1,IF(M816&lt;=N816,1,0),IF(M816&lt;=INDEX('Route Data'!$R$7:$R$8,E816),-1,0))</f>
        <v>1</v>
      </c>
    </row>
    <row r="817" spans="1:16">
      <c r="A817" s="5">
        <v>807</v>
      </c>
      <c r="B817" s="12">
        <v>27.16</v>
      </c>
      <c r="C817" s="12">
        <f t="shared" si="12"/>
        <v>2.2599999999999998</v>
      </c>
      <c r="D817" s="8">
        <v>0.4262118935585022</v>
      </c>
      <c r="E817" s="5">
        <f>MATCH(D817,'Route Data'!$C$7:$C$8,1)</f>
        <v>2</v>
      </c>
      <c r="F817" s="5">
        <f>INDEX('Route Data'!$D$7:$D$8,E817)</f>
        <v>1</v>
      </c>
      <c r="G817" s="5" t="str">
        <f>INDEX('Route Data'!$A$7:$A$8,E817)</f>
        <v>u18</v>
      </c>
      <c r="H817" s="5">
        <f>EnergyCoeff(INDEX('Route Data'!$K$7:$K$8,E817),INDEX('Route Data'!$L$7:$L$8,E817)*2*PI()/60,INDEX('Route Data'!$F$7:$F$8,E817))</f>
        <v>0.19430699130049439</v>
      </c>
      <c r="I817" s="5">
        <f>DischargeCoeff(INDEX('Route Data'!$I$7:$I$8,E817), INDEX('Route Data'!$L$7:$L$8,E817)*2*PI()/60, INDEX('Route Data'!$F$7:$F$8,E817))</f>
        <v>0.15939200179827354</v>
      </c>
      <c r="J817" s="8">
        <f>FlowAngleRel(INDEX('Route Data'!$J$7:$J$8,E817)*INDEX('Route Data'!$I$7:$I$8,E817), INDEX('Route Data'!$L$7:$L$8,E817)*2*PI()/60, INDEX('Route Data'!$F$7:$F$8,E817),INDEX('Route Data'!$O$7:$O$8,E817), INDEX('Route Data'!$P$7:$P$8,E817),INDEX('Route Data'!$M$7:$M$8,E817))</f>
        <v>1.130811765868994</v>
      </c>
      <c r="K817" s="8">
        <f>FlowAngleAbsT(INDEX('Route Data'!$K$7:$K$8,E817), INDEX('Route Data'!$I$7:$I$8,E817), INDEX('Route Data'!$I$7:$I$8,E817)*INDEX('Route Data'!$J$7:$J$8,E817), INDEX('Route Data'!$L$7:$L$8,E817)*2*PI()/60, INDEX('Route Data'!$F$7:$F$8,E817),INDEX('Route Data'!$O$7:$O$8,E817), INDEX('Route Data'!$P$7:$P$8,E817), INDEX('Route Data'!$H$7:$H$8,E817), INDEX('Route Data'!$Q$7:$Q$8,E817), INDEX('Route Data'!$M$7:$M$8,E817))</f>
        <v>0.51617226640175828</v>
      </c>
      <c r="L817" s="5">
        <f>INDEX('Route Data'!$N$7:$N$8,E817)</f>
        <v>0.4</v>
      </c>
      <c r="M817" s="8">
        <v>0.96267706155776978</v>
      </c>
      <c r="N817" s="8">
        <f>ProbStrikeFrancis(K817, I817, L817, INDEX('Route Data'!$G$7:$G$8,E817),C817, INDEX('Route Data'!$F$7:$F$8,E817), INDEX('Route Data'!$O$7:$O$8,E817), INDEX('Route Data'!$H$7:$H$18,E817))</f>
        <v>1</v>
      </c>
      <c r="O817" s="5" t="str">
        <f>IF(F817&gt;=1,IF(M817&lt;=N817,"STRIKE","pass"),IF(M817&lt;=INDEX('Route Data'!$R$7:$R$8,E817),"NO PASS","pass"))</f>
        <v>STRIKE</v>
      </c>
      <c r="P817" s="5">
        <f>IF(F817&gt;=1,IF(M817&lt;=N817,1,0),IF(M817&lt;=INDEX('Route Data'!$R$7:$R$8,E817),-1,0))</f>
        <v>1</v>
      </c>
    </row>
    <row r="818" spans="1:16">
      <c r="A818" s="5">
        <v>808</v>
      </c>
      <c r="B818" s="12">
        <v>25.56</v>
      </c>
      <c r="C818" s="12">
        <f t="shared" si="12"/>
        <v>2.13</v>
      </c>
      <c r="D818" s="8">
        <v>0.30871725082397461</v>
      </c>
      <c r="E818" s="5">
        <f>MATCH(D818,'Route Data'!$C$7:$C$8,1)</f>
        <v>2</v>
      </c>
      <c r="F818" s="5">
        <f>INDEX('Route Data'!$D$7:$D$8,E818)</f>
        <v>1</v>
      </c>
      <c r="G818" s="5" t="str">
        <f>INDEX('Route Data'!$A$7:$A$8,E818)</f>
        <v>u18</v>
      </c>
      <c r="H818" s="5">
        <f>EnergyCoeff(INDEX('Route Data'!$K$7:$K$8,E818),INDEX('Route Data'!$L$7:$L$8,E818)*2*PI()/60,INDEX('Route Data'!$F$7:$F$8,E818))</f>
        <v>0.19430699130049439</v>
      </c>
      <c r="I818" s="5">
        <f>DischargeCoeff(INDEX('Route Data'!$I$7:$I$8,E818), INDEX('Route Data'!$L$7:$L$8,E818)*2*PI()/60, INDEX('Route Data'!$F$7:$F$8,E818))</f>
        <v>0.15939200179827354</v>
      </c>
      <c r="J818" s="8">
        <f>FlowAngleRel(INDEX('Route Data'!$J$7:$J$8,E818)*INDEX('Route Data'!$I$7:$I$8,E818), INDEX('Route Data'!$L$7:$L$8,E818)*2*PI()/60, INDEX('Route Data'!$F$7:$F$8,E818),INDEX('Route Data'!$O$7:$O$8,E818), INDEX('Route Data'!$P$7:$P$8,E818),INDEX('Route Data'!$M$7:$M$8,E818))</f>
        <v>1.130811765868994</v>
      </c>
      <c r="K818" s="8">
        <f>FlowAngleAbsT(INDEX('Route Data'!$K$7:$K$8,E818), INDEX('Route Data'!$I$7:$I$8,E818), INDEX('Route Data'!$I$7:$I$8,E818)*INDEX('Route Data'!$J$7:$J$8,E818), INDEX('Route Data'!$L$7:$L$8,E818)*2*PI()/60, INDEX('Route Data'!$F$7:$F$8,E818),INDEX('Route Data'!$O$7:$O$8,E818), INDEX('Route Data'!$P$7:$P$8,E818), INDEX('Route Data'!$H$7:$H$8,E818), INDEX('Route Data'!$Q$7:$Q$8,E818), INDEX('Route Data'!$M$7:$M$8,E818))</f>
        <v>0.51617226640175828</v>
      </c>
      <c r="L818" s="5">
        <f>INDEX('Route Data'!$N$7:$N$8,E818)</f>
        <v>0.4</v>
      </c>
      <c r="M818" s="8">
        <v>0.55419540405273438</v>
      </c>
      <c r="N818" s="8">
        <f>ProbStrikeFrancis(K818, I818, L818, INDEX('Route Data'!$G$7:$G$8,E818),C818, INDEX('Route Data'!$F$7:$F$8,E818), INDEX('Route Data'!$O$7:$O$8,E818), INDEX('Route Data'!$H$7:$H$18,E818))</f>
        <v>1</v>
      </c>
      <c r="O818" s="5" t="str">
        <f>IF(F818&gt;=1,IF(M818&lt;=N818,"STRIKE","pass"),IF(M818&lt;=INDEX('Route Data'!$R$7:$R$8,E818),"NO PASS","pass"))</f>
        <v>STRIKE</v>
      </c>
      <c r="P818" s="5">
        <f>IF(F818&gt;=1,IF(M818&lt;=N818,1,0),IF(M818&lt;=INDEX('Route Data'!$R$7:$R$8,E818),-1,0))</f>
        <v>1</v>
      </c>
    </row>
    <row r="819" spans="1:16">
      <c r="A819" s="5">
        <v>809</v>
      </c>
      <c r="B819" s="12">
        <v>25.7</v>
      </c>
      <c r="C819" s="12">
        <f t="shared" si="12"/>
        <v>2.14</v>
      </c>
      <c r="D819" s="8">
        <v>0.66120117902755737</v>
      </c>
      <c r="E819" s="5">
        <f>MATCH(D819,'Route Data'!$C$7:$C$8,1)</f>
        <v>2</v>
      </c>
      <c r="F819" s="5">
        <f>INDEX('Route Data'!$D$7:$D$8,E819)</f>
        <v>1</v>
      </c>
      <c r="G819" s="5" t="str">
        <f>INDEX('Route Data'!$A$7:$A$8,E819)</f>
        <v>u18</v>
      </c>
      <c r="H819" s="5">
        <f>EnergyCoeff(INDEX('Route Data'!$K$7:$K$8,E819),INDEX('Route Data'!$L$7:$L$8,E819)*2*PI()/60,INDEX('Route Data'!$F$7:$F$8,E819))</f>
        <v>0.19430699130049439</v>
      </c>
      <c r="I819" s="5">
        <f>DischargeCoeff(INDEX('Route Data'!$I$7:$I$8,E819), INDEX('Route Data'!$L$7:$L$8,E819)*2*PI()/60, INDEX('Route Data'!$F$7:$F$8,E819))</f>
        <v>0.15939200179827354</v>
      </c>
      <c r="J819" s="8">
        <f>FlowAngleRel(INDEX('Route Data'!$J$7:$J$8,E819)*INDEX('Route Data'!$I$7:$I$8,E819), INDEX('Route Data'!$L$7:$L$8,E819)*2*PI()/60, INDEX('Route Data'!$F$7:$F$8,E819),INDEX('Route Data'!$O$7:$O$8,E819), INDEX('Route Data'!$P$7:$P$8,E819),INDEX('Route Data'!$M$7:$M$8,E819))</f>
        <v>1.130811765868994</v>
      </c>
      <c r="K819" s="8">
        <f>FlowAngleAbsT(INDEX('Route Data'!$K$7:$K$8,E819), INDEX('Route Data'!$I$7:$I$8,E819), INDEX('Route Data'!$I$7:$I$8,E819)*INDEX('Route Data'!$J$7:$J$8,E819), INDEX('Route Data'!$L$7:$L$8,E819)*2*PI()/60, INDEX('Route Data'!$F$7:$F$8,E819),INDEX('Route Data'!$O$7:$O$8,E819), INDEX('Route Data'!$P$7:$P$8,E819), INDEX('Route Data'!$H$7:$H$8,E819), INDEX('Route Data'!$Q$7:$Q$8,E819), INDEX('Route Data'!$M$7:$M$8,E819))</f>
        <v>0.51617226640175828</v>
      </c>
      <c r="L819" s="5">
        <f>INDEX('Route Data'!$N$7:$N$8,E819)</f>
        <v>0.4</v>
      </c>
      <c r="M819" s="8">
        <v>0.51406115293502808</v>
      </c>
      <c r="N819" s="8">
        <f>ProbStrikeFrancis(K819, I819, L819, INDEX('Route Data'!$G$7:$G$8,E819),C819, INDEX('Route Data'!$F$7:$F$8,E819), INDEX('Route Data'!$O$7:$O$8,E819), INDEX('Route Data'!$H$7:$H$18,E819))</f>
        <v>1</v>
      </c>
      <c r="O819" s="5" t="str">
        <f>IF(F819&gt;=1,IF(M819&lt;=N819,"STRIKE","pass"),IF(M819&lt;=INDEX('Route Data'!$R$7:$R$8,E819),"NO PASS","pass"))</f>
        <v>STRIKE</v>
      </c>
      <c r="P819" s="5">
        <f>IF(F819&gt;=1,IF(M819&lt;=N819,1,0),IF(M819&lt;=INDEX('Route Data'!$R$7:$R$8,E819),-1,0))</f>
        <v>1</v>
      </c>
    </row>
    <row r="820" spans="1:16">
      <c r="A820" s="5">
        <v>810</v>
      </c>
      <c r="B820" s="12">
        <v>25.29</v>
      </c>
      <c r="C820" s="12">
        <f t="shared" si="12"/>
        <v>2.11</v>
      </c>
      <c r="D820" s="8">
        <v>0.60374939441680908</v>
      </c>
      <c r="E820" s="5">
        <f>MATCH(D820,'Route Data'!$C$7:$C$8,1)</f>
        <v>2</v>
      </c>
      <c r="F820" s="5">
        <f>INDEX('Route Data'!$D$7:$D$8,E820)</f>
        <v>1</v>
      </c>
      <c r="G820" s="5" t="str">
        <f>INDEX('Route Data'!$A$7:$A$8,E820)</f>
        <v>u18</v>
      </c>
      <c r="H820" s="5">
        <f>EnergyCoeff(INDEX('Route Data'!$K$7:$K$8,E820),INDEX('Route Data'!$L$7:$L$8,E820)*2*PI()/60,INDEX('Route Data'!$F$7:$F$8,E820))</f>
        <v>0.19430699130049439</v>
      </c>
      <c r="I820" s="5">
        <f>DischargeCoeff(INDEX('Route Data'!$I$7:$I$8,E820), INDEX('Route Data'!$L$7:$L$8,E820)*2*PI()/60, INDEX('Route Data'!$F$7:$F$8,E820))</f>
        <v>0.15939200179827354</v>
      </c>
      <c r="J820" s="8">
        <f>FlowAngleRel(INDEX('Route Data'!$J$7:$J$8,E820)*INDEX('Route Data'!$I$7:$I$8,E820), INDEX('Route Data'!$L$7:$L$8,E820)*2*PI()/60, INDEX('Route Data'!$F$7:$F$8,E820),INDEX('Route Data'!$O$7:$O$8,E820), INDEX('Route Data'!$P$7:$P$8,E820),INDEX('Route Data'!$M$7:$M$8,E820))</f>
        <v>1.130811765868994</v>
      </c>
      <c r="K820" s="8">
        <f>FlowAngleAbsT(INDEX('Route Data'!$K$7:$K$8,E820), INDEX('Route Data'!$I$7:$I$8,E820), INDEX('Route Data'!$I$7:$I$8,E820)*INDEX('Route Data'!$J$7:$J$8,E820), INDEX('Route Data'!$L$7:$L$8,E820)*2*PI()/60, INDEX('Route Data'!$F$7:$F$8,E820),INDEX('Route Data'!$O$7:$O$8,E820), INDEX('Route Data'!$P$7:$P$8,E820), INDEX('Route Data'!$H$7:$H$8,E820), INDEX('Route Data'!$Q$7:$Q$8,E820), INDEX('Route Data'!$M$7:$M$8,E820))</f>
        <v>0.51617226640175828</v>
      </c>
      <c r="L820" s="5">
        <f>INDEX('Route Data'!$N$7:$N$8,E820)</f>
        <v>0.4</v>
      </c>
      <c r="M820" s="8">
        <v>0.16562235355377197</v>
      </c>
      <c r="N820" s="8">
        <f>ProbStrikeFrancis(K820, I820, L820, INDEX('Route Data'!$G$7:$G$8,E820),C820, INDEX('Route Data'!$F$7:$F$8,E820), INDEX('Route Data'!$O$7:$O$8,E820), INDEX('Route Data'!$H$7:$H$18,E820))</f>
        <v>1</v>
      </c>
      <c r="O820" s="5" t="str">
        <f>IF(F820&gt;=1,IF(M820&lt;=N820,"STRIKE","pass"),IF(M820&lt;=INDEX('Route Data'!$R$7:$R$8,E820),"NO PASS","pass"))</f>
        <v>STRIKE</v>
      </c>
      <c r="P820" s="5">
        <f>IF(F820&gt;=1,IF(M820&lt;=N820,1,0),IF(M820&lt;=INDEX('Route Data'!$R$7:$R$8,E820),-1,0))</f>
        <v>1</v>
      </c>
    </row>
    <row r="821" spans="1:16">
      <c r="A821" s="5">
        <v>811</v>
      </c>
      <c r="B821" s="12">
        <v>26.76</v>
      </c>
      <c r="C821" s="12">
        <f t="shared" si="12"/>
        <v>2.23</v>
      </c>
      <c r="D821" s="8">
        <v>4.1683971881866455E-2</v>
      </c>
      <c r="E821" s="5">
        <f>MATCH(D821,'Route Data'!$C$7:$C$8,1)</f>
        <v>2</v>
      </c>
      <c r="F821" s="5">
        <f>INDEX('Route Data'!$D$7:$D$8,E821)</f>
        <v>1</v>
      </c>
      <c r="G821" s="5" t="str">
        <f>INDEX('Route Data'!$A$7:$A$8,E821)</f>
        <v>u18</v>
      </c>
      <c r="H821" s="5">
        <f>EnergyCoeff(INDEX('Route Data'!$K$7:$K$8,E821),INDEX('Route Data'!$L$7:$L$8,E821)*2*PI()/60,INDEX('Route Data'!$F$7:$F$8,E821))</f>
        <v>0.19430699130049439</v>
      </c>
      <c r="I821" s="5">
        <f>DischargeCoeff(INDEX('Route Data'!$I$7:$I$8,E821), INDEX('Route Data'!$L$7:$L$8,E821)*2*PI()/60, INDEX('Route Data'!$F$7:$F$8,E821))</f>
        <v>0.15939200179827354</v>
      </c>
      <c r="J821" s="8">
        <f>FlowAngleRel(INDEX('Route Data'!$J$7:$J$8,E821)*INDEX('Route Data'!$I$7:$I$8,E821), INDEX('Route Data'!$L$7:$L$8,E821)*2*PI()/60, INDEX('Route Data'!$F$7:$F$8,E821),INDEX('Route Data'!$O$7:$O$8,E821), INDEX('Route Data'!$P$7:$P$8,E821),INDEX('Route Data'!$M$7:$M$8,E821))</f>
        <v>1.130811765868994</v>
      </c>
      <c r="K821" s="8">
        <f>FlowAngleAbsT(INDEX('Route Data'!$K$7:$K$8,E821), INDEX('Route Data'!$I$7:$I$8,E821), INDEX('Route Data'!$I$7:$I$8,E821)*INDEX('Route Data'!$J$7:$J$8,E821), INDEX('Route Data'!$L$7:$L$8,E821)*2*PI()/60, INDEX('Route Data'!$F$7:$F$8,E821),INDEX('Route Data'!$O$7:$O$8,E821), INDEX('Route Data'!$P$7:$P$8,E821), INDEX('Route Data'!$H$7:$H$8,E821), INDEX('Route Data'!$Q$7:$Q$8,E821), INDEX('Route Data'!$M$7:$M$8,E821))</f>
        <v>0.51617226640175828</v>
      </c>
      <c r="L821" s="5">
        <f>INDEX('Route Data'!$N$7:$N$8,E821)</f>
        <v>0.4</v>
      </c>
      <c r="M821" s="8">
        <v>0.94535952806472778</v>
      </c>
      <c r="N821" s="8">
        <f>ProbStrikeFrancis(K821, I821, L821, INDEX('Route Data'!$G$7:$G$8,E821),C821, INDEX('Route Data'!$F$7:$F$8,E821), INDEX('Route Data'!$O$7:$O$8,E821), INDEX('Route Data'!$H$7:$H$18,E821))</f>
        <v>1</v>
      </c>
      <c r="O821" s="5" t="str">
        <f>IF(F821&gt;=1,IF(M821&lt;=N821,"STRIKE","pass"),IF(M821&lt;=INDEX('Route Data'!$R$7:$R$8,E821),"NO PASS","pass"))</f>
        <v>STRIKE</v>
      </c>
      <c r="P821" s="5">
        <f>IF(F821&gt;=1,IF(M821&lt;=N821,1,0),IF(M821&lt;=INDEX('Route Data'!$R$7:$R$8,E821),-1,0))</f>
        <v>1</v>
      </c>
    </row>
    <row r="822" spans="1:16">
      <c r="A822" s="5">
        <v>812</v>
      </c>
      <c r="B822" s="12">
        <v>23.45</v>
      </c>
      <c r="C822" s="12">
        <f t="shared" si="12"/>
        <v>1.95</v>
      </c>
      <c r="D822" s="8">
        <v>0.72788023948669434</v>
      </c>
      <c r="E822" s="5">
        <f>MATCH(D822,'Route Data'!$C$7:$C$8,1)</f>
        <v>2</v>
      </c>
      <c r="F822" s="5">
        <f>INDEX('Route Data'!$D$7:$D$8,E822)</f>
        <v>1</v>
      </c>
      <c r="G822" s="5" t="str">
        <f>INDEX('Route Data'!$A$7:$A$8,E822)</f>
        <v>u18</v>
      </c>
      <c r="H822" s="5">
        <f>EnergyCoeff(INDEX('Route Data'!$K$7:$K$8,E822),INDEX('Route Data'!$L$7:$L$8,E822)*2*PI()/60,INDEX('Route Data'!$F$7:$F$8,E822))</f>
        <v>0.19430699130049439</v>
      </c>
      <c r="I822" s="5">
        <f>DischargeCoeff(INDEX('Route Data'!$I$7:$I$8,E822), INDEX('Route Data'!$L$7:$L$8,E822)*2*PI()/60, INDEX('Route Data'!$F$7:$F$8,E822))</f>
        <v>0.15939200179827354</v>
      </c>
      <c r="J822" s="8">
        <f>FlowAngleRel(INDEX('Route Data'!$J$7:$J$8,E822)*INDEX('Route Data'!$I$7:$I$8,E822), INDEX('Route Data'!$L$7:$L$8,E822)*2*PI()/60, INDEX('Route Data'!$F$7:$F$8,E822),INDEX('Route Data'!$O$7:$O$8,E822), INDEX('Route Data'!$P$7:$P$8,E822),INDEX('Route Data'!$M$7:$M$8,E822))</f>
        <v>1.130811765868994</v>
      </c>
      <c r="K822" s="8">
        <f>FlowAngleAbsT(INDEX('Route Data'!$K$7:$K$8,E822), INDEX('Route Data'!$I$7:$I$8,E822), INDEX('Route Data'!$I$7:$I$8,E822)*INDEX('Route Data'!$J$7:$J$8,E822), INDEX('Route Data'!$L$7:$L$8,E822)*2*PI()/60, INDEX('Route Data'!$F$7:$F$8,E822),INDEX('Route Data'!$O$7:$O$8,E822), INDEX('Route Data'!$P$7:$P$8,E822), INDEX('Route Data'!$H$7:$H$8,E822), INDEX('Route Data'!$Q$7:$Q$8,E822), INDEX('Route Data'!$M$7:$M$8,E822))</f>
        <v>0.51617226640175828</v>
      </c>
      <c r="L822" s="5">
        <f>INDEX('Route Data'!$N$7:$N$8,E822)</f>
        <v>0.4</v>
      </c>
      <c r="M822" s="8">
        <v>0.34056878089904785</v>
      </c>
      <c r="N822" s="8">
        <f>ProbStrikeFrancis(K822, I822, L822, INDEX('Route Data'!$G$7:$G$8,E822),C822, INDEX('Route Data'!$F$7:$F$8,E822), INDEX('Route Data'!$O$7:$O$8,E822), INDEX('Route Data'!$H$7:$H$18,E822))</f>
        <v>1</v>
      </c>
      <c r="O822" s="5" t="str">
        <f>IF(F822&gt;=1,IF(M822&lt;=N822,"STRIKE","pass"),IF(M822&lt;=INDEX('Route Data'!$R$7:$R$8,E822),"NO PASS","pass"))</f>
        <v>STRIKE</v>
      </c>
      <c r="P822" s="5">
        <f>IF(F822&gt;=1,IF(M822&lt;=N822,1,0),IF(M822&lt;=INDEX('Route Data'!$R$7:$R$8,E822),-1,0))</f>
        <v>1</v>
      </c>
    </row>
    <row r="823" spans="1:16">
      <c r="A823" s="5">
        <v>813</v>
      </c>
      <c r="B823" s="12">
        <v>22.38</v>
      </c>
      <c r="C823" s="12">
        <f t="shared" si="12"/>
        <v>1.87</v>
      </c>
      <c r="D823" s="8">
        <v>0.93487066030502319</v>
      </c>
      <c r="E823" s="5">
        <f>MATCH(D823,'Route Data'!$C$7:$C$8,1)</f>
        <v>2</v>
      </c>
      <c r="F823" s="5">
        <f>INDEX('Route Data'!$D$7:$D$8,E823)</f>
        <v>1</v>
      </c>
      <c r="G823" s="5" t="str">
        <f>INDEX('Route Data'!$A$7:$A$8,E823)</f>
        <v>u18</v>
      </c>
      <c r="H823" s="5">
        <f>EnergyCoeff(INDEX('Route Data'!$K$7:$K$8,E823),INDEX('Route Data'!$L$7:$L$8,E823)*2*PI()/60,INDEX('Route Data'!$F$7:$F$8,E823))</f>
        <v>0.19430699130049439</v>
      </c>
      <c r="I823" s="5">
        <f>DischargeCoeff(INDEX('Route Data'!$I$7:$I$8,E823), INDEX('Route Data'!$L$7:$L$8,E823)*2*PI()/60, INDEX('Route Data'!$F$7:$F$8,E823))</f>
        <v>0.15939200179827354</v>
      </c>
      <c r="J823" s="8">
        <f>FlowAngleRel(INDEX('Route Data'!$J$7:$J$8,E823)*INDEX('Route Data'!$I$7:$I$8,E823), INDEX('Route Data'!$L$7:$L$8,E823)*2*PI()/60, INDEX('Route Data'!$F$7:$F$8,E823),INDEX('Route Data'!$O$7:$O$8,E823), INDEX('Route Data'!$P$7:$P$8,E823),INDEX('Route Data'!$M$7:$M$8,E823))</f>
        <v>1.130811765868994</v>
      </c>
      <c r="K823" s="8">
        <f>FlowAngleAbsT(INDEX('Route Data'!$K$7:$K$8,E823), INDEX('Route Data'!$I$7:$I$8,E823), INDEX('Route Data'!$I$7:$I$8,E823)*INDEX('Route Data'!$J$7:$J$8,E823), INDEX('Route Data'!$L$7:$L$8,E823)*2*PI()/60, INDEX('Route Data'!$F$7:$F$8,E823),INDEX('Route Data'!$O$7:$O$8,E823), INDEX('Route Data'!$P$7:$P$8,E823), INDEX('Route Data'!$H$7:$H$8,E823), INDEX('Route Data'!$Q$7:$Q$8,E823), INDEX('Route Data'!$M$7:$M$8,E823))</f>
        <v>0.51617226640175828</v>
      </c>
      <c r="L823" s="5">
        <f>INDEX('Route Data'!$N$7:$N$8,E823)</f>
        <v>0.4</v>
      </c>
      <c r="M823" s="8">
        <v>0.15494102239608765</v>
      </c>
      <c r="N823" s="8">
        <f>ProbStrikeFrancis(K823, I823, L823, INDEX('Route Data'!$G$7:$G$8,E823),C823, INDEX('Route Data'!$F$7:$F$8,E823), INDEX('Route Data'!$O$7:$O$8,E823), INDEX('Route Data'!$H$7:$H$18,E823))</f>
        <v>1</v>
      </c>
      <c r="O823" s="5" t="str">
        <f>IF(F823&gt;=1,IF(M823&lt;=N823,"STRIKE","pass"),IF(M823&lt;=INDEX('Route Data'!$R$7:$R$8,E823),"NO PASS","pass"))</f>
        <v>STRIKE</v>
      </c>
      <c r="P823" s="5">
        <f>IF(F823&gt;=1,IF(M823&lt;=N823,1,0),IF(M823&lt;=INDEX('Route Data'!$R$7:$R$8,E823),-1,0))</f>
        <v>1</v>
      </c>
    </row>
    <row r="824" spans="1:16">
      <c r="A824" s="5">
        <v>814</v>
      </c>
      <c r="B824" s="12">
        <v>23.48</v>
      </c>
      <c r="C824" s="12">
        <f t="shared" si="12"/>
        <v>1.96</v>
      </c>
      <c r="D824" s="8">
        <v>4.8320174217224121E-2</v>
      </c>
      <c r="E824" s="5">
        <f>MATCH(D824,'Route Data'!$C$7:$C$8,1)</f>
        <v>2</v>
      </c>
      <c r="F824" s="5">
        <f>INDEX('Route Data'!$D$7:$D$8,E824)</f>
        <v>1</v>
      </c>
      <c r="G824" s="5" t="str">
        <f>INDEX('Route Data'!$A$7:$A$8,E824)</f>
        <v>u18</v>
      </c>
      <c r="H824" s="5">
        <f>EnergyCoeff(INDEX('Route Data'!$K$7:$K$8,E824),INDEX('Route Data'!$L$7:$L$8,E824)*2*PI()/60,INDEX('Route Data'!$F$7:$F$8,E824))</f>
        <v>0.19430699130049439</v>
      </c>
      <c r="I824" s="5">
        <f>DischargeCoeff(INDEX('Route Data'!$I$7:$I$8,E824), INDEX('Route Data'!$L$7:$L$8,E824)*2*PI()/60, INDEX('Route Data'!$F$7:$F$8,E824))</f>
        <v>0.15939200179827354</v>
      </c>
      <c r="J824" s="8">
        <f>FlowAngleRel(INDEX('Route Data'!$J$7:$J$8,E824)*INDEX('Route Data'!$I$7:$I$8,E824), INDEX('Route Data'!$L$7:$L$8,E824)*2*PI()/60, INDEX('Route Data'!$F$7:$F$8,E824),INDEX('Route Data'!$O$7:$O$8,E824), INDEX('Route Data'!$P$7:$P$8,E824),INDEX('Route Data'!$M$7:$M$8,E824))</f>
        <v>1.130811765868994</v>
      </c>
      <c r="K824" s="8">
        <f>FlowAngleAbsT(INDEX('Route Data'!$K$7:$K$8,E824), INDEX('Route Data'!$I$7:$I$8,E824), INDEX('Route Data'!$I$7:$I$8,E824)*INDEX('Route Data'!$J$7:$J$8,E824), INDEX('Route Data'!$L$7:$L$8,E824)*2*PI()/60, INDEX('Route Data'!$F$7:$F$8,E824),INDEX('Route Data'!$O$7:$O$8,E824), INDEX('Route Data'!$P$7:$P$8,E824), INDEX('Route Data'!$H$7:$H$8,E824), INDEX('Route Data'!$Q$7:$Q$8,E824), INDEX('Route Data'!$M$7:$M$8,E824))</f>
        <v>0.51617226640175828</v>
      </c>
      <c r="L824" s="5">
        <f>INDEX('Route Data'!$N$7:$N$8,E824)</f>
        <v>0.4</v>
      </c>
      <c r="M824" s="8">
        <v>0.97740352153778076</v>
      </c>
      <c r="N824" s="8">
        <f>ProbStrikeFrancis(K824, I824, L824, INDEX('Route Data'!$G$7:$G$8,E824),C824, INDEX('Route Data'!$F$7:$F$8,E824), INDEX('Route Data'!$O$7:$O$8,E824), INDEX('Route Data'!$H$7:$H$18,E824))</f>
        <v>1</v>
      </c>
      <c r="O824" s="5" t="str">
        <f>IF(F824&gt;=1,IF(M824&lt;=N824,"STRIKE","pass"),IF(M824&lt;=INDEX('Route Data'!$R$7:$R$8,E824),"NO PASS","pass"))</f>
        <v>STRIKE</v>
      </c>
      <c r="P824" s="5">
        <f>IF(F824&gt;=1,IF(M824&lt;=N824,1,0),IF(M824&lt;=INDEX('Route Data'!$R$7:$R$8,E824),-1,0))</f>
        <v>1</v>
      </c>
    </row>
    <row r="825" spans="1:16">
      <c r="A825" s="5">
        <v>815</v>
      </c>
      <c r="B825" s="12">
        <v>20</v>
      </c>
      <c r="C825" s="12">
        <f t="shared" si="12"/>
        <v>1.67</v>
      </c>
      <c r="D825" s="8">
        <v>0.97355085611343384</v>
      </c>
      <c r="E825" s="5">
        <f>MATCH(D825,'Route Data'!$C$7:$C$8,1)</f>
        <v>2</v>
      </c>
      <c r="F825" s="5">
        <f>INDEX('Route Data'!$D$7:$D$8,E825)</f>
        <v>1</v>
      </c>
      <c r="G825" s="5" t="str">
        <f>INDEX('Route Data'!$A$7:$A$8,E825)</f>
        <v>u18</v>
      </c>
      <c r="H825" s="5">
        <f>EnergyCoeff(INDEX('Route Data'!$K$7:$K$8,E825),INDEX('Route Data'!$L$7:$L$8,E825)*2*PI()/60,INDEX('Route Data'!$F$7:$F$8,E825))</f>
        <v>0.19430699130049439</v>
      </c>
      <c r="I825" s="5">
        <f>DischargeCoeff(INDEX('Route Data'!$I$7:$I$8,E825), INDEX('Route Data'!$L$7:$L$8,E825)*2*PI()/60, INDEX('Route Data'!$F$7:$F$8,E825))</f>
        <v>0.15939200179827354</v>
      </c>
      <c r="J825" s="8">
        <f>FlowAngleRel(INDEX('Route Data'!$J$7:$J$8,E825)*INDEX('Route Data'!$I$7:$I$8,E825), INDEX('Route Data'!$L$7:$L$8,E825)*2*PI()/60, INDEX('Route Data'!$F$7:$F$8,E825),INDEX('Route Data'!$O$7:$O$8,E825), INDEX('Route Data'!$P$7:$P$8,E825),INDEX('Route Data'!$M$7:$M$8,E825))</f>
        <v>1.130811765868994</v>
      </c>
      <c r="K825" s="8">
        <f>FlowAngleAbsT(INDEX('Route Data'!$K$7:$K$8,E825), INDEX('Route Data'!$I$7:$I$8,E825), INDEX('Route Data'!$I$7:$I$8,E825)*INDEX('Route Data'!$J$7:$J$8,E825), INDEX('Route Data'!$L$7:$L$8,E825)*2*PI()/60, INDEX('Route Data'!$F$7:$F$8,E825),INDEX('Route Data'!$O$7:$O$8,E825), INDEX('Route Data'!$P$7:$P$8,E825), INDEX('Route Data'!$H$7:$H$8,E825), INDEX('Route Data'!$Q$7:$Q$8,E825), INDEX('Route Data'!$M$7:$M$8,E825))</f>
        <v>0.51617226640175828</v>
      </c>
      <c r="L825" s="5">
        <f>INDEX('Route Data'!$N$7:$N$8,E825)</f>
        <v>0.4</v>
      </c>
      <c r="M825" s="8">
        <v>0.24443680047988892</v>
      </c>
      <c r="N825" s="8">
        <f>ProbStrikeFrancis(K825, I825, L825, INDEX('Route Data'!$G$7:$G$8,E825),C825, INDEX('Route Data'!$F$7:$F$8,E825), INDEX('Route Data'!$O$7:$O$8,E825), INDEX('Route Data'!$H$7:$H$18,E825))</f>
        <v>1</v>
      </c>
      <c r="O825" s="5" t="str">
        <f>IF(F825&gt;=1,IF(M825&lt;=N825,"STRIKE","pass"),IF(M825&lt;=INDEX('Route Data'!$R$7:$R$8,E825),"NO PASS","pass"))</f>
        <v>STRIKE</v>
      </c>
      <c r="P825" s="5">
        <f>IF(F825&gt;=1,IF(M825&lt;=N825,1,0),IF(M825&lt;=INDEX('Route Data'!$R$7:$R$8,E825),-1,0))</f>
        <v>1</v>
      </c>
    </row>
    <row r="826" spans="1:16">
      <c r="A826" s="5">
        <v>816</v>
      </c>
      <c r="B826" s="12">
        <v>24.34</v>
      </c>
      <c r="C826" s="12">
        <f t="shared" si="12"/>
        <v>2.0299999999999998</v>
      </c>
      <c r="D826" s="8">
        <v>0.19785881042480469</v>
      </c>
      <c r="E826" s="5">
        <f>MATCH(D826,'Route Data'!$C$7:$C$8,1)</f>
        <v>2</v>
      </c>
      <c r="F826" s="5">
        <f>INDEX('Route Data'!$D$7:$D$8,E826)</f>
        <v>1</v>
      </c>
      <c r="G826" s="5" t="str">
        <f>INDEX('Route Data'!$A$7:$A$8,E826)</f>
        <v>u18</v>
      </c>
      <c r="H826" s="5">
        <f>EnergyCoeff(INDEX('Route Data'!$K$7:$K$8,E826),INDEX('Route Data'!$L$7:$L$8,E826)*2*PI()/60,INDEX('Route Data'!$F$7:$F$8,E826))</f>
        <v>0.19430699130049439</v>
      </c>
      <c r="I826" s="5">
        <f>DischargeCoeff(INDEX('Route Data'!$I$7:$I$8,E826), INDEX('Route Data'!$L$7:$L$8,E826)*2*PI()/60, INDEX('Route Data'!$F$7:$F$8,E826))</f>
        <v>0.15939200179827354</v>
      </c>
      <c r="J826" s="8">
        <f>FlowAngleRel(INDEX('Route Data'!$J$7:$J$8,E826)*INDEX('Route Data'!$I$7:$I$8,E826), INDEX('Route Data'!$L$7:$L$8,E826)*2*PI()/60, INDEX('Route Data'!$F$7:$F$8,E826),INDEX('Route Data'!$O$7:$O$8,E826), INDEX('Route Data'!$P$7:$P$8,E826),INDEX('Route Data'!$M$7:$M$8,E826))</f>
        <v>1.130811765868994</v>
      </c>
      <c r="K826" s="8">
        <f>FlowAngleAbsT(INDEX('Route Data'!$K$7:$K$8,E826), INDEX('Route Data'!$I$7:$I$8,E826), INDEX('Route Data'!$I$7:$I$8,E826)*INDEX('Route Data'!$J$7:$J$8,E826), INDEX('Route Data'!$L$7:$L$8,E826)*2*PI()/60, INDEX('Route Data'!$F$7:$F$8,E826),INDEX('Route Data'!$O$7:$O$8,E826), INDEX('Route Data'!$P$7:$P$8,E826), INDEX('Route Data'!$H$7:$H$8,E826), INDEX('Route Data'!$Q$7:$Q$8,E826), INDEX('Route Data'!$M$7:$M$8,E826))</f>
        <v>0.51617226640175828</v>
      </c>
      <c r="L826" s="5">
        <f>INDEX('Route Data'!$N$7:$N$8,E826)</f>
        <v>0.4</v>
      </c>
      <c r="M826" s="8">
        <v>0.44333696365356445</v>
      </c>
      <c r="N826" s="8">
        <f>ProbStrikeFrancis(K826, I826, L826, INDEX('Route Data'!$G$7:$G$8,E826),C826, INDEX('Route Data'!$F$7:$F$8,E826), INDEX('Route Data'!$O$7:$O$8,E826), INDEX('Route Data'!$H$7:$H$18,E826))</f>
        <v>1</v>
      </c>
      <c r="O826" s="5" t="str">
        <f>IF(F826&gt;=1,IF(M826&lt;=N826,"STRIKE","pass"),IF(M826&lt;=INDEX('Route Data'!$R$7:$R$8,E826),"NO PASS","pass"))</f>
        <v>STRIKE</v>
      </c>
      <c r="P826" s="5">
        <f>IF(F826&gt;=1,IF(M826&lt;=N826,1,0),IF(M826&lt;=INDEX('Route Data'!$R$7:$R$8,E826),-1,0))</f>
        <v>1</v>
      </c>
    </row>
    <row r="827" spans="1:16">
      <c r="A827" s="5">
        <v>817</v>
      </c>
      <c r="B827" s="12">
        <v>22.05</v>
      </c>
      <c r="C827" s="12">
        <f t="shared" si="12"/>
        <v>1.84</v>
      </c>
      <c r="D827" s="8">
        <v>0.52493494749069214</v>
      </c>
      <c r="E827" s="5">
        <f>MATCH(D827,'Route Data'!$C$7:$C$8,1)</f>
        <v>2</v>
      </c>
      <c r="F827" s="5">
        <f>INDEX('Route Data'!$D$7:$D$8,E827)</f>
        <v>1</v>
      </c>
      <c r="G827" s="5" t="str">
        <f>INDEX('Route Data'!$A$7:$A$8,E827)</f>
        <v>u18</v>
      </c>
      <c r="H827" s="5">
        <f>EnergyCoeff(INDEX('Route Data'!$K$7:$K$8,E827),INDEX('Route Data'!$L$7:$L$8,E827)*2*PI()/60,INDEX('Route Data'!$F$7:$F$8,E827))</f>
        <v>0.19430699130049439</v>
      </c>
      <c r="I827" s="5">
        <f>DischargeCoeff(INDEX('Route Data'!$I$7:$I$8,E827), INDEX('Route Data'!$L$7:$L$8,E827)*2*PI()/60, INDEX('Route Data'!$F$7:$F$8,E827))</f>
        <v>0.15939200179827354</v>
      </c>
      <c r="J827" s="8">
        <f>FlowAngleRel(INDEX('Route Data'!$J$7:$J$8,E827)*INDEX('Route Data'!$I$7:$I$8,E827), INDEX('Route Data'!$L$7:$L$8,E827)*2*PI()/60, INDEX('Route Data'!$F$7:$F$8,E827),INDEX('Route Data'!$O$7:$O$8,E827), INDEX('Route Data'!$P$7:$P$8,E827),INDEX('Route Data'!$M$7:$M$8,E827))</f>
        <v>1.130811765868994</v>
      </c>
      <c r="K827" s="8">
        <f>FlowAngleAbsT(INDEX('Route Data'!$K$7:$K$8,E827), INDEX('Route Data'!$I$7:$I$8,E827), INDEX('Route Data'!$I$7:$I$8,E827)*INDEX('Route Data'!$J$7:$J$8,E827), INDEX('Route Data'!$L$7:$L$8,E827)*2*PI()/60, INDEX('Route Data'!$F$7:$F$8,E827),INDEX('Route Data'!$O$7:$O$8,E827), INDEX('Route Data'!$P$7:$P$8,E827), INDEX('Route Data'!$H$7:$H$8,E827), INDEX('Route Data'!$Q$7:$Q$8,E827), INDEX('Route Data'!$M$7:$M$8,E827))</f>
        <v>0.51617226640175828</v>
      </c>
      <c r="L827" s="5">
        <f>INDEX('Route Data'!$N$7:$N$8,E827)</f>
        <v>0.4</v>
      </c>
      <c r="M827" s="8">
        <v>0.11221569776535034</v>
      </c>
      <c r="N827" s="8">
        <f>ProbStrikeFrancis(K827, I827, L827, INDEX('Route Data'!$G$7:$G$8,E827),C827, INDEX('Route Data'!$F$7:$F$8,E827), INDEX('Route Data'!$O$7:$O$8,E827), INDEX('Route Data'!$H$7:$H$18,E827))</f>
        <v>1</v>
      </c>
      <c r="O827" s="5" t="str">
        <f>IF(F827&gt;=1,IF(M827&lt;=N827,"STRIKE","pass"),IF(M827&lt;=INDEX('Route Data'!$R$7:$R$8,E827),"NO PASS","pass"))</f>
        <v>STRIKE</v>
      </c>
      <c r="P827" s="5">
        <f>IF(F827&gt;=1,IF(M827&lt;=N827,1,0),IF(M827&lt;=INDEX('Route Data'!$R$7:$R$8,E827),-1,0))</f>
        <v>1</v>
      </c>
    </row>
    <row r="828" spans="1:16">
      <c r="A828" s="5">
        <v>818</v>
      </c>
      <c r="B828" s="12">
        <v>24.63</v>
      </c>
      <c r="C828" s="12">
        <f t="shared" si="12"/>
        <v>2.0499999999999998</v>
      </c>
      <c r="D828" s="8">
        <v>0.54370653629302979</v>
      </c>
      <c r="E828" s="5">
        <f>MATCH(D828,'Route Data'!$C$7:$C$8,1)</f>
        <v>2</v>
      </c>
      <c r="F828" s="5">
        <f>INDEX('Route Data'!$D$7:$D$8,E828)</f>
        <v>1</v>
      </c>
      <c r="G828" s="5" t="str">
        <f>INDEX('Route Data'!$A$7:$A$8,E828)</f>
        <v>u18</v>
      </c>
      <c r="H828" s="5">
        <f>EnergyCoeff(INDEX('Route Data'!$K$7:$K$8,E828),INDEX('Route Data'!$L$7:$L$8,E828)*2*PI()/60,INDEX('Route Data'!$F$7:$F$8,E828))</f>
        <v>0.19430699130049439</v>
      </c>
      <c r="I828" s="5">
        <f>DischargeCoeff(INDEX('Route Data'!$I$7:$I$8,E828), INDEX('Route Data'!$L$7:$L$8,E828)*2*PI()/60, INDEX('Route Data'!$F$7:$F$8,E828))</f>
        <v>0.15939200179827354</v>
      </c>
      <c r="J828" s="8">
        <f>FlowAngleRel(INDEX('Route Data'!$J$7:$J$8,E828)*INDEX('Route Data'!$I$7:$I$8,E828), INDEX('Route Data'!$L$7:$L$8,E828)*2*PI()/60, INDEX('Route Data'!$F$7:$F$8,E828),INDEX('Route Data'!$O$7:$O$8,E828), INDEX('Route Data'!$P$7:$P$8,E828),INDEX('Route Data'!$M$7:$M$8,E828))</f>
        <v>1.130811765868994</v>
      </c>
      <c r="K828" s="8">
        <f>FlowAngleAbsT(INDEX('Route Data'!$K$7:$K$8,E828), INDEX('Route Data'!$I$7:$I$8,E828), INDEX('Route Data'!$I$7:$I$8,E828)*INDEX('Route Data'!$J$7:$J$8,E828), INDEX('Route Data'!$L$7:$L$8,E828)*2*PI()/60, INDEX('Route Data'!$F$7:$F$8,E828),INDEX('Route Data'!$O$7:$O$8,E828), INDEX('Route Data'!$P$7:$P$8,E828), INDEX('Route Data'!$H$7:$H$8,E828), INDEX('Route Data'!$Q$7:$Q$8,E828), INDEX('Route Data'!$M$7:$M$8,E828))</f>
        <v>0.51617226640175828</v>
      </c>
      <c r="L828" s="5">
        <f>INDEX('Route Data'!$N$7:$N$8,E828)</f>
        <v>0.4</v>
      </c>
      <c r="M828" s="8">
        <v>0.10557949542999268</v>
      </c>
      <c r="N828" s="8">
        <f>ProbStrikeFrancis(K828, I828, L828, INDEX('Route Data'!$G$7:$G$8,E828),C828, INDEX('Route Data'!$F$7:$F$8,E828), INDEX('Route Data'!$O$7:$O$8,E828), INDEX('Route Data'!$H$7:$H$18,E828))</f>
        <v>1</v>
      </c>
      <c r="O828" s="5" t="str">
        <f>IF(F828&gt;=1,IF(M828&lt;=N828,"STRIKE","pass"),IF(M828&lt;=INDEX('Route Data'!$R$7:$R$8,E828),"NO PASS","pass"))</f>
        <v>STRIKE</v>
      </c>
      <c r="P828" s="5">
        <f>IF(F828&gt;=1,IF(M828&lt;=N828,1,0),IF(M828&lt;=INDEX('Route Data'!$R$7:$R$8,E828),-1,0))</f>
        <v>1</v>
      </c>
    </row>
    <row r="829" spans="1:16">
      <c r="A829" s="5">
        <v>819</v>
      </c>
      <c r="B829" s="12">
        <v>25.42</v>
      </c>
      <c r="C829" s="12">
        <f t="shared" si="12"/>
        <v>2.12</v>
      </c>
      <c r="D829" s="8">
        <v>0.95623332262039185</v>
      </c>
      <c r="E829" s="5">
        <f>MATCH(D829,'Route Data'!$C$7:$C$8,1)</f>
        <v>2</v>
      </c>
      <c r="F829" s="5">
        <f>INDEX('Route Data'!$D$7:$D$8,E829)</f>
        <v>1</v>
      </c>
      <c r="G829" s="5" t="str">
        <f>INDEX('Route Data'!$A$7:$A$8,E829)</f>
        <v>u18</v>
      </c>
      <c r="H829" s="5">
        <f>EnergyCoeff(INDEX('Route Data'!$K$7:$K$8,E829),INDEX('Route Data'!$L$7:$L$8,E829)*2*PI()/60,INDEX('Route Data'!$F$7:$F$8,E829))</f>
        <v>0.19430699130049439</v>
      </c>
      <c r="I829" s="5">
        <f>DischargeCoeff(INDEX('Route Data'!$I$7:$I$8,E829), INDEX('Route Data'!$L$7:$L$8,E829)*2*PI()/60, INDEX('Route Data'!$F$7:$F$8,E829))</f>
        <v>0.15939200179827354</v>
      </c>
      <c r="J829" s="8">
        <f>FlowAngleRel(INDEX('Route Data'!$J$7:$J$8,E829)*INDEX('Route Data'!$I$7:$I$8,E829), INDEX('Route Data'!$L$7:$L$8,E829)*2*PI()/60, INDEX('Route Data'!$F$7:$F$8,E829),INDEX('Route Data'!$O$7:$O$8,E829), INDEX('Route Data'!$P$7:$P$8,E829),INDEX('Route Data'!$M$7:$M$8,E829))</f>
        <v>1.130811765868994</v>
      </c>
      <c r="K829" s="8">
        <f>FlowAngleAbsT(INDEX('Route Data'!$K$7:$K$8,E829), INDEX('Route Data'!$I$7:$I$8,E829), INDEX('Route Data'!$I$7:$I$8,E829)*INDEX('Route Data'!$J$7:$J$8,E829), INDEX('Route Data'!$L$7:$L$8,E829)*2*PI()/60, INDEX('Route Data'!$F$7:$F$8,E829),INDEX('Route Data'!$O$7:$O$8,E829), INDEX('Route Data'!$P$7:$P$8,E829), INDEX('Route Data'!$H$7:$H$8,E829), INDEX('Route Data'!$Q$7:$Q$8,E829), INDEX('Route Data'!$M$7:$M$8,E829))</f>
        <v>0.51617226640175828</v>
      </c>
      <c r="L829" s="5">
        <f>INDEX('Route Data'!$N$7:$N$8,E829)</f>
        <v>0.4</v>
      </c>
      <c r="M829" s="8">
        <v>0.85990887880325317</v>
      </c>
      <c r="N829" s="8">
        <f>ProbStrikeFrancis(K829, I829, L829, INDEX('Route Data'!$G$7:$G$8,E829),C829, INDEX('Route Data'!$F$7:$F$8,E829), INDEX('Route Data'!$O$7:$O$8,E829), INDEX('Route Data'!$H$7:$H$18,E829))</f>
        <v>1</v>
      </c>
      <c r="O829" s="5" t="str">
        <f>IF(F829&gt;=1,IF(M829&lt;=N829,"STRIKE","pass"),IF(M829&lt;=INDEX('Route Data'!$R$7:$R$8,E829),"NO PASS","pass"))</f>
        <v>STRIKE</v>
      </c>
      <c r="P829" s="5">
        <f>IF(F829&gt;=1,IF(M829&lt;=N829,1,0),IF(M829&lt;=INDEX('Route Data'!$R$7:$R$8,E829),-1,0))</f>
        <v>1</v>
      </c>
    </row>
    <row r="830" spans="1:16">
      <c r="A830" s="5">
        <v>820</v>
      </c>
      <c r="B830" s="12">
        <v>26.18</v>
      </c>
      <c r="C830" s="12">
        <f t="shared" si="12"/>
        <v>2.1800000000000002</v>
      </c>
      <c r="D830" s="8">
        <v>0.98423218727111816</v>
      </c>
      <c r="E830" s="5">
        <f>MATCH(D830,'Route Data'!$C$7:$C$8,1)</f>
        <v>2</v>
      </c>
      <c r="F830" s="5">
        <f>INDEX('Route Data'!$D$7:$D$8,E830)</f>
        <v>1</v>
      </c>
      <c r="G830" s="5" t="str">
        <f>INDEX('Route Data'!$A$7:$A$8,E830)</f>
        <v>u18</v>
      </c>
      <c r="H830" s="5">
        <f>EnergyCoeff(INDEX('Route Data'!$K$7:$K$8,E830),INDEX('Route Data'!$L$7:$L$8,E830)*2*PI()/60,INDEX('Route Data'!$F$7:$F$8,E830))</f>
        <v>0.19430699130049439</v>
      </c>
      <c r="I830" s="5">
        <f>DischargeCoeff(INDEX('Route Data'!$I$7:$I$8,E830), INDEX('Route Data'!$L$7:$L$8,E830)*2*PI()/60, INDEX('Route Data'!$F$7:$F$8,E830))</f>
        <v>0.15939200179827354</v>
      </c>
      <c r="J830" s="8">
        <f>FlowAngleRel(INDEX('Route Data'!$J$7:$J$8,E830)*INDEX('Route Data'!$I$7:$I$8,E830), INDEX('Route Data'!$L$7:$L$8,E830)*2*PI()/60, INDEX('Route Data'!$F$7:$F$8,E830),INDEX('Route Data'!$O$7:$O$8,E830), INDEX('Route Data'!$P$7:$P$8,E830),INDEX('Route Data'!$M$7:$M$8,E830))</f>
        <v>1.130811765868994</v>
      </c>
      <c r="K830" s="8">
        <f>FlowAngleAbsT(INDEX('Route Data'!$K$7:$K$8,E830), INDEX('Route Data'!$I$7:$I$8,E830), INDEX('Route Data'!$I$7:$I$8,E830)*INDEX('Route Data'!$J$7:$J$8,E830), INDEX('Route Data'!$L$7:$L$8,E830)*2*PI()/60, INDEX('Route Data'!$F$7:$F$8,E830),INDEX('Route Data'!$O$7:$O$8,E830), INDEX('Route Data'!$P$7:$P$8,E830), INDEX('Route Data'!$H$7:$H$8,E830), INDEX('Route Data'!$Q$7:$Q$8,E830), INDEX('Route Data'!$M$7:$M$8,E830))</f>
        <v>0.51617226640175828</v>
      </c>
      <c r="L830" s="5">
        <f>INDEX('Route Data'!$N$7:$N$8,E830)</f>
        <v>0.4</v>
      </c>
      <c r="M830" s="8">
        <v>0.86249995231628418</v>
      </c>
      <c r="N830" s="8">
        <f>ProbStrikeFrancis(K830, I830, L830, INDEX('Route Data'!$G$7:$G$8,E830),C830, INDEX('Route Data'!$F$7:$F$8,E830), INDEX('Route Data'!$O$7:$O$8,E830), INDEX('Route Data'!$H$7:$H$18,E830))</f>
        <v>1</v>
      </c>
      <c r="O830" s="5" t="str">
        <f>IF(F830&gt;=1,IF(M830&lt;=N830,"STRIKE","pass"),IF(M830&lt;=INDEX('Route Data'!$R$7:$R$8,E830),"NO PASS","pass"))</f>
        <v>STRIKE</v>
      </c>
      <c r="P830" s="5">
        <f>IF(F830&gt;=1,IF(M830&lt;=N830,1,0),IF(M830&lt;=INDEX('Route Data'!$R$7:$R$8,E830),-1,0))</f>
        <v>1</v>
      </c>
    </row>
    <row r="831" spans="1:16">
      <c r="A831" s="5">
        <v>821</v>
      </c>
      <c r="B831" s="12">
        <v>24.28</v>
      </c>
      <c r="C831" s="12">
        <f t="shared" si="12"/>
        <v>2.02</v>
      </c>
      <c r="D831" s="8">
        <v>0.16581481695175171</v>
      </c>
      <c r="E831" s="5">
        <f>MATCH(D831,'Route Data'!$C$7:$C$8,1)</f>
        <v>2</v>
      </c>
      <c r="F831" s="5">
        <f>INDEX('Route Data'!$D$7:$D$8,E831)</f>
        <v>1</v>
      </c>
      <c r="G831" s="5" t="str">
        <f>INDEX('Route Data'!$A$7:$A$8,E831)</f>
        <v>u18</v>
      </c>
      <c r="H831" s="5">
        <f>EnergyCoeff(INDEX('Route Data'!$K$7:$K$8,E831),INDEX('Route Data'!$L$7:$L$8,E831)*2*PI()/60,INDEX('Route Data'!$F$7:$F$8,E831))</f>
        <v>0.19430699130049439</v>
      </c>
      <c r="I831" s="5">
        <f>DischargeCoeff(INDEX('Route Data'!$I$7:$I$8,E831), INDEX('Route Data'!$L$7:$L$8,E831)*2*PI()/60, INDEX('Route Data'!$F$7:$F$8,E831))</f>
        <v>0.15939200179827354</v>
      </c>
      <c r="J831" s="8">
        <f>FlowAngleRel(INDEX('Route Data'!$J$7:$J$8,E831)*INDEX('Route Data'!$I$7:$I$8,E831), INDEX('Route Data'!$L$7:$L$8,E831)*2*PI()/60, INDEX('Route Data'!$F$7:$F$8,E831),INDEX('Route Data'!$O$7:$O$8,E831), INDEX('Route Data'!$P$7:$P$8,E831),INDEX('Route Data'!$M$7:$M$8,E831))</f>
        <v>1.130811765868994</v>
      </c>
      <c r="K831" s="8">
        <f>FlowAngleAbsT(INDEX('Route Data'!$K$7:$K$8,E831), INDEX('Route Data'!$I$7:$I$8,E831), INDEX('Route Data'!$I$7:$I$8,E831)*INDEX('Route Data'!$J$7:$J$8,E831), INDEX('Route Data'!$L$7:$L$8,E831)*2*PI()/60, INDEX('Route Data'!$F$7:$F$8,E831),INDEX('Route Data'!$O$7:$O$8,E831), INDEX('Route Data'!$P$7:$P$8,E831), INDEX('Route Data'!$H$7:$H$8,E831), INDEX('Route Data'!$Q$7:$Q$8,E831), INDEX('Route Data'!$M$7:$M$8,E831))</f>
        <v>0.51617226640175828</v>
      </c>
      <c r="L831" s="5">
        <f>INDEX('Route Data'!$N$7:$N$8,E831)</f>
        <v>0.4</v>
      </c>
      <c r="M831" s="8">
        <v>0.38588517904281616</v>
      </c>
      <c r="N831" s="8">
        <f>ProbStrikeFrancis(K831, I831, L831, INDEX('Route Data'!$G$7:$G$8,E831),C831, INDEX('Route Data'!$F$7:$F$8,E831), INDEX('Route Data'!$O$7:$O$8,E831), INDEX('Route Data'!$H$7:$H$18,E831))</f>
        <v>1</v>
      </c>
      <c r="O831" s="5" t="str">
        <f>IF(F831&gt;=1,IF(M831&lt;=N831,"STRIKE","pass"),IF(M831&lt;=INDEX('Route Data'!$R$7:$R$8,E831),"NO PASS","pass"))</f>
        <v>STRIKE</v>
      </c>
      <c r="P831" s="5">
        <f>IF(F831&gt;=1,IF(M831&lt;=N831,1,0),IF(M831&lt;=INDEX('Route Data'!$R$7:$R$8,E831),-1,0))</f>
        <v>1</v>
      </c>
    </row>
    <row r="832" spans="1:16">
      <c r="A832" s="5">
        <v>822</v>
      </c>
      <c r="B832" s="12">
        <v>19.89</v>
      </c>
      <c r="C832" s="12">
        <f t="shared" si="12"/>
        <v>1.66</v>
      </c>
      <c r="D832" s="8">
        <v>0.62106692790985107</v>
      </c>
      <c r="E832" s="5">
        <f>MATCH(D832,'Route Data'!$C$7:$C$8,1)</f>
        <v>2</v>
      </c>
      <c r="F832" s="5">
        <f>INDEX('Route Data'!$D$7:$D$8,E832)</f>
        <v>1</v>
      </c>
      <c r="G832" s="5" t="str">
        <f>INDEX('Route Data'!$A$7:$A$8,E832)</f>
        <v>u18</v>
      </c>
      <c r="H832" s="5">
        <f>EnergyCoeff(INDEX('Route Data'!$K$7:$K$8,E832),INDEX('Route Data'!$L$7:$L$8,E832)*2*PI()/60,INDEX('Route Data'!$F$7:$F$8,E832))</f>
        <v>0.19430699130049439</v>
      </c>
      <c r="I832" s="5">
        <f>DischargeCoeff(INDEX('Route Data'!$I$7:$I$8,E832), INDEX('Route Data'!$L$7:$L$8,E832)*2*PI()/60, INDEX('Route Data'!$F$7:$F$8,E832))</f>
        <v>0.15939200179827354</v>
      </c>
      <c r="J832" s="8">
        <f>FlowAngleRel(INDEX('Route Data'!$J$7:$J$8,E832)*INDEX('Route Data'!$I$7:$I$8,E832), INDEX('Route Data'!$L$7:$L$8,E832)*2*PI()/60, INDEX('Route Data'!$F$7:$F$8,E832),INDEX('Route Data'!$O$7:$O$8,E832), INDEX('Route Data'!$P$7:$P$8,E832),INDEX('Route Data'!$M$7:$M$8,E832))</f>
        <v>1.130811765868994</v>
      </c>
      <c r="K832" s="8">
        <f>FlowAngleAbsT(INDEX('Route Data'!$K$7:$K$8,E832), INDEX('Route Data'!$I$7:$I$8,E832), INDEX('Route Data'!$I$7:$I$8,E832)*INDEX('Route Data'!$J$7:$J$8,E832), INDEX('Route Data'!$L$7:$L$8,E832)*2*PI()/60, INDEX('Route Data'!$F$7:$F$8,E832),INDEX('Route Data'!$O$7:$O$8,E832), INDEX('Route Data'!$P$7:$P$8,E832), INDEX('Route Data'!$H$7:$H$8,E832), INDEX('Route Data'!$Q$7:$Q$8,E832), INDEX('Route Data'!$M$7:$M$8,E832))</f>
        <v>0.51617226640175828</v>
      </c>
      <c r="L832" s="5">
        <f>INDEX('Route Data'!$N$7:$N$8,E832)</f>
        <v>0.4</v>
      </c>
      <c r="M832" s="8">
        <v>0.55015027523040771</v>
      </c>
      <c r="N832" s="8">
        <f>ProbStrikeFrancis(K832, I832, L832, INDEX('Route Data'!$G$7:$G$8,E832),C832, INDEX('Route Data'!$F$7:$F$8,E832), INDEX('Route Data'!$O$7:$O$8,E832), INDEX('Route Data'!$H$7:$H$18,E832))</f>
        <v>1</v>
      </c>
      <c r="O832" s="5" t="str">
        <f>IF(F832&gt;=1,IF(M832&lt;=N832,"STRIKE","pass"),IF(M832&lt;=INDEX('Route Data'!$R$7:$R$8,E832),"NO PASS","pass"))</f>
        <v>STRIKE</v>
      </c>
      <c r="P832" s="5">
        <f>IF(F832&gt;=1,IF(M832&lt;=N832,1,0),IF(M832&lt;=INDEX('Route Data'!$R$7:$R$8,E832),-1,0))</f>
        <v>1</v>
      </c>
    </row>
    <row r="833" spans="1:16">
      <c r="A833" s="5">
        <v>823</v>
      </c>
      <c r="B833" s="12">
        <v>24.66</v>
      </c>
      <c r="C833" s="12">
        <f t="shared" si="12"/>
        <v>2.06</v>
      </c>
      <c r="D833" s="8">
        <v>0.25531059503555298</v>
      </c>
      <c r="E833" s="5">
        <f>MATCH(D833,'Route Data'!$C$7:$C$8,1)</f>
        <v>2</v>
      </c>
      <c r="F833" s="5">
        <f>INDEX('Route Data'!$D$7:$D$8,E833)</f>
        <v>1</v>
      </c>
      <c r="G833" s="5" t="str">
        <f>INDEX('Route Data'!$A$7:$A$8,E833)</f>
        <v>u18</v>
      </c>
      <c r="H833" s="5">
        <f>EnergyCoeff(INDEX('Route Data'!$K$7:$K$8,E833),INDEX('Route Data'!$L$7:$L$8,E833)*2*PI()/60,INDEX('Route Data'!$F$7:$F$8,E833))</f>
        <v>0.19430699130049439</v>
      </c>
      <c r="I833" s="5">
        <f>DischargeCoeff(INDEX('Route Data'!$I$7:$I$8,E833), INDEX('Route Data'!$L$7:$L$8,E833)*2*PI()/60, INDEX('Route Data'!$F$7:$F$8,E833))</f>
        <v>0.15939200179827354</v>
      </c>
      <c r="J833" s="8">
        <f>FlowAngleRel(INDEX('Route Data'!$J$7:$J$8,E833)*INDEX('Route Data'!$I$7:$I$8,E833), INDEX('Route Data'!$L$7:$L$8,E833)*2*PI()/60, INDEX('Route Data'!$F$7:$F$8,E833),INDEX('Route Data'!$O$7:$O$8,E833), INDEX('Route Data'!$P$7:$P$8,E833),INDEX('Route Data'!$M$7:$M$8,E833))</f>
        <v>1.130811765868994</v>
      </c>
      <c r="K833" s="8">
        <f>FlowAngleAbsT(INDEX('Route Data'!$K$7:$K$8,E833), INDEX('Route Data'!$I$7:$I$8,E833), INDEX('Route Data'!$I$7:$I$8,E833)*INDEX('Route Data'!$J$7:$J$8,E833), INDEX('Route Data'!$L$7:$L$8,E833)*2*PI()/60, INDEX('Route Data'!$F$7:$F$8,E833),INDEX('Route Data'!$O$7:$O$8,E833), INDEX('Route Data'!$P$7:$P$8,E833), INDEX('Route Data'!$H$7:$H$8,E833), INDEX('Route Data'!$Q$7:$Q$8,E833), INDEX('Route Data'!$M$7:$M$8,E833))</f>
        <v>0.51617226640175828</v>
      </c>
      <c r="L833" s="5">
        <f>INDEX('Route Data'!$N$7:$N$8,E833)</f>
        <v>0.4</v>
      </c>
      <c r="M833" s="8">
        <v>0.79177576303482056</v>
      </c>
      <c r="N833" s="8">
        <f>ProbStrikeFrancis(K833, I833, L833, INDEX('Route Data'!$G$7:$G$8,E833),C833, INDEX('Route Data'!$F$7:$F$8,E833), INDEX('Route Data'!$O$7:$O$8,E833), INDEX('Route Data'!$H$7:$H$18,E833))</f>
        <v>1</v>
      </c>
      <c r="O833" s="5" t="str">
        <f>IF(F833&gt;=1,IF(M833&lt;=N833,"STRIKE","pass"),IF(M833&lt;=INDEX('Route Data'!$R$7:$R$8,E833),"NO PASS","pass"))</f>
        <v>STRIKE</v>
      </c>
      <c r="P833" s="5">
        <f>IF(F833&gt;=1,IF(M833&lt;=N833,1,0),IF(M833&lt;=INDEX('Route Data'!$R$7:$R$8,E833),-1,0))</f>
        <v>1</v>
      </c>
    </row>
    <row r="834" spans="1:16">
      <c r="A834" s="5">
        <v>824</v>
      </c>
      <c r="B834" s="12">
        <v>21.28</v>
      </c>
      <c r="C834" s="12">
        <f t="shared" si="12"/>
        <v>1.77</v>
      </c>
      <c r="D834" s="8">
        <v>0.82142114639282227</v>
      </c>
      <c r="E834" s="5">
        <f>MATCH(D834,'Route Data'!$C$7:$C$8,1)</f>
        <v>2</v>
      </c>
      <c r="F834" s="5">
        <f>INDEX('Route Data'!$D$7:$D$8,E834)</f>
        <v>1</v>
      </c>
      <c r="G834" s="5" t="str">
        <f>INDEX('Route Data'!$A$7:$A$8,E834)</f>
        <v>u18</v>
      </c>
      <c r="H834" s="5">
        <f>EnergyCoeff(INDEX('Route Data'!$K$7:$K$8,E834),INDEX('Route Data'!$L$7:$L$8,E834)*2*PI()/60,INDEX('Route Data'!$F$7:$F$8,E834))</f>
        <v>0.19430699130049439</v>
      </c>
      <c r="I834" s="5">
        <f>DischargeCoeff(INDEX('Route Data'!$I$7:$I$8,E834), INDEX('Route Data'!$L$7:$L$8,E834)*2*PI()/60, INDEX('Route Data'!$F$7:$F$8,E834))</f>
        <v>0.15939200179827354</v>
      </c>
      <c r="J834" s="8">
        <f>FlowAngleRel(INDEX('Route Data'!$J$7:$J$8,E834)*INDEX('Route Data'!$I$7:$I$8,E834), INDEX('Route Data'!$L$7:$L$8,E834)*2*PI()/60, INDEX('Route Data'!$F$7:$F$8,E834),INDEX('Route Data'!$O$7:$O$8,E834), INDEX('Route Data'!$P$7:$P$8,E834),INDEX('Route Data'!$M$7:$M$8,E834))</f>
        <v>1.130811765868994</v>
      </c>
      <c r="K834" s="8">
        <f>FlowAngleAbsT(INDEX('Route Data'!$K$7:$K$8,E834), INDEX('Route Data'!$I$7:$I$8,E834), INDEX('Route Data'!$I$7:$I$8,E834)*INDEX('Route Data'!$J$7:$J$8,E834), INDEX('Route Data'!$L$7:$L$8,E834)*2*PI()/60, INDEX('Route Data'!$F$7:$F$8,E834),INDEX('Route Data'!$O$7:$O$8,E834), INDEX('Route Data'!$P$7:$P$8,E834), INDEX('Route Data'!$H$7:$H$8,E834), INDEX('Route Data'!$Q$7:$Q$8,E834), INDEX('Route Data'!$M$7:$M$8,E834))</f>
        <v>0.51617226640175828</v>
      </c>
      <c r="L834" s="5">
        <f>INDEX('Route Data'!$N$7:$N$8,E834)</f>
        <v>0.4</v>
      </c>
      <c r="M834" s="8">
        <v>0.33247852325439453</v>
      </c>
      <c r="N834" s="8">
        <f>ProbStrikeFrancis(K834, I834, L834, INDEX('Route Data'!$G$7:$G$8,E834),C834, INDEX('Route Data'!$F$7:$F$8,E834), INDEX('Route Data'!$O$7:$O$8,E834), INDEX('Route Data'!$H$7:$H$18,E834))</f>
        <v>1</v>
      </c>
      <c r="O834" s="5" t="str">
        <f>IF(F834&gt;=1,IF(M834&lt;=N834,"STRIKE","pass"),IF(M834&lt;=INDEX('Route Data'!$R$7:$R$8,E834),"NO PASS","pass"))</f>
        <v>STRIKE</v>
      </c>
      <c r="P834" s="5">
        <f>IF(F834&gt;=1,IF(M834&lt;=N834,1,0),IF(M834&lt;=INDEX('Route Data'!$R$7:$R$8,E834),-1,0))</f>
        <v>1</v>
      </c>
    </row>
    <row r="835" spans="1:16">
      <c r="A835" s="5">
        <v>825</v>
      </c>
      <c r="B835" s="12">
        <v>17.38</v>
      </c>
      <c r="C835" s="12">
        <f t="shared" si="12"/>
        <v>1.45</v>
      </c>
      <c r="D835" s="8">
        <v>0.1230894923210144</v>
      </c>
      <c r="E835" s="5">
        <f>MATCH(D835,'Route Data'!$C$7:$C$8,1)</f>
        <v>2</v>
      </c>
      <c r="F835" s="5">
        <f>INDEX('Route Data'!$D$7:$D$8,E835)</f>
        <v>1</v>
      </c>
      <c r="G835" s="5" t="str">
        <f>INDEX('Route Data'!$A$7:$A$8,E835)</f>
        <v>u18</v>
      </c>
      <c r="H835" s="5">
        <f>EnergyCoeff(INDEX('Route Data'!$K$7:$K$8,E835),INDEX('Route Data'!$L$7:$L$8,E835)*2*PI()/60,INDEX('Route Data'!$F$7:$F$8,E835))</f>
        <v>0.19430699130049439</v>
      </c>
      <c r="I835" s="5">
        <f>DischargeCoeff(INDEX('Route Data'!$I$7:$I$8,E835), INDEX('Route Data'!$L$7:$L$8,E835)*2*PI()/60, INDEX('Route Data'!$F$7:$F$8,E835))</f>
        <v>0.15939200179827354</v>
      </c>
      <c r="J835" s="8">
        <f>FlowAngleRel(INDEX('Route Data'!$J$7:$J$8,E835)*INDEX('Route Data'!$I$7:$I$8,E835), INDEX('Route Data'!$L$7:$L$8,E835)*2*PI()/60, INDEX('Route Data'!$F$7:$F$8,E835),INDEX('Route Data'!$O$7:$O$8,E835), INDEX('Route Data'!$P$7:$P$8,E835),INDEX('Route Data'!$M$7:$M$8,E835))</f>
        <v>1.130811765868994</v>
      </c>
      <c r="K835" s="8">
        <f>FlowAngleAbsT(INDEX('Route Data'!$K$7:$K$8,E835), INDEX('Route Data'!$I$7:$I$8,E835), INDEX('Route Data'!$I$7:$I$8,E835)*INDEX('Route Data'!$J$7:$J$8,E835), INDEX('Route Data'!$L$7:$L$8,E835)*2*PI()/60, INDEX('Route Data'!$F$7:$F$8,E835),INDEX('Route Data'!$O$7:$O$8,E835), INDEX('Route Data'!$P$7:$P$8,E835), INDEX('Route Data'!$H$7:$H$8,E835), INDEX('Route Data'!$Q$7:$Q$8,E835), INDEX('Route Data'!$M$7:$M$8,E835))</f>
        <v>0.51617226640175828</v>
      </c>
      <c r="L835" s="5">
        <f>INDEX('Route Data'!$N$7:$N$8,E835)</f>
        <v>0.4</v>
      </c>
      <c r="M835" s="8">
        <v>0.71037024259567261</v>
      </c>
      <c r="N835" s="8">
        <f>ProbStrikeFrancis(K835, I835, L835, INDEX('Route Data'!$G$7:$G$8,E835),C835, INDEX('Route Data'!$F$7:$F$8,E835), INDEX('Route Data'!$O$7:$O$8,E835), INDEX('Route Data'!$H$7:$H$18,E835))</f>
        <v>1</v>
      </c>
      <c r="O835" s="5" t="str">
        <f>IF(F835&gt;=1,IF(M835&lt;=N835,"STRIKE","pass"),IF(M835&lt;=INDEX('Route Data'!$R$7:$R$8,E835),"NO PASS","pass"))</f>
        <v>STRIKE</v>
      </c>
      <c r="P835" s="5">
        <f>IF(F835&gt;=1,IF(M835&lt;=N835,1,0),IF(M835&lt;=INDEX('Route Data'!$R$7:$R$8,E835),-1,0))</f>
        <v>1</v>
      </c>
    </row>
    <row r="836" spans="1:16">
      <c r="A836" s="5">
        <v>826</v>
      </c>
      <c r="B836" s="12">
        <v>28.22</v>
      </c>
      <c r="C836" s="12">
        <f t="shared" si="12"/>
        <v>2.35</v>
      </c>
      <c r="D836" s="8">
        <v>0.74924290180206299</v>
      </c>
      <c r="E836" s="5">
        <f>MATCH(D836,'Route Data'!$C$7:$C$8,1)</f>
        <v>2</v>
      </c>
      <c r="F836" s="5">
        <f>INDEX('Route Data'!$D$7:$D$8,E836)</f>
        <v>1</v>
      </c>
      <c r="G836" s="5" t="str">
        <f>INDEX('Route Data'!$A$7:$A$8,E836)</f>
        <v>u18</v>
      </c>
      <c r="H836" s="5">
        <f>EnergyCoeff(INDEX('Route Data'!$K$7:$K$8,E836),INDEX('Route Data'!$L$7:$L$8,E836)*2*PI()/60,INDEX('Route Data'!$F$7:$F$8,E836))</f>
        <v>0.19430699130049439</v>
      </c>
      <c r="I836" s="5">
        <f>DischargeCoeff(INDEX('Route Data'!$I$7:$I$8,E836), INDEX('Route Data'!$L$7:$L$8,E836)*2*PI()/60, INDEX('Route Data'!$F$7:$F$8,E836))</f>
        <v>0.15939200179827354</v>
      </c>
      <c r="J836" s="8">
        <f>FlowAngleRel(INDEX('Route Data'!$J$7:$J$8,E836)*INDEX('Route Data'!$I$7:$I$8,E836), INDEX('Route Data'!$L$7:$L$8,E836)*2*PI()/60, INDEX('Route Data'!$F$7:$F$8,E836),INDEX('Route Data'!$O$7:$O$8,E836), INDEX('Route Data'!$P$7:$P$8,E836),INDEX('Route Data'!$M$7:$M$8,E836))</f>
        <v>1.130811765868994</v>
      </c>
      <c r="K836" s="8">
        <f>FlowAngleAbsT(INDEX('Route Data'!$K$7:$K$8,E836), INDEX('Route Data'!$I$7:$I$8,E836), INDEX('Route Data'!$I$7:$I$8,E836)*INDEX('Route Data'!$J$7:$J$8,E836), INDEX('Route Data'!$L$7:$L$8,E836)*2*PI()/60, INDEX('Route Data'!$F$7:$F$8,E836),INDEX('Route Data'!$O$7:$O$8,E836), INDEX('Route Data'!$P$7:$P$8,E836), INDEX('Route Data'!$H$7:$H$8,E836), INDEX('Route Data'!$Q$7:$Q$8,E836), INDEX('Route Data'!$M$7:$M$8,E836))</f>
        <v>0.51617226640175828</v>
      </c>
      <c r="L836" s="5">
        <f>INDEX('Route Data'!$N$7:$N$8,E836)</f>
        <v>0.4</v>
      </c>
      <c r="M836" s="8">
        <v>0.31111586093902588</v>
      </c>
      <c r="N836" s="8">
        <f>ProbStrikeFrancis(K836, I836, L836, INDEX('Route Data'!$G$7:$G$8,E836),C836, INDEX('Route Data'!$F$7:$F$8,E836), INDEX('Route Data'!$O$7:$O$8,E836), INDEX('Route Data'!$H$7:$H$18,E836))</f>
        <v>1</v>
      </c>
      <c r="O836" s="5" t="str">
        <f>IF(F836&gt;=1,IF(M836&lt;=N836,"STRIKE","pass"),IF(M836&lt;=INDEX('Route Data'!$R$7:$R$8,E836),"NO PASS","pass"))</f>
        <v>STRIKE</v>
      </c>
      <c r="P836" s="5">
        <f>IF(F836&gt;=1,IF(M836&lt;=N836,1,0),IF(M836&lt;=INDEX('Route Data'!$R$7:$R$8,E836),-1,0))</f>
        <v>1</v>
      </c>
    </row>
    <row r="837" spans="1:16">
      <c r="A837" s="5">
        <v>827</v>
      </c>
      <c r="B837" s="12">
        <v>24.49</v>
      </c>
      <c r="C837" s="12">
        <f t="shared" si="12"/>
        <v>2.04</v>
      </c>
      <c r="D837" s="8">
        <v>0.87078267335891724</v>
      </c>
      <c r="E837" s="5">
        <f>MATCH(D837,'Route Data'!$C$7:$C$8,1)</f>
        <v>2</v>
      </c>
      <c r="F837" s="5">
        <f>INDEX('Route Data'!$D$7:$D$8,E837)</f>
        <v>1</v>
      </c>
      <c r="G837" s="5" t="str">
        <f>INDEX('Route Data'!$A$7:$A$8,E837)</f>
        <v>u18</v>
      </c>
      <c r="H837" s="5">
        <f>EnergyCoeff(INDEX('Route Data'!$K$7:$K$8,E837),INDEX('Route Data'!$L$7:$L$8,E837)*2*PI()/60,INDEX('Route Data'!$F$7:$F$8,E837))</f>
        <v>0.19430699130049439</v>
      </c>
      <c r="I837" s="5">
        <f>DischargeCoeff(INDEX('Route Data'!$I$7:$I$8,E837), INDEX('Route Data'!$L$7:$L$8,E837)*2*PI()/60, INDEX('Route Data'!$F$7:$F$8,E837))</f>
        <v>0.15939200179827354</v>
      </c>
      <c r="J837" s="8">
        <f>FlowAngleRel(INDEX('Route Data'!$J$7:$J$8,E837)*INDEX('Route Data'!$I$7:$I$8,E837), INDEX('Route Data'!$L$7:$L$8,E837)*2*PI()/60, INDEX('Route Data'!$F$7:$F$8,E837),INDEX('Route Data'!$O$7:$O$8,E837), INDEX('Route Data'!$P$7:$P$8,E837),INDEX('Route Data'!$M$7:$M$8,E837))</f>
        <v>1.130811765868994</v>
      </c>
      <c r="K837" s="8">
        <f>FlowAngleAbsT(INDEX('Route Data'!$K$7:$K$8,E837), INDEX('Route Data'!$I$7:$I$8,E837), INDEX('Route Data'!$I$7:$I$8,E837)*INDEX('Route Data'!$J$7:$J$8,E837), INDEX('Route Data'!$L$7:$L$8,E837)*2*PI()/60, INDEX('Route Data'!$F$7:$F$8,E837),INDEX('Route Data'!$O$7:$O$8,E837), INDEX('Route Data'!$P$7:$P$8,E837), INDEX('Route Data'!$H$7:$H$8,E837), INDEX('Route Data'!$Q$7:$Q$8,E837), INDEX('Route Data'!$M$7:$M$8,E837))</f>
        <v>0.51617226640175828</v>
      </c>
      <c r="L837" s="5">
        <f>INDEX('Route Data'!$N$7:$N$8,E837)</f>
        <v>0.4</v>
      </c>
      <c r="M837" s="8">
        <v>0.77445822954177856</v>
      </c>
      <c r="N837" s="8">
        <f>ProbStrikeFrancis(K837, I837, L837, INDEX('Route Data'!$G$7:$G$8,E837),C837, INDEX('Route Data'!$F$7:$F$8,E837), INDEX('Route Data'!$O$7:$O$8,E837), INDEX('Route Data'!$H$7:$H$18,E837))</f>
        <v>1</v>
      </c>
      <c r="O837" s="5" t="str">
        <f>IF(F837&gt;=1,IF(M837&lt;=N837,"STRIKE","pass"),IF(M837&lt;=INDEX('Route Data'!$R$7:$R$8,E837),"NO PASS","pass"))</f>
        <v>STRIKE</v>
      </c>
      <c r="P837" s="5">
        <f>IF(F837&gt;=1,IF(M837&lt;=N837,1,0),IF(M837&lt;=INDEX('Route Data'!$R$7:$R$8,E837),-1,0))</f>
        <v>1</v>
      </c>
    </row>
    <row r="838" spans="1:16">
      <c r="A838" s="5">
        <v>828</v>
      </c>
      <c r="B838" s="12">
        <v>19.12</v>
      </c>
      <c r="C838" s="12">
        <f t="shared" si="12"/>
        <v>1.59</v>
      </c>
      <c r="D838" s="8">
        <v>0.24058413505554199</v>
      </c>
      <c r="E838" s="5">
        <f>MATCH(D838,'Route Data'!$C$7:$C$8,1)</f>
        <v>2</v>
      </c>
      <c r="F838" s="5">
        <f>INDEX('Route Data'!$D$7:$D$8,E838)</f>
        <v>1</v>
      </c>
      <c r="G838" s="5" t="str">
        <f>INDEX('Route Data'!$A$7:$A$8,E838)</f>
        <v>u18</v>
      </c>
      <c r="H838" s="5">
        <f>EnergyCoeff(INDEX('Route Data'!$K$7:$K$8,E838),INDEX('Route Data'!$L$7:$L$8,E838)*2*PI()/60,INDEX('Route Data'!$F$7:$F$8,E838))</f>
        <v>0.19430699130049439</v>
      </c>
      <c r="I838" s="5">
        <f>DischargeCoeff(INDEX('Route Data'!$I$7:$I$8,E838), INDEX('Route Data'!$L$7:$L$8,E838)*2*PI()/60, INDEX('Route Data'!$F$7:$F$8,E838))</f>
        <v>0.15939200179827354</v>
      </c>
      <c r="J838" s="8">
        <f>FlowAngleRel(INDEX('Route Data'!$J$7:$J$8,E838)*INDEX('Route Data'!$I$7:$I$8,E838), INDEX('Route Data'!$L$7:$L$8,E838)*2*PI()/60, INDEX('Route Data'!$F$7:$F$8,E838),INDEX('Route Data'!$O$7:$O$8,E838), INDEX('Route Data'!$P$7:$P$8,E838),INDEX('Route Data'!$M$7:$M$8,E838))</f>
        <v>1.130811765868994</v>
      </c>
      <c r="K838" s="8">
        <f>FlowAngleAbsT(INDEX('Route Data'!$K$7:$K$8,E838), INDEX('Route Data'!$I$7:$I$8,E838), INDEX('Route Data'!$I$7:$I$8,E838)*INDEX('Route Data'!$J$7:$J$8,E838), INDEX('Route Data'!$L$7:$L$8,E838)*2*PI()/60, INDEX('Route Data'!$F$7:$F$8,E838),INDEX('Route Data'!$O$7:$O$8,E838), INDEX('Route Data'!$P$7:$P$8,E838), INDEX('Route Data'!$H$7:$H$8,E838), INDEX('Route Data'!$Q$7:$Q$8,E838), INDEX('Route Data'!$M$7:$M$8,E838))</f>
        <v>0.51617226640175828</v>
      </c>
      <c r="L838" s="5">
        <f>INDEX('Route Data'!$N$7:$N$8,E838)</f>
        <v>0.4</v>
      </c>
      <c r="M838" s="8">
        <v>0.11885190010070801</v>
      </c>
      <c r="N838" s="8">
        <f>ProbStrikeFrancis(K838, I838, L838, INDEX('Route Data'!$G$7:$G$8,E838),C838, INDEX('Route Data'!$F$7:$F$8,E838), INDEX('Route Data'!$O$7:$O$8,E838), INDEX('Route Data'!$H$7:$H$18,E838))</f>
        <v>1</v>
      </c>
      <c r="O838" s="5" t="str">
        <f>IF(F838&gt;=1,IF(M838&lt;=N838,"STRIKE","pass"),IF(M838&lt;=INDEX('Route Data'!$R$7:$R$8,E838),"NO PASS","pass"))</f>
        <v>STRIKE</v>
      </c>
      <c r="P838" s="5">
        <f>IF(F838&gt;=1,IF(M838&lt;=N838,1,0),IF(M838&lt;=INDEX('Route Data'!$R$7:$R$8,E838),-1,0))</f>
        <v>1</v>
      </c>
    </row>
    <row r="839" spans="1:16">
      <c r="A839" s="5">
        <v>829</v>
      </c>
      <c r="B839" s="12">
        <v>27.79</v>
      </c>
      <c r="C839" s="12">
        <f t="shared" si="12"/>
        <v>2.3199999999999998</v>
      </c>
      <c r="D839" s="8">
        <v>0.39675897359848022</v>
      </c>
      <c r="E839" s="5">
        <f>MATCH(D839,'Route Data'!$C$7:$C$8,1)</f>
        <v>2</v>
      </c>
      <c r="F839" s="5">
        <f>INDEX('Route Data'!$D$7:$D$8,E839)</f>
        <v>1</v>
      </c>
      <c r="G839" s="5" t="str">
        <f>INDEX('Route Data'!$A$7:$A$8,E839)</f>
        <v>u18</v>
      </c>
      <c r="H839" s="5">
        <f>EnergyCoeff(INDEX('Route Data'!$K$7:$K$8,E839),INDEX('Route Data'!$L$7:$L$8,E839)*2*PI()/60,INDEX('Route Data'!$F$7:$F$8,E839))</f>
        <v>0.19430699130049439</v>
      </c>
      <c r="I839" s="5">
        <f>DischargeCoeff(INDEX('Route Data'!$I$7:$I$8,E839), INDEX('Route Data'!$L$7:$L$8,E839)*2*PI()/60, INDEX('Route Data'!$F$7:$F$8,E839))</f>
        <v>0.15939200179827354</v>
      </c>
      <c r="J839" s="8">
        <f>FlowAngleRel(INDEX('Route Data'!$J$7:$J$8,E839)*INDEX('Route Data'!$I$7:$I$8,E839), INDEX('Route Data'!$L$7:$L$8,E839)*2*PI()/60, INDEX('Route Data'!$F$7:$F$8,E839),INDEX('Route Data'!$O$7:$O$8,E839), INDEX('Route Data'!$P$7:$P$8,E839),INDEX('Route Data'!$M$7:$M$8,E839))</f>
        <v>1.130811765868994</v>
      </c>
      <c r="K839" s="8">
        <f>FlowAngleAbsT(INDEX('Route Data'!$K$7:$K$8,E839), INDEX('Route Data'!$I$7:$I$8,E839), INDEX('Route Data'!$I$7:$I$8,E839)*INDEX('Route Data'!$J$7:$J$8,E839), INDEX('Route Data'!$L$7:$L$8,E839)*2*PI()/60, INDEX('Route Data'!$F$7:$F$8,E839),INDEX('Route Data'!$O$7:$O$8,E839), INDEX('Route Data'!$P$7:$P$8,E839), INDEX('Route Data'!$H$7:$H$8,E839), INDEX('Route Data'!$Q$7:$Q$8,E839), INDEX('Route Data'!$M$7:$M$8,E839))</f>
        <v>0.51617226640175828</v>
      </c>
      <c r="L839" s="5">
        <f>INDEX('Route Data'!$N$7:$N$8,E839)</f>
        <v>0.4</v>
      </c>
      <c r="M839" s="8">
        <v>0.35125011205673218</v>
      </c>
      <c r="N839" s="8">
        <f>ProbStrikeFrancis(K839, I839, L839, INDEX('Route Data'!$G$7:$G$8,E839),C839, INDEX('Route Data'!$F$7:$F$8,E839), INDEX('Route Data'!$O$7:$O$8,E839), INDEX('Route Data'!$H$7:$H$18,E839))</f>
        <v>1</v>
      </c>
      <c r="O839" s="5" t="str">
        <f>IF(F839&gt;=1,IF(M839&lt;=N839,"STRIKE","pass"),IF(M839&lt;=INDEX('Route Data'!$R$7:$R$8,E839),"NO PASS","pass"))</f>
        <v>STRIKE</v>
      </c>
      <c r="P839" s="5">
        <f>IF(F839&gt;=1,IF(M839&lt;=N839,1,0),IF(M839&lt;=INDEX('Route Data'!$R$7:$R$8,E839),-1,0))</f>
        <v>1</v>
      </c>
    </row>
    <row r="840" spans="1:16">
      <c r="A840" s="5">
        <v>830</v>
      </c>
      <c r="B840" s="12">
        <v>24.81</v>
      </c>
      <c r="C840" s="12">
        <f t="shared" si="12"/>
        <v>2.0699999999999998</v>
      </c>
      <c r="D840" s="8">
        <v>0.19381368160247803</v>
      </c>
      <c r="E840" s="5">
        <f>MATCH(D840,'Route Data'!$C$7:$C$8,1)</f>
        <v>2</v>
      </c>
      <c r="F840" s="5">
        <f>INDEX('Route Data'!$D$7:$D$8,E840)</f>
        <v>1</v>
      </c>
      <c r="G840" s="5" t="str">
        <f>INDEX('Route Data'!$A$7:$A$8,E840)</f>
        <v>u18</v>
      </c>
      <c r="H840" s="5">
        <f>EnergyCoeff(INDEX('Route Data'!$K$7:$K$8,E840),INDEX('Route Data'!$L$7:$L$8,E840)*2*PI()/60,INDEX('Route Data'!$F$7:$F$8,E840))</f>
        <v>0.19430699130049439</v>
      </c>
      <c r="I840" s="5">
        <f>DischargeCoeff(INDEX('Route Data'!$I$7:$I$8,E840), INDEX('Route Data'!$L$7:$L$8,E840)*2*PI()/60, INDEX('Route Data'!$F$7:$F$8,E840))</f>
        <v>0.15939200179827354</v>
      </c>
      <c r="J840" s="8">
        <f>FlowAngleRel(INDEX('Route Data'!$J$7:$J$8,E840)*INDEX('Route Data'!$I$7:$I$8,E840), INDEX('Route Data'!$L$7:$L$8,E840)*2*PI()/60, INDEX('Route Data'!$F$7:$F$8,E840),INDEX('Route Data'!$O$7:$O$8,E840), INDEX('Route Data'!$P$7:$P$8,E840),INDEX('Route Data'!$M$7:$M$8,E840))</f>
        <v>1.130811765868994</v>
      </c>
      <c r="K840" s="8">
        <f>FlowAngleAbsT(INDEX('Route Data'!$K$7:$K$8,E840), INDEX('Route Data'!$I$7:$I$8,E840), INDEX('Route Data'!$I$7:$I$8,E840)*INDEX('Route Data'!$J$7:$J$8,E840), INDEX('Route Data'!$L$7:$L$8,E840)*2*PI()/60, INDEX('Route Data'!$F$7:$F$8,E840),INDEX('Route Data'!$O$7:$O$8,E840), INDEX('Route Data'!$P$7:$P$8,E840), INDEX('Route Data'!$H$7:$H$8,E840), INDEX('Route Data'!$Q$7:$Q$8,E840), INDEX('Route Data'!$M$7:$M$8,E840))</f>
        <v>0.51617226640175828</v>
      </c>
      <c r="L840" s="5">
        <f>INDEX('Route Data'!$N$7:$N$8,E840)</f>
        <v>0.4</v>
      </c>
      <c r="M840" s="8">
        <v>0.12289702892303467</v>
      </c>
      <c r="N840" s="8">
        <f>ProbStrikeFrancis(K840, I840, L840, INDEX('Route Data'!$G$7:$G$8,E840),C840, INDEX('Route Data'!$F$7:$F$8,E840), INDEX('Route Data'!$O$7:$O$8,E840), INDEX('Route Data'!$H$7:$H$18,E840))</f>
        <v>1</v>
      </c>
      <c r="O840" s="5" t="str">
        <f>IF(F840&gt;=1,IF(M840&lt;=N840,"STRIKE","pass"),IF(M840&lt;=INDEX('Route Data'!$R$7:$R$8,E840),"NO PASS","pass"))</f>
        <v>STRIKE</v>
      </c>
      <c r="P840" s="5">
        <f>IF(F840&gt;=1,IF(M840&lt;=N840,1,0),IF(M840&lt;=INDEX('Route Data'!$R$7:$R$8,E840),-1,0))</f>
        <v>1</v>
      </c>
    </row>
    <row r="841" spans="1:16">
      <c r="A841" s="5">
        <v>831</v>
      </c>
      <c r="B841" s="12">
        <v>17.260000000000002</v>
      </c>
      <c r="C841" s="12">
        <f t="shared" si="12"/>
        <v>1.44</v>
      </c>
      <c r="D841" s="8">
        <v>0.80264955759048462</v>
      </c>
      <c r="E841" s="5">
        <f>MATCH(D841,'Route Data'!$C$7:$C$8,1)</f>
        <v>2</v>
      </c>
      <c r="F841" s="5">
        <f>INDEX('Route Data'!$D$7:$D$8,E841)</f>
        <v>1</v>
      </c>
      <c r="G841" s="5" t="str">
        <f>INDEX('Route Data'!$A$7:$A$8,E841)</f>
        <v>u18</v>
      </c>
      <c r="H841" s="5">
        <f>EnergyCoeff(INDEX('Route Data'!$K$7:$K$8,E841),INDEX('Route Data'!$L$7:$L$8,E841)*2*PI()/60,INDEX('Route Data'!$F$7:$F$8,E841))</f>
        <v>0.19430699130049439</v>
      </c>
      <c r="I841" s="5">
        <f>DischargeCoeff(INDEX('Route Data'!$I$7:$I$8,E841), INDEX('Route Data'!$L$7:$L$8,E841)*2*PI()/60, INDEX('Route Data'!$F$7:$F$8,E841))</f>
        <v>0.15939200179827354</v>
      </c>
      <c r="J841" s="8">
        <f>FlowAngleRel(INDEX('Route Data'!$J$7:$J$8,E841)*INDEX('Route Data'!$I$7:$I$8,E841), INDEX('Route Data'!$L$7:$L$8,E841)*2*PI()/60, INDEX('Route Data'!$F$7:$F$8,E841),INDEX('Route Data'!$O$7:$O$8,E841), INDEX('Route Data'!$P$7:$P$8,E841),INDEX('Route Data'!$M$7:$M$8,E841))</f>
        <v>1.130811765868994</v>
      </c>
      <c r="K841" s="8">
        <f>FlowAngleAbsT(INDEX('Route Data'!$K$7:$K$8,E841), INDEX('Route Data'!$I$7:$I$8,E841), INDEX('Route Data'!$I$7:$I$8,E841)*INDEX('Route Data'!$J$7:$J$8,E841), INDEX('Route Data'!$L$7:$L$8,E841)*2*PI()/60, INDEX('Route Data'!$F$7:$F$8,E841),INDEX('Route Data'!$O$7:$O$8,E841), INDEX('Route Data'!$P$7:$P$8,E841), INDEX('Route Data'!$H$7:$H$8,E841), INDEX('Route Data'!$Q$7:$Q$8,E841), INDEX('Route Data'!$M$7:$M$8,E841))</f>
        <v>0.51617226640175828</v>
      </c>
      <c r="L841" s="5">
        <f>INDEX('Route Data'!$N$7:$N$8,E841)</f>
        <v>0.4</v>
      </c>
      <c r="M841" s="8">
        <v>7.3535501956939697E-2</v>
      </c>
      <c r="N841" s="8">
        <f>ProbStrikeFrancis(K841, I841, L841, INDEX('Route Data'!$G$7:$G$8,E841),C841, INDEX('Route Data'!$F$7:$F$8,E841), INDEX('Route Data'!$O$7:$O$8,E841), INDEX('Route Data'!$H$7:$H$18,E841))</f>
        <v>1</v>
      </c>
      <c r="O841" s="5" t="str">
        <f>IF(F841&gt;=1,IF(M841&lt;=N841,"STRIKE","pass"),IF(M841&lt;=INDEX('Route Data'!$R$7:$R$8,E841),"NO PASS","pass"))</f>
        <v>STRIKE</v>
      </c>
      <c r="P841" s="5">
        <f>IF(F841&gt;=1,IF(M841&lt;=N841,1,0),IF(M841&lt;=INDEX('Route Data'!$R$7:$R$8,E841),-1,0))</f>
        <v>1</v>
      </c>
    </row>
    <row r="842" spans="1:16">
      <c r="A842" s="5">
        <v>832</v>
      </c>
      <c r="B842" s="12">
        <v>20.28</v>
      </c>
      <c r="C842" s="12">
        <f t="shared" si="12"/>
        <v>1.69</v>
      </c>
      <c r="D842" s="8">
        <v>0.71056270599365234</v>
      </c>
      <c r="E842" s="5">
        <f>MATCH(D842,'Route Data'!$C$7:$C$8,1)</f>
        <v>2</v>
      </c>
      <c r="F842" s="5">
        <f>INDEX('Route Data'!$D$7:$D$8,E842)</f>
        <v>1</v>
      </c>
      <c r="G842" s="5" t="str">
        <f>INDEX('Route Data'!$A$7:$A$8,E842)</f>
        <v>u18</v>
      </c>
      <c r="H842" s="5">
        <f>EnergyCoeff(INDEX('Route Data'!$K$7:$K$8,E842),INDEX('Route Data'!$L$7:$L$8,E842)*2*PI()/60,INDEX('Route Data'!$F$7:$F$8,E842))</f>
        <v>0.19430699130049439</v>
      </c>
      <c r="I842" s="5">
        <f>DischargeCoeff(INDEX('Route Data'!$I$7:$I$8,E842), INDEX('Route Data'!$L$7:$L$8,E842)*2*PI()/60, INDEX('Route Data'!$F$7:$F$8,E842))</f>
        <v>0.15939200179827354</v>
      </c>
      <c r="J842" s="8">
        <f>FlowAngleRel(INDEX('Route Data'!$J$7:$J$8,E842)*INDEX('Route Data'!$I$7:$I$8,E842), INDEX('Route Data'!$L$7:$L$8,E842)*2*PI()/60, INDEX('Route Data'!$F$7:$F$8,E842),INDEX('Route Data'!$O$7:$O$8,E842), INDEX('Route Data'!$P$7:$P$8,E842),INDEX('Route Data'!$M$7:$M$8,E842))</f>
        <v>1.130811765868994</v>
      </c>
      <c r="K842" s="8">
        <f>FlowAngleAbsT(INDEX('Route Data'!$K$7:$K$8,E842), INDEX('Route Data'!$I$7:$I$8,E842), INDEX('Route Data'!$I$7:$I$8,E842)*INDEX('Route Data'!$J$7:$J$8,E842), INDEX('Route Data'!$L$7:$L$8,E842)*2*PI()/60, INDEX('Route Data'!$F$7:$F$8,E842),INDEX('Route Data'!$O$7:$O$8,E842), INDEX('Route Data'!$P$7:$P$8,E842), INDEX('Route Data'!$H$7:$H$8,E842), INDEX('Route Data'!$Q$7:$Q$8,E842), INDEX('Route Data'!$M$7:$M$8,E842))</f>
        <v>0.51617226640175828</v>
      </c>
      <c r="L842" s="5">
        <f>INDEX('Route Data'!$N$7:$N$8,E842)</f>
        <v>0.4</v>
      </c>
      <c r="M842" s="8">
        <v>0.95604085922241211</v>
      </c>
      <c r="N842" s="8">
        <f>ProbStrikeFrancis(K842, I842, L842, INDEX('Route Data'!$G$7:$G$8,E842),C842, INDEX('Route Data'!$F$7:$F$8,E842), INDEX('Route Data'!$O$7:$O$8,E842), INDEX('Route Data'!$H$7:$H$18,E842))</f>
        <v>1</v>
      </c>
      <c r="O842" s="5" t="str">
        <f>IF(F842&gt;=1,IF(M842&lt;=N842,"STRIKE","pass"),IF(M842&lt;=INDEX('Route Data'!$R$7:$R$8,E842),"NO PASS","pass"))</f>
        <v>STRIKE</v>
      </c>
      <c r="P842" s="5">
        <f>IF(F842&gt;=1,IF(M842&lt;=N842,1,0),IF(M842&lt;=INDEX('Route Data'!$R$7:$R$8,E842),-1,0))</f>
        <v>1</v>
      </c>
    </row>
    <row r="843" spans="1:16">
      <c r="A843" s="5">
        <v>833</v>
      </c>
      <c r="B843" s="12">
        <v>26.68</v>
      </c>
      <c r="C843" s="12">
        <f t="shared" ref="C843:C906" si="13">ROUND(B843/12,2)</f>
        <v>2.2200000000000002</v>
      </c>
      <c r="D843" s="8">
        <v>0.72124403715133667</v>
      </c>
      <c r="E843" s="5">
        <f>MATCH(D843,'Route Data'!$C$7:$C$8,1)</f>
        <v>2</v>
      </c>
      <c r="F843" s="5">
        <f>INDEX('Route Data'!$D$7:$D$8,E843)</f>
        <v>1</v>
      </c>
      <c r="G843" s="5" t="str">
        <f>INDEX('Route Data'!$A$7:$A$8,E843)</f>
        <v>u18</v>
      </c>
      <c r="H843" s="5">
        <f>EnergyCoeff(INDEX('Route Data'!$K$7:$K$8,E843),INDEX('Route Data'!$L$7:$L$8,E843)*2*PI()/60,INDEX('Route Data'!$F$7:$F$8,E843))</f>
        <v>0.19430699130049439</v>
      </c>
      <c r="I843" s="5">
        <f>DischargeCoeff(INDEX('Route Data'!$I$7:$I$8,E843), INDEX('Route Data'!$L$7:$L$8,E843)*2*PI()/60, INDEX('Route Data'!$F$7:$F$8,E843))</f>
        <v>0.15939200179827354</v>
      </c>
      <c r="J843" s="8">
        <f>FlowAngleRel(INDEX('Route Data'!$J$7:$J$8,E843)*INDEX('Route Data'!$I$7:$I$8,E843), INDEX('Route Data'!$L$7:$L$8,E843)*2*PI()/60, INDEX('Route Data'!$F$7:$F$8,E843),INDEX('Route Data'!$O$7:$O$8,E843), INDEX('Route Data'!$P$7:$P$8,E843),INDEX('Route Data'!$M$7:$M$8,E843))</f>
        <v>1.130811765868994</v>
      </c>
      <c r="K843" s="8">
        <f>FlowAngleAbsT(INDEX('Route Data'!$K$7:$K$8,E843), INDEX('Route Data'!$I$7:$I$8,E843), INDEX('Route Data'!$I$7:$I$8,E843)*INDEX('Route Data'!$J$7:$J$8,E843), INDEX('Route Data'!$L$7:$L$8,E843)*2*PI()/60, INDEX('Route Data'!$F$7:$F$8,E843),INDEX('Route Data'!$O$7:$O$8,E843), INDEX('Route Data'!$P$7:$P$8,E843), INDEX('Route Data'!$H$7:$H$8,E843), INDEX('Route Data'!$Q$7:$Q$8,E843), INDEX('Route Data'!$M$7:$M$8,E843))</f>
        <v>0.51617226640175828</v>
      </c>
      <c r="L843" s="5">
        <f>INDEX('Route Data'!$N$7:$N$8,E843)</f>
        <v>0.4</v>
      </c>
      <c r="M843" s="8">
        <v>0.30852478742599487</v>
      </c>
      <c r="N843" s="8">
        <f>ProbStrikeFrancis(K843, I843, L843, INDEX('Route Data'!$G$7:$G$8,E843),C843, INDEX('Route Data'!$F$7:$F$8,E843), INDEX('Route Data'!$O$7:$O$8,E843), INDEX('Route Data'!$H$7:$H$18,E843))</f>
        <v>1</v>
      </c>
      <c r="O843" s="5" t="str">
        <f>IF(F843&gt;=1,IF(M843&lt;=N843,"STRIKE","pass"),IF(M843&lt;=INDEX('Route Data'!$R$7:$R$8,E843),"NO PASS","pass"))</f>
        <v>STRIKE</v>
      </c>
      <c r="P843" s="5">
        <f>IF(F843&gt;=1,IF(M843&lt;=N843,1,0),IF(M843&lt;=INDEX('Route Data'!$R$7:$R$8,E843),-1,0))</f>
        <v>1</v>
      </c>
    </row>
    <row r="844" spans="1:16">
      <c r="A844" s="5">
        <v>834</v>
      </c>
      <c r="B844" s="12">
        <v>26.55</v>
      </c>
      <c r="C844" s="12">
        <f t="shared" si="13"/>
        <v>2.21</v>
      </c>
      <c r="D844" s="8">
        <v>0.68920004367828369</v>
      </c>
      <c r="E844" s="5">
        <f>MATCH(D844,'Route Data'!$C$7:$C$8,1)</f>
        <v>2</v>
      </c>
      <c r="F844" s="5">
        <f>INDEX('Route Data'!$D$7:$D$8,E844)</f>
        <v>1</v>
      </c>
      <c r="G844" s="5" t="str">
        <f>INDEX('Route Data'!$A$7:$A$8,E844)</f>
        <v>u18</v>
      </c>
      <c r="H844" s="5">
        <f>EnergyCoeff(INDEX('Route Data'!$K$7:$K$8,E844),INDEX('Route Data'!$L$7:$L$8,E844)*2*PI()/60,INDEX('Route Data'!$F$7:$F$8,E844))</f>
        <v>0.19430699130049439</v>
      </c>
      <c r="I844" s="5">
        <f>DischargeCoeff(INDEX('Route Data'!$I$7:$I$8,E844), INDEX('Route Data'!$L$7:$L$8,E844)*2*PI()/60, INDEX('Route Data'!$F$7:$F$8,E844))</f>
        <v>0.15939200179827354</v>
      </c>
      <c r="J844" s="8">
        <f>FlowAngleRel(INDEX('Route Data'!$J$7:$J$8,E844)*INDEX('Route Data'!$I$7:$I$8,E844), INDEX('Route Data'!$L$7:$L$8,E844)*2*PI()/60, INDEX('Route Data'!$F$7:$F$8,E844),INDEX('Route Data'!$O$7:$O$8,E844), INDEX('Route Data'!$P$7:$P$8,E844),INDEX('Route Data'!$M$7:$M$8,E844))</f>
        <v>1.130811765868994</v>
      </c>
      <c r="K844" s="8">
        <f>FlowAngleAbsT(INDEX('Route Data'!$K$7:$K$8,E844), INDEX('Route Data'!$I$7:$I$8,E844), INDEX('Route Data'!$I$7:$I$8,E844)*INDEX('Route Data'!$J$7:$J$8,E844), INDEX('Route Data'!$L$7:$L$8,E844)*2*PI()/60, INDEX('Route Data'!$F$7:$F$8,E844),INDEX('Route Data'!$O$7:$O$8,E844), INDEX('Route Data'!$P$7:$P$8,E844), INDEX('Route Data'!$H$7:$H$8,E844), INDEX('Route Data'!$Q$7:$Q$8,E844), INDEX('Route Data'!$M$7:$M$8,E844))</f>
        <v>0.51617226640175828</v>
      </c>
      <c r="L844" s="5">
        <f>INDEX('Route Data'!$N$7:$N$8,E844)</f>
        <v>0.4</v>
      </c>
      <c r="M844" s="8">
        <v>0.25107300281524658</v>
      </c>
      <c r="N844" s="8">
        <f>ProbStrikeFrancis(K844, I844, L844, INDEX('Route Data'!$G$7:$G$8,E844),C844, INDEX('Route Data'!$F$7:$F$8,E844), INDEX('Route Data'!$O$7:$O$8,E844), INDEX('Route Data'!$H$7:$H$18,E844))</f>
        <v>1</v>
      </c>
      <c r="O844" s="5" t="str">
        <f>IF(F844&gt;=1,IF(M844&lt;=N844,"STRIKE","pass"),IF(M844&lt;=INDEX('Route Data'!$R$7:$R$8,E844),"NO PASS","pass"))</f>
        <v>STRIKE</v>
      </c>
      <c r="P844" s="5">
        <f>IF(F844&gt;=1,IF(M844&lt;=N844,1,0),IF(M844&lt;=INDEX('Route Data'!$R$7:$R$8,E844),-1,0))</f>
        <v>1</v>
      </c>
    </row>
    <row r="845" spans="1:16">
      <c r="A845" s="5">
        <v>835</v>
      </c>
      <c r="B845" s="12">
        <v>23.71</v>
      </c>
      <c r="C845" s="12">
        <f t="shared" si="13"/>
        <v>1.98</v>
      </c>
      <c r="D845" s="8">
        <v>0.78533202409744263</v>
      </c>
      <c r="E845" s="5">
        <f>MATCH(D845,'Route Data'!$C$7:$C$8,1)</f>
        <v>2</v>
      </c>
      <c r="F845" s="5">
        <f>INDEX('Route Data'!$D$7:$D$8,E845)</f>
        <v>1</v>
      </c>
      <c r="G845" s="5" t="str">
        <f>INDEX('Route Data'!$A$7:$A$8,E845)</f>
        <v>u18</v>
      </c>
      <c r="H845" s="5">
        <f>EnergyCoeff(INDEX('Route Data'!$K$7:$K$8,E845),INDEX('Route Data'!$L$7:$L$8,E845)*2*PI()/60,INDEX('Route Data'!$F$7:$F$8,E845))</f>
        <v>0.19430699130049439</v>
      </c>
      <c r="I845" s="5">
        <f>DischargeCoeff(INDEX('Route Data'!$I$7:$I$8,E845), INDEX('Route Data'!$L$7:$L$8,E845)*2*PI()/60, INDEX('Route Data'!$F$7:$F$8,E845))</f>
        <v>0.15939200179827354</v>
      </c>
      <c r="J845" s="8">
        <f>FlowAngleRel(INDEX('Route Data'!$J$7:$J$8,E845)*INDEX('Route Data'!$I$7:$I$8,E845), INDEX('Route Data'!$L$7:$L$8,E845)*2*PI()/60, INDEX('Route Data'!$F$7:$F$8,E845),INDEX('Route Data'!$O$7:$O$8,E845), INDEX('Route Data'!$P$7:$P$8,E845),INDEX('Route Data'!$M$7:$M$8,E845))</f>
        <v>1.130811765868994</v>
      </c>
      <c r="K845" s="8">
        <f>FlowAngleAbsT(INDEX('Route Data'!$K$7:$K$8,E845), INDEX('Route Data'!$I$7:$I$8,E845), INDEX('Route Data'!$I$7:$I$8,E845)*INDEX('Route Data'!$J$7:$J$8,E845), INDEX('Route Data'!$L$7:$L$8,E845)*2*PI()/60, INDEX('Route Data'!$F$7:$F$8,E845),INDEX('Route Data'!$O$7:$O$8,E845), INDEX('Route Data'!$P$7:$P$8,E845), INDEX('Route Data'!$H$7:$H$8,E845), INDEX('Route Data'!$Q$7:$Q$8,E845), INDEX('Route Data'!$M$7:$M$8,E845))</f>
        <v>0.51617226640175828</v>
      </c>
      <c r="L845" s="5">
        <f>INDEX('Route Data'!$N$7:$N$8,E845)</f>
        <v>0.4</v>
      </c>
      <c r="M845" s="8">
        <v>0.68900758028030396</v>
      </c>
      <c r="N845" s="8">
        <f>ProbStrikeFrancis(K845, I845, L845, INDEX('Route Data'!$G$7:$G$8,E845),C845, INDEX('Route Data'!$F$7:$F$8,E845), INDEX('Route Data'!$O$7:$O$8,E845), INDEX('Route Data'!$H$7:$H$18,E845))</f>
        <v>1</v>
      </c>
      <c r="O845" s="5" t="str">
        <f>IF(F845&gt;=1,IF(M845&lt;=N845,"STRIKE","pass"),IF(M845&lt;=INDEX('Route Data'!$R$7:$R$8,E845),"NO PASS","pass"))</f>
        <v>STRIKE</v>
      </c>
      <c r="P845" s="5">
        <f>IF(F845&gt;=1,IF(M845&lt;=N845,1,0),IF(M845&lt;=INDEX('Route Data'!$R$7:$R$8,E845),-1,0))</f>
        <v>1</v>
      </c>
    </row>
    <row r="846" spans="1:16">
      <c r="A846" s="5">
        <v>836</v>
      </c>
      <c r="B846" s="12">
        <v>21.62</v>
      </c>
      <c r="C846" s="12">
        <f t="shared" si="13"/>
        <v>1.8</v>
      </c>
      <c r="D846" s="8">
        <v>0.49693608283996582</v>
      </c>
      <c r="E846" s="5">
        <f>MATCH(D846,'Route Data'!$C$7:$C$8,1)</f>
        <v>2</v>
      </c>
      <c r="F846" s="5">
        <f>INDEX('Route Data'!$D$7:$D$8,E846)</f>
        <v>1</v>
      </c>
      <c r="G846" s="5" t="str">
        <f>INDEX('Route Data'!$A$7:$A$8,E846)</f>
        <v>u18</v>
      </c>
      <c r="H846" s="5">
        <f>EnergyCoeff(INDEX('Route Data'!$K$7:$K$8,E846),INDEX('Route Data'!$L$7:$L$8,E846)*2*PI()/60,INDEX('Route Data'!$F$7:$F$8,E846))</f>
        <v>0.19430699130049439</v>
      </c>
      <c r="I846" s="5">
        <f>DischargeCoeff(INDEX('Route Data'!$I$7:$I$8,E846), INDEX('Route Data'!$L$7:$L$8,E846)*2*PI()/60, INDEX('Route Data'!$F$7:$F$8,E846))</f>
        <v>0.15939200179827354</v>
      </c>
      <c r="J846" s="8">
        <f>FlowAngleRel(INDEX('Route Data'!$J$7:$J$8,E846)*INDEX('Route Data'!$I$7:$I$8,E846), INDEX('Route Data'!$L$7:$L$8,E846)*2*PI()/60, INDEX('Route Data'!$F$7:$F$8,E846),INDEX('Route Data'!$O$7:$O$8,E846), INDEX('Route Data'!$P$7:$P$8,E846),INDEX('Route Data'!$M$7:$M$8,E846))</f>
        <v>1.130811765868994</v>
      </c>
      <c r="K846" s="8">
        <f>FlowAngleAbsT(INDEX('Route Data'!$K$7:$K$8,E846), INDEX('Route Data'!$I$7:$I$8,E846), INDEX('Route Data'!$I$7:$I$8,E846)*INDEX('Route Data'!$J$7:$J$8,E846), INDEX('Route Data'!$L$7:$L$8,E846)*2*PI()/60, INDEX('Route Data'!$F$7:$F$8,E846),INDEX('Route Data'!$O$7:$O$8,E846), INDEX('Route Data'!$P$7:$P$8,E846), INDEX('Route Data'!$H$7:$H$8,E846), INDEX('Route Data'!$Q$7:$Q$8,E846), INDEX('Route Data'!$M$7:$M$8,E846))</f>
        <v>0.51617226640175828</v>
      </c>
      <c r="L846" s="5">
        <f>INDEX('Route Data'!$N$7:$N$8,E846)</f>
        <v>0.4</v>
      </c>
      <c r="M846" s="8">
        <v>0.37520384788513184</v>
      </c>
      <c r="N846" s="8">
        <f>ProbStrikeFrancis(K846, I846, L846, INDEX('Route Data'!$G$7:$G$8,E846),C846, INDEX('Route Data'!$F$7:$F$8,E846), INDEX('Route Data'!$O$7:$O$8,E846), INDEX('Route Data'!$H$7:$H$18,E846))</f>
        <v>1</v>
      </c>
      <c r="O846" s="5" t="str">
        <f>IF(F846&gt;=1,IF(M846&lt;=N846,"STRIKE","pass"),IF(M846&lt;=INDEX('Route Data'!$R$7:$R$8,E846),"NO PASS","pass"))</f>
        <v>STRIKE</v>
      </c>
      <c r="P846" s="5">
        <f>IF(F846&gt;=1,IF(M846&lt;=N846,1,0),IF(M846&lt;=INDEX('Route Data'!$R$7:$R$8,E846),-1,0))</f>
        <v>1</v>
      </c>
    </row>
    <row r="847" spans="1:16">
      <c r="A847" s="5">
        <v>837</v>
      </c>
      <c r="B847" s="12">
        <v>26.85</v>
      </c>
      <c r="C847" s="12">
        <f t="shared" si="13"/>
        <v>2.2400000000000002</v>
      </c>
      <c r="D847" s="8">
        <v>0.36212390661239624</v>
      </c>
      <c r="E847" s="5">
        <f>MATCH(D847,'Route Data'!$C$7:$C$8,1)</f>
        <v>2</v>
      </c>
      <c r="F847" s="5">
        <f>INDEX('Route Data'!$D$7:$D$8,E847)</f>
        <v>1</v>
      </c>
      <c r="G847" s="5" t="str">
        <f>INDEX('Route Data'!$A$7:$A$8,E847)</f>
        <v>u18</v>
      </c>
      <c r="H847" s="5">
        <f>EnergyCoeff(INDEX('Route Data'!$K$7:$K$8,E847),INDEX('Route Data'!$L$7:$L$8,E847)*2*PI()/60,INDEX('Route Data'!$F$7:$F$8,E847))</f>
        <v>0.19430699130049439</v>
      </c>
      <c r="I847" s="5">
        <f>DischargeCoeff(INDEX('Route Data'!$I$7:$I$8,E847), INDEX('Route Data'!$L$7:$L$8,E847)*2*PI()/60, INDEX('Route Data'!$F$7:$F$8,E847))</f>
        <v>0.15939200179827354</v>
      </c>
      <c r="J847" s="8">
        <f>FlowAngleRel(INDEX('Route Data'!$J$7:$J$8,E847)*INDEX('Route Data'!$I$7:$I$8,E847), INDEX('Route Data'!$L$7:$L$8,E847)*2*PI()/60, INDEX('Route Data'!$F$7:$F$8,E847),INDEX('Route Data'!$O$7:$O$8,E847), INDEX('Route Data'!$P$7:$P$8,E847),INDEX('Route Data'!$M$7:$M$8,E847))</f>
        <v>1.130811765868994</v>
      </c>
      <c r="K847" s="8">
        <f>FlowAngleAbsT(INDEX('Route Data'!$K$7:$K$8,E847), INDEX('Route Data'!$I$7:$I$8,E847), INDEX('Route Data'!$I$7:$I$8,E847)*INDEX('Route Data'!$J$7:$J$8,E847), INDEX('Route Data'!$L$7:$L$8,E847)*2*PI()/60, INDEX('Route Data'!$F$7:$F$8,E847),INDEX('Route Data'!$O$7:$O$8,E847), INDEX('Route Data'!$P$7:$P$8,E847), INDEX('Route Data'!$H$7:$H$8,E847), INDEX('Route Data'!$Q$7:$Q$8,E847), INDEX('Route Data'!$M$7:$M$8,E847))</f>
        <v>0.51617226640175828</v>
      </c>
      <c r="L847" s="5">
        <f>INDEX('Route Data'!$N$7:$N$8,E847)</f>
        <v>0.4</v>
      </c>
      <c r="M847" s="8">
        <v>0.58219426870346069</v>
      </c>
      <c r="N847" s="8">
        <f>ProbStrikeFrancis(K847, I847, L847, INDEX('Route Data'!$G$7:$G$8,E847),C847, INDEX('Route Data'!$F$7:$F$8,E847), INDEX('Route Data'!$O$7:$O$8,E847), INDEX('Route Data'!$H$7:$H$18,E847))</f>
        <v>1</v>
      </c>
      <c r="O847" s="5" t="str">
        <f>IF(F847&gt;=1,IF(M847&lt;=N847,"STRIKE","pass"),IF(M847&lt;=INDEX('Route Data'!$R$7:$R$8,E847),"NO PASS","pass"))</f>
        <v>STRIKE</v>
      </c>
      <c r="P847" s="5">
        <f>IF(F847&gt;=1,IF(M847&lt;=N847,1,0),IF(M847&lt;=INDEX('Route Data'!$R$7:$R$8,E847),-1,0))</f>
        <v>1</v>
      </c>
    </row>
    <row r="848" spans="1:16">
      <c r="A848" s="5">
        <v>838</v>
      </c>
      <c r="B848" s="12">
        <v>21.24</v>
      </c>
      <c r="C848" s="12">
        <f t="shared" si="13"/>
        <v>1.77</v>
      </c>
      <c r="D848" s="8">
        <v>0.50098121166229248</v>
      </c>
      <c r="E848" s="5">
        <f>MATCH(D848,'Route Data'!$C$7:$C$8,1)</f>
        <v>2</v>
      </c>
      <c r="F848" s="5">
        <f>INDEX('Route Data'!$D$7:$D$8,E848)</f>
        <v>1</v>
      </c>
      <c r="G848" s="5" t="str">
        <f>INDEX('Route Data'!$A$7:$A$8,E848)</f>
        <v>u18</v>
      </c>
      <c r="H848" s="5">
        <f>EnergyCoeff(INDEX('Route Data'!$K$7:$K$8,E848),INDEX('Route Data'!$L$7:$L$8,E848)*2*PI()/60,INDEX('Route Data'!$F$7:$F$8,E848))</f>
        <v>0.19430699130049439</v>
      </c>
      <c r="I848" s="5">
        <f>DischargeCoeff(INDEX('Route Data'!$I$7:$I$8,E848), INDEX('Route Data'!$L$7:$L$8,E848)*2*PI()/60, INDEX('Route Data'!$F$7:$F$8,E848))</f>
        <v>0.15939200179827354</v>
      </c>
      <c r="J848" s="8">
        <f>FlowAngleRel(INDEX('Route Data'!$J$7:$J$8,E848)*INDEX('Route Data'!$I$7:$I$8,E848), INDEX('Route Data'!$L$7:$L$8,E848)*2*PI()/60, INDEX('Route Data'!$F$7:$F$8,E848),INDEX('Route Data'!$O$7:$O$8,E848), INDEX('Route Data'!$P$7:$P$8,E848),INDEX('Route Data'!$M$7:$M$8,E848))</f>
        <v>1.130811765868994</v>
      </c>
      <c r="K848" s="8">
        <f>FlowAngleAbsT(INDEX('Route Data'!$K$7:$K$8,E848), INDEX('Route Data'!$I$7:$I$8,E848), INDEX('Route Data'!$I$7:$I$8,E848)*INDEX('Route Data'!$J$7:$J$8,E848), INDEX('Route Data'!$L$7:$L$8,E848)*2*PI()/60, INDEX('Route Data'!$F$7:$F$8,E848),INDEX('Route Data'!$O$7:$O$8,E848), INDEX('Route Data'!$P$7:$P$8,E848), INDEX('Route Data'!$H$7:$H$8,E848), INDEX('Route Data'!$Q$7:$Q$8,E848), INDEX('Route Data'!$M$7:$M$8,E848))</f>
        <v>0.51617226640175828</v>
      </c>
      <c r="L848" s="5">
        <f>INDEX('Route Data'!$N$7:$N$8,E848)</f>
        <v>0.4</v>
      </c>
      <c r="M848" s="8">
        <v>0.69564378261566162</v>
      </c>
      <c r="N848" s="8">
        <f>ProbStrikeFrancis(K848, I848, L848, INDEX('Route Data'!$G$7:$G$8,E848),C848, INDEX('Route Data'!$F$7:$F$8,E848), INDEX('Route Data'!$O$7:$O$8,E848), INDEX('Route Data'!$H$7:$H$18,E848))</f>
        <v>1</v>
      </c>
      <c r="O848" s="5" t="str">
        <f>IF(F848&gt;=1,IF(M848&lt;=N848,"STRIKE","pass"),IF(M848&lt;=INDEX('Route Data'!$R$7:$R$8,E848),"NO PASS","pass"))</f>
        <v>STRIKE</v>
      </c>
      <c r="P848" s="5">
        <f>IF(F848&gt;=1,IF(M848&lt;=N848,1,0),IF(M848&lt;=INDEX('Route Data'!$R$7:$R$8,E848),-1,0))</f>
        <v>1</v>
      </c>
    </row>
    <row r="849" spans="1:16">
      <c r="A849" s="5">
        <v>839</v>
      </c>
      <c r="B849" s="12">
        <v>23.15</v>
      </c>
      <c r="C849" s="12">
        <f t="shared" si="13"/>
        <v>1.93</v>
      </c>
      <c r="D849" s="8">
        <v>8.440929651260376E-2</v>
      </c>
      <c r="E849" s="5">
        <f>MATCH(D849,'Route Data'!$C$7:$C$8,1)</f>
        <v>2</v>
      </c>
      <c r="F849" s="5">
        <f>INDEX('Route Data'!$D$7:$D$8,E849)</f>
        <v>1</v>
      </c>
      <c r="G849" s="5" t="str">
        <f>INDEX('Route Data'!$A$7:$A$8,E849)</f>
        <v>u18</v>
      </c>
      <c r="H849" s="5">
        <f>EnergyCoeff(INDEX('Route Data'!$K$7:$K$8,E849),INDEX('Route Data'!$L$7:$L$8,E849)*2*PI()/60,INDEX('Route Data'!$F$7:$F$8,E849))</f>
        <v>0.19430699130049439</v>
      </c>
      <c r="I849" s="5">
        <f>DischargeCoeff(INDEX('Route Data'!$I$7:$I$8,E849), INDEX('Route Data'!$L$7:$L$8,E849)*2*PI()/60, INDEX('Route Data'!$F$7:$F$8,E849))</f>
        <v>0.15939200179827354</v>
      </c>
      <c r="J849" s="8">
        <f>FlowAngleRel(INDEX('Route Data'!$J$7:$J$8,E849)*INDEX('Route Data'!$I$7:$I$8,E849), INDEX('Route Data'!$L$7:$L$8,E849)*2*PI()/60, INDEX('Route Data'!$F$7:$F$8,E849),INDEX('Route Data'!$O$7:$O$8,E849), INDEX('Route Data'!$P$7:$P$8,E849),INDEX('Route Data'!$M$7:$M$8,E849))</f>
        <v>1.130811765868994</v>
      </c>
      <c r="K849" s="8">
        <f>FlowAngleAbsT(INDEX('Route Data'!$K$7:$K$8,E849), INDEX('Route Data'!$I$7:$I$8,E849), INDEX('Route Data'!$I$7:$I$8,E849)*INDEX('Route Data'!$J$7:$J$8,E849), INDEX('Route Data'!$L$7:$L$8,E849)*2*PI()/60, INDEX('Route Data'!$F$7:$F$8,E849),INDEX('Route Data'!$O$7:$O$8,E849), INDEX('Route Data'!$P$7:$P$8,E849), INDEX('Route Data'!$H$7:$H$8,E849), INDEX('Route Data'!$Q$7:$Q$8,E849), INDEX('Route Data'!$M$7:$M$8,E849))</f>
        <v>0.51617226640175828</v>
      </c>
      <c r="L849" s="5">
        <f>INDEX('Route Data'!$N$7:$N$8,E849)</f>
        <v>0.4</v>
      </c>
      <c r="M849" s="8">
        <v>0.62087446451187134</v>
      </c>
      <c r="N849" s="8">
        <f>ProbStrikeFrancis(K849, I849, L849, INDEX('Route Data'!$G$7:$G$8,E849),C849, INDEX('Route Data'!$F$7:$F$8,E849), INDEX('Route Data'!$O$7:$O$8,E849), INDEX('Route Data'!$H$7:$H$18,E849))</f>
        <v>1</v>
      </c>
      <c r="O849" s="5" t="str">
        <f>IF(F849&gt;=1,IF(M849&lt;=N849,"STRIKE","pass"),IF(M849&lt;=INDEX('Route Data'!$R$7:$R$8,E849),"NO PASS","pass"))</f>
        <v>STRIKE</v>
      </c>
      <c r="P849" s="5">
        <f>IF(F849&gt;=1,IF(M849&lt;=N849,1,0),IF(M849&lt;=INDEX('Route Data'!$R$7:$R$8,E849),-1,0))</f>
        <v>1</v>
      </c>
    </row>
    <row r="850" spans="1:16">
      <c r="A850" s="5">
        <v>840</v>
      </c>
      <c r="B850" s="12">
        <v>25.91</v>
      </c>
      <c r="C850" s="12">
        <f t="shared" si="13"/>
        <v>2.16</v>
      </c>
      <c r="D850" s="8">
        <v>0.59970426559448242</v>
      </c>
      <c r="E850" s="5">
        <f>MATCH(D850,'Route Data'!$C$7:$C$8,1)</f>
        <v>2</v>
      </c>
      <c r="F850" s="5">
        <f>INDEX('Route Data'!$D$7:$D$8,E850)</f>
        <v>1</v>
      </c>
      <c r="G850" s="5" t="str">
        <f>INDEX('Route Data'!$A$7:$A$8,E850)</f>
        <v>u18</v>
      </c>
      <c r="H850" s="5">
        <f>EnergyCoeff(INDEX('Route Data'!$K$7:$K$8,E850),INDEX('Route Data'!$L$7:$L$8,E850)*2*PI()/60,INDEX('Route Data'!$F$7:$F$8,E850))</f>
        <v>0.19430699130049439</v>
      </c>
      <c r="I850" s="5">
        <f>DischargeCoeff(INDEX('Route Data'!$I$7:$I$8,E850), INDEX('Route Data'!$L$7:$L$8,E850)*2*PI()/60, INDEX('Route Data'!$F$7:$F$8,E850))</f>
        <v>0.15939200179827354</v>
      </c>
      <c r="J850" s="8">
        <f>FlowAngleRel(INDEX('Route Data'!$J$7:$J$8,E850)*INDEX('Route Data'!$I$7:$I$8,E850), INDEX('Route Data'!$L$7:$L$8,E850)*2*PI()/60, INDEX('Route Data'!$F$7:$F$8,E850),INDEX('Route Data'!$O$7:$O$8,E850), INDEX('Route Data'!$P$7:$P$8,E850),INDEX('Route Data'!$M$7:$M$8,E850))</f>
        <v>1.130811765868994</v>
      </c>
      <c r="K850" s="8">
        <f>FlowAngleAbsT(INDEX('Route Data'!$K$7:$K$8,E850), INDEX('Route Data'!$I$7:$I$8,E850), INDEX('Route Data'!$I$7:$I$8,E850)*INDEX('Route Data'!$J$7:$J$8,E850), INDEX('Route Data'!$L$7:$L$8,E850)*2*PI()/60, INDEX('Route Data'!$F$7:$F$8,E850),INDEX('Route Data'!$O$7:$O$8,E850), INDEX('Route Data'!$P$7:$P$8,E850), INDEX('Route Data'!$H$7:$H$8,E850), INDEX('Route Data'!$Q$7:$Q$8,E850), INDEX('Route Data'!$M$7:$M$8,E850))</f>
        <v>0.51617226640175828</v>
      </c>
      <c r="L850" s="5">
        <f>INDEX('Route Data'!$N$7:$N$8,E850)</f>
        <v>0.4</v>
      </c>
      <c r="M850" s="8">
        <v>0.84518241882324219</v>
      </c>
      <c r="N850" s="8">
        <f>ProbStrikeFrancis(K850, I850, L850, INDEX('Route Data'!$G$7:$G$8,E850),C850, INDEX('Route Data'!$F$7:$F$8,E850), INDEX('Route Data'!$O$7:$O$8,E850), INDEX('Route Data'!$H$7:$H$18,E850))</f>
        <v>1</v>
      </c>
      <c r="O850" s="5" t="str">
        <f>IF(F850&gt;=1,IF(M850&lt;=N850,"STRIKE","pass"),IF(M850&lt;=INDEX('Route Data'!$R$7:$R$8,E850),"NO PASS","pass"))</f>
        <v>STRIKE</v>
      </c>
      <c r="P850" s="5">
        <f>IF(F850&gt;=1,IF(M850&lt;=N850,1,0),IF(M850&lt;=INDEX('Route Data'!$R$7:$R$8,E850),-1,0))</f>
        <v>1</v>
      </c>
    </row>
    <row r="851" spans="1:16">
      <c r="A851" s="5">
        <v>841</v>
      </c>
      <c r="B851" s="12">
        <v>22.51</v>
      </c>
      <c r="C851" s="12">
        <f t="shared" si="13"/>
        <v>1.88</v>
      </c>
      <c r="D851" s="8">
        <v>0.31939858198165894</v>
      </c>
      <c r="E851" s="5">
        <f>MATCH(D851,'Route Data'!$C$7:$C$8,1)</f>
        <v>2</v>
      </c>
      <c r="F851" s="5">
        <f>INDEX('Route Data'!$D$7:$D$8,E851)</f>
        <v>1</v>
      </c>
      <c r="G851" s="5" t="str">
        <f>INDEX('Route Data'!$A$7:$A$8,E851)</f>
        <v>u18</v>
      </c>
      <c r="H851" s="5">
        <f>EnergyCoeff(INDEX('Route Data'!$K$7:$K$8,E851),INDEX('Route Data'!$L$7:$L$8,E851)*2*PI()/60,INDEX('Route Data'!$F$7:$F$8,E851))</f>
        <v>0.19430699130049439</v>
      </c>
      <c r="I851" s="5">
        <f>DischargeCoeff(INDEX('Route Data'!$I$7:$I$8,E851), INDEX('Route Data'!$L$7:$L$8,E851)*2*PI()/60, INDEX('Route Data'!$F$7:$F$8,E851))</f>
        <v>0.15939200179827354</v>
      </c>
      <c r="J851" s="8">
        <f>FlowAngleRel(INDEX('Route Data'!$J$7:$J$8,E851)*INDEX('Route Data'!$I$7:$I$8,E851), INDEX('Route Data'!$L$7:$L$8,E851)*2*PI()/60, INDEX('Route Data'!$F$7:$F$8,E851),INDEX('Route Data'!$O$7:$O$8,E851), INDEX('Route Data'!$P$7:$P$8,E851),INDEX('Route Data'!$M$7:$M$8,E851))</f>
        <v>1.130811765868994</v>
      </c>
      <c r="K851" s="8">
        <f>FlowAngleAbsT(INDEX('Route Data'!$K$7:$K$8,E851), INDEX('Route Data'!$I$7:$I$8,E851), INDEX('Route Data'!$I$7:$I$8,E851)*INDEX('Route Data'!$J$7:$J$8,E851), INDEX('Route Data'!$L$7:$L$8,E851)*2*PI()/60, INDEX('Route Data'!$F$7:$F$8,E851),INDEX('Route Data'!$O$7:$O$8,E851), INDEX('Route Data'!$P$7:$P$8,E851), INDEX('Route Data'!$H$7:$H$8,E851), INDEX('Route Data'!$Q$7:$Q$8,E851), INDEX('Route Data'!$M$7:$M$8,E851))</f>
        <v>0.51617226640175828</v>
      </c>
      <c r="L851" s="5">
        <f>INDEX('Route Data'!$N$7:$N$8,E851)</f>
        <v>0.4</v>
      </c>
      <c r="M851" s="8">
        <v>0.17225855588912964</v>
      </c>
      <c r="N851" s="8">
        <f>ProbStrikeFrancis(K851, I851, L851, INDEX('Route Data'!$G$7:$G$8,E851),C851, INDEX('Route Data'!$F$7:$F$8,E851), INDEX('Route Data'!$O$7:$O$8,E851), INDEX('Route Data'!$H$7:$H$18,E851))</f>
        <v>1</v>
      </c>
      <c r="O851" s="5" t="str">
        <f>IF(F851&gt;=1,IF(M851&lt;=N851,"STRIKE","pass"),IF(M851&lt;=INDEX('Route Data'!$R$7:$R$8,E851),"NO PASS","pass"))</f>
        <v>STRIKE</v>
      </c>
      <c r="P851" s="5">
        <f>IF(F851&gt;=1,IF(M851&lt;=N851,1,0),IF(M851&lt;=INDEX('Route Data'!$R$7:$R$8,E851),-1,0))</f>
        <v>1</v>
      </c>
    </row>
    <row r="852" spans="1:16">
      <c r="A852" s="5">
        <v>842</v>
      </c>
      <c r="B852" s="12">
        <v>25.61</v>
      </c>
      <c r="C852" s="12">
        <f t="shared" si="13"/>
        <v>2.13</v>
      </c>
      <c r="D852" s="8">
        <v>0.62915718555450439</v>
      </c>
      <c r="E852" s="5">
        <f>MATCH(D852,'Route Data'!$C$7:$C$8,1)</f>
        <v>2</v>
      </c>
      <c r="F852" s="5">
        <f>INDEX('Route Data'!$D$7:$D$8,E852)</f>
        <v>1</v>
      </c>
      <c r="G852" s="5" t="str">
        <f>INDEX('Route Data'!$A$7:$A$8,E852)</f>
        <v>u18</v>
      </c>
      <c r="H852" s="5">
        <f>EnergyCoeff(INDEX('Route Data'!$K$7:$K$8,E852),INDEX('Route Data'!$L$7:$L$8,E852)*2*PI()/60,INDEX('Route Data'!$F$7:$F$8,E852))</f>
        <v>0.19430699130049439</v>
      </c>
      <c r="I852" s="5">
        <f>DischargeCoeff(INDEX('Route Data'!$I$7:$I$8,E852), INDEX('Route Data'!$L$7:$L$8,E852)*2*PI()/60, INDEX('Route Data'!$F$7:$F$8,E852))</f>
        <v>0.15939200179827354</v>
      </c>
      <c r="J852" s="8">
        <f>FlowAngleRel(INDEX('Route Data'!$J$7:$J$8,E852)*INDEX('Route Data'!$I$7:$I$8,E852), INDEX('Route Data'!$L$7:$L$8,E852)*2*PI()/60, INDEX('Route Data'!$F$7:$F$8,E852),INDEX('Route Data'!$O$7:$O$8,E852), INDEX('Route Data'!$P$7:$P$8,E852),INDEX('Route Data'!$M$7:$M$8,E852))</f>
        <v>1.130811765868994</v>
      </c>
      <c r="K852" s="8">
        <f>FlowAngleAbsT(INDEX('Route Data'!$K$7:$K$8,E852), INDEX('Route Data'!$I$7:$I$8,E852), INDEX('Route Data'!$I$7:$I$8,E852)*INDEX('Route Data'!$J$7:$J$8,E852), INDEX('Route Data'!$L$7:$L$8,E852)*2*PI()/60, INDEX('Route Data'!$F$7:$F$8,E852),INDEX('Route Data'!$O$7:$O$8,E852), INDEX('Route Data'!$P$7:$P$8,E852), INDEX('Route Data'!$H$7:$H$8,E852), INDEX('Route Data'!$Q$7:$Q$8,E852), INDEX('Route Data'!$M$7:$M$8,E852))</f>
        <v>0.51617226640175828</v>
      </c>
      <c r="L852" s="5">
        <f>INDEX('Route Data'!$N$7:$N$8,E852)</f>
        <v>0.4</v>
      </c>
      <c r="M852" s="8">
        <v>0.19103014469146729</v>
      </c>
      <c r="N852" s="8">
        <f>ProbStrikeFrancis(K852, I852, L852, INDEX('Route Data'!$G$7:$G$8,E852),C852, INDEX('Route Data'!$F$7:$F$8,E852), INDEX('Route Data'!$O$7:$O$8,E852), INDEX('Route Data'!$H$7:$H$18,E852))</f>
        <v>1</v>
      </c>
      <c r="O852" s="5" t="str">
        <f>IF(F852&gt;=1,IF(M852&lt;=N852,"STRIKE","pass"),IF(M852&lt;=INDEX('Route Data'!$R$7:$R$8,E852),"NO PASS","pass"))</f>
        <v>STRIKE</v>
      </c>
      <c r="P852" s="5">
        <f>IF(F852&gt;=1,IF(M852&lt;=N852,1,0),IF(M852&lt;=INDEX('Route Data'!$R$7:$R$8,E852),-1,0))</f>
        <v>1</v>
      </c>
    </row>
    <row r="853" spans="1:16">
      <c r="A853" s="5">
        <v>843</v>
      </c>
      <c r="B853" s="12">
        <v>23.01</v>
      </c>
      <c r="C853" s="12">
        <f t="shared" si="13"/>
        <v>1.92</v>
      </c>
      <c r="D853" s="8">
        <v>0.69988137483596802</v>
      </c>
      <c r="E853" s="5">
        <f>MATCH(D853,'Route Data'!$C$7:$C$8,1)</f>
        <v>2</v>
      </c>
      <c r="F853" s="5">
        <f>INDEX('Route Data'!$D$7:$D$8,E853)</f>
        <v>1</v>
      </c>
      <c r="G853" s="5" t="str">
        <f>INDEX('Route Data'!$A$7:$A$8,E853)</f>
        <v>u18</v>
      </c>
      <c r="H853" s="5">
        <f>EnergyCoeff(INDEX('Route Data'!$K$7:$K$8,E853),INDEX('Route Data'!$L$7:$L$8,E853)*2*PI()/60,INDEX('Route Data'!$F$7:$F$8,E853))</f>
        <v>0.19430699130049439</v>
      </c>
      <c r="I853" s="5">
        <f>DischargeCoeff(INDEX('Route Data'!$I$7:$I$8,E853), INDEX('Route Data'!$L$7:$L$8,E853)*2*PI()/60, INDEX('Route Data'!$F$7:$F$8,E853))</f>
        <v>0.15939200179827354</v>
      </c>
      <c r="J853" s="8">
        <f>FlowAngleRel(INDEX('Route Data'!$J$7:$J$8,E853)*INDEX('Route Data'!$I$7:$I$8,E853), INDEX('Route Data'!$L$7:$L$8,E853)*2*PI()/60, INDEX('Route Data'!$F$7:$F$8,E853),INDEX('Route Data'!$O$7:$O$8,E853), INDEX('Route Data'!$P$7:$P$8,E853),INDEX('Route Data'!$M$7:$M$8,E853))</f>
        <v>1.130811765868994</v>
      </c>
      <c r="K853" s="8">
        <f>FlowAngleAbsT(INDEX('Route Data'!$K$7:$K$8,E853), INDEX('Route Data'!$I$7:$I$8,E853), INDEX('Route Data'!$I$7:$I$8,E853)*INDEX('Route Data'!$J$7:$J$8,E853), INDEX('Route Data'!$L$7:$L$8,E853)*2*PI()/60, INDEX('Route Data'!$F$7:$F$8,E853),INDEX('Route Data'!$O$7:$O$8,E853), INDEX('Route Data'!$P$7:$P$8,E853), INDEX('Route Data'!$H$7:$H$8,E853), INDEX('Route Data'!$Q$7:$Q$8,E853), INDEX('Route Data'!$M$7:$M$8,E853))</f>
        <v>0.51617226640175828</v>
      </c>
      <c r="L853" s="5">
        <f>INDEX('Route Data'!$N$7:$N$8,E853)</f>
        <v>0.4</v>
      </c>
      <c r="M853" s="8">
        <v>0.60355693101882935</v>
      </c>
      <c r="N853" s="8">
        <f>ProbStrikeFrancis(K853, I853, L853, INDEX('Route Data'!$G$7:$G$8,E853),C853, INDEX('Route Data'!$F$7:$F$8,E853), INDEX('Route Data'!$O$7:$O$8,E853), INDEX('Route Data'!$H$7:$H$18,E853))</f>
        <v>1</v>
      </c>
      <c r="O853" s="5" t="str">
        <f>IF(F853&gt;=1,IF(M853&lt;=N853,"STRIKE","pass"),IF(M853&lt;=INDEX('Route Data'!$R$7:$R$8,E853),"NO PASS","pass"))</f>
        <v>STRIKE</v>
      </c>
      <c r="P853" s="5">
        <f>IF(F853&gt;=1,IF(M853&lt;=N853,1,0),IF(M853&lt;=INDEX('Route Data'!$R$7:$R$8,E853),-1,0))</f>
        <v>1</v>
      </c>
    </row>
    <row r="854" spans="1:16">
      <c r="A854" s="5">
        <v>844</v>
      </c>
      <c r="B854" s="12">
        <v>23.66</v>
      </c>
      <c r="C854" s="12">
        <f t="shared" si="13"/>
        <v>1.97</v>
      </c>
      <c r="D854" s="8">
        <v>0.75328803062438965</v>
      </c>
      <c r="E854" s="5">
        <f>MATCH(D854,'Route Data'!$C$7:$C$8,1)</f>
        <v>2</v>
      </c>
      <c r="F854" s="5">
        <f>INDEX('Route Data'!$D$7:$D$8,E854)</f>
        <v>1</v>
      </c>
      <c r="G854" s="5" t="str">
        <f>INDEX('Route Data'!$A$7:$A$8,E854)</f>
        <v>u18</v>
      </c>
      <c r="H854" s="5">
        <f>EnergyCoeff(INDEX('Route Data'!$K$7:$K$8,E854),INDEX('Route Data'!$L$7:$L$8,E854)*2*PI()/60,INDEX('Route Data'!$F$7:$F$8,E854))</f>
        <v>0.19430699130049439</v>
      </c>
      <c r="I854" s="5">
        <f>DischargeCoeff(INDEX('Route Data'!$I$7:$I$8,E854), INDEX('Route Data'!$L$7:$L$8,E854)*2*PI()/60, INDEX('Route Data'!$F$7:$F$8,E854))</f>
        <v>0.15939200179827354</v>
      </c>
      <c r="J854" s="8">
        <f>FlowAngleRel(INDEX('Route Data'!$J$7:$J$8,E854)*INDEX('Route Data'!$I$7:$I$8,E854), INDEX('Route Data'!$L$7:$L$8,E854)*2*PI()/60, INDEX('Route Data'!$F$7:$F$8,E854),INDEX('Route Data'!$O$7:$O$8,E854), INDEX('Route Data'!$P$7:$P$8,E854),INDEX('Route Data'!$M$7:$M$8,E854))</f>
        <v>1.130811765868994</v>
      </c>
      <c r="K854" s="8">
        <f>FlowAngleAbsT(INDEX('Route Data'!$K$7:$K$8,E854), INDEX('Route Data'!$I$7:$I$8,E854), INDEX('Route Data'!$I$7:$I$8,E854)*INDEX('Route Data'!$J$7:$J$8,E854), INDEX('Route Data'!$L$7:$L$8,E854)*2*PI()/60, INDEX('Route Data'!$F$7:$F$8,E854),INDEX('Route Data'!$O$7:$O$8,E854), INDEX('Route Data'!$P$7:$P$8,E854), INDEX('Route Data'!$H$7:$H$8,E854), INDEX('Route Data'!$Q$7:$Q$8,E854), INDEX('Route Data'!$M$7:$M$8,E854))</f>
        <v>0.51617226640175828</v>
      </c>
      <c r="L854" s="5">
        <f>INDEX('Route Data'!$N$7:$N$8,E854)</f>
        <v>0.4</v>
      </c>
      <c r="M854" s="8">
        <v>0.63155579566955566</v>
      </c>
      <c r="N854" s="8">
        <f>ProbStrikeFrancis(K854, I854, L854, INDEX('Route Data'!$G$7:$G$8,E854),C854, INDEX('Route Data'!$F$7:$F$8,E854), INDEX('Route Data'!$O$7:$O$8,E854), INDEX('Route Data'!$H$7:$H$18,E854))</f>
        <v>1</v>
      </c>
      <c r="O854" s="5" t="str">
        <f>IF(F854&gt;=1,IF(M854&lt;=N854,"STRIKE","pass"),IF(M854&lt;=INDEX('Route Data'!$R$7:$R$8,E854),"NO PASS","pass"))</f>
        <v>STRIKE</v>
      </c>
      <c r="P854" s="5">
        <f>IF(F854&gt;=1,IF(M854&lt;=N854,1,0),IF(M854&lt;=INDEX('Route Data'!$R$7:$R$8,E854),-1,0))</f>
        <v>1</v>
      </c>
    </row>
    <row r="855" spans="1:16">
      <c r="A855" s="5">
        <v>845</v>
      </c>
      <c r="B855" s="12">
        <v>19.260000000000002</v>
      </c>
      <c r="C855" s="12">
        <f t="shared" si="13"/>
        <v>1.61</v>
      </c>
      <c r="D855" s="8">
        <v>0.59306806325912476</v>
      </c>
      <c r="E855" s="5">
        <f>MATCH(D855,'Route Data'!$C$7:$C$8,1)</f>
        <v>2</v>
      </c>
      <c r="F855" s="5">
        <f>INDEX('Route Data'!$D$7:$D$8,E855)</f>
        <v>1</v>
      </c>
      <c r="G855" s="5" t="str">
        <f>INDEX('Route Data'!$A$7:$A$8,E855)</f>
        <v>u18</v>
      </c>
      <c r="H855" s="5">
        <f>EnergyCoeff(INDEX('Route Data'!$K$7:$K$8,E855),INDEX('Route Data'!$L$7:$L$8,E855)*2*PI()/60,INDEX('Route Data'!$F$7:$F$8,E855))</f>
        <v>0.19430699130049439</v>
      </c>
      <c r="I855" s="5">
        <f>DischargeCoeff(INDEX('Route Data'!$I$7:$I$8,E855), INDEX('Route Data'!$L$7:$L$8,E855)*2*PI()/60, INDEX('Route Data'!$F$7:$F$8,E855))</f>
        <v>0.15939200179827354</v>
      </c>
      <c r="J855" s="8">
        <f>FlowAngleRel(INDEX('Route Data'!$J$7:$J$8,E855)*INDEX('Route Data'!$I$7:$I$8,E855), INDEX('Route Data'!$L$7:$L$8,E855)*2*PI()/60, INDEX('Route Data'!$F$7:$F$8,E855),INDEX('Route Data'!$O$7:$O$8,E855), INDEX('Route Data'!$P$7:$P$8,E855),INDEX('Route Data'!$M$7:$M$8,E855))</f>
        <v>1.130811765868994</v>
      </c>
      <c r="K855" s="8">
        <f>FlowAngleAbsT(INDEX('Route Data'!$K$7:$K$8,E855), INDEX('Route Data'!$I$7:$I$8,E855), INDEX('Route Data'!$I$7:$I$8,E855)*INDEX('Route Data'!$J$7:$J$8,E855), INDEX('Route Data'!$L$7:$L$8,E855)*2*PI()/60, INDEX('Route Data'!$F$7:$F$8,E855),INDEX('Route Data'!$O$7:$O$8,E855), INDEX('Route Data'!$P$7:$P$8,E855), INDEX('Route Data'!$H$7:$H$8,E855), INDEX('Route Data'!$Q$7:$Q$8,E855), INDEX('Route Data'!$M$7:$M$8,E855))</f>
        <v>0.51617226640175828</v>
      </c>
      <c r="L855" s="5">
        <f>INDEX('Route Data'!$N$7:$N$8,E855)</f>
        <v>0.4</v>
      </c>
      <c r="M855" s="8">
        <v>0.81313842535018921</v>
      </c>
      <c r="N855" s="8">
        <f>ProbStrikeFrancis(K855, I855, L855, INDEX('Route Data'!$G$7:$G$8,E855),C855, INDEX('Route Data'!$F$7:$F$8,E855), INDEX('Route Data'!$O$7:$O$8,E855), INDEX('Route Data'!$H$7:$H$18,E855))</f>
        <v>1</v>
      </c>
      <c r="O855" s="5" t="str">
        <f>IF(F855&gt;=1,IF(M855&lt;=N855,"STRIKE","pass"),IF(M855&lt;=INDEX('Route Data'!$R$7:$R$8,E855),"NO PASS","pass"))</f>
        <v>STRIKE</v>
      </c>
      <c r="P855" s="5">
        <f>IF(F855&gt;=1,IF(M855&lt;=N855,1,0),IF(M855&lt;=INDEX('Route Data'!$R$7:$R$8,E855),-1,0))</f>
        <v>1</v>
      </c>
    </row>
    <row r="856" spans="1:16">
      <c r="A856" s="5">
        <v>846</v>
      </c>
      <c r="B856" s="12">
        <v>26.91</v>
      </c>
      <c r="C856" s="12">
        <f t="shared" si="13"/>
        <v>2.2400000000000002</v>
      </c>
      <c r="D856" s="8">
        <v>7.3727965354919434E-2</v>
      </c>
      <c r="E856" s="5">
        <f>MATCH(D856,'Route Data'!$C$7:$C$8,1)</f>
        <v>2</v>
      </c>
      <c r="F856" s="5">
        <f>INDEX('Route Data'!$D$7:$D$8,E856)</f>
        <v>1</v>
      </c>
      <c r="G856" s="5" t="str">
        <f>INDEX('Route Data'!$A$7:$A$8,E856)</f>
        <v>u18</v>
      </c>
      <c r="H856" s="5">
        <f>EnergyCoeff(INDEX('Route Data'!$K$7:$K$8,E856),INDEX('Route Data'!$L$7:$L$8,E856)*2*PI()/60,INDEX('Route Data'!$F$7:$F$8,E856))</f>
        <v>0.19430699130049439</v>
      </c>
      <c r="I856" s="5">
        <f>DischargeCoeff(INDEX('Route Data'!$I$7:$I$8,E856), INDEX('Route Data'!$L$7:$L$8,E856)*2*PI()/60, INDEX('Route Data'!$F$7:$F$8,E856))</f>
        <v>0.15939200179827354</v>
      </c>
      <c r="J856" s="8">
        <f>FlowAngleRel(INDEX('Route Data'!$J$7:$J$8,E856)*INDEX('Route Data'!$I$7:$I$8,E856), INDEX('Route Data'!$L$7:$L$8,E856)*2*PI()/60, INDEX('Route Data'!$F$7:$F$8,E856),INDEX('Route Data'!$O$7:$O$8,E856), INDEX('Route Data'!$P$7:$P$8,E856),INDEX('Route Data'!$M$7:$M$8,E856))</f>
        <v>1.130811765868994</v>
      </c>
      <c r="K856" s="8">
        <f>FlowAngleAbsT(INDEX('Route Data'!$K$7:$K$8,E856), INDEX('Route Data'!$I$7:$I$8,E856), INDEX('Route Data'!$I$7:$I$8,E856)*INDEX('Route Data'!$J$7:$J$8,E856), INDEX('Route Data'!$L$7:$L$8,E856)*2*PI()/60, INDEX('Route Data'!$F$7:$F$8,E856),INDEX('Route Data'!$O$7:$O$8,E856), INDEX('Route Data'!$P$7:$P$8,E856), INDEX('Route Data'!$H$7:$H$8,E856), INDEX('Route Data'!$Q$7:$Q$8,E856), INDEX('Route Data'!$M$7:$M$8,E856))</f>
        <v>0.51617226640175828</v>
      </c>
      <c r="L856" s="5">
        <f>INDEX('Route Data'!$N$7:$N$8,E856)</f>
        <v>0.4</v>
      </c>
      <c r="M856" s="8">
        <v>0.26839053630828857</v>
      </c>
      <c r="N856" s="8">
        <f>ProbStrikeFrancis(K856, I856, L856, INDEX('Route Data'!$G$7:$G$8,E856),C856, INDEX('Route Data'!$F$7:$F$8,E856), INDEX('Route Data'!$O$7:$O$8,E856), INDEX('Route Data'!$H$7:$H$18,E856))</f>
        <v>1</v>
      </c>
      <c r="O856" s="5" t="str">
        <f>IF(F856&gt;=1,IF(M856&lt;=N856,"STRIKE","pass"),IF(M856&lt;=INDEX('Route Data'!$R$7:$R$8,E856),"NO PASS","pass"))</f>
        <v>STRIKE</v>
      </c>
      <c r="P856" s="5">
        <f>IF(F856&gt;=1,IF(M856&lt;=N856,1,0),IF(M856&lt;=INDEX('Route Data'!$R$7:$R$8,E856),-1,0))</f>
        <v>1</v>
      </c>
    </row>
    <row r="857" spans="1:16">
      <c r="A857" s="5">
        <v>847</v>
      </c>
      <c r="B857" s="12">
        <v>26.01</v>
      </c>
      <c r="C857" s="12">
        <f t="shared" si="13"/>
        <v>2.17</v>
      </c>
      <c r="D857" s="8">
        <v>0.6317482590675354</v>
      </c>
      <c r="E857" s="5">
        <f>MATCH(D857,'Route Data'!$C$7:$C$8,1)</f>
        <v>2</v>
      </c>
      <c r="F857" s="5">
        <f>INDEX('Route Data'!$D$7:$D$8,E857)</f>
        <v>1</v>
      </c>
      <c r="G857" s="5" t="str">
        <f>INDEX('Route Data'!$A$7:$A$8,E857)</f>
        <v>u18</v>
      </c>
      <c r="H857" s="5">
        <f>EnergyCoeff(INDEX('Route Data'!$K$7:$K$8,E857),INDEX('Route Data'!$L$7:$L$8,E857)*2*PI()/60,INDEX('Route Data'!$F$7:$F$8,E857))</f>
        <v>0.19430699130049439</v>
      </c>
      <c r="I857" s="5">
        <f>DischargeCoeff(INDEX('Route Data'!$I$7:$I$8,E857), INDEX('Route Data'!$L$7:$L$8,E857)*2*PI()/60, INDEX('Route Data'!$F$7:$F$8,E857))</f>
        <v>0.15939200179827354</v>
      </c>
      <c r="J857" s="8">
        <f>FlowAngleRel(INDEX('Route Data'!$J$7:$J$8,E857)*INDEX('Route Data'!$I$7:$I$8,E857), INDEX('Route Data'!$L$7:$L$8,E857)*2*PI()/60, INDEX('Route Data'!$F$7:$F$8,E857),INDEX('Route Data'!$O$7:$O$8,E857), INDEX('Route Data'!$P$7:$P$8,E857),INDEX('Route Data'!$M$7:$M$8,E857))</f>
        <v>1.130811765868994</v>
      </c>
      <c r="K857" s="8">
        <f>FlowAngleAbsT(INDEX('Route Data'!$K$7:$K$8,E857), INDEX('Route Data'!$I$7:$I$8,E857), INDEX('Route Data'!$I$7:$I$8,E857)*INDEX('Route Data'!$J$7:$J$8,E857), INDEX('Route Data'!$L$7:$L$8,E857)*2*PI()/60, INDEX('Route Data'!$F$7:$F$8,E857),INDEX('Route Data'!$O$7:$O$8,E857), INDEX('Route Data'!$P$7:$P$8,E857), INDEX('Route Data'!$H$7:$H$8,E857), INDEX('Route Data'!$Q$7:$Q$8,E857), INDEX('Route Data'!$M$7:$M$8,E857))</f>
        <v>0.51617226640175828</v>
      </c>
      <c r="L857" s="5">
        <f>INDEX('Route Data'!$N$7:$N$8,E857)</f>
        <v>0.4</v>
      </c>
      <c r="M857" s="8">
        <v>0.90263420343399048</v>
      </c>
      <c r="N857" s="8">
        <f>ProbStrikeFrancis(K857, I857, L857, INDEX('Route Data'!$G$7:$G$8,E857),C857, INDEX('Route Data'!$F$7:$F$8,E857), INDEX('Route Data'!$O$7:$O$8,E857), INDEX('Route Data'!$H$7:$H$18,E857))</f>
        <v>1</v>
      </c>
      <c r="O857" s="5" t="str">
        <f>IF(F857&gt;=1,IF(M857&lt;=N857,"STRIKE","pass"),IF(M857&lt;=INDEX('Route Data'!$R$7:$R$8,E857),"NO PASS","pass"))</f>
        <v>STRIKE</v>
      </c>
      <c r="P857" s="5">
        <f>IF(F857&gt;=1,IF(M857&lt;=N857,1,0),IF(M857&lt;=INDEX('Route Data'!$R$7:$R$8,E857),-1,0))</f>
        <v>1</v>
      </c>
    </row>
    <row r="858" spans="1:16">
      <c r="A858" s="5">
        <v>848</v>
      </c>
      <c r="B858" s="12">
        <v>24.59</v>
      </c>
      <c r="C858" s="12">
        <f t="shared" si="13"/>
        <v>2.0499999999999998</v>
      </c>
      <c r="D858" s="8">
        <v>0.2232666015625</v>
      </c>
      <c r="E858" s="5">
        <f>MATCH(D858,'Route Data'!$C$7:$C$8,1)</f>
        <v>2</v>
      </c>
      <c r="F858" s="5">
        <f>INDEX('Route Data'!$D$7:$D$8,E858)</f>
        <v>1</v>
      </c>
      <c r="G858" s="5" t="str">
        <f>INDEX('Route Data'!$A$7:$A$8,E858)</f>
        <v>u18</v>
      </c>
      <c r="H858" s="5">
        <f>EnergyCoeff(INDEX('Route Data'!$K$7:$K$8,E858),INDEX('Route Data'!$L$7:$L$8,E858)*2*PI()/60,INDEX('Route Data'!$F$7:$F$8,E858))</f>
        <v>0.19430699130049439</v>
      </c>
      <c r="I858" s="5">
        <f>DischargeCoeff(INDEX('Route Data'!$I$7:$I$8,E858), INDEX('Route Data'!$L$7:$L$8,E858)*2*PI()/60, INDEX('Route Data'!$F$7:$F$8,E858))</f>
        <v>0.15939200179827354</v>
      </c>
      <c r="J858" s="8">
        <f>FlowAngleRel(INDEX('Route Data'!$J$7:$J$8,E858)*INDEX('Route Data'!$I$7:$I$8,E858), INDEX('Route Data'!$L$7:$L$8,E858)*2*PI()/60, INDEX('Route Data'!$F$7:$F$8,E858),INDEX('Route Data'!$O$7:$O$8,E858), INDEX('Route Data'!$P$7:$P$8,E858),INDEX('Route Data'!$M$7:$M$8,E858))</f>
        <v>1.130811765868994</v>
      </c>
      <c r="K858" s="8">
        <f>FlowAngleAbsT(INDEX('Route Data'!$K$7:$K$8,E858), INDEX('Route Data'!$I$7:$I$8,E858), INDEX('Route Data'!$I$7:$I$8,E858)*INDEX('Route Data'!$J$7:$J$8,E858), INDEX('Route Data'!$L$7:$L$8,E858)*2*PI()/60, INDEX('Route Data'!$F$7:$F$8,E858),INDEX('Route Data'!$O$7:$O$8,E858), INDEX('Route Data'!$P$7:$P$8,E858), INDEX('Route Data'!$H$7:$H$8,E858), INDEX('Route Data'!$Q$7:$Q$8,E858), INDEX('Route Data'!$M$7:$M$8,E858))</f>
        <v>0.51617226640175828</v>
      </c>
      <c r="L858" s="5">
        <f>INDEX('Route Data'!$N$7:$N$8,E858)</f>
        <v>0.4</v>
      </c>
      <c r="M858" s="8">
        <v>0.46874475479125977</v>
      </c>
      <c r="N858" s="8">
        <f>ProbStrikeFrancis(K858, I858, L858, INDEX('Route Data'!$G$7:$G$8,E858),C858, INDEX('Route Data'!$F$7:$F$8,E858), INDEX('Route Data'!$O$7:$O$8,E858), INDEX('Route Data'!$H$7:$H$18,E858))</f>
        <v>1</v>
      </c>
      <c r="O858" s="5" t="str">
        <f>IF(F858&gt;=1,IF(M858&lt;=N858,"STRIKE","pass"),IF(M858&lt;=INDEX('Route Data'!$R$7:$R$8,E858),"NO PASS","pass"))</f>
        <v>STRIKE</v>
      </c>
      <c r="P858" s="5">
        <f>IF(F858&gt;=1,IF(M858&lt;=N858,1,0),IF(M858&lt;=INDEX('Route Data'!$R$7:$R$8,E858),-1,0))</f>
        <v>1</v>
      </c>
    </row>
    <row r="859" spans="1:16">
      <c r="A859" s="5">
        <v>849</v>
      </c>
      <c r="B859" s="12">
        <v>18.64</v>
      </c>
      <c r="C859" s="12">
        <f t="shared" si="13"/>
        <v>1.55</v>
      </c>
      <c r="D859" s="8">
        <v>0.9175531268119812</v>
      </c>
      <c r="E859" s="5">
        <f>MATCH(D859,'Route Data'!$C$7:$C$8,1)</f>
        <v>2</v>
      </c>
      <c r="F859" s="5">
        <f>INDEX('Route Data'!$D$7:$D$8,E859)</f>
        <v>1</v>
      </c>
      <c r="G859" s="5" t="str">
        <f>INDEX('Route Data'!$A$7:$A$8,E859)</f>
        <v>u18</v>
      </c>
      <c r="H859" s="5">
        <f>EnergyCoeff(INDEX('Route Data'!$K$7:$K$8,E859),INDEX('Route Data'!$L$7:$L$8,E859)*2*PI()/60,INDEX('Route Data'!$F$7:$F$8,E859))</f>
        <v>0.19430699130049439</v>
      </c>
      <c r="I859" s="5">
        <f>DischargeCoeff(INDEX('Route Data'!$I$7:$I$8,E859), INDEX('Route Data'!$L$7:$L$8,E859)*2*PI()/60, INDEX('Route Data'!$F$7:$F$8,E859))</f>
        <v>0.15939200179827354</v>
      </c>
      <c r="J859" s="8">
        <f>FlowAngleRel(INDEX('Route Data'!$J$7:$J$8,E859)*INDEX('Route Data'!$I$7:$I$8,E859), INDEX('Route Data'!$L$7:$L$8,E859)*2*PI()/60, INDEX('Route Data'!$F$7:$F$8,E859),INDEX('Route Data'!$O$7:$O$8,E859), INDEX('Route Data'!$P$7:$P$8,E859),INDEX('Route Data'!$M$7:$M$8,E859))</f>
        <v>1.130811765868994</v>
      </c>
      <c r="K859" s="8">
        <f>FlowAngleAbsT(INDEX('Route Data'!$K$7:$K$8,E859), INDEX('Route Data'!$I$7:$I$8,E859), INDEX('Route Data'!$I$7:$I$8,E859)*INDEX('Route Data'!$J$7:$J$8,E859), INDEX('Route Data'!$L$7:$L$8,E859)*2*PI()/60, INDEX('Route Data'!$F$7:$F$8,E859),INDEX('Route Data'!$O$7:$O$8,E859), INDEX('Route Data'!$P$7:$P$8,E859), INDEX('Route Data'!$H$7:$H$8,E859), INDEX('Route Data'!$Q$7:$Q$8,E859), INDEX('Route Data'!$M$7:$M$8,E859))</f>
        <v>0.51617226640175828</v>
      </c>
      <c r="L859" s="5">
        <f>INDEX('Route Data'!$N$7:$N$8,E859)</f>
        <v>0.4</v>
      </c>
      <c r="M859" s="8">
        <v>0.7704131007194519</v>
      </c>
      <c r="N859" s="8">
        <f>ProbStrikeFrancis(K859, I859, L859, INDEX('Route Data'!$G$7:$G$8,E859),C859, INDEX('Route Data'!$F$7:$F$8,E859), INDEX('Route Data'!$O$7:$O$8,E859), INDEX('Route Data'!$H$7:$H$18,E859))</f>
        <v>1</v>
      </c>
      <c r="O859" s="5" t="str">
        <f>IF(F859&gt;=1,IF(M859&lt;=N859,"STRIKE","pass"),IF(M859&lt;=INDEX('Route Data'!$R$7:$R$8,E859),"NO PASS","pass"))</f>
        <v>STRIKE</v>
      </c>
      <c r="P859" s="5">
        <f>IF(F859&gt;=1,IF(M859&lt;=N859,1,0),IF(M859&lt;=INDEX('Route Data'!$R$7:$R$8,E859),-1,0))</f>
        <v>1</v>
      </c>
    </row>
    <row r="860" spans="1:16">
      <c r="A860" s="5">
        <v>850</v>
      </c>
      <c r="B860" s="12">
        <v>17.45</v>
      </c>
      <c r="C860" s="12">
        <f t="shared" si="13"/>
        <v>1.45</v>
      </c>
      <c r="D860" s="8">
        <v>0.8346935510635376</v>
      </c>
      <c r="E860" s="5">
        <f>MATCH(D860,'Route Data'!$C$7:$C$8,1)</f>
        <v>2</v>
      </c>
      <c r="F860" s="5">
        <f>INDEX('Route Data'!$D$7:$D$8,E860)</f>
        <v>1</v>
      </c>
      <c r="G860" s="5" t="str">
        <f>INDEX('Route Data'!$A$7:$A$8,E860)</f>
        <v>u18</v>
      </c>
      <c r="H860" s="5">
        <f>EnergyCoeff(INDEX('Route Data'!$K$7:$K$8,E860),INDEX('Route Data'!$L$7:$L$8,E860)*2*PI()/60,INDEX('Route Data'!$F$7:$F$8,E860))</f>
        <v>0.19430699130049439</v>
      </c>
      <c r="I860" s="5">
        <f>DischargeCoeff(INDEX('Route Data'!$I$7:$I$8,E860), INDEX('Route Data'!$L$7:$L$8,E860)*2*PI()/60, INDEX('Route Data'!$F$7:$F$8,E860))</f>
        <v>0.15939200179827354</v>
      </c>
      <c r="J860" s="8">
        <f>FlowAngleRel(INDEX('Route Data'!$J$7:$J$8,E860)*INDEX('Route Data'!$I$7:$I$8,E860), INDEX('Route Data'!$L$7:$L$8,E860)*2*PI()/60, INDEX('Route Data'!$F$7:$F$8,E860),INDEX('Route Data'!$O$7:$O$8,E860), INDEX('Route Data'!$P$7:$P$8,E860),INDEX('Route Data'!$M$7:$M$8,E860))</f>
        <v>1.130811765868994</v>
      </c>
      <c r="K860" s="8">
        <f>FlowAngleAbsT(INDEX('Route Data'!$K$7:$K$8,E860), INDEX('Route Data'!$I$7:$I$8,E860), INDEX('Route Data'!$I$7:$I$8,E860)*INDEX('Route Data'!$J$7:$J$8,E860), INDEX('Route Data'!$L$7:$L$8,E860)*2*PI()/60, INDEX('Route Data'!$F$7:$F$8,E860),INDEX('Route Data'!$O$7:$O$8,E860), INDEX('Route Data'!$P$7:$P$8,E860), INDEX('Route Data'!$H$7:$H$8,E860), INDEX('Route Data'!$Q$7:$Q$8,E860), INDEX('Route Data'!$M$7:$M$8,E860))</f>
        <v>0.51617226640175828</v>
      </c>
      <c r="L860" s="5">
        <f>INDEX('Route Data'!$N$7:$N$8,E860)</f>
        <v>0.4</v>
      </c>
      <c r="M860" s="8">
        <v>0.39656651020050049</v>
      </c>
      <c r="N860" s="8">
        <f>ProbStrikeFrancis(K860, I860, L860, INDEX('Route Data'!$G$7:$G$8,E860),C860, INDEX('Route Data'!$F$7:$F$8,E860), INDEX('Route Data'!$O$7:$O$8,E860), INDEX('Route Data'!$H$7:$H$18,E860))</f>
        <v>1</v>
      </c>
      <c r="O860" s="5" t="str">
        <f>IF(F860&gt;=1,IF(M860&lt;=N860,"STRIKE","pass"),IF(M860&lt;=INDEX('Route Data'!$R$7:$R$8,E860),"NO PASS","pass"))</f>
        <v>STRIKE</v>
      </c>
      <c r="P860" s="5">
        <f>IF(F860&gt;=1,IF(M860&lt;=N860,1,0),IF(M860&lt;=INDEX('Route Data'!$R$7:$R$8,E860),-1,0))</f>
        <v>1</v>
      </c>
    </row>
    <row r="861" spans="1:16">
      <c r="A861" s="5">
        <v>851</v>
      </c>
      <c r="B861" s="12">
        <v>22.35</v>
      </c>
      <c r="C861" s="12">
        <f t="shared" si="13"/>
        <v>1.86</v>
      </c>
      <c r="D861" s="8">
        <v>0.61443072557449341</v>
      </c>
      <c r="E861" s="5">
        <f>MATCH(D861,'Route Data'!$C$7:$C$8,1)</f>
        <v>2</v>
      </c>
      <c r="F861" s="5">
        <f>INDEX('Route Data'!$D$7:$D$8,E861)</f>
        <v>1</v>
      </c>
      <c r="G861" s="5" t="str">
        <f>INDEX('Route Data'!$A$7:$A$8,E861)</f>
        <v>u18</v>
      </c>
      <c r="H861" s="5">
        <f>EnergyCoeff(INDEX('Route Data'!$K$7:$K$8,E861),INDEX('Route Data'!$L$7:$L$8,E861)*2*PI()/60,INDEX('Route Data'!$F$7:$F$8,E861))</f>
        <v>0.19430699130049439</v>
      </c>
      <c r="I861" s="5">
        <f>DischargeCoeff(INDEX('Route Data'!$I$7:$I$8,E861), INDEX('Route Data'!$L$7:$L$8,E861)*2*PI()/60, INDEX('Route Data'!$F$7:$F$8,E861))</f>
        <v>0.15939200179827354</v>
      </c>
      <c r="J861" s="8">
        <f>FlowAngleRel(INDEX('Route Data'!$J$7:$J$8,E861)*INDEX('Route Data'!$I$7:$I$8,E861), INDEX('Route Data'!$L$7:$L$8,E861)*2*PI()/60, INDEX('Route Data'!$F$7:$F$8,E861),INDEX('Route Data'!$O$7:$O$8,E861), INDEX('Route Data'!$P$7:$P$8,E861),INDEX('Route Data'!$M$7:$M$8,E861))</f>
        <v>1.130811765868994</v>
      </c>
      <c r="K861" s="8">
        <f>FlowAngleAbsT(INDEX('Route Data'!$K$7:$K$8,E861), INDEX('Route Data'!$I$7:$I$8,E861), INDEX('Route Data'!$I$7:$I$8,E861)*INDEX('Route Data'!$J$7:$J$8,E861), INDEX('Route Data'!$L$7:$L$8,E861)*2*PI()/60, INDEX('Route Data'!$F$7:$F$8,E861),INDEX('Route Data'!$O$7:$O$8,E861), INDEX('Route Data'!$P$7:$P$8,E861), INDEX('Route Data'!$H$7:$H$8,E861), INDEX('Route Data'!$Q$7:$Q$8,E861), INDEX('Route Data'!$M$7:$M$8,E861))</f>
        <v>0.51617226640175828</v>
      </c>
      <c r="L861" s="5">
        <f>INDEX('Route Data'!$N$7:$N$8,E861)</f>
        <v>0.4</v>
      </c>
      <c r="M861" s="8">
        <v>0.51810628175735474</v>
      </c>
      <c r="N861" s="8">
        <f>ProbStrikeFrancis(K861, I861, L861, INDEX('Route Data'!$G$7:$G$8,E861),C861, INDEX('Route Data'!$F$7:$F$8,E861), INDEX('Route Data'!$O$7:$O$8,E861), INDEX('Route Data'!$H$7:$H$18,E861))</f>
        <v>1</v>
      </c>
      <c r="O861" s="5" t="str">
        <f>IF(F861&gt;=1,IF(M861&lt;=N861,"STRIKE","pass"),IF(M861&lt;=INDEX('Route Data'!$R$7:$R$8,E861),"NO PASS","pass"))</f>
        <v>STRIKE</v>
      </c>
      <c r="P861" s="5">
        <f>IF(F861&gt;=1,IF(M861&lt;=N861,1,0),IF(M861&lt;=INDEX('Route Data'!$R$7:$R$8,E861),-1,0))</f>
        <v>1</v>
      </c>
    </row>
    <row r="862" spans="1:16">
      <c r="A862" s="5">
        <v>852</v>
      </c>
      <c r="B862" s="12">
        <v>26.63</v>
      </c>
      <c r="C862" s="12">
        <f t="shared" si="13"/>
        <v>2.2200000000000002</v>
      </c>
      <c r="D862" s="8">
        <v>9.6399784088134766E-3</v>
      </c>
      <c r="E862" s="5">
        <f>MATCH(D862,'Route Data'!$C$7:$C$8,1)</f>
        <v>2</v>
      </c>
      <c r="F862" s="5">
        <f>INDEX('Route Data'!$D$7:$D$8,E862)</f>
        <v>1</v>
      </c>
      <c r="G862" s="5" t="str">
        <f>INDEX('Route Data'!$A$7:$A$8,E862)</f>
        <v>u18</v>
      </c>
      <c r="H862" s="5">
        <f>EnergyCoeff(INDEX('Route Data'!$K$7:$K$8,E862),INDEX('Route Data'!$L$7:$L$8,E862)*2*PI()/60,INDEX('Route Data'!$F$7:$F$8,E862))</f>
        <v>0.19430699130049439</v>
      </c>
      <c r="I862" s="5">
        <f>DischargeCoeff(INDEX('Route Data'!$I$7:$I$8,E862), INDEX('Route Data'!$L$7:$L$8,E862)*2*PI()/60, INDEX('Route Data'!$F$7:$F$8,E862))</f>
        <v>0.15939200179827354</v>
      </c>
      <c r="J862" s="8">
        <f>FlowAngleRel(INDEX('Route Data'!$J$7:$J$8,E862)*INDEX('Route Data'!$I$7:$I$8,E862), INDEX('Route Data'!$L$7:$L$8,E862)*2*PI()/60, INDEX('Route Data'!$F$7:$F$8,E862),INDEX('Route Data'!$O$7:$O$8,E862), INDEX('Route Data'!$P$7:$P$8,E862),INDEX('Route Data'!$M$7:$M$8,E862))</f>
        <v>1.130811765868994</v>
      </c>
      <c r="K862" s="8">
        <f>FlowAngleAbsT(INDEX('Route Data'!$K$7:$K$8,E862), INDEX('Route Data'!$I$7:$I$8,E862), INDEX('Route Data'!$I$7:$I$8,E862)*INDEX('Route Data'!$J$7:$J$8,E862), INDEX('Route Data'!$L$7:$L$8,E862)*2*PI()/60, INDEX('Route Data'!$F$7:$F$8,E862),INDEX('Route Data'!$O$7:$O$8,E862), INDEX('Route Data'!$P$7:$P$8,E862), INDEX('Route Data'!$H$7:$H$8,E862), INDEX('Route Data'!$Q$7:$Q$8,E862), INDEX('Route Data'!$M$7:$M$8,E862))</f>
        <v>0.51617226640175828</v>
      </c>
      <c r="L862" s="5">
        <f>INDEX('Route Data'!$N$7:$N$8,E862)</f>
        <v>0.4</v>
      </c>
      <c r="M862" s="8">
        <v>0.88790774345397949</v>
      </c>
      <c r="N862" s="8">
        <f>ProbStrikeFrancis(K862, I862, L862, INDEX('Route Data'!$G$7:$G$8,E862),C862, INDEX('Route Data'!$F$7:$F$8,E862), INDEX('Route Data'!$O$7:$O$8,E862), INDEX('Route Data'!$H$7:$H$18,E862))</f>
        <v>1</v>
      </c>
      <c r="O862" s="5" t="str">
        <f>IF(F862&gt;=1,IF(M862&lt;=N862,"STRIKE","pass"),IF(M862&lt;=INDEX('Route Data'!$R$7:$R$8,E862),"NO PASS","pass"))</f>
        <v>STRIKE</v>
      </c>
      <c r="P862" s="5">
        <f>IF(F862&gt;=1,IF(M862&lt;=N862,1,0),IF(M862&lt;=INDEX('Route Data'!$R$7:$R$8,E862),-1,0))</f>
        <v>1</v>
      </c>
    </row>
    <row r="863" spans="1:16">
      <c r="A863" s="5">
        <v>853</v>
      </c>
      <c r="B863" s="12">
        <v>21.5</v>
      </c>
      <c r="C863" s="12">
        <f t="shared" si="13"/>
        <v>1.79</v>
      </c>
      <c r="D863" s="8">
        <v>0.82401221990585327</v>
      </c>
      <c r="E863" s="5">
        <f>MATCH(D863,'Route Data'!$C$7:$C$8,1)</f>
        <v>2</v>
      </c>
      <c r="F863" s="5">
        <f>INDEX('Route Data'!$D$7:$D$8,E863)</f>
        <v>1</v>
      </c>
      <c r="G863" s="5" t="str">
        <f>INDEX('Route Data'!$A$7:$A$8,E863)</f>
        <v>u18</v>
      </c>
      <c r="H863" s="5">
        <f>EnergyCoeff(INDEX('Route Data'!$K$7:$K$8,E863),INDEX('Route Data'!$L$7:$L$8,E863)*2*PI()/60,INDEX('Route Data'!$F$7:$F$8,E863))</f>
        <v>0.19430699130049439</v>
      </c>
      <c r="I863" s="5">
        <f>DischargeCoeff(INDEX('Route Data'!$I$7:$I$8,E863), INDEX('Route Data'!$L$7:$L$8,E863)*2*PI()/60, INDEX('Route Data'!$F$7:$F$8,E863))</f>
        <v>0.15939200179827354</v>
      </c>
      <c r="J863" s="8">
        <f>FlowAngleRel(INDEX('Route Data'!$J$7:$J$8,E863)*INDEX('Route Data'!$I$7:$I$8,E863), INDEX('Route Data'!$L$7:$L$8,E863)*2*PI()/60, INDEX('Route Data'!$F$7:$F$8,E863),INDEX('Route Data'!$O$7:$O$8,E863), INDEX('Route Data'!$P$7:$P$8,E863),INDEX('Route Data'!$M$7:$M$8,E863))</f>
        <v>1.130811765868994</v>
      </c>
      <c r="K863" s="8">
        <f>FlowAngleAbsT(INDEX('Route Data'!$K$7:$K$8,E863), INDEX('Route Data'!$I$7:$I$8,E863), INDEX('Route Data'!$I$7:$I$8,E863)*INDEX('Route Data'!$J$7:$J$8,E863), INDEX('Route Data'!$L$7:$L$8,E863)*2*PI()/60, INDEX('Route Data'!$F$7:$F$8,E863),INDEX('Route Data'!$O$7:$O$8,E863), INDEX('Route Data'!$P$7:$P$8,E863), INDEX('Route Data'!$H$7:$H$8,E863), INDEX('Route Data'!$Q$7:$Q$8,E863), INDEX('Route Data'!$M$7:$M$8,E863))</f>
        <v>0.51617226640175828</v>
      </c>
      <c r="L863" s="5">
        <f>INDEX('Route Data'!$N$7:$N$8,E863)</f>
        <v>0.4</v>
      </c>
      <c r="M863" s="8">
        <v>4.4082581996917725E-2</v>
      </c>
      <c r="N863" s="8">
        <f>ProbStrikeFrancis(K863, I863, L863, INDEX('Route Data'!$G$7:$G$8,E863),C863, INDEX('Route Data'!$F$7:$F$8,E863), INDEX('Route Data'!$O$7:$O$8,E863), INDEX('Route Data'!$H$7:$H$18,E863))</f>
        <v>1</v>
      </c>
      <c r="O863" s="5" t="str">
        <f>IF(F863&gt;=1,IF(M863&lt;=N863,"STRIKE","pass"),IF(M863&lt;=INDEX('Route Data'!$R$7:$R$8,E863),"NO PASS","pass"))</f>
        <v>STRIKE</v>
      </c>
      <c r="P863" s="5">
        <f>IF(F863&gt;=1,IF(M863&lt;=N863,1,0),IF(M863&lt;=INDEX('Route Data'!$R$7:$R$8,E863),-1,0))</f>
        <v>1</v>
      </c>
    </row>
    <row r="864" spans="1:16">
      <c r="A864" s="5">
        <v>854</v>
      </c>
      <c r="B864" s="12">
        <v>22.4</v>
      </c>
      <c r="C864" s="12">
        <f t="shared" si="13"/>
        <v>1.87</v>
      </c>
      <c r="D864" s="8">
        <v>0.64647471904754639</v>
      </c>
      <c r="E864" s="5">
        <f>MATCH(D864,'Route Data'!$C$7:$C$8,1)</f>
        <v>2</v>
      </c>
      <c r="F864" s="5">
        <f>INDEX('Route Data'!$D$7:$D$8,E864)</f>
        <v>1</v>
      </c>
      <c r="G864" s="5" t="str">
        <f>INDEX('Route Data'!$A$7:$A$8,E864)</f>
        <v>u18</v>
      </c>
      <c r="H864" s="5">
        <f>EnergyCoeff(INDEX('Route Data'!$K$7:$K$8,E864),INDEX('Route Data'!$L$7:$L$8,E864)*2*PI()/60,INDEX('Route Data'!$F$7:$F$8,E864))</f>
        <v>0.19430699130049439</v>
      </c>
      <c r="I864" s="5">
        <f>DischargeCoeff(INDEX('Route Data'!$I$7:$I$8,E864), INDEX('Route Data'!$L$7:$L$8,E864)*2*PI()/60, INDEX('Route Data'!$F$7:$F$8,E864))</f>
        <v>0.15939200179827354</v>
      </c>
      <c r="J864" s="8">
        <f>FlowAngleRel(INDEX('Route Data'!$J$7:$J$8,E864)*INDEX('Route Data'!$I$7:$I$8,E864), INDEX('Route Data'!$L$7:$L$8,E864)*2*PI()/60, INDEX('Route Data'!$F$7:$F$8,E864),INDEX('Route Data'!$O$7:$O$8,E864), INDEX('Route Data'!$P$7:$P$8,E864),INDEX('Route Data'!$M$7:$M$8,E864))</f>
        <v>1.130811765868994</v>
      </c>
      <c r="K864" s="8">
        <f>FlowAngleAbsT(INDEX('Route Data'!$K$7:$K$8,E864), INDEX('Route Data'!$I$7:$I$8,E864), INDEX('Route Data'!$I$7:$I$8,E864)*INDEX('Route Data'!$J$7:$J$8,E864), INDEX('Route Data'!$L$7:$L$8,E864)*2*PI()/60, INDEX('Route Data'!$F$7:$F$8,E864),INDEX('Route Data'!$O$7:$O$8,E864), INDEX('Route Data'!$P$7:$P$8,E864), INDEX('Route Data'!$H$7:$H$8,E864), INDEX('Route Data'!$Q$7:$Q$8,E864), INDEX('Route Data'!$M$7:$M$8,E864))</f>
        <v>0.51617226640175828</v>
      </c>
      <c r="L864" s="5">
        <f>INDEX('Route Data'!$N$7:$N$8,E864)</f>
        <v>0.4</v>
      </c>
      <c r="M864" s="8">
        <v>0.84113729000091553</v>
      </c>
      <c r="N864" s="8">
        <f>ProbStrikeFrancis(K864, I864, L864, INDEX('Route Data'!$G$7:$G$8,E864),C864, INDEX('Route Data'!$F$7:$F$8,E864), INDEX('Route Data'!$O$7:$O$8,E864), INDEX('Route Data'!$H$7:$H$18,E864))</f>
        <v>1</v>
      </c>
      <c r="O864" s="5" t="str">
        <f>IF(F864&gt;=1,IF(M864&lt;=N864,"STRIKE","pass"),IF(M864&lt;=INDEX('Route Data'!$R$7:$R$8,E864),"NO PASS","pass"))</f>
        <v>STRIKE</v>
      </c>
      <c r="P864" s="5">
        <f>IF(F864&gt;=1,IF(M864&lt;=N864,1,0),IF(M864&lt;=INDEX('Route Data'!$R$7:$R$8,E864),-1,0))</f>
        <v>1</v>
      </c>
    </row>
    <row r="865" spans="1:16">
      <c r="A865" s="5">
        <v>855</v>
      </c>
      <c r="B865" s="12">
        <v>21.81</v>
      </c>
      <c r="C865" s="12">
        <f t="shared" si="13"/>
        <v>1.82</v>
      </c>
      <c r="D865" s="8">
        <v>0.91350799798965454</v>
      </c>
      <c r="E865" s="5">
        <f>MATCH(D865,'Route Data'!$C$7:$C$8,1)</f>
        <v>2</v>
      </c>
      <c r="F865" s="5">
        <f>INDEX('Route Data'!$D$7:$D$8,E865)</f>
        <v>1</v>
      </c>
      <c r="G865" s="5" t="str">
        <f>INDEX('Route Data'!$A$7:$A$8,E865)</f>
        <v>u18</v>
      </c>
      <c r="H865" s="5">
        <f>EnergyCoeff(INDEX('Route Data'!$K$7:$K$8,E865),INDEX('Route Data'!$L$7:$L$8,E865)*2*PI()/60,INDEX('Route Data'!$F$7:$F$8,E865))</f>
        <v>0.19430699130049439</v>
      </c>
      <c r="I865" s="5">
        <f>DischargeCoeff(INDEX('Route Data'!$I$7:$I$8,E865), INDEX('Route Data'!$L$7:$L$8,E865)*2*PI()/60, INDEX('Route Data'!$F$7:$F$8,E865))</f>
        <v>0.15939200179827354</v>
      </c>
      <c r="J865" s="8">
        <f>FlowAngleRel(INDEX('Route Data'!$J$7:$J$8,E865)*INDEX('Route Data'!$I$7:$I$8,E865), INDEX('Route Data'!$L$7:$L$8,E865)*2*PI()/60, INDEX('Route Data'!$F$7:$F$8,E865),INDEX('Route Data'!$O$7:$O$8,E865), INDEX('Route Data'!$P$7:$P$8,E865),INDEX('Route Data'!$M$7:$M$8,E865))</f>
        <v>1.130811765868994</v>
      </c>
      <c r="K865" s="8">
        <f>FlowAngleAbsT(INDEX('Route Data'!$K$7:$K$8,E865), INDEX('Route Data'!$I$7:$I$8,E865), INDEX('Route Data'!$I$7:$I$8,E865)*INDEX('Route Data'!$J$7:$J$8,E865), INDEX('Route Data'!$L$7:$L$8,E865)*2*PI()/60, INDEX('Route Data'!$F$7:$F$8,E865),INDEX('Route Data'!$O$7:$O$8,E865), INDEX('Route Data'!$P$7:$P$8,E865), INDEX('Route Data'!$H$7:$H$8,E865), INDEX('Route Data'!$Q$7:$Q$8,E865), INDEX('Route Data'!$M$7:$M$8,E865))</f>
        <v>0.51617226640175828</v>
      </c>
      <c r="L865" s="5">
        <f>INDEX('Route Data'!$N$7:$N$8,E865)</f>
        <v>0.4</v>
      </c>
      <c r="M865" s="8">
        <v>0.44997316598892212</v>
      </c>
      <c r="N865" s="8">
        <f>ProbStrikeFrancis(K865, I865, L865, INDEX('Route Data'!$G$7:$G$8,E865),C865, INDEX('Route Data'!$F$7:$F$8,E865), INDEX('Route Data'!$O$7:$O$8,E865), INDEX('Route Data'!$H$7:$H$18,E865))</f>
        <v>1</v>
      </c>
      <c r="O865" s="5" t="str">
        <f>IF(F865&gt;=1,IF(M865&lt;=N865,"STRIKE","pass"),IF(M865&lt;=INDEX('Route Data'!$R$7:$R$8,E865),"NO PASS","pass"))</f>
        <v>STRIKE</v>
      </c>
      <c r="P865" s="5">
        <f>IF(F865&gt;=1,IF(M865&lt;=N865,1,0),IF(M865&lt;=INDEX('Route Data'!$R$7:$R$8,E865),-1,0))</f>
        <v>1</v>
      </c>
    </row>
    <row r="866" spans="1:16">
      <c r="A866" s="5">
        <v>856</v>
      </c>
      <c r="B866" s="12">
        <v>23.59</v>
      </c>
      <c r="C866" s="12">
        <f t="shared" si="13"/>
        <v>1.97</v>
      </c>
      <c r="D866" s="8">
        <v>0.11240816116333008</v>
      </c>
      <c r="E866" s="5">
        <f>MATCH(D866,'Route Data'!$C$7:$C$8,1)</f>
        <v>2</v>
      </c>
      <c r="F866" s="5">
        <f>INDEX('Route Data'!$D$7:$D$8,E866)</f>
        <v>1</v>
      </c>
      <c r="G866" s="5" t="str">
        <f>INDEX('Route Data'!$A$7:$A$8,E866)</f>
        <v>u18</v>
      </c>
      <c r="H866" s="5">
        <f>EnergyCoeff(INDEX('Route Data'!$K$7:$K$8,E866),INDEX('Route Data'!$L$7:$L$8,E866)*2*PI()/60,INDEX('Route Data'!$F$7:$F$8,E866))</f>
        <v>0.19430699130049439</v>
      </c>
      <c r="I866" s="5">
        <f>DischargeCoeff(INDEX('Route Data'!$I$7:$I$8,E866), INDEX('Route Data'!$L$7:$L$8,E866)*2*PI()/60, INDEX('Route Data'!$F$7:$F$8,E866))</f>
        <v>0.15939200179827354</v>
      </c>
      <c r="J866" s="8">
        <f>FlowAngleRel(INDEX('Route Data'!$J$7:$J$8,E866)*INDEX('Route Data'!$I$7:$I$8,E866), INDEX('Route Data'!$L$7:$L$8,E866)*2*PI()/60, INDEX('Route Data'!$F$7:$F$8,E866),INDEX('Route Data'!$O$7:$O$8,E866), INDEX('Route Data'!$P$7:$P$8,E866),INDEX('Route Data'!$M$7:$M$8,E866))</f>
        <v>1.130811765868994</v>
      </c>
      <c r="K866" s="8">
        <f>FlowAngleAbsT(INDEX('Route Data'!$K$7:$K$8,E866), INDEX('Route Data'!$I$7:$I$8,E866), INDEX('Route Data'!$I$7:$I$8,E866)*INDEX('Route Data'!$J$7:$J$8,E866), INDEX('Route Data'!$L$7:$L$8,E866)*2*PI()/60, INDEX('Route Data'!$F$7:$F$8,E866),INDEX('Route Data'!$O$7:$O$8,E866), INDEX('Route Data'!$P$7:$P$8,E866), INDEX('Route Data'!$H$7:$H$8,E866), INDEX('Route Data'!$Q$7:$Q$8,E866), INDEX('Route Data'!$M$7:$M$8,E866))</f>
        <v>0.51617226640175828</v>
      </c>
      <c r="L866" s="5">
        <f>INDEX('Route Data'!$N$7:$N$8,E866)</f>
        <v>0.4</v>
      </c>
      <c r="M866" s="8">
        <v>0.35788631439208984</v>
      </c>
      <c r="N866" s="8">
        <f>ProbStrikeFrancis(K866, I866, L866, INDEX('Route Data'!$G$7:$G$8,E866),C866, INDEX('Route Data'!$F$7:$F$8,E866), INDEX('Route Data'!$O$7:$O$8,E866), INDEX('Route Data'!$H$7:$H$18,E866))</f>
        <v>1</v>
      </c>
      <c r="O866" s="5" t="str">
        <f>IF(F866&gt;=1,IF(M866&lt;=N866,"STRIKE","pass"),IF(M866&lt;=INDEX('Route Data'!$R$7:$R$8,E866),"NO PASS","pass"))</f>
        <v>STRIKE</v>
      </c>
      <c r="P866" s="5">
        <f>IF(F866&gt;=1,IF(M866&lt;=N866,1,0),IF(M866&lt;=INDEX('Route Data'!$R$7:$R$8,E866),-1,0))</f>
        <v>1</v>
      </c>
    </row>
    <row r="867" spans="1:16">
      <c r="A867" s="5">
        <v>857</v>
      </c>
      <c r="B867" s="12">
        <v>24.12</v>
      </c>
      <c r="C867" s="12">
        <f t="shared" si="13"/>
        <v>2.0099999999999998</v>
      </c>
      <c r="D867" s="8">
        <v>0.78128689527511597</v>
      </c>
      <c r="E867" s="5">
        <f>MATCH(D867,'Route Data'!$C$7:$C$8,1)</f>
        <v>2</v>
      </c>
      <c r="F867" s="5">
        <f>INDEX('Route Data'!$D$7:$D$8,E867)</f>
        <v>1</v>
      </c>
      <c r="G867" s="5" t="str">
        <f>INDEX('Route Data'!$A$7:$A$8,E867)</f>
        <v>u18</v>
      </c>
      <c r="H867" s="5">
        <f>EnergyCoeff(INDEX('Route Data'!$K$7:$K$8,E867),INDEX('Route Data'!$L$7:$L$8,E867)*2*PI()/60,INDEX('Route Data'!$F$7:$F$8,E867))</f>
        <v>0.19430699130049439</v>
      </c>
      <c r="I867" s="5">
        <f>DischargeCoeff(INDEX('Route Data'!$I$7:$I$8,E867), INDEX('Route Data'!$L$7:$L$8,E867)*2*PI()/60, INDEX('Route Data'!$F$7:$F$8,E867))</f>
        <v>0.15939200179827354</v>
      </c>
      <c r="J867" s="8">
        <f>FlowAngleRel(INDEX('Route Data'!$J$7:$J$8,E867)*INDEX('Route Data'!$I$7:$I$8,E867), INDEX('Route Data'!$L$7:$L$8,E867)*2*PI()/60, INDEX('Route Data'!$F$7:$F$8,E867),INDEX('Route Data'!$O$7:$O$8,E867), INDEX('Route Data'!$P$7:$P$8,E867),INDEX('Route Data'!$M$7:$M$8,E867))</f>
        <v>1.130811765868994</v>
      </c>
      <c r="K867" s="8">
        <f>FlowAngleAbsT(INDEX('Route Data'!$K$7:$K$8,E867), INDEX('Route Data'!$I$7:$I$8,E867), INDEX('Route Data'!$I$7:$I$8,E867)*INDEX('Route Data'!$J$7:$J$8,E867), INDEX('Route Data'!$L$7:$L$8,E867)*2*PI()/60, INDEX('Route Data'!$F$7:$F$8,E867),INDEX('Route Data'!$O$7:$O$8,E867), INDEX('Route Data'!$P$7:$P$8,E867), INDEX('Route Data'!$H$7:$H$8,E867), INDEX('Route Data'!$Q$7:$Q$8,E867), INDEX('Route Data'!$M$7:$M$8,E867))</f>
        <v>0.51617226640175828</v>
      </c>
      <c r="L867" s="5">
        <f>INDEX('Route Data'!$N$7:$N$8,E867)</f>
        <v>0.4</v>
      </c>
      <c r="M867" s="8">
        <v>0.36856764554977417</v>
      </c>
      <c r="N867" s="8">
        <f>ProbStrikeFrancis(K867, I867, L867, INDEX('Route Data'!$G$7:$G$8,E867),C867, INDEX('Route Data'!$F$7:$F$8,E867), INDEX('Route Data'!$O$7:$O$8,E867), INDEX('Route Data'!$H$7:$H$18,E867))</f>
        <v>1</v>
      </c>
      <c r="O867" s="5" t="str">
        <f>IF(F867&gt;=1,IF(M867&lt;=N867,"STRIKE","pass"),IF(M867&lt;=INDEX('Route Data'!$R$7:$R$8,E867),"NO PASS","pass"))</f>
        <v>STRIKE</v>
      </c>
      <c r="P867" s="5">
        <f>IF(F867&gt;=1,IF(M867&lt;=N867,1,0),IF(M867&lt;=INDEX('Route Data'!$R$7:$R$8,E867),-1,0))</f>
        <v>1</v>
      </c>
    </row>
    <row r="868" spans="1:16">
      <c r="A868" s="5">
        <v>858</v>
      </c>
      <c r="B868" s="12">
        <v>30.43</v>
      </c>
      <c r="C868" s="12">
        <f t="shared" si="13"/>
        <v>2.54</v>
      </c>
      <c r="D868" s="8">
        <v>0.7746506929397583</v>
      </c>
      <c r="E868" s="5">
        <f>MATCH(D868,'Route Data'!$C$7:$C$8,1)</f>
        <v>2</v>
      </c>
      <c r="F868" s="5">
        <f>INDEX('Route Data'!$D$7:$D$8,E868)</f>
        <v>1</v>
      </c>
      <c r="G868" s="5" t="str">
        <f>INDEX('Route Data'!$A$7:$A$8,E868)</f>
        <v>u18</v>
      </c>
      <c r="H868" s="5">
        <f>EnergyCoeff(INDEX('Route Data'!$K$7:$K$8,E868),INDEX('Route Data'!$L$7:$L$8,E868)*2*PI()/60,INDEX('Route Data'!$F$7:$F$8,E868))</f>
        <v>0.19430699130049439</v>
      </c>
      <c r="I868" s="5">
        <f>DischargeCoeff(INDEX('Route Data'!$I$7:$I$8,E868), INDEX('Route Data'!$L$7:$L$8,E868)*2*PI()/60, INDEX('Route Data'!$F$7:$F$8,E868))</f>
        <v>0.15939200179827354</v>
      </c>
      <c r="J868" s="8">
        <f>FlowAngleRel(INDEX('Route Data'!$J$7:$J$8,E868)*INDEX('Route Data'!$I$7:$I$8,E868), INDEX('Route Data'!$L$7:$L$8,E868)*2*PI()/60, INDEX('Route Data'!$F$7:$F$8,E868),INDEX('Route Data'!$O$7:$O$8,E868), INDEX('Route Data'!$P$7:$P$8,E868),INDEX('Route Data'!$M$7:$M$8,E868))</f>
        <v>1.130811765868994</v>
      </c>
      <c r="K868" s="8">
        <f>FlowAngleAbsT(INDEX('Route Data'!$K$7:$K$8,E868), INDEX('Route Data'!$I$7:$I$8,E868), INDEX('Route Data'!$I$7:$I$8,E868)*INDEX('Route Data'!$J$7:$J$8,E868), INDEX('Route Data'!$L$7:$L$8,E868)*2*PI()/60, INDEX('Route Data'!$F$7:$F$8,E868),INDEX('Route Data'!$O$7:$O$8,E868), INDEX('Route Data'!$P$7:$P$8,E868), INDEX('Route Data'!$H$7:$H$8,E868), INDEX('Route Data'!$Q$7:$Q$8,E868), INDEX('Route Data'!$M$7:$M$8,E868))</f>
        <v>0.51617226640175828</v>
      </c>
      <c r="L868" s="5">
        <f>INDEX('Route Data'!$N$7:$N$8,E868)</f>
        <v>0.4</v>
      </c>
      <c r="M868" s="8">
        <v>0.33652365207672119</v>
      </c>
      <c r="N868" s="8">
        <f>ProbStrikeFrancis(K868, I868, L868, INDEX('Route Data'!$G$7:$G$8,E868),C868, INDEX('Route Data'!$F$7:$F$8,E868), INDEX('Route Data'!$O$7:$O$8,E868), INDEX('Route Data'!$H$7:$H$18,E868))</f>
        <v>1</v>
      </c>
      <c r="O868" s="5" t="str">
        <f>IF(F868&gt;=1,IF(M868&lt;=N868,"STRIKE","pass"),IF(M868&lt;=INDEX('Route Data'!$R$7:$R$8,E868),"NO PASS","pass"))</f>
        <v>STRIKE</v>
      </c>
      <c r="P868" s="5">
        <f>IF(F868&gt;=1,IF(M868&lt;=N868,1,0),IF(M868&lt;=INDEX('Route Data'!$R$7:$R$8,E868),-1,0))</f>
        <v>1</v>
      </c>
    </row>
    <row r="869" spans="1:16">
      <c r="A869" s="5">
        <v>859</v>
      </c>
      <c r="B869" s="12">
        <v>21.68</v>
      </c>
      <c r="C869" s="12">
        <f t="shared" si="13"/>
        <v>1.81</v>
      </c>
      <c r="D869" s="8">
        <v>0.5289800763130188</v>
      </c>
      <c r="E869" s="5">
        <f>MATCH(D869,'Route Data'!$C$7:$C$8,1)</f>
        <v>2</v>
      </c>
      <c r="F869" s="5">
        <f>INDEX('Route Data'!$D$7:$D$8,E869)</f>
        <v>1</v>
      </c>
      <c r="G869" s="5" t="str">
        <f>INDEX('Route Data'!$A$7:$A$8,E869)</f>
        <v>u18</v>
      </c>
      <c r="H869" s="5">
        <f>EnergyCoeff(INDEX('Route Data'!$K$7:$K$8,E869),INDEX('Route Data'!$L$7:$L$8,E869)*2*PI()/60,INDEX('Route Data'!$F$7:$F$8,E869))</f>
        <v>0.19430699130049439</v>
      </c>
      <c r="I869" s="5">
        <f>DischargeCoeff(INDEX('Route Data'!$I$7:$I$8,E869), INDEX('Route Data'!$L$7:$L$8,E869)*2*PI()/60, INDEX('Route Data'!$F$7:$F$8,E869))</f>
        <v>0.15939200179827354</v>
      </c>
      <c r="J869" s="8">
        <f>FlowAngleRel(INDEX('Route Data'!$J$7:$J$8,E869)*INDEX('Route Data'!$I$7:$I$8,E869), INDEX('Route Data'!$L$7:$L$8,E869)*2*PI()/60, INDEX('Route Data'!$F$7:$F$8,E869),INDEX('Route Data'!$O$7:$O$8,E869), INDEX('Route Data'!$P$7:$P$8,E869),INDEX('Route Data'!$M$7:$M$8,E869))</f>
        <v>1.130811765868994</v>
      </c>
      <c r="K869" s="8">
        <f>FlowAngleAbsT(INDEX('Route Data'!$K$7:$K$8,E869), INDEX('Route Data'!$I$7:$I$8,E869), INDEX('Route Data'!$I$7:$I$8,E869)*INDEX('Route Data'!$J$7:$J$8,E869), INDEX('Route Data'!$L$7:$L$8,E869)*2*PI()/60, INDEX('Route Data'!$F$7:$F$8,E869),INDEX('Route Data'!$O$7:$O$8,E869), INDEX('Route Data'!$P$7:$P$8,E869), INDEX('Route Data'!$H$7:$H$8,E869), INDEX('Route Data'!$Q$7:$Q$8,E869), INDEX('Route Data'!$M$7:$M$8,E869))</f>
        <v>0.51617226640175828</v>
      </c>
      <c r="L869" s="5">
        <f>INDEX('Route Data'!$N$7:$N$8,E869)</f>
        <v>0.4</v>
      </c>
      <c r="M869" s="8">
        <v>0.43265563249588013</v>
      </c>
      <c r="N869" s="8">
        <f>ProbStrikeFrancis(K869, I869, L869, INDEX('Route Data'!$G$7:$G$8,E869),C869, INDEX('Route Data'!$F$7:$F$8,E869), INDEX('Route Data'!$O$7:$O$8,E869), INDEX('Route Data'!$H$7:$H$18,E869))</f>
        <v>1</v>
      </c>
      <c r="O869" s="5" t="str">
        <f>IF(F869&gt;=1,IF(M869&lt;=N869,"STRIKE","pass"),IF(M869&lt;=INDEX('Route Data'!$R$7:$R$8,E869),"NO PASS","pass"))</f>
        <v>STRIKE</v>
      </c>
      <c r="P869" s="5">
        <f>IF(F869&gt;=1,IF(M869&lt;=N869,1,0),IF(M869&lt;=INDEX('Route Data'!$R$7:$R$8,E869),-1,0))</f>
        <v>1</v>
      </c>
    </row>
    <row r="870" spans="1:16">
      <c r="A870" s="5">
        <v>860</v>
      </c>
      <c r="B870" s="12">
        <v>21.9</v>
      </c>
      <c r="C870" s="12">
        <f t="shared" si="13"/>
        <v>1.83</v>
      </c>
      <c r="D870" s="8">
        <v>0.2659919261932373</v>
      </c>
      <c r="E870" s="5">
        <f>MATCH(D870,'Route Data'!$C$7:$C$8,1)</f>
        <v>2</v>
      </c>
      <c r="F870" s="5">
        <f>INDEX('Route Data'!$D$7:$D$8,E870)</f>
        <v>1</v>
      </c>
      <c r="G870" s="5" t="str">
        <f>INDEX('Route Data'!$A$7:$A$8,E870)</f>
        <v>u18</v>
      </c>
      <c r="H870" s="5">
        <f>EnergyCoeff(INDEX('Route Data'!$K$7:$K$8,E870),INDEX('Route Data'!$L$7:$L$8,E870)*2*PI()/60,INDEX('Route Data'!$F$7:$F$8,E870))</f>
        <v>0.19430699130049439</v>
      </c>
      <c r="I870" s="5">
        <f>DischargeCoeff(INDEX('Route Data'!$I$7:$I$8,E870), INDEX('Route Data'!$L$7:$L$8,E870)*2*PI()/60, INDEX('Route Data'!$F$7:$F$8,E870))</f>
        <v>0.15939200179827354</v>
      </c>
      <c r="J870" s="8">
        <f>FlowAngleRel(INDEX('Route Data'!$J$7:$J$8,E870)*INDEX('Route Data'!$I$7:$I$8,E870), INDEX('Route Data'!$L$7:$L$8,E870)*2*PI()/60, INDEX('Route Data'!$F$7:$F$8,E870),INDEX('Route Data'!$O$7:$O$8,E870), INDEX('Route Data'!$P$7:$P$8,E870),INDEX('Route Data'!$M$7:$M$8,E870))</f>
        <v>1.130811765868994</v>
      </c>
      <c r="K870" s="8">
        <f>FlowAngleAbsT(INDEX('Route Data'!$K$7:$K$8,E870), INDEX('Route Data'!$I$7:$I$8,E870), INDEX('Route Data'!$I$7:$I$8,E870)*INDEX('Route Data'!$J$7:$J$8,E870), INDEX('Route Data'!$L$7:$L$8,E870)*2*PI()/60, INDEX('Route Data'!$F$7:$F$8,E870),INDEX('Route Data'!$O$7:$O$8,E870), INDEX('Route Data'!$P$7:$P$8,E870), INDEX('Route Data'!$H$7:$H$8,E870), INDEX('Route Data'!$Q$7:$Q$8,E870), INDEX('Route Data'!$M$7:$M$8,E870))</f>
        <v>0.51617226640175828</v>
      </c>
      <c r="L870" s="5">
        <f>INDEX('Route Data'!$N$7:$N$8,E870)</f>
        <v>0.4</v>
      </c>
      <c r="M870" s="8">
        <v>0.14425969123840332</v>
      </c>
      <c r="N870" s="8">
        <f>ProbStrikeFrancis(K870, I870, L870, INDEX('Route Data'!$G$7:$G$8,E870),C870, INDEX('Route Data'!$F$7:$F$8,E870), INDEX('Route Data'!$O$7:$O$8,E870), INDEX('Route Data'!$H$7:$H$18,E870))</f>
        <v>1</v>
      </c>
      <c r="O870" s="5" t="str">
        <f>IF(F870&gt;=1,IF(M870&lt;=N870,"STRIKE","pass"),IF(M870&lt;=INDEX('Route Data'!$R$7:$R$8,E870),"NO PASS","pass"))</f>
        <v>STRIKE</v>
      </c>
      <c r="P870" s="5">
        <f>IF(F870&gt;=1,IF(M870&lt;=N870,1,0),IF(M870&lt;=INDEX('Route Data'!$R$7:$R$8,E870),-1,0))</f>
        <v>1</v>
      </c>
    </row>
    <row r="871" spans="1:16">
      <c r="A871" s="5">
        <v>861</v>
      </c>
      <c r="B871" s="12">
        <v>23.32</v>
      </c>
      <c r="C871" s="12">
        <f t="shared" si="13"/>
        <v>1.94</v>
      </c>
      <c r="D871" s="8">
        <v>0.78937715291976929</v>
      </c>
      <c r="E871" s="5">
        <f>MATCH(D871,'Route Data'!$C$7:$C$8,1)</f>
        <v>2</v>
      </c>
      <c r="F871" s="5">
        <f>INDEX('Route Data'!$D$7:$D$8,E871)</f>
        <v>1</v>
      </c>
      <c r="G871" s="5" t="str">
        <f>INDEX('Route Data'!$A$7:$A$8,E871)</f>
        <v>u18</v>
      </c>
      <c r="H871" s="5">
        <f>EnergyCoeff(INDEX('Route Data'!$K$7:$K$8,E871),INDEX('Route Data'!$L$7:$L$8,E871)*2*PI()/60,INDEX('Route Data'!$F$7:$F$8,E871))</f>
        <v>0.19430699130049439</v>
      </c>
      <c r="I871" s="5">
        <f>DischargeCoeff(INDEX('Route Data'!$I$7:$I$8,E871), INDEX('Route Data'!$L$7:$L$8,E871)*2*PI()/60, INDEX('Route Data'!$F$7:$F$8,E871))</f>
        <v>0.15939200179827354</v>
      </c>
      <c r="J871" s="8">
        <f>FlowAngleRel(INDEX('Route Data'!$J$7:$J$8,E871)*INDEX('Route Data'!$I$7:$I$8,E871), INDEX('Route Data'!$L$7:$L$8,E871)*2*PI()/60, INDEX('Route Data'!$F$7:$F$8,E871),INDEX('Route Data'!$O$7:$O$8,E871), INDEX('Route Data'!$P$7:$P$8,E871),INDEX('Route Data'!$M$7:$M$8,E871))</f>
        <v>1.130811765868994</v>
      </c>
      <c r="K871" s="8">
        <f>FlowAngleAbsT(INDEX('Route Data'!$K$7:$K$8,E871), INDEX('Route Data'!$I$7:$I$8,E871), INDEX('Route Data'!$I$7:$I$8,E871)*INDEX('Route Data'!$J$7:$J$8,E871), INDEX('Route Data'!$L$7:$L$8,E871)*2*PI()/60, INDEX('Route Data'!$F$7:$F$8,E871),INDEX('Route Data'!$O$7:$O$8,E871), INDEX('Route Data'!$P$7:$P$8,E871), INDEX('Route Data'!$H$7:$H$8,E871), INDEX('Route Data'!$Q$7:$Q$8,E871), INDEX('Route Data'!$M$7:$M$8,E871))</f>
        <v>0.51617226640175828</v>
      </c>
      <c r="L871" s="5">
        <f>INDEX('Route Data'!$N$7:$N$8,E871)</f>
        <v>0.4</v>
      </c>
      <c r="M871" s="8">
        <v>9.4475150108337402E-3</v>
      </c>
      <c r="N871" s="8">
        <f>ProbStrikeFrancis(K871, I871, L871, INDEX('Route Data'!$G$7:$G$8,E871),C871, INDEX('Route Data'!$F$7:$F$8,E871), INDEX('Route Data'!$O$7:$O$8,E871), INDEX('Route Data'!$H$7:$H$18,E871))</f>
        <v>1</v>
      </c>
      <c r="O871" s="5" t="str">
        <f>IF(F871&gt;=1,IF(M871&lt;=N871,"STRIKE","pass"),IF(M871&lt;=INDEX('Route Data'!$R$7:$R$8,E871),"NO PASS","pass"))</f>
        <v>STRIKE</v>
      </c>
      <c r="P871" s="5">
        <f>IF(F871&gt;=1,IF(M871&lt;=N871,1,0),IF(M871&lt;=INDEX('Route Data'!$R$7:$R$8,E871),-1,0))</f>
        <v>1</v>
      </c>
    </row>
    <row r="872" spans="1:16">
      <c r="A872" s="5">
        <v>862</v>
      </c>
      <c r="B872" s="12">
        <v>25.09</v>
      </c>
      <c r="C872" s="12">
        <f t="shared" si="13"/>
        <v>2.09</v>
      </c>
      <c r="D872" s="8">
        <v>0.21922147274017334</v>
      </c>
      <c r="E872" s="5">
        <f>MATCH(D872,'Route Data'!$C$7:$C$8,1)</f>
        <v>2</v>
      </c>
      <c r="F872" s="5">
        <f>INDEX('Route Data'!$D$7:$D$8,E872)</f>
        <v>1</v>
      </c>
      <c r="G872" s="5" t="str">
        <f>INDEX('Route Data'!$A$7:$A$8,E872)</f>
        <v>u18</v>
      </c>
      <c r="H872" s="5">
        <f>EnergyCoeff(INDEX('Route Data'!$K$7:$K$8,E872),INDEX('Route Data'!$L$7:$L$8,E872)*2*PI()/60,INDEX('Route Data'!$F$7:$F$8,E872))</f>
        <v>0.19430699130049439</v>
      </c>
      <c r="I872" s="5">
        <f>DischargeCoeff(INDEX('Route Data'!$I$7:$I$8,E872), INDEX('Route Data'!$L$7:$L$8,E872)*2*PI()/60, INDEX('Route Data'!$F$7:$F$8,E872))</f>
        <v>0.15939200179827354</v>
      </c>
      <c r="J872" s="8">
        <f>FlowAngleRel(INDEX('Route Data'!$J$7:$J$8,E872)*INDEX('Route Data'!$I$7:$I$8,E872), INDEX('Route Data'!$L$7:$L$8,E872)*2*PI()/60, INDEX('Route Data'!$F$7:$F$8,E872),INDEX('Route Data'!$O$7:$O$8,E872), INDEX('Route Data'!$P$7:$P$8,E872),INDEX('Route Data'!$M$7:$M$8,E872))</f>
        <v>1.130811765868994</v>
      </c>
      <c r="K872" s="8">
        <f>FlowAngleAbsT(INDEX('Route Data'!$K$7:$K$8,E872), INDEX('Route Data'!$I$7:$I$8,E872), INDEX('Route Data'!$I$7:$I$8,E872)*INDEX('Route Data'!$J$7:$J$8,E872), INDEX('Route Data'!$L$7:$L$8,E872)*2*PI()/60, INDEX('Route Data'!$F$7:$F$8,E872),INDEX('Route Data'!$O$7:$O$8,E872), INDEX('Route Data'!$P$7:$P$8,E872), INDEX('Route Data'!$H$7:$H$8,E872), INDEX('Route Data'!$Q$7:$Q$8,E872), INDEX('Route Data'!$M$7:$M$8,E872))</f>
        <v>0.51617226640175828</v>
      </c>
      <c r="L872" s="5">
        <f>INDEX('Route Data'!$N$7:$N$8,E872)</f>
        <v>0.4</v>
      </c>
      <c r="M872" s="8">
        <v>0.14830482006072998</v>
      </c>
      <c r="N872" s="8">
        <f>ProbStrikeFrancis(K872, I872, L872, INDEX('Route Data'!$G$7:$G$8,E872),C872, INDEX('Route Data'!$F$7:$F$8,E872), INDEX('Route Data'!$O$7:$O$8,E872), INDEX('Route Data'!$H$7:$H$18,E872))</f>
        <v>1</v>
      </c>
      <c r="O872" s="5" t="str">
        <f>IF(F872&gt;=1,IF(M872&lt;=N872,"STRIKE","pass"),IF(M872&lt;=INDEX('Route Data'!$R$7:$R$8,E872),"NO PASS","pass"))</f>
        <v>STRIKE</v>
      </c>
      <c r="P872" s="5">
        <f>IF(F872&gt;=1,IF(M872&lt;=N872,1,0),IF(M872&lt;=INDEX('Route Data'!$R$7:$R$8,E872),-1,0))</f>
        <v>1</v>
      </c>
    </row>
    <row r="873" spans="1:16">
      <c r="A873" s="5">
        <v>863</v>
      </c>
      <c r="B873" s="12">
        <v>24.09</v>
      </c>
      <c r="C873" s="12">
        <f t="shared" si="13"/>
        <v>2.0099999999999998</v>
      </c>
      <c r="D873" s="8">
        <v>0.46084696054458618</v>
      </c>
      <c r="E873" s="5">
        <f>MATCH(D873,'Route Data'!$C$7:$C$8,1)</f>
        <v>2</v>
      </c>
      <c r="F873" s="5">
        <f>INDEX('Route Data'!$D$7:$D$8,E873)</f>
        <v>1</v>
      </c>
      <c r="G873" s="5" t="str">
        <f>INDEX('Route Data'!$A$7:$A$8,E873)</f>
        <v>u18</v>
      </c>
      <c r="H873" s="5">
        <f>EnergyCoeff(INDEX('Route Data'!$K$7:$K$8,E873),INDEX('Route Data'!$L$7:$L$8,E873)*2*PI()/60,INDEX('Route Data'!$F$7:$F$8,E873))</f>
        <v>0.19430699130049439</v>
      </c>
      <c r="I873" s="5">
        <f>DischargeCoeff(INDEX('Route Data'!$I$7:$I$8,E873), INDEX('Route Data'!$L$7:$L$8,E873)*2*PI()/60, INDEX('Route Data'!$F$7:$F$8,E873))</f>
        <v>0.15939200179827354</v>
      </c>
      <c r="J873" s="8">
        <f>FlowAngleRel(INDEX('Route Data'!$J$7:$J$8,E873)*INDEX('Route Data'!$I$7:$I$8,E873), INDEX('Route Data'!$L$7:$L$8,E873)*2*PI()/60, INDEX('Route Data'!$F$7:$F$8,E873),INDEX('Route Data'!$O$7:$O$8,E873), INDEX('Route Data'!$P$7:$P$8,E873),INDEX('Route Data'!$M$7:$M$8,E873))</f>
        <v>1.130811765868994</v>
      </c>
      <c r="K873" s="8">
        <f>FlowAngleAbsT(INDEX('Route Data'!$K$7:$K$8,E873), INDEX('Route Data'!$I$7:$I$8,E873), INDEX('Route Data'!$I$7:$I$8,E873)*INDEX('Route Data'!$J$7:$J$8,E873), INDEX('Route Data'!$L$7:$L$8,E873)*2*PI()/60, INDEX('Route Data'!$F$7:$F$8,E873),INDEX('Route Data'!$O$7:$O$8,E873), INDEX('Route Data'!$P$7:$P$8,E873), INDEX('Route Data'!$H$7:$H$8,E873), INDEX('Route Data'!$Q$7:$Q$8,E873), INDEX('Route Data'!$M$7:$M$8,E873))</f>
        <v>0.51617226640175828</v>
      </c>
      <c r="L873" s="5">
        <f>INDEX('Route Data'!$N$7:$N$8,E873)</f>
        <v>0.4</v>
      </c>
      <c r="M873" s="8">
        <v>0.73173290491104126</v>
      </c>
      <c r="N873" s="8">
        <f>ProbStrikeFrancis(K873, I873, L873, INDEX('Route Data'!$G$7:$G$8,E873),C873, INDEX('Route Data'!$F$7:$F$8,E873), INDEX('Route Data'!$O$7:$O$8,E873), INDEX('Route Data'!$H$7:$H$18,E873))</f>
        <v>1</v>
      </c>
      <c r="O873" s="5" t="str">
        <f>IF(F873&gt;=1,IF(M873&lt;=N873,"STRIKE","pass"),IF(M873&lt;=INDEX('Route Data'!$R$7:$R$8,E873),"NO PASS","pass"))</f>
        <v>STRIKE</v>
      </c>
      <c r="P873" s="5">
        <f>IF(F873&gt;=1,IF(M873&lt;=N873,1,0),IF(M873&lt;=INDEX('Route Data'!$R$7:$R$8,E873),-1,0))</f>
        <v>1</v>
      </c>
    </row>
    <row r="874" spans="1:16">
      <c r="A874" s="5">
        <v>864</v>
      </c>
      <c r="B874" s="12">
        <v>20.53</v>
      </c>
      <c r="C874" s="12">
        <f t="shared" si="13"/>
        <v>1.71</v>
      </c>
      <c r="D874" s="8">
        <v>0.73597049713134766</v>
      </c>
      <c r="E874" s="5">
        <f>MATCH(D874,'Route Data'!$C$7:$C$8,1)</f>
        <v>2</v>
      </c>
      <c r="F874" s="5">
        <f>INDEX('Route Data'!$D$7:$D$8,E874)</f>
        <v>1</v>
      </c>
      <c r="G874" s="5" t="str">
        <f>INDEX('Route Data'!$A$7:$A$8,E874)</f>
        <v>u18</v>
      </c>
      <c r="H874" s="5">
        <f>EnergyCoeff(INDEX('Route Data'!$K$7:$K$8,E874),INDEX('Route Data'!$L$7:$L$8,E874)*2*PI()/60,INDEX('Route Data'!$F$7:$F$8,E874))</f>
        <v>0.19430699130049439</v>
      </c>
      <c r="I874" s="5">
        <f>DischargeCoeff(INDEX('Route Data'!$I$7:$I$8,E874), INDEX('Route Data'!$L$7:$L$8,E874)*2*PI()/60, INDEX('Route Data'!$F$7:$F$8,E874))</f>
        <v>0.15939200179827354</v>
      </c>
      <c r="J874" s="8">
        <f>FlowAngleRel(INDEX('Route Data'!$J$7:$J$8,E874)*INDEX('Route Data'!$I$7:$I$8,E874), INDEX('Route Data'!$L$7:$L$8,E874)*2*PI()/60, INDEX('Route Data'!$F$7:$F$8,E874),INDEX('Route Data'!$O$7:$O$8,E874), INDEX('Route Data'!$P$7:$P$8,E874),INDEX('Route Data'!$M$7:$M$8,E874))</f>
        <v>1.130811765868994</v>
      </c>
      <c r="K874" s="8">
        <f>FlowAngleAbsT(INDEX('Route Data'!$K$7:$K$8,E874), INDEX('Route Data'!$I$7:$I$8,E874), INDEX('Route Data'!$I$7:$I$8,E874)*INDEX('Route Data'!$J$7:$J$8,E874), INDEX('Route Data'!$L$7:$L$8,E874)*2*PI()/60, INDEX('Route Data'!$F$7:$F$8,E874),INDEX('Route Data'!$O$7:$O$8,E874), INDEX('Route Data'!$P$7:$P$8,E874), INDEX('Route Data'!$H$7:$H$8,E874), INDEX('Route Data'!$Q$7:$Q$8,E874), INDEX('Route Data'!$M$7:$M$8,E874))</f>
        <v>0.51617226640175828</v>
      </c>
      <c r="L874" s="5">
        <f>INDEX('Route Data'!$N$7:$N$8,E874)</f>
        <v>0.4</v>
      </c>
      <c r="M874" s="8">
        <v>0.24702787399291992</v>
      </c>
      <c r="N874" s="8">
        <f>ProbStrikeFrancis(K874, I874, L874, INDEX('Route Data'!$G$7:$G$8,E874),C874, INDEX('Route Data'!$F$7:$F$8,E874), INDEX('Route Data'!$O$7:$O$8,E874), INDEX('Route Data'!$H$7:$H$18,E874))</f>
        <v>1</v>
      </c>
      <c r="O874" s="5" t="str">
        <f>IF(F874&gt;=1,IF(M874&lt;=N874,"STRIKE","pass"),IF(M874&lt;=INDEX('Route Data'!$R$7:$R$8,E874),"NO PASS","pass"))</f>
        <v>STRIKE</v>
      </c>
      <c r="P874" s="5">
        <f>IF(F874&gt;=1,IF(M874&lt;=N874,1,0),IF(M874&lt;=INDEX('Route Data'!$R$7:$R$8,E874),-1,0))</f>
        <v>1</v>
      </c>
    </row>
    <row r="875" spans="1:16">
      <c r="A875" s="5">
        <v>865</v>
      </c>
      <c r="B875" s="12">
        <v>22.98</v>
      </c>
      <c r="C875" s="12">
        <f t="shared" si="13"/>
        <v>1.92</v>
      </c>
      <c r="D875" s="8">
        <v>0.37944144010543823</v>
      </c>
      <c r="E875" s="5">
        <f>MATCH(D875,'Route Data'!$C$7:$C$8,1)</f>
        <v>2</v>
      </c>
      <c r="F875" s="5">
        <f>INDEX('Route Data'!$D$7:$D$8,E875)</f>
        <v>1</v>
      </c>
      <c r="G875" s="5" t="str">
        <f>INDEX('Route Data'!$A$7:$A$8,E875)</f>
        <v>u18</v>
      </c>
      <c r="H875" s="5">
        <f>EnergyCoeff(INDEX('Route Data'!$K$7:$K$8,E875),INDEX('Route Data'!$L$7:$L$8,E875)*2*PI()/60,INDEX('Route Data'!$F$7:$F$8,E875))</f>
        <v>0.19430699130049439</v>
      </c>
      <c r="I875" s="5">
        <f>DischargeCoeff(INDEX('Route Data'!$I$7:$I$8,E875), INDEX('Route Data'!$L$7:$L$8,E875)*2*PI()/60, INDEX('Route Data'!$F$7:$F$8,E875))</f>
        <v>0.15939200179827354</v>
      </c>
      <c r="J875" s="8">
        <f>FlowAngleRel(INDEX('Route Data'!$J$7:$J$8,E875)*INDEX('Route Data'!$I$7:$I$8,E875), INDEX('Route Data'!$L$7:$L$8,E875)*2*PI()/60, INDEX('Route Data'!$F$7:$F$8,E875),INDEX('Route Data'!$O$7:$O$8,E875), INDEX('Route Data'!$P$7:$P$8,E875),INDEX('Route Data'!$M$7:$M$8,E875))</f>
        <v>1.130811765868994</v>
      </c>
      <c r="K875" s="8">
        <f>FlowAngleAbsT(INDEX('Route Data'!$K$7:$K$8,E875), INDEX('Route Data'!$I$7:$I$8,E875), INDEX('Route Data'!$I$7:$I$8,E875)*INDEX('Route Data'!$J$7:$J$8,E875), INDEX('Route Data'!$L$7:$L$8,E875)*2*PI()/60, INDEX('Route Data'!$F$7:$F$8,E875),INDEX('Route Data'!$O$7:$O$8,E875), INDEX('Route Data'!$P$7:$P$8,E875), INDEX('Route Data'!$H$7:$H$8,E875), INDEX('Route Data'!$Q$7:$Q$8,E875), INDEX('Route Data'!$M$7:$M$8,E875))</f>
        <v>0.51617226640175828</v>
      </c>
      <c r="L875" s="5">
        <f>INDEX('Route Data'!$N$7:$N$8,E875)</f>
        <v>0.4</v>
      </c>
      <c r="M875" s="8">
        <v>0.96672219038009644</v>
      </c>
      <c r="N875" s="8">
        <f>ProbStrikeFrancis(K875, I875, L875, INDEX('Route Data'!$G$7:$G$8,E875),C875, INDEX('Route Data'!$F$7:$F$8,E875), INDEX('Route Data'!$O$7:$O$8,E875), INDEX('Route Data'!$H$7:$H$18,E875))</f>
        <v>1</v>
      </c>
      <c r="O875" s="5" t="str">
        <f>IF(F875&gt;=1,IF(M875&lt;=N875,"STRIKE","pass"),IF(M875&lt;=INDEX('Route Data'!$R$7:$R$8,E875),"NO PASS","pass"))</f>
        <v>STRIKE</v>
      </c>
      <c r="P875" s="5">
        <f>IF(F875&gt;=1,IF(M875&lt;=N875,1,0),IF(M875&lt;=INDEX('Route Data'!$R$7:$R$8,E875),-1,0))</f>
        <v>1</v>
      </c>
    </row>
    <row r="876" spans="1:16">
      <c r="A876" s="5">
        <v>866</v>
      </c>
      <c r="B876" s="12">
        <v>27.1</v>
      </c>
      <c r="C876" s="12">
        <f t="shared" si="13"/>
        <v>2.2599999999999998</v>
      </c>
      <c r="D876" s="8">
        <v>0.714607834815979</v>
      </c>
      <c r="E876" s="5">
        <f>MATCH(D876,'Route Data'!$C$7:$C$8,1)</f>
        <v>2</v>
      </c>
      <c r="F876" s="5">
        <f>INDEX('Route Data'!$D$7:$D$8,E876)</f>
        <v>1</v>
      </c>
      <c r="G876" s="5" t="str">
        <f>INDEX('Route Data'!$A$7:$A$8,E876)</f>
        <v>u18</v>
      </c>
      <c r="H876" s="5">
        <f>EnergyCoeff(INDEX('Route Data'!$K$7:$K$8,E876),INDEX('Route Data'!$L$7:$L$8,E876)*2*PI()/60,INDEX('Route Data'!$F$7:$F$8,E876))</f>
        <v>0.19430699130049439</v>
      </c>
      <c r="I876" s="5">
        <f>DischargeCoeff(INDEX('Route Data'!$I$7:$I$8,E876), INDEX('Route Data'!$L$7:$L$8,E876)*2*PI()/60, INDEX('Route Data'!$F$7:$F$8,E876))</f>
        <v>0.15939200179827354</v>
      </c>
      <c r="J876" s="8">
        <f>FlowAngleRel(INDEX('Route Data'!$J$7:$J$8,E876)*INDEX('Route Data'!$I$7:$I$8,E876), INDEX('Route Data'!$L$7:$L$8,E876)*2*PI()/60, INDEX('Route Data'!$F$7:$F$8,E876),INDEX('Route Data'!$O$7:$O$8,E876), INDEX('Route Data'!$P$7:$P$8,E876),INDEX('Route Data'!$M$7:$M$8,E876))</f>
        <v>1.130811765868994</v>
      </c>
      <c r="K876" s="8">
        <f>FlowAngleAbsT(INDEX('Route Data'!$K$7:$K$8,E876), INDEX('Route Data'!$I$7:$I$8,E876), INDEX('Route Data'!$I$7:$I$8,E876)*INDEX('Route Data'!$J$7:$J$8,E876), INDEX('Route Data'!$L$7:$L$8,E876)*2*PI()/60, INDEX('Route Data'!$F$7:$F$8,E876),INDEX('Route Data'!$O$7:$O$8,E876), INDEX('Route Data'!$P$7:$P$8,E876), INDEX('Route Data'!$H$7:$H$8,E876), INDEX('Route Data'!$Q$7:$Q$8,E876), INDEX('Route Data'!$M$7:$M$8,E876))</f>
        <v>0.51617226640175828</v>
      </c>
      <c r="L876" s="5">
        <f>INDEX('Route Data'!$N$7:$N$8,E876)</f>
        <v>0.4</v>
      </c>
      <c r="M876" s="8">
        <v>0.27648079395294189</v>
      </c>
      <c r="N876" s="8">
        <f>ProbStrikeFrancis(K876, I876, L876, INDEX('Route Data'!$G$7:$G$8,E876),C876, INDEX('Route Data'!$F$7:$F$8,E876), INDEX('Route Data'!$O$7:$O$8,E876), INDEX('Route Data'!$H$7:$H$18,E876))</f>
        <v>1</v>
      </c>
      <c r="O876" s="5" t="str">
        <f>IF(F876&gt;=1,IF(M876&lt;=N876,"STRIKE","pass"),IF(M876&lt;=INDEX('Route Data'!$R$7:$R$8,E876),"NO PASS","pass"))</f>
        <v>STRIKE</v>
      </c>
      <c r="P876" s="5">
        <f>IF(F876&gt;=1,IF(M876&lt;=N876,1,0),IF(M876&lt;=INDEX('Route Data'!$R$7:$R$8,E876),-1,0))</f>
        <v>1</v>
      </c>
    </row>
    <row r="877" spans="1:16">
      <c r="A877" s="5">
        <v>867</v>
      </c>
      <c r="B877" s="12">
        <v>20.97</v>
      </c>
      <c r="C877" s="12">
        <f t="shared" si="13"/>
        <v>1.75</v>
      </c>
      <c r="D877" s="8">
        <v>0.44352942705154419</v>
      </c>
      <c r="E877" s="5">
        <f>MATCH(D877,'Route Data'!$C$7:$C$8,1)</f>
        <v>2</v>
      </c>
      <c r="F877" s="5">
        <f>INDEX('Route Data'!$D$7:$D$8,E877)</f>
        <v>1</v>
      </c>
      <c r="G877" s="5" t="str">
        <f>INDEX('Route Data'!$A$7:$A$8,E877)</f>
        <v>u18</v>
      </c>
      <c r="H877" s="5">
        <f>EnergyCoeff(INDEX('Route Data'!$K$7:$K$8,E877),INDEX('Route Data'!$L$7:$L$8,E877)*2*PI()/60,INDEX('Route Data'!$F$7:$F$8,E877))</f>
        <v>0.19430699130049439</v>
      </c>
      <c r="I877" s="5">
        <f>DischargeCoeff(INDEX('Route Data'!$I$7:$I$8,E877), INDEX('Route Data'!$L$7:$L$8,E877)*2*PI()/60, INDEX('Route Data'!$F$7:$F$8,E877))</f>
        <v>0.15939200179827354</v>
      </c>
      <c r="J877" s="8">
        <f>FlowAngleRel(INDEX('Route Data'!$J$7:$J$8,E877)*INDEX('Route Data'!$I$7:$I$8,E877), INDEX('Route Data'!$L$7:$L$8,E877)*2*PI()/60, INDEX('Route Data'!$F$7:$F$8,E877),INDEX('Route Data'!$O$7:$O$8,E877), INDEX('Route Data'!$P$7:$P$8,E877),INDEX('Route Data'!$M$7:$M$8,E877))</f>
        <v>1.130811765868994</v>
      </c>
      <c r="K877" s="8">
        <f>FlowAngleAbsT(INDEX('Route Data'!$K$7:$K$8,E877), INDEX('Route Data'!$I$7:$I$8,E877), INDEX('Route Data'!$I$7:$I$8,E877)*INDEX('Route Data'!$J$7:$J$8,E877), INDEX('Route Data'!$L$7:$L$8,E877)*2*PI()/60, INDEX('Route Data'!$F$7:$F$8,E877),INDEX('Route Data'!$O$7:$O$8,E877), INDEX('Route Data'!$P$7:$P$8,E877), INDEX('Route Data'!$H$7:$H$8,E877), INDEX('Route Data'!$Q$7:$Q$8,E877), INDEX('Route Data'!$M$7:$M$8,E877))</f>
        <v>0.51617226640175828</v>
      </c>
      <c r="L877" s="5">
        <f>INDEX('Route Data'!$N$7:$N$8,E877)</f>
        <v>0.4</v>
      </c>
      <c r="M877" s="8">
        <v>0.34720498323440552</v>
      </c>
      <c r="N877" s="8">
        <f>ProbStrikeFrancis(K877, I877, L877, INDEX('Route Data'!$G$7:$G$8,E877),C877, INDEX('Route Data'!$F$7:$F$8,E877), INDEX('Route Data'!$O$7:$O$8,E877), INDEX('Route Data'!$H$7:$H$18,E877))</f>
        <v>1</v>
      </c>
      <c r="O877" s="5" t="str">
        <f>IF(F877&gt;=1,IF(M877&lt;=N877,"STRIKE","pass"),IF(M877&lt;=INDEX('Route Data'!$R$7:$R$8,E877),"NO PASS","pass"))</f>
        <v>STRIKE</v>
      </c>
      <c r="P877" s="5">
        <f>IF(F877&gt;=1,IF(M877&lt;=N877,1,0),IF(M877&lt;=INDEX('Route Data'!$R$7:$R$8,E877),-1,0))</f>
        <v>1</v>
      </c>
    </row>
    <row r="878" spans="1:16">
      <c r="A878" s="5">
        <v>868</v>
      </c>
      <c r="B878" s="12">
        <v>23.96</v>
      </c>
      <c r="C878" s="12">
        <f t="shared" si="13"/>
        <v>2</v>
      </c>
      <c r="D878" s="8">
        <v>0.52234387397766113</v>
      </c>
      <c r="E878" s="5">
        <f>MATCH(D878,'Route Data'!$C$7:$C$8,1)</f>
        <v>2</v>
      </c>
      <c r="F878" s="5">
        <f>INDEX('Route Data'!$D$7:$D$8,E878)</f>
        <v>1</v>
      </c>
      <c r="G878" s="5" t="str">
        <f>INDEX('Route Data'!$A$7:$A$8,E878)</f>
        <v>u18</v>
      </c>
      <c r="H878" s="5">
        <f>EnergyCoeff(INDEX('Route Data'!$K$7:$K$8,E878),INDEX('Route Data'!$L$7:$L$8,E878)*2*PI()/60,INDEX('Route Data'!$F$7:$F$8,E878))</f>
        <v>0.19430699130049439</v>
      </c>
      <c r="I878" s="5">
        <f>DischargeCoeff(INDEX('Route Data'!$I$7:$I$8,E878), INDEX('Route Data'!$L$7:$L$8,E878)*2*PI()/60, INDEX('Route Data'!$F$7:$F$8,E878))</f>
        <v>0.15939200179827354</v>
      </c>
      <c r="J878" s="8">
        <f>FlowAngleRel(INDEX('Route Data'!$J$7:$J$8,E878)*INDEX('Route Data'!$I$7:$I$8,E878), INDEX('Route Data'!$L$7:$L$8,E878)*2*PI()/60, INDEX('Route Data'!$F$7:$F$8,E878),INDEX('Route Data'!$O$7:$O$8,E878), INDEX('Route Data'!$P$7:$P$8,E878),INDEX('Route Data'!$M$7:$M$8,E878))</f>
        <v>1.130811765868994</v>
      </c>
      <c r="K878" s="8">
        <f>FlowAngleAbsT(INDEX('Route Data'!$K$7:$K$8,E878), INDEX('Route Data'!$I$7:$I$8,E878), INDEX('Route Data'!$I$7:$I$8,E878)*INDEX('Route Data'!$J$7:$J$8,E878), INDEX('Route Data'!$L$7:$L$8,E878)*2*PI()/60, INDEX('Route Data'!$F$7:$F$8,E878),INDEX('Route Data'!$O$7:$O$8,E878), INDEX('Route Data'!$P$7:$P$8,E878), INDEX('Route Data'!$H$7:$H$8,E878), INDEX('Route Data'!$Q$7:$Q$8,E878), INDEX('Route Data'!$M$7:$M$8,E878))</f>
        <v>0.51617226640175828</v>
      </c>
      <c r="L878" s="5">
        <f>INDEX('Route Data'!$N$7:$N$8,E878)</f>
        <v>0.4</v>
      </c>
      <c r="M878" s="8">
        <v>0.40061163902282715</v>
      </c>
      <c r="N878" s="8">
        <f>ProbStrikeFrancis(K878, I878, L878, INDEX('Route Data'!$G$7:$G$8,E878),C878, INDEX('Route Data'!$F$7:$F$8,E878), INDEX('Route Data'!$O$7:$O$8,E878), INDEX('Route Data'!$H$7:$H$18,E878))</f>
        <v>1</v>
      </c>
      <c r="O878" s="5" t="str">
        <f>IF(F878&gt;=1,IF(M878&lt;=N878,"STRIKE","pass"),IF(M878&lt;=INDEX('Route Data'!$R$7:$R$8,E878),"NO PASS","pass"))</f>
        <v>STRIKE</v>
      </c>
      <c r="P878" s="5">
        <f>IF(F878&gt;=1,IF(M878&lt;=N878,1,0),IF(M878&lt;=INDEX('Route Data'!$R$7:$R$8,E878),-1,0))</f>
        <v>1</v>
      </c>
    </row>
    <row r="879" spans="1:16">
      <c r="A879" s="5">
        <v>869</v>
      </c>
      <c r="B879" s="12">
        <v>23.05</v>
      </c>
      <c r="C879" s="12">
        <f t="shared" si="13"/>
        <v>1.92</v>
      </c>
      <c r="D879" s="8">
        <v>2.0321309566497803E-2</v>
      </c>
      <c r="E879" s="5">
        <f>MATCH(D879,'Route Data'!$C$7:$C$8,1)</f>
        <v>2</v>
      </c>
      <c r="F879" s="5">
        <f>INDEX('Route Data'!$D$7:$D$8,E879)</f>
        <v>1</v>
      </c>
      <c r="G879" s="5" t="str">
        <f>INDEX('Route Data'!$A$7:$A$8,E879)</f>
        <v>u18</v>
      </c>
      <c r="H879" s="5">
        <f>EnergyCoeff(INDEX('Route Data'!$K$7:$K$8,E879),INDEX('Route Data'!$L$7:$L$8,E879)*2*PI()/60,INDEX('Route Data'!$F$7:$F$8,E879))</f>
        <v>0.19430699130049439</v>
      </c>
      <c r="I879" s="5">
        <f>DischargeCoeff(INDEX('Route Data'!$I$7:$I$8,E879), INDEX('Route Data'!$L$7:$L$8,E879)*2*PI()/60, INDEX('Route Data'!$F$7:$F$8,E879))</f>
        <v>0.15939200179827354</v>
      </c>
      <c r="J879" s="8">
        <f>FlowAngleRel(INDEX('Route Data'!$J$7:$J$8,E879)*INDEX('Route Data'!$I$7:$I$8,E879), INDEX('Route Data'!$L$7:$L$8,E879)*2*PI()/60, INDEX('Route Data'!$F$7:$F$8,E879),INDEX('Route Data'!$O$7:$O$8,E879), INDEX('Route Data'!$P$7:$P$8,E879),INDEX('Route Data'!$M$7:$M$8,E879))</f>
        <v>1.130811765868994</v>
      </c>
      <c r="K879" s="8">
        <f>FlowAngleAbsT(INDEX('Route Data'!$K$7:$K$8,E879), INDEX('Route Data'!$I$7:$I$8,E879), INDEX('Route Data'!$I$7:$I$8,E879)*INDEX('Route Data'!$J$7:$J$8,E879), INDEX('Route Data'!$L$7:$L$8,E879)*2*PI()/60, INDEX('Route Data'!$F$7:$F$8,E879),INDEX('Route Data'!$O$7:$O$8,E879), INDEX('Route Data'!$P$7:$P$8,E879), INDEX('Route Data'!$H$7:$H$8,E879), INDEX('Route Data'!$Q$7:$Q$8,E879), INDEX('Route Data'!$M$7:$M$8,E879))</f>
        <v>0.51617226640175828</v>
      </c>
      <c r="L879" s="5">
        <f>INDEX('Route Data'!$N$7:$N$8,E879)</f>
        <v>0.4</v>
      </c>
      <c r="M879" s="8">
        <v>0.24039167165756226</v>
      </c>
      <c r="N879" s="8">
        <f>ProbStrikeFrancis(K879, I879, L879, INDEX('Route Data'!$G$7:$G$8,E879),C879, INDEX('Route Data'!$F$7:$F$8,E879), INDEX('Route Data'!$O$7:$O$8,E879), INDEX('Route Data'!$H$7:$H$18,E879))</f>
        <v>1</v>
      </c>
      <c r="O879" s="5" t="str">
        <f>IF(F879&gt;=1,IF(M879&lt;=N879,"STRIKE","pass"),IF(M879&lt;=INDEX('Route Data'!$R$7:$R$8,E879),"NO PASS","pass"))</f>
        <v>STRIKE</v>
      </c>
      <c r="P879" s="5">
        <f>IF(F879&gt;=1,IF(M879&lt;=N879,1,0),IF(M879&lt;=INDEX('Route Data'!$R$7:$R$8,E879),-1,0))</f>
        <v>1</v>
      </c>
    </row>
    <row r="880" spans="1:16">
      <c r="A880" s="5">
        <v>870</v>
      </c>
      <c r="B880" s="12">
        <v>21.45</v>
      </c>
      <c r="C880" s="12">
        <f t="shared" si="13"/>
        <v>1.79</v>
      </c>
      <c r="D880" s="8">
        <v>0.79196822643280029</v>
      </c>
      <c r="E880" s="5">
        <f>MATCH(D880,'Route Data'!$C$7:$C$8,1)</f>
        <v>2</v>
      </c>
      <c r="F880" s="5">
        <f>INDEX('Route Data'!$D$7:$D$8,E880)</f>
        <v>1</v>
      </c>
      <c r="G880" s="5" t="str">
        <f>INDEX('Route Data'!$A$7:$A$8,E880)</f>
        <v>u18</v>
      </c>
      <c r="H880" s="5">
        <f>EnergyCoeff(INDEX('Route Data'!$K$7:$K$8,E880),INDEX('Route Data'!$L$7:$L$8,E880)*2*PI()/60,INDEX('Route Data'!$F$7:$F$8,E880))</f>
        <v>0.19430699130049439</v>
      </c>
      <c r="I880" s="5">
        <f>DischargeCoeff(INDEX('Route Data'!$I$7:$I$8,E880), INDEX('Route Data'!$L$7:$L$8,E880)*2*PI()/60, INDEX('Route Data'!$F$7:$F$8,E880))</f>
        <v>0.15939200179827354</v>
      </c>
      <c r="J880" s="8">
        <f>FlowAngleRel(INDEX('Route Data'!$J$7:$J$8,E880)*INDEX('Route Data'!$I$7:$I$8,E880), INDEX('Route Data'!$L$7:$L$8,E880)*2*PI()/60, INDEX('Route Data'!$F$7:$F$8,E880),INDEX('Route Data'!$O$7:$O$8,E880), INDEX('Route Data'!$P$7:$P$8,E880),INDEX('Route Data'!$M$7:$M$8,E880))</f>
        <v>1.130811765868994</v>
      </c>
      <c r="K880" s="8">
        <f>FlowAngleAbsT(INDEX('Route Data'!$K$7:$K$8,E880), INDEX('Route Data'!$I$7:$I$8,E880), INDEX('Route Data'!$I$7:$I$8,E880)*INDEX('Route Data'!$J$7:$J$8,E880), INDEX('Route Data'!$L$7:$L$8,E880)*2*PI()/60, INDEX('Route Data'!$F$7:$F$8,E880),INDEX('Route Data'!$O$7:$O$8,E880), INDEX('Route Data'!$P$7:$P$8,E880), INDEX('Route Data'!$H$7:$H$8,E880), INDEX('Route Data'!$Q$7:$Q$8,E880), INDEX('Route Data'!$M$7:$M$8,E880))</f>
        <v>0.51617226640175828</v>
      </c>
      <c r="L880" s="5">
        <f>INDEX('Route Data'!$N$7:$N$8,E880)</f>
        <v>0.4</v>
      </c>
      <c r="M880" s="8">
        <v>0.72105157375335693</v>
      </c>
      <c r="N880" s="8">
        <f>ProbStrikeFrancis(K880, I880, L880, INDEX('Route Data'!$G$7:$G$8,E880),C880, INDEX('Route Data'!$F$7:$F$8,E880), INDEX('Route Data'!$O$7:$O$8,E880), INDEX('Route Data'!$H$7:$H$18,E880))</f>
        <v>1</v>
      </c>
      <c r="O880" s="5" t="str">
        <f>IF(F880&gt;=1,IF(M880&lt;=N880,"STRIKE","pass"),IF(M880&lt;=INDEX('Route Data'!$R$7:$R$8,E880),"NO PASS","pass"))</f>
        <v>STRIKE</v>
      </c>
      <c r="P880" s="5">
        <f>IF(F880&gt;=1,IF(M880&lt;=N880,1,0),IF(M880&lt;=INDEX('Route Data'!$R$7:$R$8,E880),-1,0))</f>
        <v>1</v>
      </c>
    </row>
    <row r="881" spans="1:16">
      <c r="A881" s="5">
        <v>871</v>
      </c>
      <c r="B881" s="12">
        <v>29.45</v>
      </c>
      <c r="C881" s="12">
        <f t="shared" si="13"/>
        <v>2.4500000000000002</v>
      </c>
      <c r="D881" s="8">
        <v>0.74260669946670532</v>
      </c>
      <c r="E881" s="5">
        <f>MATCH(D881,'Route Data'!$C$7:$C$8,1)</f>
        <v>2</v>
      </c>
      <c r="F881" s="5">
        <f>INDEX('Route Data'!$D$7:$D$8,E881)</f>
        <v>1</v>
      </c>
      <c r="G881" s="5" t="str">
        <f>INDEX('Route Data'!$A$7:$A$8,E881)</f>
        <v>u18</v>
      </c>
      <c r="H881" s="5">
        <f>EnergyCoeff(INDEX('Route Data'!$K$7:$K$8,E881),INDEX('Route Data'!$L$7:$L$8,E881)*2*PI()/60,INDEX('Route Data'!$F$7:$F$8,E881))</f>
        <v>0.19430699130049439</v>
      </c>
      <c r="I881" s="5">
        <f>DischargeCoeff(INDEX('Route Data'!$I$7:$I$8,E881), INDEX('Route Data'!$L$7:$L$8,E881)*2*PI()/60, INDEX('Route Data'!$F$7:$F$8,E881))</f>
        <v>0.15939200179827354</v>
      </c>
      <c r="J881" s="8">
        <f>FlowAngleRel(INDEX('Route Data'!$J$7:$J$8,E881)*INDEX('Route Data'!$I$7:$I$8,E881), INDEX('Route Data'!$L$7:$L$8,E881)*2*PI()/60, INDEX('Route Data'!$F$7:$F$8,E881),INDEX('Route Data'!$O$7:$O$8,E881), INDEX('Route Data'!$P$7:$P$8,E881),INDEX('Route Data'!$M$7:$M$8,E881))</f>
        <v>1.130811765868994</v>
      </c>
      <c r="K881" s="8">
        <f>FlowAngleAbsT(INDEX('Route Data'!$K$7:$K$8,E881), INDEX('Route Data'!$I$7:$I$8,E881), INDEX('Route Data'!$I$7:$I$8,E881)*INDEX('Route Data'!$J$7:$J$8,E881), INDEX('Route Data'!$L$7:$L$8,E881)*2*PI()/60, INDEX('Route Data'!$F$7:$F$8,E881),INDEX('Route Data'!$O$7:$O$8,E881), INDEX('Route Data'!$P$7:$P$8,E881), INDEX('Route Data'!$H$7:$H$8,E881), INDEX('Route Data'!$Q$7:$Q$8,E881), INDEX('Route Data'!$M$7:$M$8,E881))</f>
        <v>0.51617226640175828</v>
      </c>
      <c r="L881" s="5">
        <f>INDEX('Route Data'!$N$7:$N$8,E881)</f>
        <v>0.4</v>
      </c>
      <c r="M881" s="8">
        <v>0.2790718674659729</v>
      </c>
      <c r="N881" s="8">
        <f>ProbStrikeFrancis(K881, I881, L881, INDEX('Route Data'!$G$7:$G$8,E881),C881, INDEX('Route Data'!$F$7:$F$8,E881), INDEX('Route Data'!$O$7:$O$8,E881), INDEX('Route Data'!$H$7:$H$18,E881))</f>
        <v>1</v>
      </c>
      <c r="O881" s="5" t="str">
        <f>IF(F881&gt;=1,IF(M881&lt;=N881,"STRIKE","pass"),IF(M881&lt;=INDEX('Route Data'!$R$7:$R$8,E881),"NO PASS","pass"))</f>
        <v>STRIKE</v>
      </c>
      <c r="P881" s="5">
        <f>IF(F881&gt;=1,IF(M881&lt;=N881,1,0),IF(M881&lt;=INDEX('Route Data'!$R$7:$R$8,E881),-1,0))</f>
        <v>1</v>
      </c>
    </row>
    <row r="882" spans="1:16">
      <c r="A882" s="5">
        <v>872</v>
      </c>
      <c r="B882" s="12">
        <v>19.34</v>
      </c>
      <c r="C882" s="12">
        <f t="shared" si="13"/>
        <v>1.61</v>
      </c>
      <c r="D882" s="8">
        <v>0.62511205673217773</v>
      </c>
      <c r="E882" s="5">
        <f>MATCH(D882,'Route Data'!$C$7:$C$8,1)</f>
        <v>2</v>
      </c>
      <c r="F882" s="5">
        <f>INDEX('Route Data'!$D$7:$D$8,E882)</f>
        <v>1</v>
      </c>
      <c r="G882" s="5" t="str">
        <f>INDEX('Route Data'!$A$7:$A$8,E882)</f>
        <v>u18</v>
      </c>
      <c r="H882" s="5">
        <f>EnergyCoeff(INDEX('Route Data'!$K$7:$K$8,E882),INDEX('Route Data'!$L$7:$L$8,E882)*2*PI()/60,INDEX('Route Data'!$F$7:$F$8,E882))</f>
        <v>0.19430699130049439</v>
      </c>
      <c r="I882" s="5">
        <f>DischargeCoeff(INDEX('Route Data'!$I$7:$I$8,E882), INDEX('Route Data'!$L$7:$L$8,E882)*2*PI()/60, INDEX('Route Data'!$F$7:$F$8,E882))</f>
        <v>0.15939200179827354</v>
      </c>
      <c r="J882" s="8">
        <f>FlowAngleRel(INDEX('Route Data'!$J$7:$J$8,E882)*INDEX('Route Data'!$I$7:$I$8,E882), INDEX('Route Data'!$L$7:$L$8,E882)*2*PI()/60, INDEX('Route Data'!$F$7:$F$8,E882),INDEX('Route Data'!$O$7:$O$8,E882), INDEX('Route Data'!$P$7:$P$8,E882),INDEX('Route Data'!$M$7:$M$8,E882))</f>
        <v>1.130811765868994</v>
      </c>
      <c r="K882" s="8">
        <f>FlowAngleAbsT(INDEX('Route Data'!$K$7:$K$8,E882), INDEX('Route Data'!$I$7:$I$8,E882), INDEX('Route Data'!$I$7:$I$8,E882)*INDEX('Route Data'!$J$7:$J$8,E882), INDEX('Route Data'!$L$7:$L$8,E882)*2*PI()/60, INDEX('Route Data'!$F$7:$F$8,E882),INDEX('Route Data'!$O$7:$O$8,E882), INDEX('Route Data'!$P$7:$P$8,E882), INDEX('Route Data'!$H$7:$H$8,E882), INDEX('Route Data'!$Q$7:$Q$8,E882), INDEX('Route Data'!$M$7:$M$8,E882))</f>
        <v>0.51617226640175828</v>
      </c>
      <c r="L882" s="5">
        <f>INDEX('Route Data'!$N$7:$N$8,E882)</f>
        <v>0.4</v>
      </c>
      <c r="M882" s="8">
        <v>0.8705902099609375</v>
      </c>
      <c r="N882" s="8">
        <f>ProbStrikeFrancis(K882, I882, L882, INDEX('Route Data'!$G$7:$G$8,E882),C882, INDEX('Route Data'!$F$7:$F$8,E882), INDEX('Route Data'!$O$7:$O$8,E882), INDEX('Route Data'!$H$7:$H$18,E882))</f>
        <v>1</v>
      </c>
      <c r="O882" s="5" t="str">
        <f>IF(F882&gt;=1,IF(M882&lt;=N882,"STRIKE","pass"),IF(M882&lt;=INDEX('Route Data'!$R$7:$R$8,E882),"NO PASS","pass"))</f>
        <v>STRIKE</v>
      </c>
      <c r="P882" s="5">
        <f>IF(F882&gt;=1,IF(M882&lt;=N882,1,0),IF(M882&lt;=INDEX('Route Data'!$R$7:$R$8,E882),-1,0))</f>
        <v>1</v>
      </c>
    </row>
    <row r="883" spans="1:16">
      <c r="A883" s="5">
        <v>873</v>
      </c>
      <c r="B883" s="12">
        <v>19.48</v>
      </c>
      <c r="C883" s="12">
        <f t="shared" si="13"/>
        <v>1.62</v>
      </c>
      <c r="D883" s="8">
        <v>0.9775959849357605</v>
      </c>
      <c r="E883" s="5">
        <f>MATCH(D883,'Route Data'!$C$7:$C$8,1)</f>
        <v>2</v>
      </c>
      <c r="F883" s="5">
        <f>INDEX('Route Data'!$D$7:$D$8,E883)</f>
        <v>1</v>
      </c>
      <c r="G883" s="5" t="str">
        <f>INDEX('Route Data'!$A$7:$A$8,E883)</f>
        <v>u18</v>
      </c>
      <c r="H883" s="5">
        <f>EnergyCoeff(INDEX('Route Data'!$K$7:$K$8,E883),INDEX('Route Data'!$L$7:$L$8,E883)*2*PI()/60,INDEX('Route Data'!$F$7:$F$8,E883))</f>
        <v>0.19430699130049439</v>
      </c>
      <c r="I883" s="5">
        <f>DischargeCoeff(INDEX('Route Data'!$I$7:$I$8,E883), INDEX('Route Data'!$L$7:$L$8,E883)*2*PI()/60, INDEX('Route Data'!$F$7:$F$8,E883))</f>
        <v>0.15939200179827354</v>
      </c>
      <c r="J883" s="8">
        <f>FlowAngleRel(INDEX('Route Data'!$J$7:$J$8,E883)*INDEX('Route Data'!$I$7:$I$8,E883), INDEX('Route Data'!$L$7:$L$8,E883)*2*PI()/60, INDEX('Route Data'!$F$7:$F$8,E883),INDEX('Route Data'!$O$7:$O$8,E883), INDEX('Route Data'!$P$7:$P$8,E883),INDEX('Route Data'!$M$7:$M$8,E883))</f>
        <v>1.130811765868994</v>
      </c>
      <c r="K883" s="8">
        <f>FlowAngleAbsT(INDEX('Route Data'!$K$7:$K$8,E883), INDEX('Route Data'!$I$7:$I$8,E883), INDEX('Route Data'!$I$7:$I$8,E883)*INDEX('Route Data'!$J$7:$J$8,E883), INDEX('Route Data'!$L$7:$L$8,E883)*2*PI()/60, INDEX('Route Data'!$F$7:$F$8,E883),INDEX('Route Data'!$O$7:$O$8,E883), INDEX('Route Data'!$P$7:$P$8,E883), INDEX('Route Data'!$H$7:$H$8,E883), INDEX('Route Data'!$Q$7:$Q$8,E883), INDEX('Route Data'!$M$7:$M$8,E883))</f>
        <v>0.51617226640175828</v>
      </c>
      <c r="L883" s="5">
        <f>INDEX('Route Data'!$N$7:$N$8,E883)</f>
        <v>0.4</v>
      </c>
      <c r="M883" s="8">
        <v>0.5648767352104187</v>
      </c>
      <c r="N883" s="8">
        <f>ProbStrikeFrancis(K883, I883, L883, INDEX('Route Data'!$G$7:$G$8,E883),C883, INDEX('Route Data'!$F$7:$F$8,E883), INDEX('Route Data'!$O$7:$O$8,E883), INDEX('Route Data'!$H$7:$H$18,E883))</f>
        <v>1</v>
      </c>
      <c r="O883" s="5" t="str">
        <f>IF(F883&gt;=1,IF(M883&lt;=N883,"STRIKE","pass"),IF(M883&lt;=INDEX('Route Data'!$R$7:$R$8,E883),"NO PASS","pass"))</f>
        <v>STRIKE</v>
      </c>
      <c r="P883" s="5">
        <f>IF(F883&gt;=1,IF(M883&lt;=N883,1,0),IF(M883&lt;=INDEX('Route Data'!$R$7:$R$8,E883),-1,0))</f>
        <v>1</v>
      </c>
    </row>
    <row r="884" spans="1:16">
      <c r="A884" s="5">
        <v>874</v>
      </c>
      <c r="B884" s="12">
        <v>19.059999999999999</v>
      </c>
      <c r="C884" s="12">
        <f t="shared" si="13"/>
        <v>1.59</v>
      </c>
      <c r="D884" s="8">
        <v>0.92014420032501221</v>
      </c>
      <c r="E884" s="5">
        <f>MATCH(D884,'Route Data'!$C$7:$C$8,1)</f>
        <v>2</v>
      </c>
      <c r="F884" s="5">
        <f>INDEX('Route Data'!$D$7:$D$8,E884)</f>
        <v>1</v>
      </c>
      <c r="G884" s="5" t="str">
        <f>INDEX('Route Data'!$A$7:$A$8,E884)</f>
        <v>u18</v>
      </c>
      <c r="H884" s="5">
        <f>EnergyCoeff(INDEX('Route Data'!$K$7:$K$8,E884),INDEX('Route Data'!$L$7:$L$8,E884)*2*PI()/60,INDEX('Route Data'!$F$7:$F$8,E884))</f>
        <v>0.19430699130049439</v>
      </c>
      <c r="I884" s="5">
        <f>DischargeCoeff(INDEX('Route Data'!$I$7:$I$8,E884), INDEX('Route Data'!$L$7:$L$8,E884)*2*PI()/60, INDEX('Route Data'!$F$7:$F$8,E884))</f>
        <v>0.15939200179827354</v>
      </c>
      <c r="J884" s="8">
        <f>FlowAngleRel(INDEX('Route Data'!$J$7:$J$8,E884)*INDEX('Route Data'!$I$7:$I$8,E884), INDEX('Route Data'!$L$7:$L$8,E884)*2*PI()/60, INDEX('Route Data'!$F$7:$F$8,E884),INDEX('Route Data'!$O$7:$O$8,E884), INDEX('Route Data'!$P$7:$P$8,E884),INDEX('Route Data'!$M$7:$M$8,E884))</f>
        <v>1.130811765868994</v>
      </c>
      <c r="K884" s="8">
        <f>FlowAngleAbsT(INDEX('Route Data'!$K$7:$K$8,E884), INDEX('Route Data'!$I$7:$I$8,E884), INDEX('Route Data'!$I$7:$I$8,E884)*INDEX('Route Data'!$J$7:$J$8,E884), INDEX('Route Data'!$L$7:$L$8,E884)*2*PI()/60, INDEX('Route Data'!$F$7:$F$8,E884),INDEX('Route Data'!$O$7:$O$8,E884), INDEX('Route Data'!$P$7:$P$8,E884), INDEX('Route Data'!$H$7:$H$8,E884), INDEX('Route Data'!$Q$7:$Q$8,E884), INDEX('Route Data'!$M$7:$M$8,E884))</f>
        <v>0.51617226640175828</v>
      </c>
      <c r="L884" s="5">
        <f>INDEX('Route Data'!$N$7:$N$8,E884)</f>
        <v>0.4</v>
      </c>
      <c r="M884" s="8">
        <v>0.4820171594619751</v>
      </c>
      <c r="N884" s="8">
        <f>ProbStrikeFrancis(K884, I884, L884, INDEX('Route Data'!$G$7:$G$8,E884),C884, INDEX('Route Data'!$F$7:$F$8,E884), INDEX('Route Data'!$O$7:$O$8,E884), INDEX('Route Data'!$H$7:$H$18,E884))</f>
        <v>1</v>
      </c>
      <c r="O884" s="5" t="str">
        <f>IF(F884&gt;=1,IF(M884&lt;=N884,"STRIKE","pass"),IF(M884&lt;=INDEX('Route Data'!$R$7:$R$8,E884),"NO PASS","pass"))</f>
        <v>STRIKE</v>
      </c>
      <c r="P884" s="5">
        <f>IF(F884&gt;=1,IF(M884&lt;=N884,1,0),IF(M884&lt;=INDEX('Route Data'!$R$7:$R$8,E884),-1,0))</f>
        <v>1</v>
      </c>
    </row>
    <row r="885" spans="1:16">
      <c r="A885" s="5">
        <v>875</v>
      </c>
      <c r="B885" s="12">
        <v>20.18</v>
      </c>
      <c r="C885" s="12">
        <f t="shared" si="13"/>
        <v>1.68</v>
      </c>
      <c r="D885" s="8">
        <v>0.35807877779006958</v>
      </c>
      <c r="E885" s="5">
        <f>MATCH(D885,'Route Data'!$C$7:$C$8,1)</f>
        <v>2</v>
      </c>
      <c r="F885" s="5">
        <f>INDEX('Route Data'!$D$7:$D$8,E885)</f>
        <v>1</v>
      </c>
      <c r="G885" s="5" t="str">
        <f>INDEX('Route Data'!$A$7:$A$8,E885)</f>
        <v>u18</v>
      </c>
      <c r="H885" s="5">
        <f>EnergyCoeff(INDEX('Route Data'!$K$7:$K$8,E885),INDEX('Route Data'!$L$7:$L$8,E885)*2*PI()/60,INDEX('Route Data'!$F$7:$F$8,E885))</f>
        <v>0.19430699130049439</v>
      </c>
      <c r="I885" s="5">
        <f>DischargeCoeff(INDEX('Route Data'!$I$7:$I$8,E885), INDEX('Route Data'!$L$7:$L$8,E885)*2*PI()/60, INDEX('Route Data'!$F$7:$F$8,E885))</f>
        <v>0.15939200179827354</v>
      </c>
      <c r="J885" s="8">
        <f>FlowAngleRel(INDEX('Route Data'!$J$7:$J$8,E885)*INDEX('Route Data'!$I$7:$I$8,E885), INDEX('Route Data'!$L$7:$L$8,E885)*2*PI()/60, INDEX('Route Data'!$F$7:$F$8,E885),INDEX('Route Data'!$O$7:$O$8,E885), INDEX('Route Data'!$P$7:$P$8,E885),INDEX('Route Data'!$M$7:$M$8,E885))</f>
        <v>1.130811765868994</v>
      </c>
      <c r="K885" s="8">
        <f>FlowAngleAbsT(INDEX('Route Data'!$K$7:$K$8,E885), INDEX('Route Data'!$I$7:$I$8,E885), INDEX('Route Data'!$I$7:$I$8,E885)*INDEX('Route Data'!$J$7:$J$8,E885), INDEX('Route Data'!$L$7:$L$8,E885)*2*PI()/60, INDEX('Route Data'!$F$7:$F$8,E885),INDEX('Route Data'!$O$7:$O$8,E885), INDEX('Route Data'!$P$7:$P$8,E885), INDEX('Route Data'!$H$7:$H$8,E885), INDEX('Route Data'!$Q$7:$Q$8,E885), INDEX('Route Data'!$M$7:$M$8,E885))</f>
        <v>0.51617226640175828</v>
      </c>
      <c r="L885" s="5">
        <f>INDEX('Route Data'!$N$7:$N$8,E885)</f>
        <v>0.4</v>
      </c>
      <c r="M885" s="8">
        <v>0.26175433397293091</v>
      </c>
      <c r="N885" s="8">
        <f>ProbStrikeFrancis(K885, I885, L885, INDEX('Route Data'!$G$7:$G$8,E885),C885, INDEX('Route Data'!$F$7:$F$8,E885), INDEX('Route Data'!$O$7:$O$8,E885), INDEX('Route Data'!$H$7:$H$18,E885))</f>
        <v>1</v>
      </c>
      <c r="O885" s="5" t="str">
        <f>IF(F885&gt;=1,IF(M885&lt;=N885,"STRIKE","pass"),IF(M885&lt;=INDEX('Route Data'!$R$7:$R$8,E885),"NO PASS","pass"))</f>
        <v>STRIKE</v>
      </c>
      <c r="P885" s="5">
        <f>IF(F885&gt;=1,IF(M885&lt;=N885,1,0),IF(M885&lt;=INDEX('Route Data'!$R$7:$R$8,E885),-1,0))</f>
        <v>1</v>
      </c>
    </row>
    <row r="886" spans="1:16">
      <c r="A886" s="5">
        <v>876</v>
      </c>
      <c r="B886" s="12">
        <v>27.45</v>
      </c>
      <c r="C886" s="12">
        <f t="shared" si="13"/>
        <v>2.29</v>
      </c>
      <c r="D886" s="8">
        <v>0.77869582176208496</v>
      </c>
      <c r="E886" s="5">
        <f>MATCH(D886,'Route Data'!$C$7:$C$8,1)</f>
        <v>2</v>
      </c>
      <c r="F886" s="5">
        <f>INDEX('Route Data'!$D$7:$D$8,E886)</f>
        <v>1</v>
      </c>
      <c r="G886" s="5" t="str">
        <f>INDEX('Route Data'!$A$7:$A$8,E886)</f>
        <v>u18</v>
      </c>
      <c r="H886" s="5">
        <f>EnergyCoeff(INDEX('Route Data'!$K$7:$K$8,E886),INDEX('Route Data'!$L$7:$L$8,E886)*2*PI()/60,INDEX('Route Data'!$F$7:$F$8,E886))</f>
        <v>0.19430699130049439</v>
      </c>
      <c r="I886" s="5">
        <f>DischargeCoeff(INDEX('Route Data'!$I$7:$I$8,E886), INDEX('Route Data'!$L$7:$L$8,E886)*2*PI()/60, INDEX('Route Data'!$F$7:$F$8,E886))</f>
        <v>0.15939200179827354</v>
      </c>
      <c r="J886" s="8">
        <f>FlowAngleRel(INDEX('Route Data'!$J$7:$J$8,E886)*INDEX('Route Data'!$I$7:$I$8,E886), INDEX('Route Data'!$L$7:$L$8,E886)*2*PI()/60, INDEX('Route Data'!$F$7:$F$8,E886),INDEX('Route Data'!$O$7:$O$8,E886), INDEX('Route Data'!$P$7:$P$8,E886),INDEX('Route Data'!$M$7:$M$8,E886))</f>
        <v>1.130811765868994</v>
      </c>
      <c r="K886" s="8">
        <f>FlowAngleAbsT(INDEX('Route Data'!$K$7:$K$8,E886), INDEX('Route Data'!$I$7:$I$8,E886), INDEX('Route Data'!$I$7:$I$8,E886)*INDEX('Route Data'!$J$7:$J$8,E886), INDEX('Route Data'!$L$7:$L$8,E886)*2*PI()/60, INDEX('Route Data'!$F$7:$F$8,E886),INDEX('Route Data'!$O$7:$O$8,E886), INDEX('Route Data'!$P$7:$P$8,E886), INDEX('Route Data'!$H$7:$H$8,E886), INDEX('Route Data'!$Q$7:$Q$8,E886), INDEX('Route Data'!$M$7:$M$8,E886))</f>
        <v>0.51617226640175828</v>
      </c>
      <c r="L886" s="5">
        <f>INDEX('Route Data'!$N$7:$N$8,E886)</f>
        <v>0.4</v>
      </c>
      <c r="M886" s="8">
        <v>0.65696358680725098</v>
      </c>
      <c r="N886" s="8">
        <f>ProbStrikeFrancis(K886, I886, L886, INDEX('Route Data'!$G$7:$G$8,E886),C886, INDEX('Route Data'!$F$7:$F$8,E886), INDEX('Route Data'!$O$7:$O$8,E886), INDEX('Route Data'!$H$7:$H$18,E886))</f>
        <v>1</v>
      </c>
      <c r="O886" s="5" t="str">
        <f>IF(F886&gt;=1,IF(M886&lt;=N886,"STRIKE","pass"),IF(M886&lt;=INDEX('Route Data'!$R$7:$R$8,E886),"NO PASS","pass"))</f>
        <v>STRIKE</v>
      </c>
      <c r="P886" s="5">
        <f>IF(F886&gt;=1,IF(M886&lt;=N886,1,0),IF(M886&lt;=INDEX('Route Data'!$R$7:$R$8,E886),-1,0))</f>
        <v>1</v>
      </c>
    </row>
    <row r="887" spans="1:16">
      <c r="A887" s="5">
        <v>877</v>
      </c>
      <c r="B887" s="12">
        <v>25.16</v>
      </c>
      <c r="C887" s="12">
        <f t="shared" si="13"/>
        <v>2.1</v>
      </c>
      <c r="D887" s="8">
        <v>0.25126546621322632</v>
      </c>
      <c r="E887" s="5">
        <f>MATCH(D887,'Route Data'!$C$7:$C$8,1)</f>
        <v>2</v>
      </c>
      <c r="F887" s="5">
        <f>INDEX('Route Data'!$D$7:$D$8,E887)</f>
        <v>1</v>
      </c>
      <c r="G887" s="5" t="str">
        <f>INDEX('Route Data'!$A$7:$A$8,E887)</f>
        <v>u18</v>
      </c>
      <c r="H887" s="5">
        <f>EnergyCoeff(INDEX('Route Data'!$K$7:$K$8,E887),INDEX('Route Data'!$L$7:$L$8,E887)*2*PI()/60,INDEX('Route Data'!$F$7:$F$8,E887))</f>
        <v>0.19430699130049439</v>
      </c>
      <c r="I887" s="5">
        <f>DischargeCoeff(INDEX('Route Data'!$I$7:$I$8,E887), INDEX('Route Data'!$L$7:$L$8,E887)*2*PI()/60, INDEX('Route Data'!$F$7:$F$8,E887))</f>
        <v>0.15939200179827354</v>
      </c>
      <c r="J887" s="8">
        <f>FlowAngleRel(INDEX('Route Data'!$J$7:$J$8,E887)*INDEX('Route Data'!$I$7:$I$8,E887), INDEX('Route Data'!$L$7:$L$8,E887)*2*PI()/60, INDEX('Route Data'!$F$7:$F$8,E887),INDEX('Route Data'!$O$7:$O$8,E887), INDEX('Route Data'!$P$7:$P$8,E887),INDEX('Route Data'!$M$7:$M$8,E887))</f>
        <v>1.130811765868994</v>
      </c>
      <c r="K887" s="8">
        <f>FlowAngleAbsT(INDEX('Route Data'!$K$7:$K$8,E887), INDEX('Route Data'!$I$7:$I$8,E887), INDEX('Route Data'!$I$7:$I$8,E887)*INDEX('Route Data'!$J$7:$J$8,E887), INDEX('Route Data'!$L$7:$L$8,E887)*2*PI()/60, INDEX('Route Data'!$F$7:$F$8,E887),INDEX('Route Data'!$O$7:$O$8,E887), INDEX('Route Data'!$P$7:$P$8,E887), INDEX('Route Data'!$H$7:$H$8,E887), INDEX('Route Data'!$Q$7:$Q$8,E887), INDEX('Route Data'!$M$7:$M$8,E887))</f>
        <v>0.51617226640175828</v>
      </c>
      <c r="L887" s="5">
        <f>INDEX('Route Data'!$N$7:$N$8,E887)</f>
        <v>0.4</v>
      </c>
      <c r="M887" s="8">
        <v>0.63571876287460327</v>
      </c>
      <c r="N887" s="8">
        <f>ProbStrikeFrancis(K887, I887, L887, INDEX('Route Data'!$G$7:$G$8,E887),C887, INDEX('Route Data'!$F$7:$F$8,E887), INDEX('Route Data'!$O$7:$O$8,E887), INDEX('Route Data'!$H$7:$H$18,E887))</f>
        <v>1</v>
      </c>
      <c r="O887" s="5" t="str">
        <f>IF(F887&gt;=1,IF(M887&lt;=N887,"STRIKE","pass"),IF(M887&lt;=INDEX('Route Data'!$R$7:$R$8,E887),"NO PASS","pass"))</f>
        <v>STRIKE</v>
      </c>
      <c r="P887" s="5">
        <f>IF(F887&gt;=1,IF(M887&lt;=N887,1,0),IF(M887&lt;=INDEX('Route Data'!$R$7:$R$8,E887),-1,0))</f>
        <v>1</v>
      </c>
    </row>
    <row r="888" spans="1:16">
      <c r="A888" s="5">
        <v>878</v>
      </c>
      <c r="B888" s="12">
        <v>27.57</v>
      </c>
      <c r="C888" s="12">
        <f t="shared" si="13"/>
        <v>2.2999999999999998</v>
      </c>
      <c r="D888" s="8">
        <v>0.36471498012542725</v>
      </c>
      <c r="E888" s="5">
        <f>MATCH(D888,'Route Data'!$C$7:$C$8,1)</f>
        <v>2</v>
      </c>
      <c r="F888" s="5">
        <f>INDEX('Route Data'!$D$7:$D$8,E888)</f>
        <v>1</v>
      </c>
      <c r="G888" s="5" t="str">
        <f>INDEX('Route Data'!$A$7:$A$8,E888)</f>
        <v>u18</v>
      </c>
      <c r="H888" s="5">
        <f>EnergyCoeff(INDEX('Route Data'!$K$7:$K$8,E888),INDEX('Route Data'!$L$7:$L$8,E888)*2*PI()/60,INDEX('Route Data'!$F$7:$F$8,E888))</f>
        <v>0.19430699130049439</v>
      </c>
      <c r="I888" s="5">
        <f>DischargeCoeff(INDEX('Route Data'!$I$7:$I$8,E888), INDEX('Route Data'!$L$7:$L$8,E888)*2*PI()/60, INDEX('Route Data'!$F$7:$F$8,E888))</f>
        <v>0.15939200179827354</v>
      </c>
      <c r="J888" s="8">
        <f>FlowAngleRel(INDEX('Route Data'!$J$7:$J$8,E888)*INDEX('Route Data'!$I$7:$I$8,E888), INDEX('Route Data'!$L$7:$L$8,E888)*2*PI()/60, INDEX('Route Data'!$F$7:$F$8,E888),INDEX('Route Data'!$O$7:$O$8,E888), INDEX('Route Data'!$P$7:$P$8,E888),INDEX('Route Data'!$M$7:$M$8,E888))</f>
        <v>1.130811765868994</v>
      </c>
      <c r="K888" s="8">
        <f>FlowAngleAbsT(INDEX('Route Data'!$K$7:$K$8,E888), INDEX('Route Data'!$I$7:$I$8,E888), INDEX('Route Data'!$I$7:$I$8,E888)*INDEX('Route Data'!$J$7:$J$8,E888), INDEX('Route Data'!$L$7:$L$8,E888)*2*PI()/60, INDEX('Route Data'!$F$7:$F$8,E888),INDEX('Route Data'!$O$7:$O$8,E888), INDEX('Route Data'!$P$7:$P$8,E888), INDEX('Route Data'!$H$7:$H$8,E888), INDEX('Route Data'!$Q$7:$Q$8,E888), INDEX('Route Data'!$M$7:$M$8,E888))</f>
        <v>0.51617226640175828</v>
      </c>
      <c r="L888" s="5">
        <f>INDEX('Route Data'!$N$7:$N$8,E888)</f>
        <v>0.4</v>
      </c>
      <c r="M888" s="8">
        <v>0.45818126201629639</v>
      </c>
      <c r="N888" s="8">
        <f>ProbStrikeFrancis(K888, I888, L888, INDEX('Route Data'!$G$7:$G$8,E888),C888, INDEX('Route Data'!$F$7:$F$8,E888), INDEX('Route Data'!$O$7:$O$8,E888), INDEX('Route Data'!$H$7:$H$18,E888))</f>
        <v>1</v>
      </c>
      <c r="O888" s="5" t="str">
        <f>IF(F888&gt;=1,IF(M888&lt;=N888,"STRIKE","pass"),IF(M888&lt;=INDEX('Route Data'!$R$7:$R$8,E888),"NO PASS","pass"))</f>
        <v>STRIKE</v>
      </c>
      <c r="P888" s="5">
        <f>IF(F888&gt;=1,IF(M888&lt;=N888,1,0),IF(M888&lt;=INDEX('Route Data'!$R$7:$R$8,E888),-1,0))</f>
        <v>1</v>
      </c>
    </row>
    <row r="889" spans="1:16">
      <c r="A889" s="5">
        <v>879</v>
      </c>
      <c r="B889" s="12">
        <v>22.68</v>
      </c>
      <c r="C889" s="12">
        <f t="shared" si="13"/>
        <v>1.89</v>
      </c>
      <c r="D889" s="8">
        <v>0.28994566202163696</v>
      </c>
      <c r="E889" s="5">
        <f>MATCH(D889,'Route Data'!$C$7:$C$8,1)</f>
        <v>2</v>
      </c>
      <c r="F889" s="5">
        <f>INDEX('Route Data'!$D$7:$D$8,E889)</f>
        <v>1</v>
      </c>
      <c r="G889" s="5" t="str">
        <f>INDEX('Route Data'!$A$7:$A$8,E889)</f>
        <v>u18</v>
      </c>
      <c r="H889" s="5">
        <f>EnergyCoeff(INDEX('Route Data'!$K$7:$K$8,E889),INDEX('Route Data'!$L$7:$L$8,E889)*2*PI()/60,INDEX('Route Data'!$F$7:$F$8,E889))</f>
        <v>0.19430699130049439</v>
      </c>
      <c r="I889" s="5">
        <f>DischargeCoeff(INDEX('Route Data'!$I$7:$I$8,E889), INDEX('Route Data'!$L$7:$L$8,E889)*2*PI()/60, INDEX('Route Data'!$F$7:$F$8,E889))</f>
        <v>0.15939200179827354</v>
      </c>
      <c r="J889" s="8">
        <f>FlowAngleRel(INDEX('Route Data'!$J$7:$J$8,E889)*INDEX('Route Data'!$I$7:$I$8,E889), INDEX('Route Data'!$L$7:$L$8,E889)*2*PI()/60, INDEX('Route Data'!$F$7:$F$8,E889),INDEX('Route Data'!$O$7:$O$8,E889), INDEX('Route Data'!$P$7:$P$8,E889),INDEX('Route Data'!$M$7:$M$8,E889))</f>
        <v>1.130811765868994</v>
      </c>
      <c r="K889" s="8">
        <f>FlowAngleAbsT(INDEX('Route Data'!$K$7:$K$8,E889), INDEX('Route Data'!$I$7:$I$8,E889), INDEX('Route Data'!$I$7:$I$8,E889)*INDEX('Route Data'!$J$7:$J$8,E889), INDEX('Route Data'!$L$7:$L$8,E889)*2*PI()/60, INDEX('Route Data'!$F$7:$F$8,E889),INDEX('Route Data'!$O$7:$O$8,E889), INDEX('Route Data'!$P$7:$P$8,E889), INDEX('Route Data'!$H$7:$H$8,E889), INDEX('Route Data'!$Q$7:$Q$8,E889), INDEX('Route Data'!$M$7:$M$8,E889))</f>
        <v>0.51617226640175828</v>
      </c>
      <c r="L889" s="5">
        <f>INDEX('Route Data'!$N$7:$N$8,E889)</f>
        <v>0.4</v>
      </c>
      <c r="M889" s="8">
        <v>0.72521454095840454</v>
      </c>
      <c r="N889" s="8">
        <f>ProbStrikeFrancis(K889, I889, L889, INDEX('Route Data'!$G$7:$G$8,E889),C889, INDEX('Route Data'!$F$7:$F$8,E889), INDEX('Route Data'!$O$7:$O$8,E889), INDEX('Route Data'!$H$7:$H$18,E889))</f>
        <v>1</v>
      </c>
      <c r="O889" s="5" t="str">
        <f>IF(F889&gt;=1,IF(M889&lt;=N889,"STRIKE","pass"),IF(M889&lt;=INDEX('Route Data'!$R$7:$R$8,E889),"NO PASS","pass"))</f>
        <v>STRIKE</v>
      </c>
      <c r="P889" s="5">
        <f>IF(F889&gt;=1,IF(M889&lt;=N889,1,0),IF(M889&lt;=INDEX('Route Data'!$R$7:$R$8,E889),-1,0))</f>
        <v>1</v>
      </c>
    </row>
    <row r="890" spans="1:16">
      <c r="A890" s="5">
        <v>880</v>
      </c>
      <c r="B890" s="12">
        <v>24.85</v>
      </c>
      <c r="C890" s="12">
        <f t="shared" si="13"/>
        <v>2.0699999999999998</v>
      </c>
      <c r="D890" s="8">
        <v>0.51425361633300781</v>
      </c>
      <c r="E890" s="5">
        <f>MATCH(D890,'Route Data'!$C$7:$C$8,1)</f>
        <v>2</v>
      </c>
      <c r="F890" s="5">
        <f>INDEX('Route Data'!$D$7:$D$8,E890)</f>
        <v>1</v>
      </c>
      <c r="G890" s="5" t="str">
        <f>INDEX('Route Data'!$A$7:$A$8,E890)</f>
        <v>u18</v>
      </c>
      <c r="H890" s="5">
        <f>EnergyCoeff(INDEX('Route Data'!$K$7:$K$8,E890),INDEX('Route Data'!$L$7:$L$8,E890)*2*PI()/60,INDEX('Route Data'!$F$7:$F$8,E890))</f>
        <v>0.19430699130049439</v>
      </c>
      <c r="I890" s="5">
        <f>DischargeCoeff(INDEX('Route Data'!$I$7:$I$8,E890), INDEX('Route Data'!$L$7:$L$8,E890)*2*PI()/60, INDEX('Route Data'!$F$7:$F$8,E890))</f>
        <v>0.15939200179827354</v>
      </c>
      <c r="J890" s="8">
        <f>FlowAngleRel(INDEX('Route Data'!$J$7:$J$8,E890)*INDEX('Route Data'!$I$7:$I$8,E890), INDEX('Route Data'!$L$7:$L$8,E890)*2*PI()/60, INDEX('Route Data'!$F$7:$F$8,E890),INDEX('Route Data'!$O$7:$O$8,E890), INDEX('Route Data'!$P$7:$P$8,E890),INDEX('Route Data'!$M$7:$M$8,E890))</f>
        <v>1.130811765868994</v>
      </c>
      <c r="K890" s="8">
        <f>FlowAngleAbsT(INDEX('Route Data'!$K$7:$K$8,E890), INDEX('Route Data'!$I$7:$I$8,E890), INDEX('Route Data'!$I$7:$I$8,E890)*INDEX('Route Data'!$J$7:$J$8,E890), INDEX('Route Data'!$L$7:$L$8,E890)*2*PI()/60, INDEX('Route Data'!$F$7:$F$8,E890),INDEX('Route Data'!$O$7:$O$8,E890), INDEX('Route Data'!$P$7:$P$8,E890), INDEX('Route Data'!$H$7:$H$8,E890), INDEX('Route Data'!$Q$7:$Q$8,E890), INDEX('Route Data'!$M$7:$M$8,E890))</f>
        <v>0.51617226640175828</v>
      </c>
      <c r="L890" s="5">
        <f>INDEX('Route Data'!$N$7:$N$8,E890)</f>
        <v>0.4</v>
      </c>
      <c r="M890" s="8">
        <v>0.92411470413208008</v>
      </c>
      <c r="N890" s="8">
        <f>ProbStrikeFrancis(K890, I890, L890, INDEX('Route Data'!$G$7:$G$8,E890),C890, INDEX('Route Data'!$F$7:$F$8,E890), INDEX('Route Data'!$O$7:$O$8,E890), INDEX('Route Data'!$H$7:$H$18,E890))</f>
        <v>1</v>
      </c>
      <c r="O890" s="5" t="str">
        <f>IF(F890&gt;=1,IF(M890&lt;=N890,"STRIKE","pass"),IF(M890&lt;=INDEX('Route Data'!$R$7:$R$8,E890),"NO PASS","pass"))</f>
        <v>STRIKE</v>
      </c>
      <c r="P890" s="5">
        <f>IF(F890&gt;=1,IF(M890&lt;=N890,1,0),IF(M890&lt;=INDEX('Route Data'!$R$7:$R$8,E890),-1,0))</f>
        <v>1</v>
      </c>
    </row>
    <row r="891" spans="1:16">
      <c r="A891" s="5">
        <v>881</v>
      </c>
      <c r="B891" s="12">
        <v>24.7</v>
      </c>
      <c r="C891" s="12">
        <f t="shared" si="13"/>
        <v>2.06</v>
      </c>
      <c r="D891" s="8">
        <v>0.57575052976608276</v>
      </c>
      <c r="E891" s="5">
        <f>MATCH(D891,'Route Data'!$C$7:$C$8,1)</f>
        <v>2</v>
      </c>
      <c r="F891" s="5">
        <f>INDEX('Route Data'!$D$7:$D$8,E891)</f>
        <v>1</v>
      </c>
      <c r="G891" s="5" t="str">
        <f>INDEX('Route Data'!$A$7:$A$8,E891)</f>
        <v>u18</v>
      </c>
      <c r="H891" s="5">
        <f>EnergyCoeff(INDEX('Route Data'!$K$7:$K$8,E891),INDEX('Route Data'!$L$7:$L$8,E891)*2*PI()/60,INDEX('Route Data'!$F$7:$F$8,E891))</f>
        <v>0.19430699130049439</v>
      </c>
      <c r="I891" s="5">
        <f>DischargeCoeff(INDEX('Route Data'!$I$7:$I$8,E891), INDEX('Route Data'!$L$7:$L$8,E891)*2*PI()/60, INDEX('Route Data'!$F$7:$F$8,E891))</f>
        <v>0.15939200179827354</v>
      </c>
      <c r="J891" s="8">
        <f>FlowAngleRel(INDEX('Route Data'!$J$7:$J$8,E891)*INDEX('Route Data'!$I$7:$I$8,E891), INDEX('Route Data'!$L$7:$L$8,E891)*2*PI()/60, INDEX('Route Data'!$F$7:$F$8,E891),INDEX('Route Data'!$O$7:$O$8,E891), INDEX('Route Data'!$P$7:$P$8,E891),INDEX('Route Data'!$M$7:$M$8,E891))</f>
        <v>1.130811765868994</v>
      </c>
      <c r="K891" s="8">
        <f>FlowAngleAbsT(INDEX('Route Data'!$K$7:$K$8,E891), INDEX('Route Data'!$I$7:$I$8,E891), INDEX('Route Data'!$I$7:$I$8,E891)*INDEX('Route Data'!$J$7:$J$8,E891), INDEX('Route Data'!$L$7:$L$8,E891)*2*PI()/60, INDEX('Route Data'!$F$7:$F$8,E891),INDEX('Route Data'!$O$7:$O$8,E891), INDEX('Route Data'!$P$7:$P$8,E891), INDEX('Route Data'!$H$7:$H$8,E891), INDEX('Route Data'!$Q$7:$Q$8,E891), INDEX('Route Data'!$M$7:$M$8,E891))</f>
        <v>0.51617226640175828</v>
      </c>
      <c r="L891" s="5">
        <f>INDEX('Route Data'!$N$7:$N$8,E891)</f>
        <v>0.4</v>
      </c>
      <c r="M891" s="8">
        <v>0.59299343824386597</v>
      </c>
      <c r="N891" s="8">
        <f>ProbStrikeFrancis(K891, I891, L891, INDEX('Route Data'!$G$7:$G$8,E891),C891, INDEX('Route Data'!$F$7:$F$8,E891), INDEX('Route Data'!$O$7:$O$8,E891), INDEX('Route Data'!$H$7:$H$18,E891))</f>
        <v>1</v>
      </c>
      <c r="O891" s="5" t="str">
        <f>IF(F891&gt;=1,IF(M891&lt;=N891,"STRIKE","pass"),IF(M891&lt;=INDEX('Route Data'!$R$7:$R$8,E891),"NO PASS","pass"))</f>
        <v>STRIKE</v>
      </c>
      <c r="P891" s="5">
        <f>IF(F891&gt;=1,IF(M891&lt;=N891,1,0),IF(M891&lt;=INDEX('Route Data'!$R$7:$R$8,E891),-1,0))</f>
        <v>1</v>
      </c>
    </row>
    <row r="892" spans="1:16">
      <c r="A892" s="5">
        <v>882</v>
      </c>
      <c r="B892" s="12">
        <v>18.059999999999999</v>
      </c>
      <c r="C892" s="12">
        <f t="shared" si="13"/>
        <v>1.51</v>
      </c>
      <c r="D892" s="8">
        <v>0.86010134220123291</v>
      </c>
      <c r="E892" s="5">
        <f>MATCH(D892,'Route Data'!$C$7:$C$8,1)</f>
        <v>2</v>
      </c>
      <c r="F892" s="5">
        <f>INDEX('Route Data'!$D$7:$D$8,E892)</f>
        <v>1</v>
      </c>
      <c r="G892" s="5" t="str">
        <f>INDEX('Route Data'!$A$7:$A$8,E892)</f>
        <v>u18</v>
      </c>
      <c r="H892" s="5">
        <f>EnergyCoeff(INDEX('Route Data'!$K$7:$K$8,E892),INDEX('Route Data'!$L$7:$L$8,E892)*2*PI()/60,INDEX('Route Data'!$F$7:$F$8,E892))</f>
        <v>0.19430699130049439</v>
      </c>
      <c r="I892" s="5">
        <f>DischargeCoeff(INDEX('Route Data'!$I$7:$I$8,E892), INDEX('Route Data'!$L$7:$L$8,E892)*2*PI()/60, INDEX('Route Data'!$F$7:$F$8,E892))</f>
        <v>0.15939200179827354</v>
      </c>
      <c r="J892" s="8">
        <f>FlowAngleRel(INDEX('Route Data'!$J$7:$J$8,E892)*INDEX('Route Data'!$I$7:$I$8,E892), INDEX('Route Data'!$L$7:$L$8,E892)*2*PI()/60, INDEX('Route Data'!$F$7:$F$8,E892),INDEX('Route Data'!$O$7:$O$8,E892), INDEX('Route Data'!$P$7:$P$8,E892),INDEX('Route Data'!$M$7:$M$8,E892))</f>
        <v>1.130811765868994</v>
      </c>
      <c r="K892" s="8">
        <f>FlowAngleAbsT(INDEX('Route Data'!$K$7:$K$8,E892), INDEX('Route Data'!$I$7:$I$8,E892), INDEX('Route Data'!$I$7:$I$8,E892)*INDEX('Route Data'!$J$7:$J$8,E892), INDEX('Route Data'!$L$7:$L$8,E892)*2*PI()/60, INDEX('Route Data'!$F$7:$F$8,E892),INDEX('Route Data'!$O$7:$O$8,E892), INDEX('Route Data'!$P$7:$P$8,E892), INDEX('Route Data'!$H$7:$H$8,E892), INDEX('Route Data'!$Q$7:$Q$8,E892), INDEX('Route Data'!$M$7:$M$8,E892))</f>
        <v>0.51617226640175828</v>
      </c>
      <c r="L892" s="5">
        <f>INDEX('Route Data'!$N$7:$N$8,E892)</f>
        <v>0.4</v>
      </c>
      <c r="M892" s="8">
        <v>0.5863572359085083</v>
      </c>
      <c r="N892" s="8">
        <f>ProbStrikeFrancis(K892, I892, L892, INDEX('Route Data'!$G$7:$G$8,E892),C892, INDEX('Route Data'!$F$7:$F$8,E892), INDEX('Route Data'!$O$7:$O$8,E892), INDEX('Route Data'!$H$7:$H$18,E892))</f>
        <v>1</v>
      </c>
      <c r="O892" s="5" t="str">
        <f>IF(F892&gt;=1,IF(M892&lt;=N892,"STRIKE","pass"),IF(M892&lt;=INDEX('Route Data'!$R$7:$R$8,E892),"NO PASS","pass"))</f>
        <v>STRIKE</v>
      </c>
      <c r="P892" s="5">
        <f>IF(F892&gt;=1,IF(M892&lt;=N892,1,0),IF(M892&lt;=INDEX('Route Data'!$R$7:$R$8,E892),-1,0))</f>
        <v>1</v>
      </c>
    </row>
    <row r="893" spans="1:16">
      <c r="A893" s="5">
        <v>883</v>
      </c>
      <c r="B893" s="12">
        <v>19.21</v>
      </c>
      <c r="C893" s="12">
        <f t="shared" si="13"/>
        <v>1.6</v>
      </c>
      <c r="D893" s="8">
        <v>0.27262812852859497</v>
      </c>
      <c r="E893" s="5">
        <f>MATCH(D893,'Route Data'!$C$7:$C$8,1)</f>
        <v>2</v>
      </c>
      <c r="F893" s="5">
        <f>INDEX('Route Data'!$D$7:$D$8,E893)</f>
        <v>1</v>
      </c>
      <c r="G893" s="5" t="str">
        <f>INDEX('Route Data'!$A$7:$A$8,E893)</f>
        <v>u18</v>
      </c>
      <c r="H893" s="5">
        <f>EnergyCoeff(INDEX('Route Data'!$K$7:$K$8,E893),INDEX('Route Data'!$L$7:$L$8,E893)*2*PI()/60,INDEX('Route Data'!$F$7:$F$8,E893))</f>
        <v>0.19430699130049439</v>
      </c>
      <c r="I893" s="5">
        <f>DischargeCoeff(INDEX('Route Data'!$I$7:$I$8,E893), INDEX('Route Data'!$L$7:$L$8,E893)*2*PI()/60, INDEX('Route Data'!$F$7:$F$8,E893))</f>
        <v>0.15939200179827354</v>
      </c>
      <c r="J893" s="8">
        <f>FlowAngleRel(INDEX('Route Data'!$J$7:$J$8,E893)*INDEX('Route Data'!$I$7:$I$8,E893), INDEX('Route Data'!$L$7:$L$8,E893)*2*PI()/60, INDEX('Route Data'!$F$7:$F$8,E893),INDEX('Route Data'!$O$7:$O$8,E893), INDEX('Route Data'!$P$7:$P$8,E893),INDEX('Route Data'!$M$7:$M$8,E893))</f>
        <v>1.130811765868994</v>
      </c>
      <c r="K893" s="8">
        <f>FlowAngleAbsT(INDEX('Route Data'!$K$7:$K$8,E893), INDEX('Route Data'!$I$7:$I$8,E893), INDEX('Route Data'!$I$7:$I$8,E893)*INDEX('Route Data'!$J$7:$J$8,E893), INDEX('Route Data'!$L$7:$L$8,E893)*2*PI()/60, INDEX('Route Data'!$F$7:$F$8,E893),INDEX('Route Data'!$O$7:$O$8,E893), INDEX('Route Data'!$P$7:$P$8,E893), INDEX('Route Data'!$H$7:$H$8,E893), INDEX('Route Data'!$Q$7:$Q$8,E893), INDEX('Route Data'!$M$7:$M$8,E893))</f>
        <v>0.51617226640175828</v>
      </c>
      <c r="L893" s="5">
        <f>INDEX('Route Data'!$N$7:$N$8,E893)</f>
        <v>0.4</v>
      </c>
      <c r="M893" s="8">
        <v>0.3406866192817688</v>
      </c>
      <c r="N893" s="8">
        <f>ProbStrikeFrancis(K893, I893, L893, INDEX('Route Data'!$G$7:$G$8,E893),C893, INDEX('Route Data'!$F$7:$F$8,E893), INDEX('Route Data'!$O$7:$O$8,E893), INDEX('Route Data'!$H$7:$H$18,E893))</f>
        <v>1</v>
      </c>
      <c r="O893" s="5" t="str">
        <f>IF(F893&gt;=1,IF(M893&lt;=N893,"STRIKE","pass"),IF(M893&lt;=INDEX('Route Data'!$R$7:$R$8,E893),"NO PASS","pass"))</f>
        <v>STRIKE</v>
      </c>
      <c r="P893" s="5">
        <f>IF(F893&gt;=1,IF(M893&lt;=N893,1,0),IF(M893&lt;=INDEX('Route Data'!$R$7:$R$8,E893),-1,0))</f>
        <v>1</v>
      </c>
    </row>
    <row r="894" spans="1:16">
      <c r="A894" s="5">
        <v>884</v>
      </c>
      <c r="B894" s="12">
        <v>19.84</v>
      </c>
      <c r="C894" s="12">
        <f t="shared" si="13"/>
        <v>1.65</v>
      </c>
      <c r="D894" s="8">
        <v>0.30062699317932129</v>
      </c>
      <c r="E894" s="5">
        <f>MATCH(D894,'Route Data'!$C$7:$C$8,1)</f>
        <v>2</v>
      </c>
      <c r="F894" s="5">
        <f>INDEX('Route Data'!$D$7:$D$8,E894)</f>
        <v>1</v>
      </c>
      <c r="G894" s="5" t="str">
        <f>INDEX('Route Data'!$A$7:$A$8,E894)</f>
        <v>u18</v>
      </c>
      <c r="H894" s="5">
        <f>EnergyCoeff(INDEX('Route Data'!$K$7:$K$8,E894),INDEX('Route Data'!$L$7:$L$8,E894)*2*PI()/60,INDEX('Route Data'!$F$7:$F$8,E894))</f>
        <v>0.19430699130049439</v>
      </c>
      <c r="I894" s="5">
        <f>DischargeCoeff(INDEX('Route Data'!$I$7:$I$8,E894), INDEX('Route Data'!$L$7:$L$8,E894)*2*PI()/60, INDEX('Route Data'!$F$7:$F$8,E894))</f>
        <v>0.15939200179827354</v>
      </c>
      <c r="J894" s="8">
        <f>FlowAngleRel(INDEX('Route Data'!$J$7:$J$8,E894)*INDEX('Route Data'!$I$7:$I$8,E894), INDEX('Route Data'!$L$7:$L$8,E894)*2*PI()/60, INDEX('Route Data'!$F$7:$F$8,E894),INDEX('Route Data'!$O$7:$O$8,E894), INDEX('Route Data'!$P$7:$P$8,E894),INDEX('Route Data'!$M$7:$M$8,E894))</f>
        <v>1.130811765868994</v>
      </c>
      <c r="K894" s="8">
        <f>FlowAngleAbsT(INDEX('Route Data'!$K$7:$K$8,E894), INDEX('Route Data'!$I$7:$I$8,E894), INDEX('Route Data'!$I$7:$I$8,E894)*INDEX('Route Data'!$J$7:$J$8,E894), INDEX('Route Data'!$L$7:$L$8,E894)*2*PI()/60, INDEX('Route Data'!$F$7:$F$8,E894),INDEX('Route Data'!$O$7:$O$8,E894), INDEX('Route Data'!$P$7:$P$8,E894), INDEX('Route Data'!$H$7:$H$8,E894), INDEX('Route Data'!$Q$7:$Q$8,E894), INDEX('Route Data'!$M$7:$M$8,E894))</f>
        <v>0.51617226640175828</v>
      </c>
      <c r="L894" s="5">
        <f>INDEX('Route Data'!$N$7:$N$8,E894)</f>
        <v>0.4</v>
      </c>
      <c r="M894" s="8">
        <v>7.7698469161987305E-2</v>
      </c>
      <c r="N894" s="8">
        <f>ProbStrikeFrancis(K894, I894, L894, INDEX('Route Data'!$G$7:$G$8,E894),C894, INDEX('Route Data'!$F$7:$F$8,E894), INDEX('Route Data'!$O$7:$O$8,E894), INDEX('Route Data'!$H$7:$H$18,E894))</f>
        <v>1</v>
      </c>
      <c r="O894" s="5" t="str">
        <f>IF(F894&gt;=1,IF(M894&lt;=N894,"STRIKE","pass"),IF(M894&lt;=INDEX('Route Data'!$R$7:$R$8,E894),"NO PASS","pass"))</f>
        <v>STRIKE</v>
      </c>
      <c r="P894" s="5">
        <f>IF(F894&gt;=1,IF(M894&lt;=N894,1,0),IF(M894&lt;=INDEX('Route Data'!$R$7:$R$8,E894),-1,0))</f>
        <v>1</v>
      </c>
    </row>
    <row r="895" spans="1:16">
      <c r="A895" s="5">
        <v>885</v>
      </c>
      <c r="B895" s="12">
        <v>17.13</v>
      </c>
      <c r="C895" s="12">
        <f t="shared" si="13"/>
        <v>1.43</v>
      </c>
      <c r="D895" s="8">
        <v>0.48220962285995483</v>
      </c>
      <c r="E895" s="5">
        <f>MATCH(D895,'Route Data'!$C$7:$C$8,1)</f>
        <v>2</v>
      </c>
      <c r="F895" s="5">
        <f>INDEX('Route Data'!$D$7:$D$8,E895)</f>
        <v>1</v>
      </c>
      <c r="G895" s="5" t="str">
        <f>INDEX('Route Data'!$A$7:$A$8,E895)</f>
        <v>u18</v>
      </c>
      <c r="H895" s="5">
        <f>EnergyCoeff(INDEX('Route Data'!$K$7:$K$8,E895),INDEX('Route Data'!$L$7:$L$8,E895)*2*PI()/60,INDEX('Route Data'!$F$7:$F$8,E895))</f>
        <v>0.19430699130049439</v>
      </c>
      <c r="I895" s="5">
        <f>DischargeCoeff(INDEX('Route Data'!$I$7:$I$8,E895), INDEX('Route Data'!$L$7:$L$8,E895)*2*PI()/60, INDEX('Route Data'!$F$7:$F$8,E895))</f>
        <v>0.15939200179827354</v>
      </c>
      <c r="J895" s="8">
        <f>FlowAngleRel(INDEX('Route Data'!$J$7:$J$8,E895)*INDEX('Route Data'!$I$7:$I$8,E895), INDEX('Route Data'!$L$7:$L$8,E895)*2*PI()/60, INDEX('Route Data'!$F$7:$F$8,E895),INDEX('Route Data'!$O$7:$O$8,E895), INDEX('Route Data'!$P$7:$P$8,E895),INDEX('Route Data'!$M$7:$M$8,E895))</f>
        <v>1.130811765868994</v>
      </c>
      <c r="K895" s="8">
        <f>FlowAngleAbsT(INDEX('Route Data'!$K$7:$K$8,E895), INDEX('Route Data'!$I$7:$I$8,E895), INDEX('Route Data'!$I$7:$I$8,E895)*INDEX('Route Data'!$J$7:$J$8,E895), INDEX('Route Data'!$L$7:$L$8,E895)*2*PI()/60, INDEX('Route Data'!$F$7:$F$8,E895),INDEX('Route Data'!$O$7:$O$8,E895), INDEX('Route Data'!$P$7:$P$8,E895), INDEX('Route Data'!$H$7:$H$8,E895), INDEX('Route Data'!$Q$7:$Q$8,E895), INDEX('Route Data'!$M$7:$M$8,E895))</f>
        <v>0.51617226640175828</v>
      </c>
      <c r="L895" s="5">
        <f>INDEX('Route Data'!$N$7:$N$8,E895)</f>
        <v>0.4</v>
      </c>
      <c r="M895" s="8">
        <v>0.60108369588851929</v>
      </c>
      <c r="N895" s="8">
        <f>ProbStrikeFrancis(K895, I895, L895, INDEX('Route Data'!$G$7:$G$8,E895),C895, INDEX('Route Data'!$F$7:$F$8,E895), INDEX('Route Data'!$O$7:$O$8,E895), INDEX('Route Data'!$H$7:$H$18,E895))</f>
        <v>1</v>
      </c>
      <c r="O895" s="5" t="str">
        <f>IF(F895&gt;=1,IF(M895&lt;=N895,"STRIKE","pass"),IF(M895&lt;=INDEX('Route Data'!$R$7:$R$8,E895),"NO PASS","pass"))</f>
        <v>STRIKE</v>
      </c>
      <c r="P895" s="5">
        <f>IF(F895&gt;=1,IF(M895&lt;=N895,1,0),IF(M895&lt;=INDEX('Route Data'!$R$7:$R$8,E895),-1,0))</f>
        <v>1</v>
      </c>
    </row>
    <row r="896" spans="1:16">
      <c r="A896" s="5">
        <v>886</v>
      </c>
      <c r="B896" s="12">
        <v>22.6</v>
      </c>
      <c r="C896" s="12">
        <f t="shared" si="13"/>
        <v>1.88</v>
      </c>
      <c r="D896" s="8">
        <v>0.6718825101852417</v>
      </c>
      <c r="E896" s="5">
        <f>MATCH(D896,'Route Data'!$C$7:$C$8,1)</f>
        <v>2</v>
      </c>
      <c r="F896" s="5">
        <f>INDEX('Route Data'!$D$7:$D$8,E896)</f>
        <v>1</v>
      </c>
      <c r="G896" s="5" t="str">
        <f>INDEX('Route Data'!$A$7:$A$8,E896)</f>
        <v>u18</v>
      </c>
      <c r="H896" s="5">
        <f>EnergyCoeff(INDEX('Route Data'!$K$7:$K$8,E896),INDEX('Route Data'!$L$7:$L$8,E896)*2*PI()/60,INDEX('Route Data'!$F$7:$F$8,E896))</f>
        <v>0.19430699130049439</v>
      </c>
      <c r="I896" s="5">
        <f>DischargeCoeff(INDEX('Route Data'!$I$7:$I$8,E896), INDEX('Route Data'!$L$7:$L$8,E896)*2*PI()/60, INDEX('Route Data'!$F$7:$F$8,E896))</f>
        <v>0.15939200179827354</v>
      </c>
      <c r="J896" s="8">
        <f>FlowAngleRel(INDEX('Route Data'!$J$7:$J$8,E896)*INDEX('Route Data'!$I$7:$I$8,E896), INDEX('Route Data'!$L$7:$L$8,E896)*2*PI()/60, INDEX('Route Data'!$F$7:$F$8,E896),INDEX('Route Data'!$O$7:$O$8,E896), INDEX('Route Data'!$P$7:$P$8,E896),INDEX('Route Data'!$M$7:$M$8,E896))</f>
        <v>1.130811765868994</v>
      </c>
      <c r="K896" s="8">
        <f>FlowAngleAbsT(INDEX('Route Data'!$K$7:$K$8,E896), INDEX('Route Data'!$I$7:$I$8,E896), INDEX('Route Data'!$I$7:$I$8,E896)*INDEX('Route Data'!$J$7:$J$8,E896), INDEX('Route Data'!$L$7:$L$8,E896)*2*PI()/60, INDEX('Route Data'!$F$7:$F$8,E896),INDEX('Route Data'!$O$7:$O$8,E896), INDEX('Route Data'!$P$7:$P$8,E896), INDEX('Route Data'!$H$7:$H$8,E896), INDEX('Route Data'!$Q$7:$Q$8,E896), INDEX('Route Data'!$M$7:$M$8,E896))</f>
        <v>0.51617226640175828</v>
      </c>
      <c r="L896" s="5">
        <f>INDEX('Route Data'!$N$7:$N$8,E896)</f>
        <v>0.4</v>
      </c>
      <c r="M896" s="8">
        <v>3.092801570892334E-2</v>
      </c>
      <c r="N896" s="8">
        <f>ProbStrikeFrancis(K896, I896, L896, INDEX('Route Data'!$G$7:$G$8,E896),C896, INDEX('Route Data'!$F$7:$F$8,E896), INDEX('Route Data'!$O$7:$O$8,E896), INDEX('Route Data'!$H$7:$H$18,E896))</f>
        <v>1</v>
      </c>
      <c r="O896" s="5" t="str">
        <f>IF(F896&gt;=1,IF(M896&lt;=N896,"STRIKE","pass"),IF(M896&lt;=INDEX('Route Data'!$R$7:$R$8,E896),"NO PASS","pass"))</f>
        <v>STRIKE</v>
      </c>
      <c r="P896" s="5">
        <f>IF(F896&gt;=1,IF(M896&lt;=N896,1,0),IF(M896&lt;=INDEX('Route Data'!$R$7:$R$8,E896),-1,0))</f>
        <v>1</v>
      </c>
    </row>
    <row r="897" spans="1:16">
      <c r="A897" s="5">
        <v>887</v>
      </c>
      <c r="B897" s="12">
        <v>25.21</v>
      </c>
      <c r="C897" s="12">
        <f t="shared" si="13"/>
        <v>2.1</v>
      </c>
      <c r="D897" s="8">
        <v>0.5717054009437561</v>
      </c>
      <c r="E897" s="5">
        <f>MATCH(D897,'Route Data'!$C$7:$C$8,1)</f>
        <v>2</v>
      </c>
      <c r="F897" s="5">
        <f>INDEX('Route Data'!$D$7:$D$8,E897)</f>
        <v>1</v>
      </c>
      <c r="G897" s="5" t="str">
        <f>INDEX('Route Data'!$A$7:$A$8,E897)</f>
        <v>u18</v>
      </c>
      <c r="H897" s="5">
        <f>EnergyCoeff(INDEX('Route Data'!$K$7:$K$8,E897),INDEX('Route Data'!$L$7:$L$8,E897)*2*PI()/60,INDEX('Route Data'!$F$7:$F$8,E897))</f>
        <v>0.19430699130049439</v>
      </c>
      <c r="I897" s="5">
        <f>DischargeCoeff(INDEX('Route Data'!$I$7:$I$8,E897), INDEX('Route Data'!$L$7:$L$8,E897)*2*PI()/60, INDEX('Route Data'!$F$7:$F$8,E897))</f>
        <v>0.15939200179827354</v>
      </c>
      <c r="J897" s="8">
        <f>FlowAngleRel(INDEX('Route Data'!$J$7:$J$8,E897)*INDEX('Route Data'!$I$7:$I$8,E897), INDEX('Route Data'!$L$7:$L$8,E897)*2*PI()/60, INDEX('Route Data'!$F$7:$F$8,E897),INDEX('Route Data'!$O$7:$O$8,E897), INDEX('Route Data'!$P$7:$P$8,E897),INDEX('Route Data'!$M$7:$M$8,E897))</f>
        <v>1.130811765868994</v>
      </c>
      <c r="K897" s="8">
        <f>FlowAngleAbsT(INDEX('Route Data'!$K$7:$K$8,E897), INDEX('Route Data'!$I$7:$I$8,E897), INDEX('Route Data'!$I$7:$I$8,E897)*INDEX('Route Data'!$J$7:$J$8,E897), INDEX('Route Data'!$L$7:$L$8,E897)*2*PI()/60, INDEX('Route Data'!$F$7:$F$8,E897),INDEX('Route Data'!$O$7:$O$8,E897), INDEX('Route Data'!$P$7:$P$8,E897), INDEX('Route Data'!$H$7:$H$8,E897), INDEX('Route Data'!$Q$7:$Q$8,E897), INDEX('Route Data'!$M$7:$M$8,E897))</f>
        <v>0.51617226640175828</v>
      </c>
      <c r="L897" s="5">
        <f>INDEX('Route Data'!$N$7:$N$8,E897)</f>
        <v>0.4</v>
      </c>
      <c r="M897" s="8">
        <v>0.27255350351333618</v>
      </c>
      <c r="N897" s="8">
        <f>ProbStrikeFrancis(K897, I897, L897, INDEX('Route Data'!$G$7:$G$8,E897),C897, INDEX('Route Data'!$F$7:$F$8,E897), INDEX('Route Data'!$O$7:$O$8,E897), INDEX('Route Data'!$H$7:$H$18,E897))</f>
        <v>1</v>
      </c>
      <c r="O897" s="5" t="str">
        <f>IF(F897&gt;=1,IF(M897&lt;=N897,"STRIKE","pass"),IF(M897&lt;=INDEX('Route Data'!$R$7:$R$8,E897),"NO PASS","pass"))</f>
        <v>STRIKE</v>
      </c>
      <c r="P897" s="5">
        <f>IF(F897&gt;=1,IF(M897&lt;=N897,1,0),IF(M897&lt;=INDEX('Route Data'!$R$7:$R$8,E897),-1,0))</f>
        <v>1</v>
      </c>
    </row>
    <row r="898" spans="1:16">
      <c r="A898" s="5">
        <v>888</v>
      </c>
      <c r="B898" s="12">
        <v>23.8</v>
      </c>
      <c r="C898" s="12">
        <f t="shared" si="13"/>
        <v>1.98</v>
      </c>
      <c r="D898" s="8">
        <v>0.13781595230102539</v>
      </c>
      <c r="E898" s="5">
        <f>MATCH(D898,'Route Data'!$C$7:$C$8,1)</f>
        <v>2</v>
      </c>
      <c r="F898" s="5">
        <f>INDEX('Route Data'!$D$7:$D$8,E898)</f>
        <v>1</v>
      </c>
      <c r="G898" s="5" t="str">
        <f>INDEX('Route Data'!$A$7:$A$8,E898)</f>
        <v>u18</v>
      </c>
      <c r="H898" s="5">
        <f>EnergyCoeff(INDEX('Route Data'!$K$7:$K$8,E898),INDEX('Route Data'!$L$7:$L$8,E898)*2*PI()/60,INDEX('Route Data'!$F$7:$F$8,E898))</f>
        <v>0.19430699130049439</v>
      </c>
      <c r="I898" s="5">
        <f>DischargeCoeff(INDEX('Route Data'!$I$7:$I$8,E898), INDEX('Route Data'!$L$7:$L$8,E898)*2*PI()/60, INDEX('Route Data'!$F$7:$F$8,E898))</f>
        <v>0.15939200179827354</v>
      </c>
      <c r="J898" s="8">
        <f>FlowAngleRel(INDEX('Route Data'!$J$7:$J$8,E898)*INDEX('Route Data'!$I$7:$I$8,E898), INDEX('Route Data'!$L$7:$L$8,E898)*2*PI()/60, INDEX('Route Data'!$F$7:$F$8,E898),INDEX('Route Data'!$O$7:$O$8,E898), INDEX('Route Data'!$P$7:$P$8,E898),INDEX('Route Data'!$M$7:$M$8,E898))</f>
        <v>1.130811765868994</v>
      </c>
      <c r="K898" s="8">
        <f>FlowAngleAbsT(INDEX('Route Data'!$K$7:$K$8,E898), INDEX('Route Data'!$I$7:$I$8,E898), INDEX('Route Data'!$I$7:$I$8,E898)*INDEX('Route Data'!$J$7:$J$8,E898), INDEX('Route Data'!$L$7:$L$8,E898)*2*PI()/60, INDEX('Route Data'!$F$7:$F$8,E898),INDEX('Route Data'!$O$7:$O$8,E898), INDEX('Route Data'!$P$7:$P$8,E898), INDEX('Route Data'!$H$7:$H$8,E898), INDEX('Route Data'!$Q$7:$Q$8,E898), INDEX('Route Data'!$M$7:$M$8,E898))</f>
        <v>0.51617226640175828</v>
      </c>
      <c r="L898" s="5">
        <f>INDEX('Route Data'!$N$7:$N$8,E898)</f>
        <v>0.4</v>
      </c>
      <c r="M898" s="8">
        <v>0.54767704010009766</v>
      </c>
      <c r="N898" s="8">
        <f>ProbStrikeFrancis(K898, I898, L898, INDEX('Route Data'!$G$7:$G$8,E898),C898, INDEX('Route Data'!$F$7:$F$8,E898), INDEX('Route Data'!$O$7:$O$8,E898), INDEX('Route Data'!$H$7:$H$18,E898))</f>
        <v>1</v>
      </c>
      <c r="O898" s="5" t="str">
        <f>IF(F898&gt;=1,IF(M898&lt;=N898,"STRIKE","pass"),IF(M898&lt;=INDEX('Route Data'!$R$7:$R$8,E898),"NO PASS","pass"))</f>
        <v>STRIKE</v>
      </c>
      <c r="P898" s="5">
        <f>IF(F898&gt;=1,IF(M898&lt;=N898,1,0),IF(M898&lt;=INDEX('Route Data'!$R$7:$R$8,E898),-1,0))</f>
        <v>1</v>
      </c>
    </row>
    <row r="899" spans="1:16">
      <c r="A899" s="5">
        <v>889</v>
      </c>
      <c r="B899" s="12">
        <v>21.36</v>
      </c>
      <c r="C899" s="12">
        <f t="shared" si="13"/>
        <v>1.78</v>
      </c>
      <c r="D899" s="8">
        <v>0.43948429822921753</v>
      </c>
      <c r="E899" s="5">
        <f>MATCH(D899,'Route Data'!$C$7:$C$8,1)</f>
        <v>2</v>
      </c>
      <c r="F899" s="5">
        <f>INDEX('Route Data'!$D$7:$D$8,E899)</f>
        <v>1</v>
      </c>
      <c r="G899" s="5" t="str">
        <f>INDEX('Route Data'!$A$7:$A$8,E899)</f>
        <v>u18</v>
      </c>
      <c r="H899" s="5">
        <f>EnergyCoeff(INDEX('Route Data'!$K$7:$K$8,E899),INDEX('Route Data'!$L$7:$L$8,E899)*2*PI()/60,INDEX('Route Data'!$F$7:$F$8,E899))</f>
        <v>0.19430699130049439</v>
      </c>
      <c r="I899" s="5">
        <f>DischargeCoeff(INDEX('Route Data'!$I$7:$I$8,E899), INDEX('Route Data'!$L$7:$L$8,E899)*2*PI()/60, INDEX('Route Data'!$F$7:$F$8,E899))</f>
        <v>0.15939200179827354</v>
      </c>
      <c r="J899" s="8">
        <f>FlowAngleRel(INDEX('Route Data'!$J$7:$J$8,E899)*INDEX('Route Data'!$I$7:$I$8,E899), INDEX('Route Data'!$L$7:$L$8,E899)*2*PI()/60, INDEX('Route Data'!$F$7:$F$8,E899),INDEX('Route Data'!$O$7:$O$8,E899), INDEX('Route Data'!$P$7:$P$8,E899),INDEX('Route Data'!$M$7:$M$8,E899))</f>
        <v>1.130811765868994</v>
      </c>
      <c r="K899" s="8">
        <f>FlowAngleAbsT(INDEX('Route Data'!$K$7:$K$8,E899), INDEX('Route Data'!$I$7:$I$8,E899), INDEX('Route Data'!$I$7:$I$8,E899)*INDEX('Route Data'!$J$7:$J$8,E899), INDEX('Route Data'!$L$7:$L$8,E899)*2*PI()/60, INDEX('Route Data'!$F$7:$F$8,E899),INDEX('Route Data'!$O$7:$O$8,E899), INDEX('Route Data'!$P$7:$P$8,E899), INDEX('Route Data'!$H$7:$H$8,E899), INDEX('Route Data'!$Q$7:$Q$8,E899), INDEX('Route Data'!$M$7:$M$8,E899))</f>
        <v>0.51617226640175828</v>
      </c>
      <c r="L899" s="5">
        <f>INDEX('Route Data'!$N$7:$N$8,E899)</f>
        <v>0.4</v>
      </c>
      <c r="M899" s="8">
        <v>0.19114798307418823</v>
      </c>
      <c r="N899" s="8">
        <f>ProbStrikeFrancis(K899, I899, L899, INDEX('Route Data'!$G$7:$G$8,E899),C899, INDEX('Route Data'!$F$7:$F$8,E899), INDEX('Route Data'!$O$7:$O$8,E899), INDEX('Route Data'!$H$7:$H$18,E899))</f>
        <v>1</v>
      </c>
      <c r="O899" s="5" t="str">
        <f>IF(F899&gt;=1,IF(M899&lt;=N899,"STRIKE","pass"),IF(M899&lt;=INDEX('Route Data'!$R$7:$R$8,E899),"NO PASS","pass"))</f>
        <v>STRIKE</v>
      </c>
      <c r="P899" s="5">
        <f>IF(F899&gt;=1,IF(M899&lt;=N899,1,0),IF(M899&lt;=INDEX('Route Data'!$R$7:$R$8,E899),-1,0))</f>
        <v>1</v>
      </c>
    </row>
    <row r="900" spans="1:16">
      <c r="A900" s="5">
        <v>890</v>
      </c>
      <c r="B900" s="12">
        <v>16.07</v>
      </c>
      <c r="C900" s="12">
        <f t="shared" si="13"/>
        <v>1.34</v>
      </c>
      <c r="D900" s="8">
        <v>0.80005848407745361</v>
      </c>
      <c r="E900" s="5">
        <f>MATCH(D900,'Route Data'!$C$7:$C$8,1)</f>
        <v>2</v>
      </c>
      <c r="F900" s="5">
        <f>INDEX('Route Data'!$D$7:$D$8,E900)</f>
        <v>1</v>
      </c>
      <c r="G900" s="5" t="str">
        <f>INDEX('Route Data'!$A$7:$A$8,E900)</f>
        <v>u18</v>
      </c>
      <c r="H900" s="5">
        <f>EnergyCoeff(INDEX('Route Data'!$K$7:$K$8,E900),INDEX('Route Data'!$L$7:$L$8,E900)*2*PI()/60,INDEX('Route Data'!$F$7:$F$8,E900))</f>
        <v>0.19430699130049439</v>
      </c>
      <c r="I900" s="5">
        <f>DischargeCoeff(INDEX('Route Data'!$I$7:$I$8,E900), INDEX('Route Data'!$L$7:$L$8,E900)*2*PI()/60, INDEX('Route Data'!$F$7:$F$8,E900))</f>
        <v>0.15939200179827354</v>
      </c>
      <c r="J900" s="8">
        <f>FlowAngleRel(INDEX('Route Data'!$J$7:$J$8,E900)*INDEX('Route Data'!$I$7:$I$8,E900), INDEX('Route Data'!$L$7:$L$8,E900)*2*PI()/60, INDEX('Route Data'!$F$7:$F$8,E900),INDEX('Route Data'!$O$7:$O$8,E900), INDEX('Route Data'!$P$7:$P$8,E900),INDEX('Route Data'!$M$7:$M$8,E900))</f>
        <v>1.130811765868994</v>
      </c>
      <c r="K900" s="8">
        <f>FlowAngleAbsT(INDEX('Route Data'!$K$7:$K$8,E900), INDEX('Route Data'!$I$7:$I$8,E900), INDEX('Route Data'!$I$7:$I$8,E900)*INDEX('Route Data'!$J$7:$J$8,E900), INDEX('Route Data'!$L$7:$L$8,E900)*2*PI()/60, INDEX('Route Data'!$F$7:$F$8,E900),INDEX('Route Data'!$O$7:$O$8,E900), INDEX('Route Data'!$P$7:$P$8,E900), INDEX('Route Data'!$H$7:$H$8,E900), INDEX('Route Data'!$Q$7:$Q$8,E900), INDEX('Route Data'!$M$7:$M$8,E900))</f>
        <v>0.51617226640175828</v>
      </c>
      <c r="L900" s="5">
        <f>INDEX('Route Data'!$N$7:$N$8,E900)</f>
        <v>0.4</v>
      </c>
      <c r="M900" s="8">
        <v>0.526314377784729</v>
      </c>
      <c r="N900" s="8">
        <f>ProbStrikeFrancis(K900, I900, L900, INDEX('Route Data'!$G$7:$G$8,E900),C900, INDEX('Route Data'!$F$7:$F$8,E900), INDEX('Route Data'!$O$7:$O$8,E900), INDEX('Route Data'!$H$7:$H$18,E900))</f>
        <v>1</v>
      </c>
      <c r="O900" s="5" t="str">
        <f>IF(F900&gt;=1,IF(M900&lt;=N900,"STRIKE","pass"),IF(M900&lt;=INDEX('Route Data'!$R$7:$R$8,E900),"NO PASS","pass"))</f>
        <v>STRIKE</v>
      </c>
      <c r="P900" s="5">
        <f>IF(F900&gt;=1,IF(M900&lt;=N900,1,0),IF(M900&lt;=INDEX('Route Data'!$R$7:$R$8,E900),-1,0))</f>
        <v>1</v>
      </c>
    </row>
    <row r="901" spans="1:16">
      <c r="A901" s="5">
        <v>891</v>
      </c>
      <c r="B901" s="12">
        <v>17.73</v>
      </c>
      <c r="C901" s="12">
        <f t="shared" si="13"/>
        <v>1.48</v>
      </c>
      <c r="D901" s="8">
        <v>0.18717747926712036</v>
      </c>
      <c r="E901" s="5">
        <f>MATCH(D901,'Route Data'!$C$7:$C$8,1)</f>
        <v>2</v>
      </c>
      <c r="F901" s="5">
        <f>INDEX('Route Data'!$D$7:$D$8,E901)</f>
        <v>1</v>
      </c>
      <c r="G901" s="5" t="str">
        <f>INDEX('Route Data'!$A$7:$A$8,E901)</f>
        <v>u18</v>
      </c>
      <c r="H901" s="5">
        <f>EnergyCoeff(INDEX('Route Data'!$K$7:$K$8,E901),INDEX('Route Data'!$L$7:$L$8,E901)*2*PI()/60,INDEX('Route Data'!$F$7:$F$8,E901))</f>
        <v>0.19430699130049439</v>
      </c>
      <c r="I901" s="5">
        <f>DischargeCoeff(INDEX('Route Data'!$I$7:$I$8,E901), INDEX('Route Data'!$L$7:$L$8,E901)*2*PI()/60, INDEX('Route Data'!$F$7:$F$8,E901))</f>
        <v>0.15939200179827354</v>
      </c>
      <c r="J901" s="8">
        <f>FlowAngleRel(INDEX('Route Data'!$J$7:$J$8,E901)*INDEX('Route Data'!$I$7:$I$8,E901), INDEX('Route Data'!$L$7:$L$8,E901)*2*PI()/60, INDEX('Route Data'!$F$7:$F$8,E901),INDEX('Route Data'!$O$7:$O$8,E901), INDEX('Route Data'!$P$7:$P$8,E901),INDEX('Route Data'!$M$7:$M$8,E901))</f>
        <v>1.130811765868994</v>
      </c>
      <c r="K901" s="8">
        <f>FlowAngleAbsT(INDEX('Route Data'!$K$7:$K$8,E901), INDEX('Route Data'!$I$7:$I$8,E901), INDEX('Route Data'!$I$7:$I$8,E901)*INDEX('Route Data'!$J$7:$J$8,E901), INDEX('Route Data'!$L$7:$L$8,E901)*2*PI()/60, INDEX('Route Data'!$F$7:$F$8,E901),INDEX('Route Data'!$O$7:$O$8,E901), INDEX('Route Data'!$P$7:$P$8,E901), INDEX('Route Data'!$H$7:$H$8,E901), INDEX('Route Data'!$Q$7:$Q$8,E901), INDEX('Route Data'!$M$7:$M$8,E901))</f>
        <v>0.51617226640175828</v>
      </c>
      <c r="L901" s="5">
        <f>INDEX('Route Data'!$N$7:$N$8,E901)</f>
        <v>0.4</v>
      </c>
      <c r="M901" s="8">
        <v>0.25523597002029419</v>
      </c>
      <c r="N901" s="8">
        <f>ProbStrikeFrancis(K901, I901, L901, INDEX('Route Data'!$G$7:$G$8,E901),C901, INDEX('Route Data'!$F$7:$F$8,E901), INDEX('Route Data'!$O$7:$O$8,E901), INDEX('Route Data'!$H$7:$H$18,E901))</f>
        <v>1</v>
      </c>
      <c r="O901" s="5" t="str">
        <f>IF(F901&gt;=1,IF(M901&lt;=N901,"STRIKE","pass"),IF(M901&lt;=INDEX('Route Data'!$R$7:$R$8,E901),"NO PASS","pass"))</f>
        <v>STRIKE</v>
      </c>
      <c r="P901" s="5">
        <f>IF(F901&gt;=1,IF(M901&lt;=N901,1,0),IF(M901&lt;=INDEX('Route Data'!$R$7:$R$8,E901),-1,0))</f>
        <v>1</v>
      </c>
    </row>
    <row r="902" spans="1:16">
      <c r="A902" s="5">
        <v>892</v>
      </c>
      <c r="B902" s="12">
        <v>22.1</v>
      </c>
      <c r="C902" s="12">
        <f t="shared" si="13"/>
        <v>1.84</v>
      </c>
      <c r="D902" s="8">
        <v>0.55697894096374512</v>
      </c>
      <c r="E902" s="5">
        <f>MATCH(D902,'Route Data'!$C$7:$C$8,1)</f>
        <v>2</v>
      </c>
      <c r="F902" s="5">
        <f>INDEX('Route Data'!$D$7:$D$8,E902)</f>
        <v>1</v>
      </c>
      <c r="G902" s="5" t="str">
        <f>INDEX('Route Data'!$A$7:$A$8,E902)</f>
        <v>u18</v>
      </c>
      <c r="H902" s="5">
        <f>EnergyCoeff(INDEX('Route Data'!$K$7:$K$8,E902),INDEX('Route Data'!$L$7:$L$8,E902)*2*PI()/60,INDEX('Route Data'!$F$7:$F$8,E902))</f>
        <v>0.19430699130049439</v>
      </c>
      <c r="I902" s="5">
        <f>DischargeCoeff(INDEX('Route Data'!$I$7:$I$8,E902), INDEX('Route Data'!$L$7:$L$8,E902)*2*PI()/60, INDEX('Route Data'!$F$7:$F$8,E902))</f>
        <v>0.15939200179827354</v>
      </c>
      <c r="J902" s="8">
        <f>FlowAngleRel(INDEX('Route Data'!$J$7:$J$8,E902)*INDEX('Route Data'!$I$7:$I$8,E902), INDEX('Route Data'!$L$7:$L$8,E902)*2*PI()/60, INDEX('Route Data'!$F$7:$F$8,E902),INDEX('Route Data'!$O$7:$O$8,E902), INDEX('Route Data'!$P$7:$P$8,E902),INDEX('Route Data'!$M$7:$M$8,E902))</f>
        <v>1.130811765868994</v>
      </c>
      <c r="K902" s="8">
        <f>FlowAngleAbsT(INDEX('Route Data'!$K$7:$K$8,E902), INDEX('Route Data'!$I$7:$I$8,E902), INDEX('Route Data'!$I$7:$I$8,E902)*INDEX('Route Data'!$J$7:$J$8,E902), INDEX('Route Data'!$L$7:$L$8,E902)*2*PI()/60, INDEX('Route Data'!$F$7:$F$8,E902),INDEX('Route Data'!$O$7:$O$8,E902), INDEX('Route Data'!$P$7:$P$8,E902), INDEX('Route Data'!$H$7:$H$8,E902), INDEX('Route Data'!$Q$7:$Q$8,E902), INDEX('Route Data'!$M$7:$M$8,E902))</f>
        <v>0.51617226640175828</v>
      </c>
      <c r="L902" s="5">
        <f>INDEX('Route Data'!$N$7:$N$8,E902)</f>
        <v>0.4</v>
      </c>
      <c r="M902" s="8">
        <v>0.33405041694641113</v>
      </c>
      <c r="N902" s="8">
        <f>ProbStrikeFrancis(K902, I902, L902, INDEX('Route Data'!$G$7:$G$8,E902),C902, INDEX('Route Data'!$F$7:$F$8,E902), INDEX('Route Data'!$O$7:$O$8,E902), INDEX('Route Data'!$H$7:$H$18,E902))</f>
        <v>1</v>
      </c>
      <c r="O902" s="5" t="str">
        <f>IF(F902&gt;=1,IF(M902&lt;=N902,"STRIKE","pass"),IF(M902&lt;=INDEX('Route Data'!$R$7:$R$8,E902),"NO PASS","pass"))</f>
        <v>STRIKE</v>
      </c>
      <c r="P902" s="5">
        <f>IF(F902&gt;=1,IF(M902&lt;=N902,1,0),IF(M902&lt;=INDEX('Route Data'!$R$7:$R$8,E902),-1,0))</f>
        <v>1</v>
      </c>
    </row>
    <row r="903" spans="1:16">
      <c r="A903" s="5">
        <v>893</v>
      </c>
      <c r="B903" s="12">
        <v>15.18</v>
      </c>
      <c r="C903" s="12">
        <f t="shared" si="13"/>
        <v>1.27</v>
      </c>
      <c r="D903" s="8">
        <v>0.44757455587387085</v>
      </c>
      <c r="E903" s="5">
        <f>MATCH(D903,'Route Data'!$C$7:$C$8,1)</f>
        <v>2</v>
      </c>
      <c r="F903" s="5">
        <f>INDEX('Route Data'!$D$7:$D$8,E903)</f>
        <v>1</v>
      </c>
      <c r="G903" s="5" t="str">
        <f>INDEX('Route Data'!$A$7:$A$8,E903)</f>
        <v>u18</v>
      </c>
      <c r="H903" s="5">
        <f>EnergyCoeff(INDEX('Route Data'!$K$7:$K$8,E903),INDEX('Route Data'!$L$7:$L$8,E903)*2*PI()/60,INDEX('Route Data'!$F$7:$F$8,E903))</f>
        <v>0.19430699130049439</v>
      </c>
      <c r="I903" s="5">
        <f>DischargeCoeff(INDEX('Route Data'!$I$7:$I$8,E903), INDEX('Route Data'!$L$7:$L$8,E903)*2*PI()/60, INDEX('Route Data'!$F$7:$F$8,E903))</f>
        <v>0.15939200179827354</v>
      </c>
      <c r="J903" s="8">
        <f>FlowAngleRel(INDEX('Route Data'!$J$7:$J$8,E903)*INDEX('Route Data'!$I$7:$I$8,E903), INDEX('Route Data'!$L$7:$L$8,E903)*2*PI()/60, INDEX('Route Data'!$F$7:$F$8,E903),INDEX('Route Data'!$O$7:$O$8,E903), INDEX('Route Data'!$P$7:$P$8,E903),INDEX('Route Data'!$M$7:$M$8,E903))</f>
        <v>1.130811765868994</v>
      </c>
      <c r="K903" s="8">
        <f>FlowAngleAbsT(INDEX('Route Data'!$K$7:$K$8,E903), INDEX('Route Data'!$I$7:$I$8,E903), INDEX('Route Data'!$I$7:$I$8,E903)*INDEX('Route Data'!$J$7:$J$8,E903), INDEX('Route Data'!$L$7:$L$8,E903)*2*PI()/60, INDEX('Route Data'!$F$7:$F$8,E903),INDEX('Route Data'!$O$7:$O$8,E903), INDEX('Route Data'!$P$7:$P$8,E903), INDEX('Route Data'!$H$7:$H$8,E903), INDEX('Route Data'!$Q$7:$Q$8,E903), INDEX('Route Data'!$M$7:$M$8,E903))</f>
        <v>0.51617226640175828</v>
      </c>
      <c r="L903" s="5">
        <f>INDEX('Route Data'!$N$7:$N$8,E903)</f>
        <v>0.4</v>
      </c>
      <c r="M903" s="8">
        <v>0.8320278525352478</v>
      </c>
      <c r="N903" s="8">
        <f>ProbStrikeFrancis(K903, I903, L903, INDEX('Route Data'!$G$7:$G$8,E903),C903, INDEX('Route Data'!$F$7:$F$8,E903), INDEX('Route Data'!$O$7:$O$8,E903), INDEX('Route Data'!$H$7:$H$18,E903))</f>
        <v>1</v>
      </c>
      <c r="O903" s="5" t="str">
        <f>IF(F903&gt;=1,IF(M903&lt;=N903,"STRIKE","pass"),IF(M903&lt;=INDEX('Route Data'!$R$7:$R$8,E903),"NO PASS","pass"))</f>
        <v>STRIKE</v>
      </c>
      <c r="P903" s="5">
        <f>IF(F903&gt;=1,IF(M903&lt;=N903,1,0),IF(M903&lt;=INDEX('Route Data'!$R$7:$R$8,E903),-1,0))</f>
        <v>1</v>
      </c>
    </row>
    <row r="904" spans="1:16">
      <c r="A904" s="5">
        <v>894</v>
      </c>
      <c r="B904" s="12">
        <v>18.39</v>
      </c>
      <c r="C904" s="12">
        <f t="shared" si="13"/>
        <v>1.53</v>
      </c>
      <c r="D904" s="8">
        <v>0.24462926387786865</v>
      </c>
      <c r="E904" s="5">
        <f>MATCH(D904,'Route Data'!$C$7:$C$8,1)</f>
        <v>2</v>
      </c>
      <c r="F904" s="5">
        <f>INDEX('Route Data'!$D$7:$D$8,E904)</f>
        <v>1</v>
      </c>
      <c r="G904" s="5" t="str">
        <f>INDEX('Route Data'!$A$7:$A$8,E904)</f>
        <v>u18</v>
      </c>
      <c r="H904" s="5">
        <f>EnergyCoeff(INDEX('Route Data'!$K$7:$K$8,E904),INDEX('Route Data'!$L$7:$L$8,E904)*2*PI()/60,INDEX('Route Data'!$F$7:$F$8,E904))</f>
        <v>0.19430699130049439</v>
      </c>
      <c r="I904" s="5">
        <f>DischargeCoeff(INDEX('Route Data'!$I$7:$I$8,E904), INDEX('Route Data'!$L$7:$L$8,E904)*2*PI()/60, INDEX('Route Data'!$F$7:$F$8,E904))</f>
        <v>0.15939200179827354</v>
      </c>
      <c r="J904" s="8">
        <f>FlowAngleRel(INDEX('Route Data'!$J$7:$J$8,E904)*INDEX('Route Data'!$I$7:$I$8,E904), INDEX('Route Data'!$L$7:$L$8,E904)*2*PI()/60, INDEX('Route Data'!$F$7:$F$8,E904),INDEX('Route Data'!$O$7:$O$8,E904), INDEX('Route Data'!$P$7:$P$8,E904),INDEX('Route Data'!$M$7:$M$8,E904))</f>
        <v>1.130811765868994</v>
      </c>
      <c r="K904" s="8">
        <f>FlowAngleAbsT(INDEX('Route Data'!$K$7:$K$8,E904), INDEX('Route Data'!$I$7:$I$8,E904), INDEX('Route Data'!$I$7:$I$8,E904)*INDEX('Route Data'!$J$7:$J$8,E904), INDEX('Route Data'!$L$7:$L$8,E904)*2*PI()/60, INDEX('Route Data'!$F$7:$F$8,E904),INDEX('Route Data'!$O$7:$O$8,E904), INDEX('Route Data'!$P$7:$P$8,E904), INDEX('Route Data'!$H$7:$H$8,E904), INDEX('Route Data'!$Q$7:$Q$8,E904), INDEX('Route Data'!$M$7:$M$8,E904))</f>
        <v>0.51617226640175828</v>
      </c>
      <c r="L904" s="5">
        <f>INDEX('Route Data'!$N$7:$N$8,E904)</f>
        <v>0.4</v>
      </c>
      <c r="M904" s="8">
        <v>0.60367476940155029</v>
      </c>
      <c r="N904" s="8">
        <f>ProbStrikeFrancis(K904, I904, L904, INDEX('Route Data'!$G$7:$G$8,E904),C904, INDEX('Route Data'!$F$7:$F$8,E904), INDEX('Route Data'!$O$7:$O$8,E904), INDEX('Route Data'!$H$7:$H$18,E904))</f>
        <v>1</v>
      </c>
      <c r="O904" s="5" t="str">
        <f>IF(F904&gt;=1,IF(M904&lt;=N904,"STRIKE","pass"),IF(M904&lt;=INDEX('Route Data'!$R$7:$R$8,E904),"NO PASS","pass"))</f>
        <v>STRIKE</v>
      </c>
      <c r="P904" s="5">
        <f>IF(F904&gt;=1,IF(M904&lt;=N904,1,0),IF(M904&lt;=INDEX('Route Data'!$R$7:$R$8,E904),-1,0))</f>
        <v>1</v>
      </c>
    </row>
    <row r="905" spans="1:16">
      <c r="A905" s="5">
        <v>895</v>
      </c>
      <c r="B905" s="12">
        <v>21.33</v>
      </c>
      <c r="C905" s="12">
        <f t="shared" si="13"/>
        <v>1.78</v>
      </c>
      <c r="D905" s="8">
        <v>0.85346513986587524</v>
      </c>
      <c r="E905" s="5">
        <f>MATCH(D905,'Route Data'!$C$7:$C$8,1)</f>
        <v>2</v>
      </c>
      <c r="F905" s="5">
        <f>INDEX('Route Data'!$D$7:$D$8,E905)</f>
        <v>1</v>
      </c>
      <c r="G905" s="5" t="str">
        <f>INDEX('Route Data'!$A$7:$A$8,E905)</f>
        <v>u18</v>
      </c>
      <c r="H905" s="5">
        <f>EnergyCoeff(INDEX('Route Data'!$K$7:$K$8,E905),INDEX('Route Data'!$L$7:$L$8,E905)*2*PI()/60,INDEX('Route Data'!$F$7:$F$8,E905))</f>
        <v>0.19430699130049439</v>
      </c>
      <c r="I905" s="5">
        <f>DischargeCoeff(INDEX('Route Data'!$I$7:$I$8,E905), INDEX('Route Data'!$L$7:$L$8,E905)*2*PI()/60, INDEX('Route Data'!$F$7:$F$8,E905))</f>
        <v>0.15939200179827354</v>
      </c>
      <c r="J905" s="8">
        <f>FlowAngleRel(INDEX('Route Data'!$J$7:$J$8,E905)*INDEX('Route Data'!$I$7:$I$8,E905), INDEX('Route Data'!$L$7:$L$8,E905)*2*PI()/60, INDEX('Route Data'!$F$7:$F$8,E905),INDEX('Route Data'!$O$7:$O$8,E905), INDEX('Route Data'!$P$7:$P$8,E905),INDEX('Route Data'!$M$7:$M$8,E905))</f>
        <v>1.130811765868994</v>
      </c>
      <c r="K905" s="8">
        <f>FlowAngleAbsT(INDEX('Route Data'!$K$7:$K$8,E905), INDEX('Route Data'!$I$7:$I$8,E905), INDEX('Route Data'!$I$7:$I$8,E905)*INDEX('Route Data'!$J$7:$J$8,E905), INDEX('Route Data'!$L$7:$L$8,E905)*2*PI()/60, INDEX('Route Data'!$F$7:$F$8,E905),INDEX('Route Data'!$O$7:$O$8,E905), INDEX('Route Data'!$P$7:$P$8,E905), INDEX('Route Data'!$H$7:$H$8,E905), INDEX('Route Data'!$Q$7:$Q$8,E905), INDEX('Route Data'!$M$7:$M$8,E905))</f>
        <v>0.51617226640175828</v>
      </c>
      <c r="L905" s="5">
        <f>INDEX('Route Data'!$N$7:$N$8,E905)</f>
        <v>0.4</v>
      </c>
      <c r="M905" s="8">
        <v>0.55431324243545532</v>
      </c>
      <c r="N905" s="8">
        <f>ProbStrikeFrancis(K905, I905, L905, INDEX('Route Data'!$G$7:$G$8,E905),C905, INDEX('Route Data'!$F$7:$F$8,E905), INDEX('Route Data'!$O$7:$O$8,E905), INDEX('Route Data'!$H$7:$H$18,E905))</f>
        <v>1</v>
      </c>
      <c r="O905" s="5" t="str">
        <f>IF(F905&gt;=1,IF(M905&lt;=N905,"STRIKE","pass"),IF(M905&lt;=INDEX('Route Data'!$R$7:$R$8,E905),"NO PASS","pass"))</f>
        <v>STRIKE</v>
      </c>
      <c r="P905" s="5">
        <f>IF(F905&gt;=1,IF(M905&lt;=N905,1,0),IF(M905&lt;=INDEX('Route Data'!$R$7:$R$8,E905),-1,0))</f>
        <v>1</v>
      </c>
    </row>
    <row r="906" spans="1:16">
      <c r="A906" s="5">
        <v>896</v>
      </c>
      <c r="B906" s="12">
        <v>22.9</v>
      </c>
      <c r="C906" s="12">
        <f t="shared" si="13"/>
        <v>1.91</v>
      </c>
      <c r="D906" s="8">
        <v>2.6957511901855469E-2</v>
      </c>
      <c r="E906" s="5">
        <f>MATCH(D906,'Route Data'!$C$7:$C$8,1)</f>
        <v>2</v>
      </c>
      <c r="F906" s="5">
        <f>INDEX('Route Data'!$D$7:$D$8,E906)</f>
        <v>1</v>
      </c>
      <c r="G906" s="5" t="str">
        <f>INDEX('Route Data'!$A$7:$A$8,E906)</f>
        <v>u18</v>
      </c>
      <c r="H906" s="5">
        <f>EnergyCoeff(INDEX('Route Data'!$K$7:$K$8,E906),INDEX('Route Data'!$L$7:$L$8,E906)*2*PI()/60,INDEX('Route Data'!$F$7:$F$8,E906))</f>
        <v>0.19430699130049439</v>
      </c>
      <c r="I906" s="5">
        <f>DischargeCoeff(INDEX('Route Data'!$I$7:$I$8,E906), INDEX('Route Data'!$L$7:$L$8,E906)*2*PI()/60, INDEX('Route Data'!$F$7:$F$8,E906))</f>
        <v>0.15939200179827354</v>
      </c>
      <c r="J906" s="8">
        <f>FlowAngleRel(INDEX('Route Data'!$J$7:$J$8,E906)*INDEX('Route Data'!$I$7:$I$8,E906), INDEX('Route Data'!$L$7:$L$8,E906)*2*PI()/60, INDEX('Route Data'!$F$7:$F$8,E906),INDEX('Route Data'!$O$7:$O$8,E906), INDEX('Route Data'!$P$7:$P$8,E906),INDEX('Route Data'!$M$7:$M$8,E906))</f>
        <v>1.130811765868994</v>
      </c>
      <c r="K906" s="8">
        <f>FlowAngleAbsT(INDEX('Route Data'!$K$7:$K$8,E906), INDEX('Route Data'!$I$7:$I$8,E906), INDEX('Route Data'!$I$7:$I$8,E906)*INDEX('Route Data'!$J$7:$J$8,E906), INDEX('Route Data'!$L$7:$L$8,E906)*2*PI()/60, INDEX('Route Data'!$F$7:$F$8,E906),INDEX('Route Data'!$O$7:$O$8,E906), INDEX('Route Data'!$P$7:$P$8,E906), INDEX('Route Data'!$H$7:$H$8,E906), INDEX('Route Data'!$Q$7:$Q$8,E906), INDEX('Route Data'!$M$7:$M$8,E906))</f>
        <v>0.51617226640175828</v>
      </c>
      <c r="L906" s="5">
        <f>INDEX('Route Data'!$N$7:$N$8,E906)</f>
        <v>0.4</v>
      </c>
      <c r="M906" s="8">
        <v>0.43681859970092773</v>
      </c>
      <c r="N906" s="8">
        <f>ProbStrikeFrancis(K906, I906, L906, INDEX('Route Data'!$G$7:$G$8,E906),C906, INDEX('Route Data'!$F$7:$F$8,E906), INDEX('Route Data'!$O$7:$O$8,E906), INDEX('Route Data'!$H$7:$H$18,E906))</f>
        <v>1</v>
      </c>
      <c r="O906" s="5" t="str">
        <f>IF(F906&gt;=1,IF(M906&lt;=N906,"STRIKE","pass"),IF(M906&lt;=INDEX('Route Data'!$R$7:$R$8,E906),"NO PASS","pass"))</f>
        <v>STRIKE</v>
      </c>
      <c r="P906" s="5">
        <f>IF(F906&gt;=1,IF(M906&lt;=N906,1,0),IF(M906&lt;=INDEX('Route Data'!$R$7:$R$8,E906),-1,0))</f>
        <v>1</v>
      </c>
    </row>
    <row r="907" spans="1:16">
      <c r="A907" s="5">
        <v>897</v>
      </c>
      <c r="B907" s="12">
        <v>28.11</v>
      </c>
      <c r="C907" s="12">
        <f t="shared" ref="C907:C970" si="14">ROUND(B907/12,2)</f>
        <v>2.34</v>
      </c>
      <c r="D907" s="8">
        <v>3.7638843059539795E-2</v>
      </c>
      <c r="E907" s="5">
        <f>MATCH(D907,'Route Data'!$C$7:$C$8,1)</f>
        <v>2</v>
      </c>
      <c r="F907" s="5">
        <f>INDEX('Route Data'!$D$7:$D$8,E907)</f>
        <v>1</v>
      </c>
      <c r="G907" s="5" t="str">
        <f>INDEX('Route Data'!$A$7:$A$8,E907)</f>
        <v>u18</v>
      </c>
      <c r="H907" s="5">
        <f>EnergyCoeff(INDEX('Route Data'!$K$7:$K$8,E907),INDEX('Route Data'!$L$7:$L$8,E907)*2*PI()/60,INDEX('Route Data'!$F$7:$F$8,E907))</f>
        <v>0.19430699130049439</v>
      </c>
      <c r="I907" s="5">
        <f>DischargeCoeff(INDEX('Route Data'!$I$7:$I$8,E907), INDEX('Route Data'!$L$7:$L$8,E907)*2*PI()/60, INDEX('Route Data'!$F$7:$F$8,E907))</f>
        <v>0.15939200179827354</v>
      </c>
      <c r="J907" s="8">
        <f>FlowAngleRel(INDEX('Route Data'!$J$7:$J$8,E907)*INDEX('Route Data'!$I$7:$I$8,E907), INDEX('Route Data'!$L$7:$L$8,E907)*2*PI()/60, INDEX('Route Data'!$F$7:$F$8,E907),INDEX('Route Data'!$O$7:$O$8,E907), INDEX('Route Data'!$P$7:$P$8,E907),INDEX('Route Data'!$M$7:$M$8,E907))</f>
        <v>1.130811765868994</v>
      </c>
      <c r="K907" s="8">
        <f>FlowAngleAbsT(INDEX('Route Data'!$K$7:$K$8,E907), INDEX('Route Data'!$I$7:$I$8,E907), INDEX('Route Data'!$I$7:$I$8,E907)*INDEX('Route Data'!$J$7:$J$8,E907), INDEX('Route Data'!$L$7:$L$8,E907)*2*PI()/60, INDEX('Route Data'!$F$7:$F$8,E907),INDEX('Route Data'!$O$7:$O$8,E907), INDEX('Route Data'!$P$7:$P$8,E907), INDEX('Route Data'!$H$7:$H$8,E907), INDEX('Route Data'!$Q$7:$Q$8,E907), INDEX('Route Data'!$M$7:$M$8,E907))</f>
        <v>0.51617226640175828</v>
      </c>
      <c r="L907" s="5">
        <f>INDEX('Route Data'!$N$7:$N$8,E907)</f>
        <v>0.4</v>
      </c>
      <c r="M907" s="8">
        <v>0.7893025279045105</v>
      </c>
      <c r="N907" s="8">
        <f>ProbStrikeFrancis(K907, I907, L907, INDEX('Route Data'!$G$7:$G$8,E907),C907, INDEX('Route Data'!$F$7:$F$8,E907), INDEX('Route Data'!$O$7:$O$8,E907), INDEX('Route Data'!$H$7:$H$18,E907))</f>
        <v>1</v>
      </c>
      <c r="O907" s="5" t="str">
        <f>IF(F907&gt;=1,IF(M907&lt;=N907,"STRIKE","pass"),IF(M907&lt;=INDEX('Route Data'!$R$7:$R$8,E907),"NO PASS","pass"))</f>
        <v>STRIKE</v>
      </c>
      <c r="P907" s="5">
        <f>IF(F907&gt;=1,IF(M907&lt;=N907,1,0),IF(M907&lt;=INDEX('Route Data'!$R$7:$R$8,E907),-1,0))</f>
        <v>1</v>
      </c>
    </row>
    <row r="908" spans="1:16">
      <c r="A908" s="5">
        <v>898</v>
      </c>
      <c r="B908" s="12">
        <v>20.07</v>
      </c>
      <c r="C908" s="12">
        <f t="shared" si="14"/>
        <v>1.67</v>
      </c>
      <c r="D908" s="8">
        <v>5.5948495864868164E-3</v>
      </c>
      <c r="E908" s="5">
        <f>MATCH(D908,'Route Data'!$C$7:$C$8,1)</f>
        <v>2</v>
      </c>
      <c r="F908" s="5">
        <f>INDEX('Route Data'!$D$7:$D$8,E908)</f>
        <v>1</v>
      </c>
      <c r="G908" s="5" t="str">
        <f>INDEX('Route Data'!$A$7:$A$8,E908)</f>
        <v>u18</v>
      </c>
      <c r="H908" s="5">
        <f>EnergyCoeff(INDEX('Route Data'!$K$7:$K$8,E908),INDEX('Route Data'!$L$7:$L$8,E908)*2*PI()/60,INDEX('Route Data'!$F$7:$F$8,E908))</f>
        <v>0.19430699130049439</v>
      </c>
      <c r="I908" s="5">
        <f>DischargeCoeff(INDEX('Route Data'!$I$7:$I$8,E908), INDEX('Route Data'!$L$7:$L$8,E908)*2*PI()/60, INDEX('Route Data'!$F$7:$F$8,E908))</f>
        <v>0.15939200179827354</v>
      </c>
      <c r="J908" s="8">
        <f>FlowAngleRel(INDEX('Route Data'!$J$7:$J$8,E908)*INDEX('Route Data'!$I$7:$I$8,E908), INDEX('Route Data'!$L$7:$L$8,E908)*2*PI()/60, INDEX('Route Data'!$F$7:$F$8,E908),INDEX('Route Data'!$O$7:$O$8,E908), INDEX('Route Data'!$P$7:$P$8,E908),INDEX('Route Data'!$M$7:$M$8,E908))</f>
        <v>1.130811765868994</v>
      </c>
      <c r="K908" s="8">
        <f>FlowAngleAbsT(INDEX('Route Data'!$K$7:$K$8,E908), INDEX('Route Data'!$I$7:$I$8,E908), INDEX('Route Data'!$I$7:$I$8,E908)*INDEX('Route Data'!$J$7:$J$8,E908), INDEX('Route Data'!$L$7:$L$8,E908)*2*PI()/60, INDEX('Route Data'!$F$7:$F$8,E908),INDEX('Route Data'!$O$7:$O$8,E908), INDEX('Route Data'!$P$7:$P$8,E908), INDEX('Route Data'!$H$7:$H$8,E908), INDEX('Route Data'!$Q$7:$Q$8,E908), INDEX('Route Data'!$M$7:$M$8,E908))</f>
        <v>0.51617226640175828</v>
      </c>
      <c r="L908" s="5">
        <f>INDEX('Route Data'!$N$7:$N$8,E908)</f>
        <v>0.4</v>
      </c>
      <c r="M908" s="8">
        <v>0.73185074329376221</v>
      </c>
      <c r="N908" s="8">
        <f>ProbStrikeFrancis(K908, I908, L908, INDEX('Route Data'!$G$7:$G$8,E908),C908, INDEX('Route Data'!$F$7:$F$8,E908), INDEX('Route Data'!$O$7:$O$8,E908), INDEX('Route Data'!$H$7:$H$18,E908))</f>
        <v>1</v>
      </c>
      <c r="O908" s="5" t="str">
        <f>IF(F908&gt;=1,IF(M908&lt;=N908,"STRIKE","pass"),IF(M908&lt;=INDEX('Route Data'!$R$7:$R$8,E908),"NO PASS","pass"))</f>
        <v>STRIKE</v>
      </c>
      <c r="P908" s="5">
        <f>IF(F908&gt;=1,IF(M908&lt;=N908,1,0),IF(M908&lt;=INDEX('Route Data'!$R$7:$R$8,E908),-1,0))</f>
        <v>1</v>
      </c>
    </row>
    <row r="909" spans="1:16">
      <c r="A909" s="5">
        <v>899</v>
      </c>
      <c r="B909" s="12">
        <v>28.8</v>
      </c>
      <c r="C909" s="12">
        <f t="shared" si="14"/>
        <v>2.4</v>
      </c>
      <c r="D909" s="8">
        <v>0.10172683000564575</v>
      </c>
      <c r="E909" s="5">
        <f>MATCH(D909,'Route Data'!$C$7:$C$8,1)</f>
        <v>2</v>
      </c>
      <c r="F909" s="5">
        <f>INDEX('Route Data'!$D$7:$D$8,E909)</f>
        <v>1</v>
      </c>
      <c r="G909" s="5" t="str">
        <f>INDEX('Route Data'!$A$7:$A$8,E909)</f>
        <v>u18</v>
      </c>
      <c r="H909" s="5">
        <f>EnergyCoeff(INDEX('Route Data'!$K$7:$K$8,E909),INDEX('Route Data'!$L$7:$L$8,E909)*2*PI()/60,INDEX('Route Data'!$F$7:$F$8,E909))</f>
        <v>0.19430699130049439</v>
      </c>
      <c r="I909" s="5">
        <f>DischargeCoeff(INDEX('Route Data'!$I$7:$I$8,E909), INDEX('Route Data'!$L$7:$L$8,E909)*2*PI()/60, INDEX('Route Data'!$F$7:$F$8,E909))</f>
        <v>0.15939200179827354</v>
      </c>
      <c r="J909" s="8">
        <f>FlowAngleRel(INDEX('Route Data'!$J$7:$J$8,E909)*INDEX('Route Data'!$I$7:$I$8,E909), INDEX('Route Data'!$L$7:$L$8,E909)*2*PI()/60, INDEX('Route Data'!$F$7:$F$8,E909),INDEX('Route Data'!$O$7:$O$8,E909), INDEX('Route Data'!$P$7:$P$8,E909),INDEX('Route Data'!$M$7:$M$8,E909))</f>
        <v>1.130811765868994</v>
      </c>
      <c r="K909" s="8">
        <f>FlowAngleAbsT(INDEX('Route Data'!$K$7:$K$8,E909), INDEX('Route Data'!$I$7:$I$8,E909), INDEX('Route Data'!$I$7:$I$8,E909)*INDEX('Route Data'!$J$7:$J$8,E909), INDEX('Route Data'!$L$7:$L$8,E909)*2*PI()/60, INDEX('Route Data'!$F$7:$F$8,E909),INDEX('Route Data'!$O$7:$O$8,E909), INDEX('Route Data'!$P$7:$P$8,E909), INDEX('Route Data'!$H$7:$H$8,E909), INDEX('Route Data'!$Q$7:$Q$8,E909), INDEX('Route Data'!$M$7:$M$8,E909))</f>
        <v>0.51617226640175828</v>
      </c>
      <c r="L909" s="5">
        <f>INDEX('Route Data'!$N$7:$N$8,E909)</f>
        <v>0.4</v>
      </c>
      <c r="M909" s="8">
        <v>0.16978532075881958</v>
      </c>
      <c r="N909" s="8">
        <f>ProbStrikeFrancis(K909, I909, L909, INDEX('Route Data'!$G$7:$G$8,E909),C909, INDEX('Route Data'!$F$7:$F$8,E909), INDEX('Route Data'!$O$7:$O$8,E909), INDEX('Route Data'!$H$7:$H$18,E909))</f>
        <v>1</v>
      </c>
      <c r="O909" s="5" t="str">
        <f>IF(F909&gt;=1,IF(M909&lt;=N909,"STRIKE","pass"),IF(M909&lt;=INDEX('Route Data'!$R$7:$R$8,E909),"NO PASS","pass"))</f>
        <v>STRIKE</v>
      </c>
      <c r="P909" s="5">
        <f>IF(F909&gt;=1,IF(M909&lt;=N909,1,0),IF(M909&lt;=INDEX('Route Data'!$R$7:$R$8,E909),-1,0))</f>
        <v>1</v>
      </c>
    </row>
    <row r="910" spans="1:16">
      <c r="A910" s="5">
        <v>900</v>
      </c>
      <c r="B910" s="12">
        <v>24.18</v>
      </c>
      <c r="C910" s="12">
        <f t="shared" si="14"/>
        <v>2.02</v>
      </c>
      <c r="D910" s="8">
        <v>0.81333088874816895</v>
      </c>
      <c r="E910" s="5">
        <f>MATCH(D910,'Route Data'!$C$7:$C$8,1)</f>
        <v>2</v>
      </c>
      <c r="F910" s="5">
        <f>INDEX('Route Data'!$D$7:$D$8,E910)</f>
        <v>1</v>
      </c>
      <c r="G910" s="5" t="str">
        <f>INDEX('Route Data'!$A$7:$A$8,E910)</f>
        <v>u18</v>
      </c>
      <c r="H910" s="5">
        <f>EnergyCoeff(INDEX('Route Data'!$K$7:$K$8,E910),INDEX('Route Data'!$L$7:$L$8,E910)*2*PI()/60,INDEX('Route Data'!$F$7:$F$8,E910))</f>
        <v>0.19430699130049439</v>
      </c>
      <c r="I910" s="5">
        <f>DischargeCoeff(INDEX('Route Data'!$I$7:$I$8,E910), INDEX('Route Data'!$L$7:$L$8,E910)*2*PI()/60, INDEX('Route Data'!$F$7:$F$8,E910))</f>
        <v>0.15939200179827354</v>
      </c>
      <c r="J910" s="8">
        <f>FlowAngleRel(INDEX('Route Data'!$J$7:$J$8,E910)*INDEX('Route Data'!$I$7:$I$8,E910), INDEX('Route Data'!$L$7:$L$8,E910)*2*PI()/60, INDEX('Route Data'!$F$7:$F$8,E910),INDEX('Route Data'!$O$7:$O$8,E910), INDEX('Route Data'!$P$7:$P$8,E910),INDEX('Route Data'!$M$7:$M$8,E910))</f>
        <v>1.130811765868994</v>
      </c>
      <c r="K910" s="8">
        <f>FlowAngleAbsT(INDEX('Route Data'!$K$7:$K$8,E910), INDEX('Route Data'!$I$7:$I$8,E910), INDEX('Route Data'!$I$7:$I$8,E910)*INDEX('Route Data'!$J$7:$J$8,E910), INDEX('Route Data'!$L$7:$L$8,E910)*2*PI()/60, INDEX('Route Data'!$F$7:$F$8,E910),INDEX('Route Data'!$O$7:$O$8,E910), INDEX('Route Data'!$P$7:$P$8,E910), INDEX('Route Data'!$H$7:$H$8,E910), INDEX('Route Data'!$Q$7:$Q$8,E910), INDEX('Route Data'!$M$7:$M$8,E910))</f>
        <v>0.51617226640175828</v>
      </c>
      <c r="L910" s="5">
        <f>INDEX('Route Data'!$N$7:$N$8,E910)</f>
        <v>0.4</v>
      </c>
      <c r="M910" s="8">
        <v>0.59040236473083496</v>
      </c>
      <c r="N910" s="8">
        <f>ProbStrikeFrancis(K910, I910, L910, INDEX('Route Data'!$G$7:$G$8,E910),C910, INDEX('Route Data'!$F$7:$F$8,E910), INDEX('Route Data'!$O$7:$O$8,E910), INDEX('Route Data'!$H$7:$H$18,E910))</f>
        <v>1</v>
      </c>
      <c r="O910" s="5" t="str">
        <f>IF(F910&gt;=1,IF(M910&lt;=N910,"STRIKE","pass"),IF(M910&lt;=INDEX('Route Data'!$R$7:$R$8,E910),"NO PASS","pass"))</f>
        <v>STRIKE</v>
      </c>
      <c r="P910" s="5">
        <f>IF(F910&gt;=1,IF(M910&lt;=N910,1,0),IF(M910&lt;=INDEX('Route Data'!$R$7:$R$8,E910),-1,0))</f>
        <v>1</v>
      </c>
    </row>
    <row r="911" spans="1:16">
      <c r="A911" s="5">
        <v>901</v>
      </c>
      <c r="B911" s="12">
        <v>20.22</v>
      </c>
      <c r="C911" s="12">
        <f t="shared" si="14"/>
        <v>1.69</v>
      </c>
      <c r="D911" s="8">
        <v>0.67851871252059937</v>
      </c>
      <c r="E911" s="5">
        <f>MATCH(D911,'Route Data'!$C$7:$C$8,1)</f>
        <v>2</v>
      </c>
      <c r="F911" s="5">
        <f>INDEX('Route Data'!$D$7:$D$8,E911)</f>
        <v>1</v>
      </c>
      <c r="G911" s="5" t="str">
        <f>INDEX('Route Data'!$A$7:$A$8,E911)</f>
        <v>u18</v>
      </c>
      <c r="H911" s="5">
        <f>EnergyCoeff(INDEX('Route Data'!$K$7:$K$8,E911),INDEX('Route Data'!$L$7:$L$8,E911)*2*PI()/60,INDEX('Route Data'!$F$7:$F$8,E911))</f>
        <v>0.19430699130049439</v>
      </c>
      <c r="I911" s="5">
        <f>DischargeCoeff(INDEX('Route Data'!$I$7:$I$8,E911), INDEX('Route Data'!$L$7:$L$8,E911)*2*PI()/60, INDEX('Route Data'!$F$7:$F$8,E911))</f>
        <v>0.15939200179827354</v>
      </c>
      <c r="J911" s="8">
        <f>FlowAngleRel(INDEX('Route Data'!$J$7:$J$8,E911)*INDEX('Route Data'!$I$7:$I$8,E911), INDEX('Route Data'!$L$7:$L$8,E911)*2*PI()/60, INDEX('Route Data'!$F$7:$F$8,E911),INDEX('Route Data'!$O$7:$O$8,E911), INDEX('Route Data'!$P$7:$P$8,E911),INDEX('Route Data'!$M$7:$M$8,E911))</f>
        <v>1.130811765868994</v>
      </c>
      <c r="K911" s="8">
        <f>FlowAngleAbsT(INDEX('Route Data'!$K$7:$K$8,E911), INDEX('Route Data'!$I$7:$I$8,E911), INDEX('Route Data'!$I$7:$I$8,E911)*INDEX('Route Data'!$J$7:$J$8,E911), INDEX('Route Data'!$L$7:$L$8,E911)*2*PI()/60, INDEX('Route Data'!$F$7:$F$8,E911),INDEX('Route Data'!$O$7:$O$8,E911), INDEX('Route Data'!$P$7:$P$8,E911), INDEX('Route Data'!$H$7:$H$8,E911), INDEX('Route Data'!$Q$7:$Q$8,E911), INDEX('Route Data'!$M$7:$M$8,E911))</f>
        <v>0.51617226640175828</v>
      </c>
      <c r="L911" s="5">
        <f>INDEX('Route Data'!$N$7:$N$8,E911)</f>
        <v>0.4</v>
      </c>
      <c r="M911" s="8">
        <v>6.2972009181976318E-2</v>
      </c>
      <c r="N911" s="8">
        <f>ProbStrikeFrancis(K911, I911, L911, INDEX('Route Data'!$G$7:$G$8,E911),C911, INDEX('Route Data'!$F$7:$F$8,E911), INDEX('Route Data'!$O$7:$O$8,E911), INDEX('Route Data'!$H$7:$H$18,E911))</f>
        <v>1</v>
      </c>
      <c r="O911" s="5" t="str">
        <f>IF(F911&gt;=1,IF(M911&lt;=N911,"STRIKE","pass"),IF(M911&lt;=INDEX('Route Data'!$R$7:$R$8,E911),"NO PASS","pass"))</f>
        <v>STRIKE</v>
      </c>
      <c r="P911" s="5">
        <f>IF(F911&gt;=1,IF(M911&lt;=N911,1,0),IF(M911&lt;=INDEX('Route Data'!$R$7:$R$8,E911),-1,0))</f>
        <v>1</v>
      </c>
    </row>
    <row r="912" spans="1:16">
      <c r="A912" s="5">
        <v>902</v>
      </c>
      <c r="B912" s="12">
        <v>23.77</v>
      </c>
      <c r="C912" s="12">
        <f t="shared" si="14"/>
        <v>1.98</v>
      </c>
      <c r="D912" s="8">
        <v>0.81737601757049561</v>
      </c>
      <c r="E912" s="5">
        <f>MATCH(D912,'Route Data'!$C$7:$C$8,1)</f>
        <v>2</v>
      </c>
      <c r="F912" s="5">
        <f>INDEX('Route Data'!$D$7:$D$8,E912)</f>
        <v>1</v>
      </c>
      <c r="G912" s="5" t="str">
        <f>INDEX('Route Data'!$A$7:$A$8,E912)</f>
        <v>u18</v>
      </c>
      <c r="H912" s="5">
        <f>EnergyCoeff(INDEX('Route Data'!$K$7:$K$8,E912),INDEX('Route Data'!$L$7:$L$8,E912)*2*PI()/60,INDEX('Route Data'!$F$7:$F$8,E912))</f>
        <v>0.19430699130049439</v>
      </c>
      <c r="I912" s="5">
        <f>DischargeCoeff(INDEX('Route Data'!$I$7:$I$8,E912), INDEX('Route Data'!$L$7:$L$8,E912)*2*PI()/60, INDEX('Route Data'!$F$7:$F$8,E912))</f>
        <v>0.15939200179827354</v>
      </c>
      <c r="J912" s="8">
        <f>FlowAngleRel(INDEX('Route Data'!$J$7:$J$8,E912)*INDEX('Route Data'!$I$7:$I$8,E912), INDEX('Route Data'!$L$7:$L$8,E912)*2*PI()/60, INDEX('Route Data'!$F$7:$F$8,E912),INDEX('Route Data'!$O$7:$O$8,E912), INDEX('Route Data'!$P$7:$P$8,E912),INDEX('Route Data'!$M$7:$M$8,E912))</f>
        <v>1.130811765868994</v>
      </c>
      <c r="K912" s="8">
        <f>FlowAngleAbsT(INDEX('Route Data'!$K$7:$K$8,E912), INDEX('Route Data'!$I$7:$I$8,E912), INDEX('Route Data'!$I$7:$I$8,E912)*INDEX('Route Data'!$J$7:$J$8,E912), INDEX('Route Data'!$L$7:$L$8,E912)*2*PI()/60, INDEX('Route Data'!$F$7:$F$8,E912),INDEX('Route Data'!$O$7:$O$8,E912), INDEX('Route Data'!$P$7:$P$8,E912), INDEX('Route Data'!$H$7:$H$8,E912), INDEX('Route Data'!$Q$7:$Q$8,E912), INDEX('Route Data'!$M$7:$M$8,E912))</f>
        <v>0.51617226640175828</v>
      </c>
      <c r="L912" s="5">
        <f>INDEX('Route Data'!$N$7:$N$8,E912)</f>
        <v>0.4</v>
      </c>
      <c r="M912" s="8">
        <v>0.17642152309417725</v>
      </c>
      <c r="N912" s="8">
        <f>ProbStrikeFrancis(K912, I912, L912, INDEX('Route Data'!$G$7:$G$8,E912),C912, INDEX('Route Data'!$F$7:$F$8,E912), INDEX('Route Data'!$O$7:$O$8,E912), INDEX('Route Data'!$H$7:$H$18,E912))</f>
        <v>1</v>
      </c>
      <c r="O912" s="5" t="str">
        <f>IF(F912&gt;=1,IF(M912&lt;=N912,"STRIKE","pass"),IF(M912&lt;=INDEX('Route Data'!$R$7:$R$8,E912),"NO PASS","pass"))</f>
        <v>STRIKE</v>
      </c>
      <c r="P912" s="5">
        <f>IF(F912&gt;=1,IF(M912&lt;=N912,1,0),IF(M912&lt;=INDEX('Route Data'!$R$7:$R$8,E912),-1,0))</f>
        <v>1</v>
      </c>
    </row>
    <row r="913" spans="1:16">
      <c r="A913" s="5">
        <v>903</v>
      </c>
      <c r="B913" s="12">
        <v>23.57</v>
      </c>
      <c r="C913" s="12">
        <f t="shared" si="14"/>
        <v>1.96</v>
      </c>
      <c r="D913" s="8">
        <v>0.40080410242080688</v>
      </c>
      <c r="E913" s="5">
        <f>MATCH(D913,'Route Data'!$C$7:$C$8,1)</f>
        <v>2</v>
      </c>
      <c r="F913" s="5">
        <f>INDEX('Route Data'!$D$7:$D$8,E913)</f>
        <v>1</v>
      </c>
      <c r="G913" s="5" t="str">
        <f>INDEX('Route Data'!$A$7:$A$8,E913)</f>
        <v>u18</v>
      </c>
      <c r="H913" s="5">
        <f>EnergyCoeff(INDEX('Route Data'!$K$7:$K$8,E913),INDEX('Route Data'!$L$7:$L$8,E913)*2*PI()/60,INDEX('Route Data'!$F$7:$F$8,E913))</f>
        <v>0.19430699130049439</v>
      </c>
      <c r="I913" s="5">
        <f>DischargeCoeff(INDEX('Route Data'!$I$7:$I$8,E913), INDEX('Route Data'!$L$7:$L$8,E913)*2*PI()/60, INDEX('Route Data'!$F$7:$F$8,E913))</f>
        <v>0.15939200179827354</v>
      </c>
      <c r="J913" s="8">
        <f>FlowAngleRel(INDEX('Route Data'!$J$7:$J$8,E913)*INDEX('Route Data'!$I$7:$I$8,E913), INDEX('Route Data'!$L$7:$L$8,E913)*2*PI()/60, INDEX('Route Data'!$F$7:$F$8,E913),INDEX('Route Data'!$O$7:$O$8,E913), INDEX('Route Data'!$P$7:$P$8,E913),INDEX('Route Data'!$M$7:$M$8,E913))</f>
        <v>1.130811765868994</v>
      </c>
      <c r="K913" s="8">
        <f>FlowAngleAbsT(INDEX('Route Data'!$K$7:$K$8,E913), INDEX('Route Data'!$I$7:$I$8,E913), INDEX('Route Data'!$I$7:$I$8,E913)*INDEX('Route Data'!$J$7:$J$8,E913), INDEX('Route Data'!$L$7:$L$8,E913)*2*PI()/60, INDEX('Route Data'!$F$7:$F$8,E913),INDEX('Route Data'!$O$7:$O$8,E913), INDEX('Route Data'!$P$7:$P$8,E913), INDEX('Route Data'!$H$7:$H$8,E913), INDEX('Route Data'!$Q$7:$Q$8,E913), INDEX('Route Data'!$M$7:$M$8,E913))</f>
        <v>0.51617226640175828</v>
      </c>
      <c r="L913" s="5">
        <f>INDEX('Route Data'!$N$7:$N$8,E913)</f>
        <v>0.4</v>
      </c>
      <c r="M913" s="8">
        <v>0.10165220499038696</v>
      </c>
      <c r="N913" s="8">
        <f>ProbStrikeFrancis(K913, I913, L913, INDEX('Route Data'!$G$7:$G$8,E913),C913, INDEX('Route Data'!$F$7:$F$8,E913), INDEX('Route Data'!$O$7:$O$8,E913), INDEX('Route Data'!$H$7:$H$18,E913))</f>
        <v>1</v>
      </c>
      <c r="O913" s="5" t="str">
        <f>IF(F913&gt;=1,IF(M913&lt;=N913,"STRIKE","pass"),IF(M913&lt;=INDEX('Route Data'!$R$7:$R$8,E913),"NO PASS","pass"))</f>
        <v>STRIKE</v>
      </c>
      <c r="P913" s="5">
        <f>IF(F913&gt;=1,IF(M913&lt;=N913,1,0),IF(M913&lt;=INDEX('Route Data'!$R$7:$R$8,E913),-1,0))</f>
        <v>1</v>
      </c>
    </row>
    <row r="914" spans="1:16">
      <c r="A914" s="5">
        <v>904</v>
      </c>
      <c r="B914" s="12">
        <v>19.649999999999999</v>
      </c>
      <c r="C914" s="12">
        <f t="shared" si="14"/>
        <v>1.64</v>
      </c>
      <c r="D914" s="8">
        <v>0.65051984786987305</v>
      </c>
      <c r="E914" s="5">
        <f>MATCH(D914,'Route Data'!$C$7:$C$8,1)</f>
        <v>2</v>
      </c>
      <c r="F914" s="5">
        <f>INDEX('Route Data'!$D$7:$D$8,E914)</f>
        <v>1</v>
      </c>
      <c r="G914" s="5" t="str">
        <f>INDEX('Route Data'!$A$7:$A$8,E914)</f>
        <v>u18</v>
      </c>
      <c r="H914" s="5">
        <f>EnergyCoeff(INDEX('Route Data'!$K$7:$K$8,E914),INDEX('Route Data'!$L$7:$L$8,E914)*2*PI()/60,INDEX('Route Data'!$F$7:$F$8,E914))</f>
        <v>0.19430699130049439</v>
      </c>
      <c r="I914" s="5">
        <f>DischargeCoeff(INDEX('Route Data'!$I$7:$I$8,E914), INDEX('Route Data'!$L$7:$L$8,E914)*2*PI()/60, INDEX('Route Data'!$F$7:$F$8,E914))</f>
        <v>0.15939200179827354</v>
      </c>
      <c r="J914" s="8">
        <f>FlowAngleRel(INDEX('Route Data'!$J$7:$J$8,E914)*INDEX('Route Data'!$I$7:$I$8,E914), INDEX('Route Data'!$L$7:$L$8,E914)*2*PI()/60, INDEX('Route Data'!$F$7:$F$8,E914),INDEX('Route Data'!$O$7:$O$8,E914), INDEX('Route Data'!$P$7:$P$8,E914),INDEX('Route Data'!$M$7:$M$8,E914))</f>
        <v>1.130811765868994</v>
      </c>
      <c r="K914" s="8">
        <f>FlowAngleAbsT(INDEX('Route Data'!$K$7:$K$8,E914), INDEX('Route Data'!$I$7:$I$8,E914), INDEX('Route Data'!$I$7:$I$8,E914)*INDEX('Route Data'!$J$7:$J$8,E914), INDEX('Route Data'!$L$7:$L$8,E914)*2*PI()/60, INDEX('Route Data'!$F$7:$F$8,E914),INDEX('Route Data'!$O$7:$O$8,E914), INDEX('Route Data'!$P$7:$P$8,E914), INDEX('Route Data'!$H$7:$H$8,E914), INDEX('Route Data'!$Q$7:$Q$8,E914), INDEX('Route Data'!$M$7:$M$8,E914))</f>
        <v>0.51617226640175828</v>
      </c>
      <c r="L914" s="5">
        <f>INDEX('Route Data'!$N$7:$N$8,E914)</f>
        <v>0.4</v>
      </c>
      <c r="M914" s="8">
        <v>0.32596015930175781</v>
      </c>
      <c r="N914" s="8">
        <f>ProbStrikeFrancis(K914, I914, L914, INDEX('Route Data'!$G$7:$G$8,E914),C914, INDEX('Route Data'!$F$7:$F$8,E914), INDEX('Route Data'!$O$7:$O$8,E914), INDEX('Route Data'!$H$7:$H$18,E914))</f>
        <v>1</v>
      </c>
      <c r="O914" s="5" t="str">
        <f>IF(F914&gt;=1,IF(M914&lt;=N914,"STRIKE","pass"),IF(M914&lt;=INDEX('Route Data'!$R$7:$R$8,E914),"NO PASS","pass"))</f>
        <v>STRIKE</v>
      </c>
      <c r="P914" s="5">
        <f>IF(F914&gt;=1,IF(M914&lt;=N914,1,0),IF(M914&lt;=INDEX('Route Data'!$R$7:$R$8,E914),-1,0))</f>
        <v>1</v>
      </c>
    </row>
    <row r="915" spans="1:16">
      <c r="A915" s="5">
        <v>905</v>
      </c>
      <c r="B915" s="12">
        <v>25.37</v>
      </c>
      <c r="C915" s="12">
        <f t="shared" si="14"/>
        <v>2.11</v>
      </c>
      <c r="D915" s="8">
        <v>0.63579338788986206</v>
      </c>
      <c r="E915" s="5">
        <f>MATCH(D915,'Route Data'!$C$7:$C$8,1)</f>
        <v>2</v>
      </c>
      <c r="F915" s="5">
        <f>INDEX('Route Data'!$D$7:$D$8,E915)</f>
        <v>1</v>
      </c>
      <c r="G915" s="5" t="str">
        <f>INDEX('Route Data'!$A$7:$A$8,E915)</f>
        <v>u18</v>
      </c>
      <c r="H915" s="5">
        <f>EnergyCoeff(INDEX('Route Data'!$K$7:$K$8,E915),INDEX('Route Data'!$L$7:$L$8,E915)*2*PI()/60,INDEX('Route Data'!$F$7:$F$8,E915))</f>
        <v>0.19430699130049439</v>
      </c>
      <c r="I915" s="5">
        <f>DischargeCoeff(INDEX('Route Data'!$I$7:$I$8,E915), INDEX('Route Data'!$L$7:$L$8,E915)*2*PI()/60, INDEX('Route Data'!$F$7:$F$8,E915))</f>
        <v>0.15939200179827354</v>
      </c>
      <c r="J915" s="8">
        <f>FlowAngleRel(INDEX('Route Data'!$J$7:$J$8,E915)*INDEX('Route Data'!$I$7:$I$8,E915), INDEX('Route Data'!$L$7:$L$8,E915)*2*PI()/60, INDEX('Route Data'!$F$7:$F$8,E915),INDEX('Route Data'!$O$7:$O$8,E915), INDEX('Route Data'!$P$7:$P$8,E915),INDEX('Route Data'!$M$7:$M$8,E915))</f>
        <v>1.130811765868994</v>
      </c>
      <c r="K915" s="8">
        <f>FlowAngleAbsT(INDEX('Route Data'!$K$7:$K$8,E915), INDEX('Route Data'!$I$7:$I$8,E915), INDEX('Route Data'!$I$7:$I$8,E915)*INDEX('Route Data'!$J$7:$J$8,E915), INDEX('Route Data'!$L$7:$L$8,E915)*2*PI()/60, INDEX('Route Data'!$F$7:$F$8,E915),INDEX('Route Data'!$O$7:$O$8,E915), INDEX('Route Data'!$P$7:$P$8,E915), INDEX('Route Data'!$H$7:$H$8,E915), INDEX('Route Data'!$Q$7:$Q$8,E915), INDEX('Route Data'!$M$7:$M$8,E915))</f>
        <v>0.51617226640175828</v>
      </c>
      <c r="L915" s="5">
        <f>INDEX('Route Data'!$N$7:$N$8,E915)</f>
        <v>0.4</v>
      </c>
      <c r="M915" s="8">
        <v>0.38745707273483276</v>
      </c>
      <c r="N915" s="8">
        <f>ProbStrikeFrancis(K915, I915, L915, INDEX('Route Data'!$G$7:$G$8,E915),C915, INDEX('Route Data'!$F$7:$F$8,E915), INDEX('Route Data'!$O$7:$O$8,E915), INDEX('Route Data'!$H$7:$H$18,E915))</f>
        <v>1</v>
      </c>
      <c r="O915" s="5" t="str">
        <f>IF(F915&gt;=1,IF(M915&lt;=N915,"STRIKE","pass"),IF(M915&lt;=INDEX('Route Data'!$R$7:$R$8,E915),"NO PASS","pass"))</f>
        <v>STRIKE</v>
      </c>
      <c r="P915" s="5">
        <f>IF(F915&gt;=1,IF(M915&lt;=N915,1,0),IF(M915&lt;=INDEX('Route Data'!$R$7:$R$8,E915),-1,0))</f>
        <v>1</v>
      </c>
    </row>
    <row r="916" spans="1:16">
      <c r="A916" s="5">
        <v>906</v>
      </c>
      <c r="B916" s="12">
        <v>19.39</v>
      </c>
      <c r="C916" s="12">
        <f t="shared" si="14"/>
        <v>1.62</v>
      </c>
      <c r="D916" s="8">
        <v>0.94555199146270752</v>
      </c>
      <c r="E916" s="5">
        <f>MATCH(D916,'Route Data'!$C$7:$C$8,1)</f>
        <v>2</v>
      </c>
      <c r="F916" s="5">
        <f>INDEX('Route Data'!$D$7:$D$8,E916)</f>
        <v>1</v>
      </c>
      <c r="G916" s="5" t="str">
        <f>INDEX('Route Data'!$A$7:$A$8,E916)</f>
        <v>u18</v>
      </c>
      <c r="H916" s="5">
        <f>EnergyCoeff(INDEX('Route Data'!$K$7:$K$8,E916),INDEX('Route Data'!$L$7:$L$8,E916)*2*PI()/60,INDEX('Route Data'!$F$7:$F$8,E916))</f>
        <v>0.19430699130049439</v>
      </c>
      <c r="I916" s="5">
        <f>DischargeCoeff(INDEX('Route Data'!$I$7:$I$8,E916), INDEX('Route Data'!$L$7:$L$8,E916)*2*PI()/60, INDEX('Route Data'!$F$7:$F$8,E916))</f>
        <v>0.15939200179827354</v>
      </c>
      <c r="J916" s="8">
        <f>FlowAngleRel(INDEX('Route Data'!$J$7:$J$8,E916)*INDEX('Route Data'!$I$7:$I$8,E916), INDEX('Route Data'!$L$7:$L$8,E916)*2*PI()/60, INDEX('Route Data'!$F$7:$F$8,E916),INDEX('Route Data'!$O$7:$O$8,E916), INDEX('Route Data'!$P$7:$P$8,E916),INDEX('Route Data'!$M$7:$M$8,E916))</f>
        <v>1.130811765868994</v>
      </c>
      <c r="K916" s="8">
        <f>FlowAngleAbsT(INDEX('Route Data'!$K$7:$K$8,E916), INDEX('Route Data'!$I$7:$I$8,E916), INDEX('Route Data'!$I$7:$I$8,E916)*INDEX('Route Data'!$J$7:$J$8,E916), INDEX('Route Data'!$L$7:$L$8,E916)*2*PI()/60, INDEX('Route Data'!$F$7:$F$8,E916),INDEX('Route Data'!$O$7:$O$8,E916), INDEX('Route Data'!$P$7:$P$8,E916), INDEX('Route Data'!$H$7:$H$8,E916), INDEX('Route Data'!$Q$7:$Q$8,E916), INDEX('Route Data'!$M$7:$M$8,E916))</f>
        <v>0.51617226640175828</v>
      </c>
      <c r="L916" s="5">
        <f>INDEX('Route Data'!$N$7:$N$8,E916)</f>
        <v>0.4</v>
      </c>
      <c r="M916" s="8">
        <v>0.67180788516998291</v>
      </c>
      <c r="N916" s="8">
        <f>ProbStrikeFrancis(K916, I916, L916, INDEX('Route Data'!$G$7:$G$8,E916),C916, INDEX('Route Data'!$F$7:$F$8,E916), INDEX('Route Data'!$O$7:$O$8,E916), INDEX('Route Data'!$H$7:$H$18,E916))</f>
        <v>1</v>
      </c>
      <c r="O916" s="5" t="str">
        <f>IF(F916&gt;=1,IF(M916&lt;=N916,"STRIKE","pass"),IF(M916&lt;=INDEX('Route Data'!$R$7:$R$8,E916),"NO PASS","pass"))</f>
        <v>STRIKE</v>
      </c>
      <c r="P916" s="5">
        <f>IF(F916&gt;=1,IF(M916&lt;=N916,1,0),IF(M916&lt;=INDEX('Route Data'!$R$7:$R$8,E916),-1,0))</f>
        <v>1</v>
      </c>
    </row>
    <row r="917" spans="1:16">
      <c r="A917" s="5">
        <v>907</v>
      </c>
      <c r="B917" s="12">
        <v>26.29</v>
      </c>
      <c r="C917" s="12">
        <f t="shared" si="14"/>
        <v>2.19</v>
      </c>
      <c r="D917" s="8">
        <v>1.6276180744171143E-2</v>
      </c>
      <c r="E917" s="5">
        <f>MATCH(D917,'Route Data'!$C$7:$C$8,1)</f>
        <v>2</v>
      </c>
      <c r="F917" s="5">
        <f>INDEX('Route Data'!$D$7:$D$8,E917)</f>
        <v>1</v>
      </c>
      <c r="G917" s="5" t="str">
        <f>INDEX('Route Data'!$A$7:$A$8,E917)</f>
        <v>u18</v>
      </c>
      <c r="H917" s="5">
        <f>EnergyCoeff(INDEX('Route Data'!$K$7:$K$8,E917),INDEX('Route Data'!$L$7:$L$8,E917)*2*PI()/60,INDEX('Route Data'!$F$7:$F$8,E917))</f>
        <v>0.19430699130049439</v>
      </c>
      <c r="I917" s="5">
        <f>DischargeCoeff(INDEX('Route Data'!$I$7:$I$8,E917), INDEX('Route Data'!$L$7:$L$8,E917)*2*PI()/60, INDEX('Route Data'!$F$7:$F$8,E917))</f>
        <v>0.15939200179827354</v>
      </c>
      <c r="J917" s="8">
        <f>FlowAngleRel(INDEX('Route Data'!$J$7:$J$8,E917)*INDEX('Route Data'!$I$7:$I$8,E917), INDEX('Route Data'!$L$7:$L$8,E917)*2*PI()/60, INDEX('Route Data'!$F$7:$F$8,E917),INDEX('Route Data'!$O$7:$O$8,E917), INDEX('Route Data'!$P$7:$P$8,E917),INDEX('Route Data'!$M$7:$M$8,E917))</f>
        <v>1.130811765868994</v>
      </c>
      <c r="K917" s="8">
        <f>FlowAngleAbsT(INDEX('Route Data'!$K$7:$K$8,E917), INDEX('Route Data'!$I$7:$I$8,E917), INDEX('Route Data'!$I$7:$I$8,E917)*INDEX('Route Data'!$J$7:$J$8,E917), INDEX('Route Data'!$L$7:$L$8,E917)*2*PI()/60, INDEX('Route Data'!$F$7:$F$8,E917),INDEX('Route Data'!$O$7:$O$8,E917), INDEX('Route Data'!$P$7:$P$8,E917), INDEX('Route Data'!$H$7:$H$8,E917), INDEX('Route Data'!$Q$7:$Q$8,E917), INDEX('Route Data'!$M$7:$M$8,E917))</f>
        <v>0.51617226640175828</v>
      </c>
      <c r="L917" s="5">
        <f>INDEX('Route Data'!$N$7:$N$8,E917)</f>
        <v>0.4</v>
      </c>
      <c r="M917" s="8">
        <v>8.4334671497344971E-2</v>
      </c>
      <c r="N917" s="8">
        <f>ProbStrikeFrancis(K917, I917, L917, INDEX('Route Data'!$G$7:$G$8,E917),C917, INDEX('Route Data'!$F$7:$F$8,E917), INDEX('Route Data'!$O$7:$O$8,E917), INDEX('Route Data'!$H$7:$H$18,E917))</f>
        <v>1</v>
      </c>
      <c r="O917" s="5" t="str">
        <f>IF(F917&gt;=1,IF(M917&lt;=N917,"STRIKE","pass"),IF(M917&lt;=INDEX('Route Data'!$R$7:$R$8,E917),"NO PASS","pass"))</f>
        <v>STRIKE</v>
      </c>
      <c r="P917" s="5">
        <f>IF(F917&gt;=1,IF(M917&lt;=N917,1,0),IF(M917&lt;=INDEX('Route Data'!$R$7:$R$8,E917),-1,0))</f>
        <v>1</v>
      </c>
    </row>
    <row r="918" spans="1:16">
      <c r="A918" s="5">
        <v>908</v>
      </c>
      <c r="B918" s="12">
        <v>28.41</v>
      </c>
      <c r="C918" s="12">
        <f t="shared" si="14"/>
        <v>2.37</v>
      </c>
      <c r="D918" s="8">
        <v>6.9682836532592773E-2</v>
      </c>
      <c r="E918" s="5">
        <f>MATCH(D918,'Route Data'!$C$7:$C$8,1)</f>
        <v>2</v>
      </c>
      <c r="F918" s="5">
        <f>INDEX('Route Data'!$D$7:$D$8,E918)</f>
        <v>1</v>
      </c>
      <c r="G918" s="5" t="str">
        <f>INDEX('Route Data'!$A$7:$A$8,E918)</f>
        <v>u18</v>
      </c>
      <c r="H918" s="5">
        <f>EnergyCoeff(INDEX('Route Data'!$K$7:$K$8,E918),INDEX('Route Data'!$L$7:$L$8,E918)*2*PI()/60,INDEX('Route Data'!$F$7:$F$8,E918))</f>
        <v>0.19430699130049439</v>
      </c>
      <c r="I918" s="5">
        <f>DischargeCoeff(INDEX('Route Data'!$I$7:$I$8,E918), INDEX('Route Data'!$L$7:$L$8,E918)*2*PI()/60, INDEX('Route Data'!$F$7:$F$8,E918))</f>
        <v>0.15939200179827354</v>
      </c>
      <c r="J918" s="8">
        <f>FlowAngleRel(INDEX('Route Data'!$J$7:$J$8,E918)*INDEX('Route Data'!$I$7:$I$8,E918), INDEX('Route Data'!$L$7:$L$8,E918)*2*PI()/60, INDEX('Route Data'!$F$7:$F$8,E918),INDEX('Route Data'!$O$7:$O$8,E918), INDEX('Route Data'!$P$7:$P$8,E918),INDEX('Route Data'!$M$7:$M$8,E918))</f>
        <v>1.130811765868994</v>
      </c>
      <c r="K918" s="8">
        <f>FlowAngleAbsT(INDEX('Route Data'!$K$7:$K$8,E918), INDEX('Route Data'!$I$7:$I$8,E918), INDEX('Route Data'!$I$7:$I$8,E918)*INDEX('Route Data'!$J$7:$J$8,E918), INDEX('Route Data'!$L$7:$L$8,E918)*2*PI()/60, INDEX('Route Data'!$F$7:$F$8,E918),INDEX('Route Data'!$O$7:$O$8,E918), INDEX('Route Data'!$P$7:$P$8,E918), INDEX('Route Data'!$H$7:$H$8,E918), INDEX('Route Data'!$Q$7:$Q$8,E918), INDEX('Route Data'!$M$7:$M$8,E918))</f>
        <v>0.51617226640175828</v>
      </c>
      <c r="L918" s="5">
        <f>INDEX('Route Data'!$N$7:$N$8,E918)</f>
        <v>0.4</v>
      </c>
      <c r="M918" s="8">
        <v>0.11233353614807129</v>
      </c>
      <c r="N918" s="8">
        <f>ProbStrikeFrancis(K918, I918, L918, INDEX('Route Data'!$G$7:$G$8,E918),C918, INDEX('Route Data'!$F$7:$F$8,E918), INDEX('Route Data'!$O$7:$O$8,E918), INDEX('Route Data'!$H$7:$H$18,E918))</f>
        <v>1</v>
      </c>
      <c r="O918" s="5" t="str">
        <f>IF(F918&gt;=1,IF(M918&lt;=N918,"STRIKE","pass"),IF(M918&lt;=INDEX('Route Data'!$R$7:$R$8,E918),"NO PASS","pass"))</f>
        <v>STRIKE</v>
      </c>
      <c r="P918" s="5">
        <f>IF(F918&gt;=1,IF(M918&lt;=N918,1,0),IF(M918&lt;=INDEX('Route Data'!$R$7:$R$8,E918),-1,0))</f>
        <v>1</v>
      </c>
    </row>
    <row r="919" spans="1:16">
      <c r="A919" s="5">
        <v>909</v>
      </c>
      <c r="B919" s="12">
        <v>22.18</v>
      </c>
      <c r="C919" s="12">
        <f t="shared" si="14"/>
        <v>1.85</v>
      </c>
      <c r="D919" s="8">
        <v>0.90946286916732788</v>
      </c>
      <c r="E919" s="5">
        <f>MATCH(D919,'Route Data'!$C$7:$C$8,1)</f>
        <v>2</v>
      </c>
      <c r="F919" s="5">
        <f>INDEX('Route Data'!$D$7:$D$8,E919)</f>
        <v>1</v>
      </c>
      <c r="G919" s="5" t="str">
        <f>INDEX('Route Data'!$A$7:$A$8,E919)</f>
        <v>u18</v>
      </c>
      <c r="H919" s="5">
        <f>EnergyCoeff(INDEX('Route Data'!$K$7:$K$8,E919),INDEX('Route Data'!$L$7:$L$8,E919)*2*PI()/60,INDEX('Route Data'!$F$7:$F$8,E919))</f>
        <v>0.19430699130049439</v>
      </c>
      <c r="I919" s="5">
        <f>DischargeCoeff(INDEX('Route Data'!$I$7:$I$8,E919), INDEX('Route Data'!$L$7:$L$8,E919)*2*PI()/60, INDEX('Route Data'!$F$7:$F$8,E919))</f>
        <v>0.15939200179827354</v>
      </c>
      <c r="J919" s="8">
        <f>FlowAngleRel(INDEX('Route Data'!$J$7:$J$8,E919)*INDEX('Route Data'!$I$7:$I$8,E919), INDEX('Route Data'!$L$7:$L$8,E919)*2*PI()/60, INDEX('Route Data'!$F$7:$F$8,E919),INDEX('Route Data'!$O$7:$O$8,E919), INDEX('Route Data'!$P$7:$P$8,E919),INDEX('Route Data'!$M$7:$M$8,E919))</f>
        <v>1.130811765868994</v>
      </c>
      <c r="K919" s="8">
        <f>FlowAngleAbsT(INDEX('Route Data'!$K$7:$K$8,E919), INDEX('Route Data'!$I$7:$I$8,E919), INDEX('Route Data'!$I$7:$I$8,E919)*INDEX('Route Data'!$J$7:$J$8,E919), INDEX('Route Data'!$L$7:$L$8,E919)*2*PI()/60, INDEX('Route Data'!$F$7:$F$8,E919),INDEX('Route Data'!$O$7:$O$8,E919), INDEX('Route Data'!$P$7:$P$8,E919), INDEX('Route Data'!$H$7:$H$8,E919), INDEX('Route Data'!$Q$7:$Q$8,E919), INDEX('Route Data'!$M$7:$M$8,E919))</f>
        <v>0.51617226640175828</v>
      </c>
      <c r="L919" s="5">
        <f>INDEX('Route Data'!$N$7:$N$8,E919)</f>
        <v>0.4</v>
      </c>
      <c r="M919" s="8">
        <v>0.29391616582870483</v>
      </c>
      <c r="N919" s="8">
        <f>ProbStrikeFrancis(K919, I919, L919, INDEX('Route Data'!$G$7:$G$8,E919),C919, INDEX('Route Data'!$F$7:$F$8,E919), INDEX('Route Data'!$O$7:$O$8,E919), INDEX('Route Data'!$H$7:$H$18,E919))</f>
        <v>1</v>
      </c>
      <c r="O919" s="5" t="str">
        <f>IF(F919&gt;=1,IF(M919&lt;=N919,"STRIKE","pass"),IF(M919&lt;=INDEX('Route Data'!$R$7:$R$8,E919),"NO PASS","pass"))</f>
        <v>STRIKE</v>
      </c>
      <c r="P919" s="5">
        <f>IF(F919&gt;=1,IF(M919&lt;=N919,1,0),IF(M919&lt;=INDEX('Route Data'!$R$7:$R$8,E919),-1,0))</f>
        <v>1</v>
      </c>
    </row>
    <row r="920" spans="1:16">
      <c r="A920" s="5">
        <v>910</v>
      </c>
      <c r="B920" s="12">
        <v>28.64</v>
      </c>
      <c r="C920" s="12">
        <f t="shared" si="14"/>
        <v>2.39</v>
      </c>
      <c r="D920" s="8">
        <v>0.39012277126312256</v>
      </c>
      <c r="E920" s="5">
        <f>MATCH(D920,'Route Data'!$C$7:$C$8,1)</f>
        <v>2</v>
      </c>
      <c r="F920" s="5">
        <f>INDEX('Route Data'!$D$7:$D$8,E920)</f>
        <v>1</v>
      </c>
      <c r="G920" s="5" t="str">
        <f>INDEX('Route Data'!$A$7:$A$8,E920)</f>
        <v>u18</v>
      </c>
      <c r="H920" s="5">
        <f>EnergyCoeff(INDEX('Route Data'!$K$7:$K$8,E920),INDEX('Route Data'!$L$7:$L$8,E920)*2*PI()/60,INDEX('Route Data'!$F$7:$F$8,E920))</f>
        <v>0.19430699130049439</v>
      </c>
      <c r="I920" s="5">
        <f>DischargeCoeff(INDEX('Route Data'!$I$7:$I$8,E920), INDEX('Route Data'!$L$7:$L$8,E920)*2*PI()/60, INDEX('Route Data'!$F$7:$F$8,E920))</f>
        <v>0.15939200179827354</v>
      </c>
      <c r="J920" s="8">
        <f>FlowAngleRel(INDEX('Route Data'!$J$7:$J$8,E920)*INDEX('Route Data'!$I$7:$I$8,E920), INDEX('Route Data'!$L$7:$L$8,E920)*2*PI()/60, INDEX('Route Data'!$F$7:$F$8,E920),INDEX('Route Data'!$O$7:$O$8,E920), INDEX('Route Data'!$P$7:$P$8,E920),INDEX('Route Data'!$M$7:$M$8,E920))</f>
        <v>1.130811765868994</v>
      </c>
      <c r="K920" s="8">
        <f>FlowAngleAbsT(INDEX('Route Data'!$K$7:$K$8,E920), INDEX('Route Data'!$I$7:$I$8,E920), INDEX('Route Data'!$I$7:$I$8,E920)*INDEX('Route Data'!$J$7:$J$8,E920), INDEX('Route Data'!$L$7:$L$8,E920)*2*PI()/60, INDEX('Route Data'!$F$7:$F$8,E920),INDEX('Route Data'!$O$7:$O$8,E920), INDEX('Route Data'!$P$7:$P$8,E920), INDEX('Route Data'!$H$7:$H$8,E920), INDEX('Route Data'!$Q$7:$Q$8,E920), INDEX('Route Data'!$M$7:$M$8,E920))</f>
        <v>0.51617226640175828</v>
      </c>
      <c r="L920" s="5">
        <f>INDEX('Route Data'!$N$7:$N$8,E920)</f>
        <v>0.4</v>
      </c>
      <c r="M920" s="8">
        <v>0.4835890531539917</v>
      </c>
      <c r="N920" s="8">
        <f>ProbStrikeFrancis(K920, I920, L920, INDEX('Route Data'!$G$7:$G$8,E920),C920, INDEX('Route Data'!$F$7:$F$8,E920), INDEX('Route Data'!$O$7:$O$8,E920), INDEX('Route Data'!$H$7:$H$18,E920))</f>
        <v>1</v>
      </c>
      <c r="O920" s="5" t="str">
        <f>IF(F920&gt;=1,IF(M920&lt;=N920,"STRIKE","pass"),IF(M920&lt;=INDEX('Route Data'!$R$7:$R$8,E920),"NO PASS","pass"))</f>
        <v>STRIKE</v>
      </c>
      <c r="P920" s="5">
        <f>IF(F920&gt;=1,IF(M920&lt;=N920,1,0),IF(M920&lt;=INDEX('Route Data'!$R$7:$R$8,E920),-1,0))</f>
        <v>1</v>
      </c>
    </row>
    <row r="921" spans="1:16">
      <c r="A921" s="5">
        <v>911</v>
      </c>
      <c r="B921" s="12">
        <v>19.72</v>
      </c>
      <c r="C921" s="12">
        <f t="shared" si="14"/>
        <v>1.64</v>
      </c>
      <c r="D921" s="8">
        <v>0.68256384134292603</v>
      </c>
      <c r="E921" s="5">
        <f>MATCH(D921,'Route Data'!$C$7:$C$8,1)</f>
        <v>2</v>
      </c>
      <c r="F921" s="5">
        <f>INDEX('Route Data'!$D$7:$D$8,E921)</f>
        <v>1</v>
      </c>
      <c r="G921" s="5" t="str">
        <f>INDEX('Route Data'!$A$7:$A$8,E921)</f>
        <v>u18</v>
      </c>
      <c r="H921" s="5">
        <f>EnergyCoeff(INDEX('Route Data'!$K$7:$K$8,E921),INDEX('Route Data'!$L$7:$L$8,E921)*2*PI()/60,INDEX('Route Data'!$F$7:$F$8,E921))</f>
        <v>0.19430699130049439</v>
      </c>
      <c r="I921" s="5">
        <f>DischargeCoeff(INDEX('Route Data'!$I$7:$I$8,E921), INDEX('Route Data'!$L$7:$L$8,E921)*2*PI()/60, INDEX('Route Data'!$F$7:$F$8,E921))</f>
        <v>0.15939200179827354</v>
      </c>
      <c r="J921" s="8">
        <f>FlowAngleRel(INDEX('Route Data'!$J$7:$J$8,E921)*INDEX('Route Data'!$I$7:$I$8,E921), INDEX('Route Data'!$L$7:$L$8,E921)*2*PI()/60, INDEX('Route Data'!$F$7:$F$8,E921),INDEX('Route Data'!$O$7:$O$8,E921), INDEX('Route Data'!$P$7:$P$8,E921),INDEX('Route Data'!$M$7:$M$8,E921))</f>
        <v>1.130811765868994</v>
      </c>
      <c r="K921" s="8">
        <f>FlowAngleAbsT(INDEX('Route Data'!$K$7:$K$8,E921), INDEX('Route Data'!$I$7:$I$8,E921), INDEX('Route Data'!$I$7:$I$8,E921)*INDEX('Route Data'!$J$7:$J$8,E921), INDEX('Route Data'!$L$7:$L$8,E921)*2*PI()/60, INDEX('Route Data'!$F$7:$F$8,E921),INDEX('Route Data'!$O$7:$O$8,E921), INDEX('Route Data'!$P$7:$P$8,E921), INDEX('Route Data'!$H$7:$H$8,E921), INDEX('Route Data'!$Q$7:$Q$8,E921), INDEX('Route Data'!$M$7:$M$8,E921))</f>
        <v>0.51617226640175828</v>
      </c>
      <c r="L921" s="5">
        <f>INDEX('Route Data'!$N$7:$N$8,E921)</f>
        <v>0.4</v>
      </c>
      <c r="M921" s="8">
        <v>0.3834119439125061</v>
      </c>
      <c r="N921" s="8">
        <f>ProbStrikeFrancis(K921, I921, L921, INDEX('Route Data'!$G$7:$G$8,E921),C921, INDEX('Route Data'!$F$7:$F$8,E921), INDEX('Route Data'!$O$7:$O$8,E921), INDEX('Route Data'!$H$7:$H$18,E921))</f>
        <v>1</v>
      </c>
      <c r="O921" s="5" t="str">
        <f>IF(F921&gt;=1,IF(M921&lt;=N921,"STRIKE","pass"),IF(M921&lt;=INDEX('Route Data'!$R$7:$R$8,E921),"NO PASS","pass"))</f>
        <v>STRIKE</v>
      </c>
      <c r="P921" s="5">
        <f>IF(F921&gt;=1,IF(M921&lt;=N921,1,0),IF(M921&lt;=INDEX('Route Data'!$R$7:$R$8,E921),-1,0))</f>
        <v>1</v>
      </c>
    </row>
    <row r="922" spans="1:16">
      <c r="A922" s="5">
        <v>912</v>
      </c>
      <c r="B922" s="12">
        <v>17.97</v>
      </c>
      <c r="C922" s="12">
        <f t="shared" si="14"/>
        <v>1.5</v>
      </c>
      <c r="D922" s="8">
        <v>0.53966140747070313</v>
      </c>
      <c r="E922" s="5">
        <f>MATCH(D922,'Route Data'!$C$7:$C$8,1)</f>
        <v>2</v>
      </c>
      <c r="F922" s="5">
        <f>INDEX('Route Data'!$D$7:$D$8,E922)</f>
        <v>1</v>
      </c>
      <c r="G922" s="5" t="str">
        <f>INDEX('Route Data'!$A$7:$A$8,E922)</f>
        <v>u18</v>
      </c>
      <c r="H922" s="5">
        <f>EnergyCoeff(INDEX('Route Data'!$K$7:$K$8,E922),INDEX('Route Data'!$L$7:$L$8,E922)*2*PI()/60,INDEX('Route Data'!$F$7:$F$8,E922))</f>
        <v>0.19430699130049439</v>
      </c>
      <c r="I922" s="5">
        <f>DischargeCoeff(INDEX('Route Data'!$I$7:$I$8,E922), INDEX('Route Data'!$L$7:$L$8,E922)*2*PI()/60, INDEX('Route Data'!$F$7:$F$8,E922))</f>
        <v>0.15939200179827354</v>
      </c>
      <c r="J922" s="8">
        <f>FlowAngleRel(INDEX('Route Data'!$J$7:$J$8,E922)*INDEX('Route Data'!$I$7:$I$8,E922), INDEX('Route Data'!$L$7:$L$8,E922)*2*PI()/60, INDEX('Route Data'!$F$7:$F$8,E922),INDEX('Route Data'!$O$7:$O$8,E922), INDEX('Route Data'!$P$7:$P$8,E922),INDEX('Route Data'!$M$7:$M$8,E922))</f>
        <v>1.130811765868994</v>
      </c>
      <c r="K922" s="8">
        <f>FlowAngleAbsT(INDEX('Route Data'!$K$7:$K$8,E922), INDEX('Route Data'!$I$7:$I$8,E922), INDEX('Route Data'!$I$7:$I$8,E922)*INDEX('Route Data'!$J$7:$J$8,E922), INDEX('Route Data'!$L$7:$L$8,E922)*2*PI()/60, INDEX('Route Data'!$F$7:$F$8,E922),INDEX('Route Data'!$O$7:$O$8,E922), INDEX('Route Data'!$P$7:$P$8,E922), INDEX('Route Data'!$H$7:$H$8,E922), INDEX('Route Data'!$Q$7:$Q$8,E922), INDEX('Route Data'!$M$7:$M$8,E922))</f>
        <v>0.51617226640175828</v>
      </c>
      <c r="L922" s="5">
        <f>INDEX('Route Data'!$N$7:$N$8,E922)</f>
        <v>0.4</v>
      </c>
      <c r="M922" s="8">
        <v>0.94952249526977539</v>
      </c>
      <c r="N922" s="8">
        <f>ProbStrikeFrancis(K922, I922, L922, INDEX('Route Data'!$G$7:$G$8,E922),C922, INDEX('Route Data'!$F$7:$F$8,E922), INDEX('Route Data'!$O$7:$O$8,E922), INDEX('Route Data'!$H$7:$H$18,E922))</f>
        <v>1</v>
      </c>
      <c r="O922" s="5" t="str">
        <f>IF(F922&gt;=1,IF(M922&lt;=N922,"STRIKE","pass"),IF(M922&lt;=INDEX('Route Data'!$R$7:$R$8,E922),"NO PASS","pass"))</f>
        <v>STRIKE</v>
      </c>
      <c r="P922" s="5">
        <f>IF(F922&gt;=1,IF(M922&lt;=N922,1,0),IF(M922&lt;=INDEX('Route Data'!$R$7:$R$8,E922),-1,0))</f>
        <v>1</v>
      </c>
    </row>
    <row r="923" spans="1:16">
      <c r="A923" s="5">
        <v>913</v>
      </c>
      <c r="B923" s="12">
        <v>21.85</v>
      </c>
      <c r="C923" s="12">
        <f t="shared" si="14"/>
        <v>1.82</v>
      </c>
      <c r="D923" s="8">
        <v>0.23394793272018433</v>
      </c>
      <c r="E923" s="5">
        <f>MATCH(D923,'Route Data'!$C$7:$C$8,1)</f>
        <v>2</v>
      </c>
      <c r="F923" s="5">
        <f>INDEX('Route Data'!$D$7:$D$8,E923)</f>
        <v>1</v>
      </c>
      <c r="G923" s="5" t="str">
        <f>INDEX('Route Data'!$A$7:$A$8,E923)</f>
        <v>u18</v>
      </c>
      <c r="H923" s="5">
        <f>EnergyCoeff(INDEX('Route Data'!$K$7:$K$8,E923),INDEX('Route Data'!$L$7:$L$8,E923)*2*PI()/60,INDEX('Route Data'!$F$7:$F$8,E923))</f>
        <v>0.19430699130049439</v>
      </c>
      <c r="I923" s="5">
        <f>DischargeCoeff(INDEX('Route Data'!$I$7:$I$8,E923), INDEX('Route Data'!$L$7:$L$8,E923)*2*PI()/60, INDEX('Route Data'!$F$7:$F$8,E923))</f>
        <v>0.15939200179827354</v>
      </c>
      <c r="J923" s="8">
        <f>FlowAngleRel(INDEX('Route Data'!$J$7:$J$8,E923)*INDEX('Route Data'!$I$7:$I$8,E923), INDEX('Route Data'!$L$7:$L$8,E923)*2*PI()/60, INDEX('Route Data'!$F$7:$F$8,E923),INDEX('Route Data'!$O$7:$O$8,E923), INDEX('Route Data'!$P$7:$P$8,E923),INDEX('Route Data'!$M$7:$M$8,E923))</f>
        <v>1.130811765868994</v>
      </c>
      <c r="K923" s="8">
        <f>FlowAngleAbsT(INDEX('Route Data'!$K$7:$K$8,E923), INDEX('Route Data'!$I$7:$I$8,E923), INDEX('Route Data'!$I$7:$I$8,E923)*INDEX('Route Data'!$J$7:$J$8,E923), INDEX('Route Data'!$L$7:$L$8,E923)*2*PI()/60, INDEX('Route Data'!$F$7:$F$8,E923),INDEX('Route Data'!$O$7:$O$8,E923), INDEX('Route Data'!$P$7:$P$8,E923), INDEX('Route Data'!$H$7:$H$8,E923), INDEX('Route Data'!$Q$7:$Q$8,E923), INDEX('Route Data'!$M$7:$M$8,E923))</f>
        <v>0.51617226640175828</v>
      </c>
      <c r="L923" s="5">
        <f>INDEX('Route Data'!$N$7:$N$8,E923)</f>
        <v>0.4</v>
      </c>
      <c r="M923" s="8">
        <v>0.25119084119796753</v>
      </c>
      <c r="N923" s="8">
        <f>ProbStrikeFrancis(K923, I923, L923, INDEX('Route Data'!$G$7:$G$8,E923),C923, INDEX('Route Data'!$F$7:$F$8,E923), INDEX('Route Data'!$O$7:$O$8,E923), INDEX('Route Data'!$H$7:$H$18,E923))</f>
        <v>1</v>
      </c>
      <c r="O923" s="5" t="str">
        <f>IF(F923&gt;=1,IF(M923&lt;=N923,"STRIKE","pass"),IF(M923&lt;=INDEX('Route Data'!$R$7:$R$8,E923),"NO PASS","pass"))</f>
        <v>STRIKE</v>
      </c>
      <c r="P923" s="5">
        <f>IF(F923&gt;=1,IF(M923&lt;=N923,1,0),IF(M923&lt;=INDEX('Route Data'!$R$7:$R$8,E923),-1,0))</f>
        <v>1</v>
      </c>
    </row>
    <row r="924" spans="1:16">
      <c r="A924" s="5">
        <v>914</v>
      </c>
      <c r="B924" s="12">
        <v>21.38</v>
      </c>
      <c r="C924" s="12">
        <f t="shared" si="14"/>
        <v>1.78</v>
      </c>
      <c r="D924" s="8">
        <v>0.88550913333892822</v>
      </c>
      <c r="E924" s="5">
        <f>MATCH(D924,'Route Data'!$C$7:$C$8,1)</f>
        <v>2</v>
      </c>
      <c r="F924" s="5">
        <f>INDEX('Route Data'!$D$7:$D$8,E924)</f>
        <v>1</v>
      </c>
      <c r="G924" s="5" t="str">
        <f>INDEX('Route Data'!$A$7:$A$8,E924)</f>
        <v>u18</v>
      </c>
      <c r="H924" s="5">
        <f>EnergyCoeff(INDEX('Route Data'!$K$7:$K$8,E924),INDEX('Route Data'!$L$7:$L$8,E924)*2*PI()/60,INDEX('Route Data'!$F$7:$F$8,E924))</f>
        <v>0.19430699130049439</v>
      </c>
      <c r="I924" s="5">
        <f>DischargeCoeff(INDEX('Route Data'!$I$7:$I$8,E924), INDEX('Route Data'!$L$7:$L$8,E924)*2*PI()/60, INDEX('Route Data'!$F$7:$F$8,E924))</f>
        <v>0.15939200179827354</v>
      </c>
      <c r="J924" s="8">
        <f>FlowAngleRel(INDEX('Route Data'!$J$7:$J$8,E924)*INDEX('Route Data'!$I$7:$I$8,E924), INDEX('Route Data'!$L$7:$L$8,E924)*2*PI()/60, INDEX('Route Data'!$F$7:$F$8,E924),INDEX('Route Data'!$O$7:$O$8,E924), INDEX('Route Data'!$P$7:$P$8,E924),INDEX('Route Data'!$M$7:$M$8,E924))</f>
        <v>1.130811765868994</v>
      </c>
      <c r="K924" s="8">
        <f>FlowAngleAbsT(INDEX('Route Data'!$K$7:$K$8,E924), INDEX('Route Data'!$I$7:$I$8,E924), INDEX('Route Data'!$I$7:$I$8,E924)*INDEX('Route Data'!$J$7:$J$8,E924), INDEX('Route Data'!$L$7:$L$8,E924)*2*PI()/60, INDEX('Route Data'!$F$7:$F$8,E924),INDEX('Route Data'!$O$7:$O$8,E924), INDEX('Route Data'!$P$7:$P$8,E924), INDEX('Route Data'!$H$7:$H$8,E924), INDEX('Route Data'!$Q$7:$Q$8,E924), INDEX('Route Data'!$M$7:$M$8,E924))</f>
        <v>0.51617226640175828</v>
      </c>
      <c r="L924" s="5">
        <f>INDEX('Route Data'!$N$7:$N$8,E924)</f>
        <v>0.4</v>
      </c>
      <c r="M924" s="8">
        <v>0.61176502704620361</v>
      </c>
      <c r="N924" s="8">
        <f>ProbStrikeFrancis(K924, I924, L924, INDEX('Route Data'!$G$7:$G$8,E924),C924, INDEX('Route Data'!$F$7:$F$8,E924), INDEX('Route Data'!$O$7:$O$8,E924), INDEX('Route Data'!$H$7:$H$18,E924))</f>
        <v>1</v>
      </c>
      <c r="O924" s="5" t="str">
        <f>IF(F924&gt;=1,IF(M924&lt;=N924,"STRIKE","pass"),IF(M924&lt;=INDEX('Route Data'!$R$7:$R$8,E924),"NO PASS","pass"))</f>
        <v>STRIKE</v>
      </c>
      <c r="P924" s="5">
        <f>IF(F924&gt;=1,IF(M924&lt;=N924,1,0),IF(M924&lt;=INDEX('Route Data'!$R$7:$R$8,E924),-1,0))</f>
        <v>1</v>
      </c>
    </row>
    <row r="925" spans="1:16">
      <c r="A925" s="5">
        <v>915</v>
      </c>
      <c r="B925" s="12">
        <v>25.12</v>
      </c>
      <c r="C925" s="12">
        <f t="shared" si="14"/>
        <v>2.09</v>
      </c>
      <c r="D925" s="8">
        <v>0.93082553148269653</v>
      </c>
      <c r="E925" s="5">
        <f>MATCH(D925,'Route Data'!$C$7:$C$8,1)</f>
        <v>2</v>
      </c>
      <c r="F925" s="5">
        <f>INDEX('Route Data'!$D$7:$D$8,E925)</f>
        <v>1</v>
      </c>
      <c r="G925" s="5" t="str">
        <f>INDEX('Route Data'!$A$7:$A$8,E925)</f>
        <v>u18</v>
      </c>
      <c r="H925" s="5">
        <f>EnergyCoeff(INDEX('Route Data'!$K$7:$K$8,E925),INDEX('Route Data'!$L$7:$L$8,E925)*2*PI()/60,INDEX('Route Data'!$F$7:$F$8,E925))</f>
        <v>0.19430699130049439</v>
      </c>
      <c r="I925" s="5">
        <f>DischargeCoeff(INDEX('Route Data'!$I$7:$I$8,E925), INDEX('Route Data'!$L$7:$L$8,E925)*2*PI()/60, INDEX('Route Data'!$F$7:$F$8,E925))</f>
        <v>0.15939200179827354</v>
      </c>
      <c r="J925" s="8">
        <f>FlowAngleRel(INDEX('Route Data'!$J$7:$J$8,E925)*INDEX('Route Data'!$I$7:$I$8,E925), INDEX('Route Data'!$L$7:$L$8,E925)*2*PI()/60, INDEX('Route Data'!$F$7:$F$8,E925),INDEX('Route Data'!$O$7:$O$8,E925), INDEX('Route Data'!$P$7:$P$8,E925),INDEX('Route Data'!$M$7:$M$8,E925))</f>
        <v>1.130811765868994</v>
      </c>
      <c r="K925" s="8">
        <f>FlowAngleAbsT(INDEX('Route Data'!$K$7:$K$8,E925), INDEX('Route Data'!$I$7:$I$8,E925), INDEX('Route Data'!$I$7:$I$8,E925)*INDEX('Route Data'!$J$7:$J$8,E925), INDEX('Route Data'!$L$7:$L$8,E925)*2*PI()/60, INDEX('Route Data'!$F$7:$F$8,E925),INDEX('Route Data'!$O$7:$O$8,E925), INDEX('Route Data'!$P$7:$P$8,E925), INDEX('Route Data'!$H$7:$H$8,E925), INDEX('Route Data'!$Q$7:$Q$8,E925), INDEX('Route Data'!$M$7:$M$8,E925))</f>
        <v>0.51617226640175828</v>
      </c>
      <c r="L925" s="5">
        <f>INDEX('Route Data'!$N$7:$N$8,E925)</f>
        <v>0.4</v>
      </c>
      <c r="M925" s="8">
        <v>0.99888402223587036</v>
      </c>
      <c r="N925" s="8">
        <f>ProbStrikeFrancis(K925, I925, L925, INDEX('Route Data'!$G$7:$G$8,E925),C925, INDEX('Route Data'!$F$7:$F$8,E925), INDEX('Route Data'!$O$7:$O$8,E925), INDEX('Route Data'!$H$7:$H$18,E925))</f>
        <v>1</v>
      </c>
      <c r="O925" s="5" t="str">
        <f>IF(F925&gt;=1,IF(M925&lt;=N925,"STRIKE","pass"),IF(M925&lt;=INDEX('Route Data'!$R$7:$R$8,E925),"NO PASS","pass"))</f>
        <v>STRIKE</v>
      </c>
      <c r="P925" s="5">
        <f>IF(F925&gt;=1,IF(M925&lt;=N925,1,0),IF(M925&lt;=INDEX('Route Data'!$R$7:$R$8,E925),-1,0))</f>
        <v>1</v>
      </c>
    </row>
    <row r="926" spans="1:16">
      <c r="A926" s="5">
        <v>916</v>
      </c>
      <c r="B926" s="12">
        <v>20.11</v>
      </c>
      <c r="C926" s="12">
        <f t="shared" si="14"/>
        <v>1.68</v>
      </c>
      <c r="D926" s="8">
        <v>0.2014009952545166</v>
      </c>
      <c r="E926" s="5">
        <f>MATCH(D926,'Route Data'!$C$7:$C$8,1)</f>
        <v>2</v>
      </c>
      <c r="F926" s="5">
        <f>INDEX('Route Data'!$D$7:$D$8,E926)</f>
        <v>1</v>
      </c>
      <c r="G926" s="5" t="str">
        <f>INDEX('Route Data'!$A$7:$A$8,E926)</f>
        <v>u18</v>
      </c>
      <c r="H926" s="5">
        <f>EnergyCoeff(INDEX('Route Data'!$K$7:$K$8,E926),INDEX('Route Data'!$L$7:$L$8,E926)*2*PI()/60,INDEX('Route Data'!$F$7:$F$8,E926))</f>
        <v>0.19430699130049439</v>
      </c>
      <c r="I926" s="5">
        <f>DischargeCoeff(INDEX('Route Data'!$I$7:$I$8,E926), INDEX('Route Data'!$L$7:$L$8,E926)*2*PI()/60, INDEX('Route Data'!$F$7:$F$8,E926))</f>
        <v>0.15939200179827354</v>
      </c>
      <c r="J926" s="8">
        <f>FlowAngleRel(INDEX('Route Data'!$J$7:$J$8,E926)*INDEX('Route Data'!$I$7:$I$8,E926), INDEX('Route Data'!$L$7:$L$8,E926)*2*PI()/60, INDEX('Route Data'!$F$7:$F$8,E926),INDEX('Route Data'!$O$7:$O$8,E926), INDEX('Route Data'!$P$7:$P$8,E926),INDEX('Route Data'!$M$7:$M$8,E926))</f>
        <v>1.130811765868994</v>
      </c>
      <c r="K926" s="8">
        <f>FlowAngleAbsT(INDEX('Route Data'!$K$7:$K$8,E926), INDEX('Route Data'!$I$7:$I$8,E926), INDEX('Route Data'!$I$7:$I$8,E926)*INDEX('Route Data'!$J$7:$J$8,E926), INDEX('Route Data'!$L$7:$L$8,E926)*2*PI()/60, INDEX('Route Data'!$F$7:$F$8,E926),INDEX('Route Data'!$O$7:$O$8,E926), INDEX('Route Data'!$P$7:$P$8,E926), INDEX('Route Data'!$H$7:$H$8,E926), INDEX('Route Data'!$Q$7:$Q$8,E926), INDEX('Route Data'!$M$7:$M$8,E926))</f>
        <v>0.51617226640175828</v>
      </c>
      <c r="L926" s="5">
        <f>INDEX('Route Data'!$N$7:$N$8,E926)</f>
        <v>0.4</v>
      </c>
      <c r="M926" s="8">
        <v>0.36868548393249512</v>
      </c>
      <c r="N926" s="8">
        <f>ProbStrikeFrancis(K926, I926, L926, INDEX('Route Data'!$G$7:$G$8,E926),C926, INDEX('Route Data'!$F$7:$F$8,E926), INDEX('Route Data'!$O$7:$O$8,E926), INDEX('Route Data'!$H$7:$H$18,E926))</f>
        <v>1</v>
      </c>
      <c r="O926" s="5" t="str">
        <f>IF(F926&gt;=1,IF(M926&lt;=N926,"STRIKE","pass"),IF(M926&lt;=INDEX('Route Data'!$R$7:$R$8,E926),"NO PASS","pass"))</f>
        <v>STRIKE</v>
      </c>
      <c r="P926" s="5">
        <f>IF(F926&gt;=1,IF(M926&lt;=N926,1,0),IF(M926&lt;=INDEX('Route Data'!$R$7:$R$8,E926),-1,0))</f>
        <v>1</v>
      </c>
    </row>
    <row r="927" spans="1:16">
      <c r="A927" s="5">
        <v>917</v>
      </c>
      <c r="B927" s="12">
        <v>24.05</v>
      </c>
      <c r="C927" s="12">
        <f t="shared" si="14"/>
        <v>2</v>
      </c>
      <c r="D927" s="8">
        <v>0.7501940131187439</v>
      </c>
      <c r="E927" s="5">
        <f>MATCH(D927,'Route Data'!$C$7:$C$8,1)</f>
        <v>2</v>
      </c>
      <c r="F927" s="5">
        <f>INDEX('Route Data'!$D$7:$D$8,E927)</f>
        <v>1</v>
      </c>
      <c r="G927" s="5" t="str">
        <f>INDEX('Route Data'!$A$7:$A$8,E927)</f>
        <v>u18</v>
      </c>
      <c r="H927" s="5">
        <f>EnergyCoeff(INDEX('Route Data'!$K$7:$K$8,E927),INDEX('Route Data'!$L$7:$L$8,E927)*2*PI()/60,INDEX('Route Data'!$F$7:$F$8,E927))</f>
        <v>0.19430699130049439</v>
      </c>
      <c r="I927" s="5">
        <f>DischargeCoeff(INDEX('Route Data'!$I$7:$I$8,E927), INDEX('Route Data'!$L$7:$L$8,E927)*2*PI()/60, INDEX('Route Data'!$F$7:$F$8,E927))</f>
        <v>0.15939200179827354</v>
      </c>
      <c r="J927" s="8">
        <f>FlowAngleRel(INDEX('Route Data'!$J$7:$J$8,E927)*INDEX('Route Data'!$I$7:$I$8,E927), INDEX('Route Data'!$L$7:$L$8,E927)*2*PI()/60, INDEX('Route Data'!$F$7:$F$8,E927),INDEX('Route Data'!$O$7:$O$8,E927), INDEX('Route Data'!$P$7:$P$8,E927),INDEX('Route Data'!$M$7:$M$8,E927))</f>
        <v>1.130811765868994</v>
      </c>
      <c r="K927" s="8">
        <f>FlowAngleAbsT(INDEX('Route Data'!$K$7:$K$8,E927), INDEX('Route Data'!$I$7:$I$8,E927), INDEX('Route Data'!$I$7:$I$8,E927)*INDEX('Route Data'!$J$7:$J$8,E927), INDEX('Route Data'!$L$7:$L$8,E927)*2*PI()/60, INDEX('Route Data'!$F$7:$F$8,E927),INDEX('Route Data'!$O$7:$O$8,E927), INDEX('Route Data'!$P$7:$P$8,E927), INDEX('Route Data'!$H$7:$H$8,E927), INDEX('Route Data'!$Q$7:$Q$8,E927), INDEX('Route Data'!$M$7:$M$8,E927))</f>
        <v>0.51617226640175828</v>
      </c>
      <c r="L927" s="5">
        <f>INDEX('Route Data'!$N$7:$N$8,E927)</f>
        <v>0.4</v>
      </c>
      <c r="M927" s="8">
        <v>0.25928109884262085</v>
      </c>
      <c r="N927" s="8">
        <f>ProbStrikeFrancis(K927, I927, L927, INDEX('Route Data'!$G$7:$G$8,E927),C927, INDEX('Route Data'!$F$7:$F$8,E927), INDEX('Route Data'!$O$7:$O$8,E927), INDEX('Route Data'!$H$7:$H$18,E927))</f>
        <v>1</v>
      </c>
      <c r="O927" s="5" t="str">
        <f>IF(F927&gt;=1,IF(M927&lt;=N927,"STRIKE","pass"),IF(M927&lt;=INDEX('Route Data'!$R$7:$R$8,E927),"NO PASS","pass"))</f>
        <v>STRIKE</v>
      </c>
      <c r="P927" s="5">
        <f>IF(F927&gt;=1,IF(M927&lt;=N927,1,0),IF(M927&lt;=INDEX('Route Data'!$R$7:$R$8,E927),-1,0))</f>
        <v>1</v>
      </c>
    </row>
    <row r="928" spans="1:16">
      <c r="A928" s="5">
        <v>918</v>
      </c>
      <c r="B928" s="12">
        <v>22.79</v>
      </c>
      <c r="C928" s="12">
        <f t="shared" si="14"/>
        <v>1.9</v>
      </c>
      <c r="D928" s="8">
        <v>0.83823573589324951</v>
      </c>
      <c r="E928" s="5">
        <f>MATCH(D928,'Route Data'!$C$7:$C$8,1)</f>
        <v>2</v>
      </c>
      <c r="F928" s="5">
        <f>INDEX('Route Data'!$D$7:$D$8,E928)</f>
        <v>1</v>
      </c>
      <c r="G928" s="5" t="str">
        <f>INDEX('Route Data'!$A$7:$A$8,E928)</f>
        <v>u18</v>
      </c>
      <c r="H928" s="5">
        <f>EnergyCoeff(INDEX('Route Data'!$K$7:$K$8,E928),INDEX('Route Data'!$L$7:$L$8,E928)*2*PI()/60,INDEX('Route Data'!$F$7:$F$8,E928))</f>
        <v>0.19430699130049439</v>
      </c>
      <c r="I928" s="5">
        <f>DischargeCoeff(INDEX('Route Data'!$I$7:$I$8,E928), INDEX('Route Data'!$L$7:$L$8,E928)*2*PI()/60, INDEX('Route Data'!$F$7:$F$8,E928))</f>
        <v>0.15939200179827354</v>
      </c>
      <c r="J928" s="8">
        <f>FlowAngleRel(INDEX('Route Data'!$J$7:$J$8,E928)*INDEX('Route Data'!$I$7:$I$8,E928), INDEX('Route Data'!$L$7:$L$8,E928)*2*PI()/60, INDEX('Route Data'!$F$7:$F$8,E928),INDEX('Route Data'!$O$7:$O$8,E928), INDEX('Route Data'!$P$7:$P$8,E928),INDEX('Route Data'!$M$7:$M$8,E928))</f>
        <v>1.130811765868994</v>
      </c>
      <c r="K928" s="8">
        <f>FlowAngleAbsT(INDEX('Route Data'!$K$7:$K$8,E928), INDEX('Route Data'!$I$7:$I$8,E928), INDEX('Route Data'!$I$7:$I$8,E928)*INDEX('Route Data'!$J$7:$J$8,E928), INDEX('Route Data'!$L$7:$L$8,E928)*2*PI()/60, INDEX('Route Data'!$F$7:$F$8,E928),INDEX('Route Data'!$O$7:$O$8,E928), INDEX('Route Data'!$P$7:$P$8,E928), INDEX('Route Data'!$H$7:$H$8,E928), INDEX('Route Data'!$Q$7:$Q$8,E928), INDEX('Route Data'!$M$7:$M$8,E928))</f>
        <v>0.51617226640175828</v>
      </c>
      <c r="L928" s="5">
        <f>INDEX('Route Data'!$N$7:$N$8,E928)</f>
        <v>0.4</v>
      </c>
      <c r="M928" s="8">
        <v>5.6335806846618652E-2</v>
      </c>
      <c r="N928" s="8">
        <f>ProbStrikeFrancis(K928, I928, L928, INDEX('Route Data'!$G$7:$G$8,E928),C928, INDEX('Route Data'!$F$7:$F$8,E928), INDEX('Route Data'!$O$7:$O$8,E928), INDEX('Route Data'!$H$7:$H$18,E928))</f>
        <v>1</v>
      </c>
      <c r="O928" s="5" t="str">
        <f>IF(F928&gt;=1,IF(M928&lt;=N928,"STRIKE","pass"),IF(M928&lt;=INDEX('Route Data'!$R$7:$R$8,E928),"NO PASS","pass"))</f>
        <v>STRIKE</v>
      </c>
      <c r="P928" s="5">
        <f>IF(F928&gt;=1,IF(M928&lt;=N928,1,0),IF(M928&lt;=INDEX('Route Data'!$R$7:$R$8,E928),-1,0))</f>
        <v>1</v>
      </c>
    </row>
    <row r="929" spans="1:16">
      <c r="A929" s="5">
        <v>919</v>
      </c>
      <c r="B929" s="12">
        <v>22.21</v>
      </c>
      <c r="C929" s="12">
        <f t="shared" si="14"/>
        <v>1.85</v>
      </c>
      <c r="D929" s="8">
        <v>0.10526901483535767</v>
      </c>
      <c r="E929" s="5">
        <f>MATCH(D929,'Route Data'!$C$7:$C$8,1)</f>
        <v>2</v>
      </c>
      <c r="F929" s="5">
        <f>INDEX('Route Data'!$D$7:$D$8,E929)</f>
        <v>1</v>
      </c>
      <c r="G929" s="5" t="str">
        <f>INDEX('Route Data'!$A$7:$A$8,E929)</f>
        <v>u18</v>
      </c>
      <c r="H929" s="5">
        <f>EnergyCoeff(INDEX('Route Data'!$K$7:$K$8,E929),INDEX('Route Data'!$L$7:$L$8,E929)*2*PI()/60,INDEX('Route Data'!$F$7:$F$8,E929))</f>
        <v>0.19430699130049439</v>
      </c>
      <c r="I929" s="5">
        <f>DischargeCoeff(INDEX('Route Data'!$I$7:$I$8,E929), INDEX('Route Data'!$L$7:$L$8,E929)*2*PI()/60, INDEX('Route Data'!$F$7:$F$8,E929))</f>
        <v>0.15939200179827354</v>
      </c>
      <c r="J929" s="8">
        <f>FlowAngleRel(INDEX('Route Data'!$J$7:$J$8,E929)*INDEX('Route Data'!$I$7:$I$8,E929), INDEX('Route Data'!$L$7:$L$8,E929)*2*PI()/60, INDEX('Route Data'!$F$7:$F$8,E929),INDEX('Route Data'!$O$7:$O$8,E929), INDEX('Route Data'!$P$7:$P$8,E929),INDEX('Route Data'!$M$7:$M$8,E929))</f>
        <v>1.130811765868994</v>
      </c>
      <c r="K929" s="8">
        <f>FlowAngleAbsT(INDEX('Route Data'!$K$7:$K$8,E929), INDEX('Route Data'!$I$7:$I$8,E929), INDEX('Route Data'!$I$7:$I$8,E929)*INDEX('Route Data'!$J$7:$J$8,E929), INDEX('Route Data'!$L$7:$L$8,E929)*2*PI()/60, INDEX('Route Data'!$F$7:$F$8,E929),INDEX('Route Data'!$O$7:$O$8,E929), INDEX('Route Data'!$P$7:$P$8,E929), INDEX('Route Data'!$H$7:$H$8,E929), INDEX('Route Data'!$Q$7:$Q$8,E929), INDEX('Route Data'!$M$7:$M$8,E929))</f>
        <v>0.51617226640175828</v>
      </c>
      <c r="L929" s="5">
        <f>INDEX('Route Data'!$N$7:$N$8,E929)</f>
        <v>0.4</v>
      </c>
      <c r="M929" s="8">
        <v>0.66517168283462524</v>
      </c>
      <c r="N929" s="8">
        <f>ProbStrikeFrancis(K929, I929, L929, INDEX('Route Data'!$G$7:$G$8,E929),C929, INDEX('Route Data'!$F$7:$F$8,E929), INDEX('Route Data'!$O$7:$O$8,E929), INDEX('Route Data'!$H$7:$H$18,E929))</f>
        <v>1</v>
      </c>
      <c r="O929" s="5" t="str">
        <f>IF(F929&gt;=1,IF(M929&lt;=N929,"STRIKE","pass"),IF(M929&lt;=INDEX('Route Data'!$R$7:$R$8,E929),"NO PASS","pass"))</f>
        <v>STRIKE</v>
      </c>
      <c r="P929" s="5">
        <f>IF(F929&gt;=1,IF(M929&lt;=N929,1,0),IF(M929&lt;=INDEX('Route Data'!$R$7:$R$8,E929),-1,0))</f>
        <v>1</v>
      </c>
    </row>
    <row r="930" spans="1:16">
      <c r="A930" s="5">
        <v>920</v>
      </c>
      <c r="B930" s="12">
        <v>24.03</v>
      </c>
      <c r="C930" s="12">
        <f t="shared" si="14"/>
        <v>2</v>
      </c>
      <c r="D930" s="8">
        <v>0.3041691780090332</v>
      </c>
      <c r="E930" s="5">
        <f>MATCH(D930,'Route Data'!$C$7:$C$8,1)</f>
        <v>2</v>
      </c>
      <c r="F930" s="5">
        <f>INDEX('Route Data'!$D$7:$D$8,E930)</f>
        <v>1</v>
      </c>
      <c r="G930" s="5" t="str">
        <f>INDEX('Route Data'!$A$7:$A$8,E930)</f>
        <v>u18</v>
      </c>
      <c r="H930" s="5">
        <f>EnergyCoeff(INDEX('Route Data'!$K$7:$K$8,E930),INDEX('Route Data'!$L$7:$L$8,E930)*2*PI()/60,INDEX('Route Data'!$F$7:$F$8,E930))</f>
        <v>0.19430699130049439</v>
      </c>
      <c r="I930" s="5">
        <f>DischargeCoeff(INDEX('Route Data'!$I$7:$I$8,E930), INDEX('Route Data'!$L$7:$L$8,E930)*2*PI()/60, INDEX('Route Data'!$F$7:$F$8,E930))</f>
        <v>0.15939200179827354</v>
      </c>
      <c r="J930" s="8">
        <f>FlowAngleRel(INDEX('Route Data'!$J$7:$J$8,E930)*INDEX('Route Data'!$I$7:$I$8,E930), INDEX('Route Data'!$L$7:$L$8,E930)*2*PI()/60, INDEX('Route Data'!$F$7:$F$8,E930),INDEX('Route Data'!$O$7:$O$8,E930), INDEX('Route Data'!$P$7:$P$8,E930),INDEX('Route Data'!$M$7:$M$8,E930))</f>
        <v>1.130811765868994</v>
      </c>
      <c r="K930" s="8">
        <f>FlowAngleAbsT(INDEX('Route Data'!$K$7:$K$8,E930), INDEX('Route Data'!$I$7:$I$8,E930), INDEX('Route Data'!$I$7:$I$8,E930)*INDEX('Route Data'!$J$7:$J$8,E930), INDEX('Route Data'!$L$7:$L$8,E930)*2*PI()/60, INDEX('Route Data'!$F$7:$F$8,E930),INDEX('Route Data'!$O$7:$O$8,E930), INDEX('Route Data'!$P$7:$P$8,E930), INDEX('Route Data'!$H$7:$H$8,E930), INDEX('Route Data'!$Q$7:$Q$8,E930), INDEX('Route Data'!$M$7:$M$8,E930))</f>
        <v>0.51617226640175828</v>
      </c>
      <c r="L930" s="5">
        <f>INDEX('Route Data'!$N$7:$N$8,E930)</f>
        <v>0.4</v>
      </c>
      <c r="M930" s="8">
        <v>0.83866405487060547</v>
      </c>
      <c r="N930" s="8">
        <f>ProbStrikeFrancis(K930, I930, L930, INDEX('Route Data'!$G$7:$G$8,E930),C930, INDEX('Route Data'!$F$7:$F$8,E930), INDEX('Route Data'!$O$7:$O$8,E930), INDEX('Route Data'!$H$7:$H$18,E930))</f>
        <v>1</v>
      </c>
      <c r="O930" s="5" t="str">
        <f>IF(F930&gt;=1,IF(M930&lt;=N930,"STRIKE","pass"),IF(M930&lt;=INDEX('Route Data'!$R$7:$R$8,E930),"NO PASS","pass"))</f>
        <v>STRIKE</v>
      </c>
      <c r="P930" s="5">
        <f>IF(F930&gt;=1,IF(M930&lt;=N930,1,0),IF(M930&lt;=INDEX('Route Data'!$R$7:$R$8,E930),-1,0))</f>
        <v>1</v>
      </c>
    </row>
    <row r="931" spans="1:16">
      <c r="A931" s="5">
        <v>921</v>
      </c>
      <c r="B931" s="12">
        <v>16.440000000000001</v>
      </c>
      <c r="C931" s="12">
        <f t="shared" si="14"/>
        <v>1.37</v>
      </c>
      <c r="D931" s="8">
        <v>0.97304791212081909</v>
      </c>
      <c r="E931" s="5">
        <f>MATCH(D931,'Route Data'!$C$7:$C$8,1)</f>
        <v>2</v>
      </c>
      <c r="F931" s="5">
        <f>INDEX('Route Data'!$D$7:$D$8,E931)</f>
        <v>1</v>
      </c>
      <c r="G931" s="5" t="str">
        <f>INDEX('Route Data'!$A$7:$A$8,E931)</f>
        <v>u18</v>
      </c>
      <c r="H931" s="5">
        <f>EnergyCoeff(INDEX('Route Data'!$K$7:$K$8,E931),INDEX('Route Data'!$L$7:$L$8,E931)*2*PI()/60,INDEX('Route Data'!$F$7:$F$8,E931))</f>
        <v>0.19430699130049439</v>
      </c>
      <c r="I931" s="5">
        <f>DischargeCoeff(INDEX('Route Data'!$I$7:$I$8,E931), INDEX('Route Data'!$L$7:$L$8,E931)*2*PI()/60, INDEX('Route Data'!$F$7:$F$8,E931))</f>
        <v>0.15939200179827354</v>
      </c>
      <c r="J931" s="8">
        <f>FlowAngleRel(INDEX('Route Data'!$J$7:$J$8,E931)*INDEX('Route Data'!$I$7:$I$8,E931), INDEX('Route Data'!$L$7:$L$8,E931)*2*PI()/60, INDEX('Route Data'!$F$7:$F$8,E931),INDEX('Route Data'!$O$7:$O$8,E931), INDEX('Route Data'!$P$7:$P$8,E931),INDEX('Route Data'!$M$7:$M$8,E931))</f>
        <v>1.130811765868994</v>
      </c>
      <c r="K931" s="8">
        <f>FlowAngleAbsT(INDEX('Route Data'!$K$7:$K$8,E931), INDEX('Route Data'!$I$7:$I$8,E931), INDEX('Route Data'!$I$7:$I$8,E931)*INDEX('Route Data'!$J$7:$J$8,E931), INDEX('Route Data'!$L$7:$L$8,E931)*2*PI()/60, INDEX('Route Data'!$F$7:$F$8,E931),INDEX('Route Data'!$O$7:$O$8,E931), INDEX('Route Data'!$P$7:$P$8,E931), INDEX('Route Data'!$H$7:$H$8,E931), INDEX('Route Data'!$Q$7:$Q$8,E931), INDEX('Route Data'!$M$7:$M$8,E931))</f>
        <v>0.51617226640175828</v>
      </c>
      <c r="L931" s="5">
        <f>INDEX('Route Data'!$N$7:$N$8,E931)</f>
        <v>0.4</v>
      </c>
      <c r="M931" s="8">
        <v>0.84934538602828979</v>
      </c>
      <c r="N931" s="8">
        <f>ProbStrikeFrancis(K931, I931, L931, INDEX('Route Data'!$G$7:$G$8,E931),C931, INDEX('Route Data'!$F$7:$F$8,E931), INDEX('Route Data'!$O$7:$O$8,E931), INDEX('Route Data'!$H$7:$H$18,E931))</f>
        <v>1</v>
      </c>
      <c r="O931" s="5" t="str">
        <f>IF(F931&gt;=1,IF(M931&lt;=N931,"STRIKE","pass"),IF(M931&lt;=INDEX('Route Data'!$R$7:$R$8,E931),"NO PASS","pass"))</f>
        <v>STRIKE</v>
      </c>
      <c r="P931" s="5">
        <f>IF(F931&gt;=1,IF(M931&lt;=N931,1,0),IF(M931&lt;=INDEX('Route Data'!$R$7:$R$8,E931),-1,0))</f>
        <v>1</v>
      </c>
    </row>
    <row r="932" spans="1:16">
      <c r="A932" s="5">
        <v>922</v>
      </c>
      <c r="B932" s="12">
        <v>20.88</v>
      </c>
      <c r="C932" s="12">
        <f t="shared" si="14"/>
        <v>1.74</v>
      </c>
      <c r="D932" s="8">
        <v>0.23199093341827393</v>
      </c>
      <c r="E932" s="5">
        <f>MATCH(D932,'Route Data'!$C$7:$C$8,1)</f>
        <v>2</v>
      </c>
      <c r="F932" s="5">
        <f>INDEX('Route Data'!$D$7:$D$8,E932)</f>
        <v>1</v>
      </c>
      <c r="G932" s="5" t="str">
        <f>INDEX('Route Data'!$A$7:$A$8,E932)</f>
        <v>u18</v>
      </c>
      <c r="H932" s="5">
        <f>EnergyCoeff(INDEX('Route Data'!$K$7:$K$8,E932),INDEX('Route Data'!$L$7:$L$8,E932)*2*PI()/60,INDEX('Route Data'!$F$7:$F$8,E932))</f>
        <v>0.19430699130049439</v>
      </c>
      <c r="I932" s="5">
        <f>DischargeCoeff(INDEX('Route Data'!$I$7:$I$8,E932), INDEX('Route Data'!$L$7:$L$8,E932)*2*PI()/60, INDEX('Route Data'!$F$7:$F$8,E932))</f>
        <v>0.15939200179827354</v>
      </c>
      <c r="J932" s="8">
        <f>FlowAngleRel(INDEX('Route Data'!$J$7:$J$8,E932)*INDEX('Route Data'!$I$7:$I$8,E932), INDEX('Route Data'!$L$7:$L$8,E932)*2*PI()/60, INDEX('Route Data'!$F$7:$F$8,E932),INDEX('Route Data'!$O$7:$O$8,E932), INDEX('Route Data'!$P$7:$P$8,E932),INDEX('Route Data'!$M$7:$M$8,E932))</f>
        <v>1.130811765868994</v>
      </c>
      <c r="K932" s="8">
        <f>FlowAngleAbsT(INDEX('Route Data'!$K$7:$K$8,E932), INDEX('Route Data'!$I$7:$I$8,E932), INDEX('Route Data'!$I$7:$I$8,E932)*INDEX('Route Data'!$J$7:$J$8,E932), INDEX('Route Data'!$L$7:$L$8,E932)*2*PI()/60, INDEX('Route Data'!$F$7:$F$8,E932),INDEX('Route Data'!$O$7:$O$8,E932), INDEX('Route Data'!$P$7:$P$8,E932), INDEX('Route Data'!$H$7:$H$8,E932), INDEX('Route Data'!$Q$7:$Q$8,E932), INDEX('Route Data'!$M$7:$M$8,E932))</f>
        <v>0.51617226640175828</v>
      </c>
      <c r="L932" s="5">
        <f>INDEX('Route Data'!$N$7:$N$8,E932)</f>
        <v>0.4</v>
      </c>
      <c r="M932" s="8">
        <v>0.81730139255523682</v>
      </c>
      <c r="N932" s="8">
        <f>ProbStrikeFrancis(K932, I932, L932, INDEX('Route Data'!$G$7:$G$8,E932),C932, INDEX('Route Data'!$F$7:$F$8,E932), INDEX('Route Data'!$O$7:$O$8,E932), INDEX('Route Data'!$H$7:$H$18,E932))</f>
        <v>1</v>
      </c>
      <c r="O932" s="5" t="str">
        <f>IF(F932&gt;=1,IF(M932&lt;=N932,"STRIKE","pass"),IF(M932&lt;=INDEX('Route Data'!$R$7:$R$8,E932),"NO PASS","pass"))</f>
        <v>STRIKE</v>
      </c>
      <c r="P932" s="5">
        <f>IF(F932&gt;=1,IF(M932&lt;=N932,1,0),IF(M932&lt;=INDEX('Route Data'!$R$7:$R$8,E932),-1,0))</f>
        <v>1</v>
      </c>
    </row>
    <row r="933" spans="1:16">
      <c r="A933" s="5">
        <v>923</v>
      </c>
      <c r="B933" s="12">
        <v>24.24</v>
      </c>
      <c r="C933" s="12">
        <f t="shared" si="14"/>
        <v>2.02</v>
      </c>
      <c r="D933" s="8">
        <v>0.98632031679153442</v>
      </c>
      <c r="E933" s="5">
        <f>MATCH(D933,'Route Data'!$C$7:$C$8,1)</f>
        <v>2</v>
      </c>
      <c r="F933" s="5">
        <f>INDEX('Route Data'!$D$7:$D$8,E933)</f>
        <v>1</v>
      </c>
      <c r="G933" s="5" t="str">
        <f>INDEX('Route Data'!$A$7:$A$8,E933)</f>
        <v>u18</v>
      </c>
      <c r="H933" s="5">
        <f>EnergyCoeff(INDEX('Route Data'!$K$7:$K$8,E933),INDEX('Route Data'!$L$7:$L$8,E933)*2*PI()/60,INDEX('Route Data'!$F$7:$F$8,E933))</f>
        <v>0.19430699130049439</v>
      </c>
      <c r="I933" s="5">
        <f>DischargeCoeff(INDEX('Route Data'!$I$7:$I$8,E933), INDEX('Route Data'!$L$7:$L$8,E933)*2*PI()/60, INDEX('Route Data'!$F$7:$F$8,E933))</f>
        <v>0.15939200179827354</v>
      </c>
      <c r="J933" s="8">
        <f>FlowAngleRel(INDEX('Route Data'!$J$7:$J$8,E933)*INDEX('Route Data'!$I$7:$I$8,E933), INDEX('Route Data'!$L$7:$L$8,E933)*2*PI()/60, INDEX('Route Data'!$F$7:$F$8,E933),INDEX('Route Data'!$O$7:$O$8,E933), INDEX('Route Data'!$P$7:$P$8,E933),INDEX('Route Data'!$M$7:$M$8,E933))</f>
        <v>1.130811765868994</v>
      </c>
      <c r="K933" s="8">
        <f>FlowAngleAbsT(INDEX('Route Data'!$K$7:$K$8,E933), INDEX('Route Data'!$I$7:$I$8,E933), INDEX('Route Data'!$I$7:$I$8,E933)*INDEX('Route Data'!$J$7:$J$8,E933), INDEX('Route Data'!$L$7:$L$8,E933)*2*PI()/60, INDEX('Route Data'!$F$7:$F$8,E933),INDEX('Route Data'!$O$7:$O$8,E933), INDEX('Route Data'!$P$7:$P$8,E933), INDEX('Route Data'!$H$7:$H$8,E933), INDEX('Route Data'!$Q$7:$Q$8,E933), INDEX('Route Data'!$M$7:$M$8,E933))</f>
        <v>0.51617226640175828</v>
      </c>
      <c r="L933" s="5">
        <f>INDEX('Route Data'!$N$7:$N$8,E933)</f>
        <v>0.4</v>
      </c>
      <c r="M933" s="8">
        <v>0.91343337297439575</v>
      </c>
      <c r="N933" s="8">
        <f>ProbStrikeFrancis(K933, I933, L933, INDEX('Route Data'!$G$7:$G$8,E933),C933, INDEX('Route Data'!$F$7:$F$8,E933), INDEX('Route Data'!$O$7:$O$8,E933), INDEX('Route Data'!$H$7:$H$18,E933))</f>
        <v>1</v>
      </c>
      <c r="O933" s="5" t="str">
        <f>IF(F933&gt;=1,IF(M933&lt;=N933,"STRIKE","pass"),IF(M933&lt;=INDEX('Route Data'!$R$7:$R$8,E933),"NO PASS","pass"))</f>
        <v>STRIKE</v>
      </c>
      <c r="P933" s="5">
        <f>IF(F933&gt;=1,IF(M933&lt;=N933,1,0),IF(M933&lt;=INDEX('Route Data'!$R$7:$R$8,E933),-1,0))</f>
        <v>1</v>
      </c>
    </row>
    <row r="934" spans="1:16">
      <c r="A934" s="5">
        <v>924</v>
      </c>
      <c r="B934" s="12">
        <v>22.3</v>
      </c>
      <c r="C934" s="12">
        <f t="shared" si="14"/>
        <v>1.86</v>
      </c>
      <c r="D934" s="8">
        <v>0.72333216667175293</v>
      </c>
      <c r="E934" s="5">
        <f>MATCH(D934,'Route Data'!$C$7:$C$8,1)</f>
        <v>2</v>
      </c>
      <c r="F934" s="5">
        <f>INDEX('Route Data'!$D$7:$D$8,E934)</f>
        <v>1</v>
      </c>
      <c r="G934" s="5" t="str">
        <f>INDEX('Route Data'!$A$7:$A$8,E934)</f>
        <v>u18</v>
      </c>
      <c r="H934" s="5">
        <f>EnergyCoeff(INDEX('Route Data'!$K$7:$K$8,E934),INDEX('Route Data'!$L$7:$L$8,E934)*2*PI()/60,INDEX('Route Data'!$F$7:$F$8,E934))</f>
        <v>0.19430699130049439</v>
      </c>
      <c r="I934" s="5">
        <f>DischargeCoeff(INDEX('Route Data'!$I$7:$I$8,E934), INDEX('Route Data'!$L$7:$L$8,E934)*2*PI()/60, INDEX('Route Data'!$F$7:$F$8,E934))</f>
        <v>0.15939200179827354</v>
      </c>
      <c r="J934" s="8">
        <f>FlowAngleRel(INDEX('Route Data'!$J$7:$J$8,E934)*INDEX('Route Data'!$I$7:$I$8,E934), INDEX('Route Data'!$L$7:$L$8,E934)*2*PI()/60, INDEX('Route Data'!$F$7:$F$8,E934),INDEX('Route Data'!$O$7:$O$8,E934), INDEX('Route Data'!$P$7:$P$8,E934),INDEX('Route Data'!$M$7:$M$8,E934))</f>
        <v>1.130811765868994</v>
      </c>
      <c r="K934" s="8">
        <f>FlowAngleAbsT(INDEX('Route Data'!$K$7:$K$8,E934), INDEX('Route Data'!$I$7:$I$8,E934), INDEX('Route Data'!$I$7:$I$8,E934)*INDEX('Route Data'!$J$7:$J$8,E934), INDEX('Route Data'!$L$7:$L$8,E934)*2*PI()/60, INDEX('Route Data'!$F$7:$F$8,E934),INDEX('Route Data'!$O$7:$O$8,E934), INDEX('Route Data'!$P$7:$P$8,E934), INDEX('Route Data'!$H$7:$H$8,E934), INDEX('Route Data'!$Q$7:$Q$8,E934), INDEX('Route Data'!$M$7:$M$8,E934))</f>
        <v>0.51617226640175828</v>
      </c>
      <c r="L934" s="5">
        <f>INDEX('Route Data'!$N$7:$N$8,E934)</f>
        <v>0.4</v>
      </c>
      <c r="M934" s="8">
        <v>0.62503743171691895</v>
      </c>
      <c r="N934" s="8">
        <f>ProbStrikeFrancis(K934, I934, L934, INDEX('Route Data'!$G$7:$G$8,E934),C934, INDEX('Route Data'!$F$7:$F$8,E934), INDEX('Route Data'!$O$7:$O$8,E934), INDEX('Route Data'!$H$7:$H$18,E934))</f>
        <v>1</v>
      </c>
      <c r="O934" s="5" t="str">
        <f>IF(F934&gt;=1,IF(M934&lt;=N934,"STRIKE","pass"),IF(M934&lt;=INDEX('Route Data'!$R$7:$R$8,E934),"NO PASS","pass"))</f>
        <v>STRIKE</v>
      </c>
      <c r="P934" s="5">
        <f>IF(F934&gt;=1,IF(M934&lt;=N934,1,0),IF(M934&lt;=INDEX('Route Data'!$R$7:$R$8,E934),-1,0))</f>
        <v>1</v>
      </c>
    </row>
    <row r="935" spans="1:16">
      <c r="A935" s="5">
        <v>925</v>
      </c>
      <c r="B935" s="12">
        <v>23.75</v>
      </c>
      <c r="C935" s="12">
        <f t="shared" si="14"/>
        <v>1.98</v>
      </c>
      <c r="D935" s="8">
        <v>0.24671739339828491</v>
      </c>
      <c r="E935" s="5">
        <f>MATCH(D935,'Route Data'!$C$7:$C$8,1)</f>
        <v>2</v>
      </c>
      <c r="F935" s="5">
        <f>INDEX('Route Data'!$D$7:$D$8,E935)</f>
        <v>1</v>
      </c>
      <c r="G935" s="5" t="str">
        <f>INDEX('Route Data'!$A$7:$A$8,E935)</f>
        <v>u18</v>
      </c>
      <c r="H935" s="5">
        <f>EnergyCoeff(INDEX('Route Data'!$K$7:$K$8,E935),INDEX('Route Data'!$L$7:$L$8,E935)*2*PI()/60,INDEX('Route Data'!$F$7:$F$8,E935))</f>
        <v>0.19430699130049439</v>
      </c>
      <c r="I935" s="5">
        <f>DischargeCoeff(INDEX('Route Data'!$I$7:$I$8,E935), INDEX('Route Data'!$L$7:$L$8,E935)*2*PI()/60, INDEX('Route Data'!$F$7:$F$8,E935))</f>
        <v>0.15939200179827354</v>
      </c>
      <c r="J935" s="8">
        <f>FlowAngleRel(INDEX('Route Data'!$J$7:$J$8,E935)*INDEX('Route Data'!$I$7:$I$8,E935), INDEX('Route Data'!$L$7:$L$8,E935)*2*PI()/60, INDEX('Route Data'!$F$7:$F$8,E935),INDEX('Route Data'!$O$7:$O$8,E935), INDEX('Route Data'!$P$7:$P$8,E935),INDEX('Route Data'!$M$7:$M$8,E935))</f>
        <v>1.130811765868994</v>
      </c>
      <c r="K935" s="8">
        <f>FlowAngleAbsT(INDEX('Route Data'!$K$7:$K$8,E935), INDEX('Route Data'!$I$7:$I$8,E935), INDEX('Route Data'!$I$7:$I$8,E935)*INDEX('Route Data'!$J$7:$J$8,E935), INDEX('Route Data'!$L$7:$L$8,E935)*2*PI()/60, INDEX('Route Data'!$F$7:$F$8,E935),INDEX('Route Data'!$O$7:$O$8,E935), INDEX('Route Data'!$P$7:$P$8,E935), INDEX('Route Data'!$H$7:$H$8,E935), INDEX('Route Data'!$Q$7:$Q$8,E935), INDEX('Route Data'!$M$7:$M$8,E935))</f>
        <v>0.51617226640175828</v>
      </c>
      <c r="L935" s="5">
        <f>INDEX('Route Data'!$N$7:$N$8,E935)</f>
        <v>0.4</v>
      </c>
      <c r="M935" s="8">
        <v>0.49022525548934937</v>
      </c>
      <c r="N935" s="8">
        <f>ProbStrikeFrancis(K935, I935, L935, INDEX('Route Data'!$G$7:$G$8,E935),C935, INDEX('Route Data'!$F$7:$F$8,E935), INDEX('Route Data'!$O$7:$O$8,E935), INDEX('Route Data'!$H$7:$H$18,E935))</f>
        <v>1</v>
      </c>
      <c r="O935" s="5" t="str">
        <f>IF(F935&gt;=1,IF(M935&lt;=N935,"STRIKE","pass"),IF(M935&lt;=INDEX('Route Data'!$R$7:$R$8,E935),"NO PASS","pass"))</f>
        <v>STRIKE</v>
      </c>
      <c r="P935" s="5">
        <f>IF(F935&gt;=1,IF(M935&lt;=N935,1,0),IF(M935&lt;=INDEX('Route Data'!$R$7:$R$8,E935),-1,0))</f>
        <v>1</v>
      </c>
    </row>
    <row r="936" spans="1:16">
      <c r="A936" s="5">
        <v>926</v>
      </c>
      <c r="B936" s="12">
        <v>18.809999999999999</v>
      </c>
      <c r="C936" s="12">
        <f t="shared" si="14"/>
        <v>1.57</v>
      </c>
      <c r="D936" s="8">
        <v>0.67656171321868896</v>
      </c>
      <c r="E936" s="5">
        <f>MATCH(D936,'Route Data'!$C$7:$C$8,1)</f>
        <v>2</v>
      </c>
      <c r="F936" s="5">
        <f>INDEX('Route Data'!$D$7:$D$8,E936)</f>
        <v>1</v>
      </c>
      <c r="G936" s="5" t="str">
        <f>INDEX('Route Data'!$A$7:$A$8,E936)</f>
        <v>u18</v>
      </c>
      <c r="H936" s="5">
        <f>EnergyCoeff(INDEX('Route Data'!$K$7:$K$8,E936),INDEX('Route Data'!$L$7:$L$8,E936)*2*PI()/60,INDEX('Route Data'!$F$7:$F$8,E936))</f>
        <v>0.19430699130049439</v>
      </c>
      <c r="I936" s="5">
        <f>DischargeCoeff(INDEX('Route Data'!$I$7:$I$8,E936), INDEX('Route Data'!$L$7:$L$8,E936)*2*PI()/60, INDEX('Route Data'!$F$7:$F$8,E936))</f>
        <v>0.15939200179827354</v>
      </c>
      <c r="J936" s="8">
        <f>FlowAngleRel(INDEX('Route Data'!$J$7:$J$8,E936)*INDEX('Route Data'!$I$7:$I$8,E936), INDEX('Route Data'!$L$7:$L$8,E936)*2*PI()/60, INDEX('Route Data'!$F$7:$F$8,E936),INDEX('Route Data'!$O$7:$O$8,E936), INDEX('Route Data'!$P$7:$P$8,E936),INDEX('Route Data'!$M$7:$M$8,E936))</f>
        <v>1.130811765868994</v>
      </c>
      <c r="K936" s="8">
        <f>FlowAngleAbsT(INDEX('Route Data'!$K$7:$K$8,E936), INDEX('Route Data'!$I$7:$I$8,E936), INDEX('Route Data'!$I$7:$I$8,E936)*INDEX('Route Data'!$J$7:$J$8,E936), INDEX('Route Data'!$L$7:$L$8,E936)*2*PI()/60, INDEX('Route Data'!$F$7:$F$8,E936),INDEX('Route Data'!$O$7:$O$8,E936), INDEX('Route Data'!$P$7:$P$8,E936), INDEX('Route Data'!$H$7:$H$8,E936), INDEX('Route Data'!$Q$7:$Q$8,E936), INDEX('Route Data'!$M$7:$M$8,E936))</f>
        <v>0.51617226640175828</v>
      </c>
      <c r="L936" s="5">
        <f>INDEX('Route Data'!$N$7:$N$8,E936)</f>
        <v>0.4</v>
      </c>
      <c r="M936" s="8">
        <v>0.62908256053924561</v>
      </c>
      <c r="N936" s="8">
        <f>ProbStrikeFrancis(K936, I936, L936, INDEX('Route Data'!$G$7:$G$8,E936),C936, INDEX('Route Data'!$F$7:$F$8,E936), INDEX('Route Data'!$O$7:$O$8,E936), INDEX('Route Data'!$H$7:$H$18,E936))</f>
        <v>1</v>
      </c>
      <c r="O936" s="5" t="str">
        <f>IF(F936&gt;=1,IF(M936&lt;=N936,"STRIKE","pass"),IF(M936&lt;=INDEX('Route Data'!$R$7:$R$8,E936),"NO PASS","pass"))</f>
        <v>STRIKE</v>
      </c>
      <c r="P936" s="5">
        <f>IF(F936&gt;=1,IF(M936&lt;=N936,1,0),IF(M936&lt;=INDEX('Route Data'!$R$7:$R$8,E936),-1,0))</f>
        <v>1</v>
      </c>
    </row>
    <row r="937" spans="1:16">
      <c r="A937" s="5">
        <v>927</v>
      </c>
      <c r="B937" s="12">
        <v>16.22</v>
      </c>
      <c r="C937" s="12">
        <f t="shared" si="14"/>
        <v>1.35</v>
      </c>
      <c r="D937" s="8">
        <v>0.65260797739028931</v>
      </c>
      <c r="E937" s="5">
        <f>MATCH(D937,'Route Data'!$C$7:$C$8,1)</f>
        <v>2</v>
      </c>
      <c r="F937" s="5">
        <f>INDEX('Route Data'!$D$7:$D$8,E937)</f>
        <v>1</v>
      </c>
      <c r="G937" s="5" t="str">
        <f>INDEX('Route Data'!$A$7:$A$8,E937)</f>
        <v>u18</v>
      </c>
      <c r="H937" s="5">
        <f>EnergyCoeff(INDEX('Route Data'!$K$7:$K$8,E937),INDEX('Route Data'!$L$7:$L$8,E937)*2*PI()/60,INDEX('Route Data'!$F$7:$F$8,E937))</f>
        <v>0.19430699130049439</v>
      </c>
      <c r="I937" s="5">
        <f>DischargeCoeff(INDEX('Route Data'!$I$7:$I$8,E937), INDEX('Route Data'!$L$7:$L$8,E937)*2*PI()/60, INDEX('Route Data'!$F$7:$F$8,E937))</f>
        <v>0.15939200179827354</v>
      </c>
      <c r="J937" s="8">
        <f>FlowAngleRel(INDEX('Route Data'!$J$7:$J$8,E937)*INDEX('Route Data'!$I$7:$I$8,E937), INDEX('Route Data'!$L$7:$L$8,E937)*2*PI()/60, INDEX('Route Data'!$F$7:$F$8,E937),INDEX('Route Data'!$O$7:$O$8,E937), INDEX('Route Data'!$P$7:$P$8,E937),INDEX('Route Data'!$M$7:$M$8,E937))</f>
        <v>1.130811765868994</v>
      </c>
      <c r="K937" s="8">
        <f>FlowAngleAbsT(INDEX('Route Data'!$K$7:$K$8,E937), INDEX('Route Data'!$I$7:$I$8,E937), INDEX('Route Data'!$I$7:$I$8,E937)*INDEX('Route Data'!$J$7:$J$8,E937), INDEX('Route Data'!$L$7:$L$8,E937)*2*PI()/60, INDEX('Route Data'!$F$7:$F$8,E937),INDEX('Route Data'!$O$7:$O$8,E937), INDEX('Route Data'!$P$7:$P$8,E937), INDEX('Route Data'!$H$7:$H$8,E937), INDEX('Route Data'!$Q$7:$Q$8,E937), INDEX('Route Data'!$M$7:$M$8,E937))</f>
        <v>0.51617226640175828</v>
      </c>
      <c r="L937" s="5">
        <f>INDEX('Route Data'!$N$7:$N$8,E937)</f>
        <v>0.4</v>
      </c>
      <c r="M937" s="8">
        <v>0.21251064538955688</v>
      </c>
      <c r="N937" s="8">
        <f>ProbStrikeFrancis(K937, I937, L937, INDEX('Route Data'!$G$7:$G$8,E937),C937, INDEX('Route Data'!$F$7:$F$8,E937), INDEX('Route Data'!$O$7:$O$8,E937), INDEX('Route Data'!$H$7:$H$18,E937))</f>
        <v>1</v>
      </c>
      <c r="O937" s="5" t="str">
        <f>IF(F937&gt;=1,IF(M937&lt;=N937,"STRIKE","pass"),IF(M937&lt;=INDEX('Route Data'!$R$7:$R$8,E937),"NO PASS","pass"))</f>
        <v>STRIKE</v>
      </c>
      <c r="P937" s="5">
        <f>IF(F937&gt;=1,IF(M937&lt;=N937,1,0),IF(M937&lt;=INDEX('Route Data'!$R$7:$R$8,E937),-1,0))</f>
        <v>1</v>
      </c>
    </row>
    <row r="938" spans="1:16">
      <c r="A938" s="5">
        <v>928</v>
      </c>
      <c r="B938" s="12">
        <v>23.1</v>
      </c>
      <c r="C938" s="12">
        <f t="shared" si="14"/>
        <v>1.93</v>
      </c>
      <c r="D938" s="8">
        <v>0.19331073760986328</v>
      </c>
      <c r="E938" s="5">
        <f>MATCH(D938,'Route Data'!$C$7:$C$8,1)</f>
        <v>2</v>
      </c>
      <c r="F938" s="5">
        <f>INDEX('Route Data'!$D$7:$D$8,E938)</f>
        <v>1</v>
      </c>
      <c r="G938" s="5" t="str">
        <f>INDEX('Route Data'!$A$7:$A$8,E938)</f>
        <v>u18</v>
      </c>
      <c r="H938" s="5">
        <f>EnergyCoeff(INDEX('Route Data'!$K$7:$K$8,E938),INDEX('Route Data'!$L$7:$L$8,E938)*2*PI()/60,INDEX('Route Data'!$F$7:$F$8,E938))</f>
        <v>0.19430699130049439</v>
      </c>
      <c r="I938" s="5">
        <f>DischargeCoeff(INDEX('Route Data'!$I$7:$I$8,E938), INDEX('Route Data'!$L$7:$L$8,E938)*2*PI()/60, INDEX('Route Data'!$F$7:$F$8,E938))</f>
        <v>0.15939200179827354</v>
      </c>
      <c r="J938" s="8">
        <f>FlowAngleRel(INDEX('Route Data'!$J$7:$J$8,E938)*INDEX('Route Data'!$I$7:$I$8,E938), INDEX('Route Data'!$L$7:$L$8,E938)*2*PI()/60, INDEX('Route Data'!$F$7:$F$8,E938),INDEX('Route Data'!$O$7:$O$8,E938), INDEX('Route Data'!$P$7:$P$8,E938),INDEX('Route Data'!$M$7:$M$8,E938))</f>
        <v>1.130811765868994</v>
      </c>
      <c r="K938" s="8">
        <f>FlowAngleAbsT(INDEX('Route Data'!$K$7:$K$8,E938), INDEX('Route Data'!$I$7:$I$8,E938), INDEX('Route Data'!$I$7:$I$8,E938)*INDEX('Route Data'!$J$7:$J$8,E938), INDEX('Route Data'!$L$7:$L$8,E938)*2*PI()/60, INDEX('Route Data'!$F$7:$F$8,E938),INDEX('Route Data'!$O$7:$O$8,E938), INDEX('Route Data'!$P$7:$P$8,E938), INDEX('Route Data'!$H$7:$H$8,E938), INDEX('Route Data'!$Q$7:$Q$8,E938), INDEX('Route Data'!$M$7:$M$8,E938))</f>
        <v>0.51617226640175828</v>
      </c>
      <c r="L938" s="5">
        <f>INDEX('Route Data'!$N$7:$N$8,E938)</f>
        <v>0.4</v>
      </c>
      <c r="M938" s="8">
        <v>0.46222639083862305</v>
      </c>
      <c r="N938" s="8">
        <f>ProbStrikeFrancis(K938, I938, L938, INDEX('Route Data'!$G$7:$G$8,E938),C938, INDEX('Route Data'!$F$7:$F$8,E938), INDEX('Route Data'!$O$7:$O$8,E938), INDEX('Route Data'!$H$7:$H$18,E938))</f>
        <v>1</v>
      </c>
      <c r="O938" s="5" t="str">
        <f>IF(F938&gt;=1,IF(M938&lt;=N938,"STRIKE","pass"),IF(M938&lt;=INDEX('Route Data'!$R$7:$R$8,E938),"NO PASS","pass"))</f>
        <v>STRIKE</v>
      </c>
      <c r="P938" s="5">
        <f>IF(F938&gt;=1,IF(M938&lt;=N938,1,0),IF(M938&lt;=INDEX('Route Data'!$R$7:$R$8,E938),-1,0))</f>
        <v>1</v>
      </c>
    </row>
    <row r="939" spans="1:16">
      <c r="A939" s="5">
        <v>929</v>
      </c>
      <c r="B939" s="12">
        <v>23.39</v>
      </c>
      <c r="C939" s="12">
        <f t="shared" si="14"/>
        <v>1.95</v>
      </c>
      <c r="D939" s="8">
        <v>0.83678168058395386</v>
      </c>
      <c r="E939" s="5">
        <f>MATCH(D939,'Route Data'!$C$7:$C$8,1)</f>
        <v>2</v>
      </c>
      <c r="F939" s="5">
        <f>INDEX('Route Data'!$D$7:$D$8,E939)</f>
        <v>1</v>
      </c>
      <c r="G939" s="5" t="str">
        <f>INDEX('Route Data'!$A$7:$A$8,E939)</f>
        <v>u18</v>
      </c>
      <c r="H939" s="5">
        <f>EnergyCoeff(INDEX('Route Data'!$K$7:$K$8,E939),INDEX('Route Data'!$L$7:$L$8,E939)*2*PI()/60,INDEX('Route Data'!$F$7:$F$8,E939))</f>
        <v>0.19430699130049439</v>
      </c>
      <c r="I939" s="5">
        <f>DischargeCoeff(INDEX('Route Data'!$I$7:$I$8,E939), INDEX('Route Data'!$L$7:$L$8,E939)*2*PI()/60, INDEX('Route Data'!$F$7:$F$8,E939))</f>
        <v>0.15939200179827354</v>
      </c>
      <c r="J939" s="8">
        <f>FlowAngleRel(INDEX('Route Data'!$J$7:$J$8,E939)*INDEX('Route Data'!$I$7:$I$8,E939), INDEX('Route Data'!$L$7:$L$8,E939)*2*PI()/60, INDEX('Route Data'!$F$7:$F$8,E939),INDEX('Route Data'!$O$7:$O$8,E939), INDEX('Route Data'!$P$7:$P$8,E939),INDEX('Route Data'!$M$7:$M$8,E939))</f>
        <v>1.130811765868994</v>
      </c>
      <c r="K939" s="8">
        <f>FlowAngleAbsT(INDEX('Route Data'!$K$7:$K$8,E939), INDEX('Route Data'!$I$7:$I$8,E939), INDEX('Route Data'!$I$7:$I$8,E939)*INDEX('Route Data'!$J$7:$J$8,E939), INDEX('Route Data'!$L$7:$L$8,E939)*2*PI()/60, INDEX('Route Data'!$F$7:$F$8,E939),INDEX('Route Data'!$O$7:$O$8,E939), INDEX('Route Data'!$P$7:$P$8,E939), INDEX('Route Data'!$H$7:$H$8,E939), INDEX('Route Data'!$Q$7:$Q$8,E939), INDEX('Route Data'!$M$7:$M$8,E939))</f>
        <v>0.51617226640175828</v>
      </c>
      <c r="L939" s="5">
        <f>INDEX('Route Data'!$N$7:$N$8,E939)</f>
        <v>0.4</v>
      </c>
      <c r="M939" s="8">
        <v>0.44749993085861206</v>
      </c>
      <c r="N939" s="8">
        <f>ProbStrikeFrancis(K939, I939, L939, INDEX('Route Data'!$G$7:$G$8,E939),C939, INDEX('Route Data'!$F$7:$F$8,E939), INDEX('Route Data'!$O$7:$O$8,E939), INDEX('Route Data'!$H$7:$H$18,E939))</f>
        <v>1</v>
      </c>
      <c r="O939" s="5" t="str">
        <f>IF(F939&gt;=1,IF(M939&lt;=N939,"STRIKE","pass"),IF(M939&lt;=INDEX('Route Data'!$R$7:$R$8,E939),"NO PASS","pass"))</f>
        <v>STRIKE</v>
      </c>
      <c r="P939" s="5">
        <f>IF(F939&gt;=1,IF(M939&lt;=N939,1,0),IF(M939&lt;=INDEX('Route Data'!$R$7:$R$8,E939),-1,0))</f>
        <v>1</v>
      </c>
    </row>
    <row r="940" spans="1:16">
      <c r="A940" s="5">
        <v>930</v>
      </c>
      <c r="B940" s="12">
        <v>20.32</v>
      </c>
      <c r="C940" s="12">
        <f t="shared" si="14"/>
        <v>1.69</v>
      </c>
      <c r="D940" s="8">
        <v>0.17194807529449463</v>
      </c>
      <c r="E940" s="5">
        <f>MATCH(D940,'Route Data'!$C$7:$C$8,1)</f>
        <v>2</v>
      </c>
      <c r="F940" s="5">
        <f>INDEX('Route Data'!$D$7:$D$8,E940)</f>
        <v>1</v>
      </c>
      <c r="G940" s="5" t="str">
        <f>INDEX('Route Data'!$A$7:$A$8,E940)</f>
        <v>u18</v>
      </c>
      <c r="H940" s="5">
        <f>EnergyCoeff(INDEX('Route Data'!$K$7:$K$8,E940),INDEX('Route Data'!$L$7:$L$8,E940)*2*PI()/60,INDEX('Route Data'!$F$7:$F$8,E940))</f>
        <v>0.19430699130049439</v>
      </c>
      <c r="I940" s="5">
        <f>DischargeCoeff(INDEX('Route Data'!$I$7:$I$8,E940), INDEX('Route Data'!$L$7:$L$8,E940)*2*PI()/60, INDEX('Route Data'!$F$7:$F$8,E940))</f>
        <v>0.15939200179827354</v>
      </c>
      <c r="J940" s="8">
        <f>FlowAngleRel(INDEX('Route Data'!$J$7:$J$8,E940)*INDEX('Route Data'!$I$7:$I$8,E940), INDEX('Route Data'!$L$7:$L$8,E940)*2*PI()/60, INDEX('Route Data'!$F$7:$F$8,E940),INDEX('Route Data'!$O$7:$O$8,E940), INDEX('Route Data'!$P$7:$P$8,E940),INDEX('Route Data'!$M$7:$M$8,E940))</f>
        <v>1.130811765868994</v>
      </c>
      <c r="K940" s="8">
        <f>FlowAngleAbsT(INDEX('Route Data'!$K$7:$K$8,E940), INDEX('Route Data'!$I$7:$I$8,E940), INDEX('Route Data'!$I$7:$I$8,E940)*INDEX('Route Data'!$J$7:$J$8,E940), INDEX('Route Data'!$L$7:$L$8,E940)*2*PI()/60, INDEX('Route Data'!$F$7:$F$8,E940),INDEX('Route Data'!$O$7:$O$8,E940), INDEX('Route Data'!$P$7:$P$8,E940), INDEX('Route Data'!$H$7:$H$8,E940), INDEX('Route Data'!$Q$7:$Q$8,E940), INDEX('Route Data'!$M$7:$M$8,E940))</f>
        <v>0.51617226640175828</v>
      </c>
      <c r="L940" s="5">
        <f>INDEX('Route Data'!$N$7:$N$8,E940)</f>
        <v>0.4</v>
      </c>
      <c r="M940" s="8">
        <v>0.75725853443145752</v>
      </c>
      <c r="N940" s="8">
        <f>ProbStrikeFrancis(K940, I940, L940, INDEX('Route Data'!$G$7:$G$8,E940),C940, INDEX('Route Data'!$F$7:$F$8,E940), INDEX('Route Data'!$O$7:$O$8,E940), INDEX('Route Data'!$H$7:$H$18,E940))</f>
        <v>1</v>
      </c>
      <c r="O940" s="5" t="str">
        <f>IF(F940&gt;=1,IF(M940&lt;=N940,"STRIKE","pass"),IF(M940&lt;=INDEX('Route Data'!$R$7:$R$8,E940),"NO PASS","pass"))</f>
        <v>STRIKE</v>
      </c>
      <c r="P940" s="5">
        <f>IF(F940&gt;=1,IF(M940&lt;=N940,1,0),IF(M940&lt;=INDEX('Route Data'!$R$7:$R$8,E940),-1,0))</f>
        <v>1</v>
      </c>
    </row>
    <row r="941" spans="1:16">
      <c r="A941" s="5">
        <v>931</v>
      </c>
      <c r="B941" s="12">
        <v>23.5</v>
      </c>
      <c r="C941" s="12">
        <f t="shared" si="14"/>
        <v>1.96</v>
      </c>
      <c r="D941" s="8">
        <v>0.90086966753005981</v>
      </c>
      <c r="E941" s="5">
        <f>MATCH(D941,'Route Data'!$C$7:$C$8,1)</f>
        <v>2</v>
      </c>
      <c r="F941" s="5">
        <f>INDEX('Route Data'!$D$7:$D$8,E941)</f>
        <v>1</v>
      </c>
      <c r="G941" s="5" t="str">
        <f>INDEX('Route Data'!$A$7:$A$8,E941)</f>
        <v>u18</v>
      </c>
      <c r="H941" s="5">
        <f>EnergyCoeff(INDEX('Route Data'!$K$7:$K$8,E941),INDEX('Route Data'!$L$7:$L$8,E941)*2*PI()/60,INDEX('Route Data'!$F$7:$F$8,E941))</f>
        <v>0.19430699130049439</v>
      </c>
      <c r="I941" s="5">
        <f>DischargeCoeff(INDEX('Route Data'!$I$7:$I$8,E941), INDEX('Route Data'!$L$7:$L$8,E941)*2*PI()/60, INDEX('Route Data'!$F$7:$F$8,E941))</f>
        <v>0.15939200179827354</v>
      </c>
      <c r="J941" s="8">
        <f>FlowAngleRel(INDEX('Route Data'!$J$7:$J$8,E941)*INDEX('Route Data'!$I$7:$I$8,E941), INDEX('Route Data'!$L$7:$L$8,E941)*2*PI()/60, INDEX('Route Data'!$F$7:$F$8,E941),INDEX('Route Data'!$O$7:$O$8,E941), INDEX('Route Data'!$P$7:$P$8,E941),INDEX('Route Data'!$M$7:$M$8,E941))</f>
        <v>1.130811765868994</v>
      </c>
      <c r="K941" s="8">
        <f>FlowAngleAbsT(INDEX('Route Data'!$K$7:$K$8,E941), INDEX('Route Data'!$I$7:$I$8,E941), INDEX('Route Data'!$I$7:$I$8,E941)*INDEX('Route Data'!$J$7:$J$8,E941), INDEX('Route Data'!$L$7:$L$8,E941)*2*PI()/60, INDEX('Route Data'!$F$7:$F$8,E941),INDEX('Route Data'!$O$7:$O$8,E941), INDEX('Route Data'!$P$7:$P$8,E941), INDEX('Route Data'!$H$7:$H$8,E941), INDEX('Route Data'!$Q$7:$Q$8,E941), INDEX('Route Data'!$M$7:$M$8,E941))</f>
        <v>0.51617226640175828</v>
      </c>
      <c r="L941" s="5">
        <f>INDEX('Route Data'!$N$7:$N$8,E941)</f>
        <v>0.4</v>
      </c>
      <c r="M941" s="8">
        <v>0.82798272371292114</v>
      </c>
      <c r="N941" s="8">
        <f>ProbStrikeFrancis(K941, I941, L941, INDEX('Route Data'!$G$7:$G$8,E941),C941, INDEX('Route Data'!$F$7:$F$8,E941), INDEX('Route Data'!$O$7:$O$8,E941), INDEX('Route Data'!$H$7:$H$18,E941))</f>
        <v>1</v>
      </c>
      <c r="O941" s="5" t="str">
        <f>IF(F941&gt;=1,IF(M941&lt;=N941,"STRIKE","pass"),IF(M941&lt;=INDEX('Route Data'!$R$7:$R$8,E941),"NO PASS","pass"))</f>
        <v>STRIKE</v>
      </c>
      <c r="P941" s="5">
        <f>IF(F941&gt;=1,IF(M941&lt;=N941,1,0),IF(M941&lt;=INDEX('Route Data'!$R$7:$R$8,E941),-1,0))</f>
        <v>1</v>
      </c>
    </row>
    <row r="942" spans="1:16">
      <c r="A942" s="5">
        <v>932</v>
      </c>
      <c r="B942" s="12">
        <v>24.42</v>
      </c>
      <c r="C942" s="12">
        <f t="shared" si="14"/>
        <v>2.04</v>
      </c>
      <c r="D942" s="8">
        <v>0.97968411445617676</v>
      </c>
      <c r="E942" s="5">
        <f>MATCH(D942,'Route Data'!$C$7:$C$8,1)</f>
        <v>2</v>
      </c>
      <c r="F942" s="5">
        <f>INDEX('Route Data'!$D$7:$D$8,E942)</f>
        <v>1</v>
      </c>
      <c r="G942" s="5" t="str">
        <f>INDEX('Route Data'!$A$7:$A$8,E942)</f>
        <v>u18</v>
      </c>
      <c r="H942" s="5">
        <f>EnergyCoeff(INDEX('Route Data'!$K$7:$K$8,E942),INDEX('Route Data'!$L$7:$L$8,E942)*2*PI()/60,INDEX('Route Data'!$F$7:$F$8,E942))</f>
        <v>0.19430699130049439</v>
      </c>
      <c r="I942" s="5">
        <f>DischargeCoeff(INDEX('Route Data'!$I$7:$I$8,E942), INDEX('Route Data'!$L$7:$L$8,E942)*2*PI()/60, INDEX('Route Data'!$F$7:$F$8,E942))</f>
        <v>0.15939200179827354</v>
      </c>
      <c r="J942" s="8">
        <f>FlowAngleRel(INDEX('Route Data'!$J$7:$J$8,E942)*INDEX('Route Data'!$I$7:$I$8,E942), INDEX('Route Data'!$L$7:$L$8,E942)*2*PI()/60, INDEX('Route Data'!$F$7:$F$8,E942),INDEX('Route Data'!$O$7:$O$8,E942), INDEX('Route Data'!$P$7:$P$8,E942),INDEX('Route Data'!$M$7:$M$8,E942))</f>
        <v>1.130811765868994</v>
      </c>
      <c r="K942" s="8">
        <f>FlowAngleAbsT(INDEX('Route Data'!$K$7:$K$8,E942), INDEX('Route Data'!$I$7:$I$8,E942), INDEX('Route Data'!$I$7:$I$8,E942)*INDEX('Route Data'!$J$7:$J$8,E942), INDEX('Route Data'!$L$7:$L$8,E942)*2*PI()/60, INDEX('Route Data'!$F$7:$F$8,E942),INDEX('Route Data'!$O$7:$O$8,E942), INDEX('Route Data'!$P$7:$P$8,E942), INDEX('Route Data'!$H$7:$H$8,E942), INDEX('Route Data'!$Q$7:$Q$8,E942), INDEX('Route Data'!$M$7:$M$8,E942))</f>
        <v>0.51617226640175828</v>
      </c>
      <c r="L942" s="5">
        <f>INDEX('Route Data'!$N$7:$N$8,E942)</f>
        <v>0.4</v>
      </c>
      <c r="M942" s="8">
        <v>0.88138937950134277</v>
      </c>
      <c r="N942" s="8">
        <f>ProbStrikeFrancis(K942, I942, L942, INDEX('Route Data'!$G$7:$G$8,E942),C942, INDEX('Route Data'!$F$7:$F$8,E942), INDEX('Route Data'!$O$7:$O$8,E942), INDEX('Route Data'!$H$7:$H$18,E942))</f>
        <v>1</v>
      </c>
      <c r="O942" s="5" t="str">
        <f>IF(F942&gt;=1,IF(M942&lt;=N942,"STRIKE","pass"),IF(M942&lt;=INDEX('Route Data'!$R$7:$R$8,E942),"NO PASS","pass"))</f>
        <v>STRIKE</v>
      </c>
      <c r="P942" s="5">
        <f>IF(F942&gt;=1,IF(M942&lt;=N942,1,0),IF(M942&lt;=INDEX('Route Data'!$R$7:$R$8,E942),-1,0))</f>
        <v>1</v>
      </c>
    </row>
    <row r="943" spans="1:16">
      <c r="A943" s="5">
        <v>933</v>
      </c>
      <c r="B943" s="12">
        <v>26.36</v>
      </c>
      <c r="C943" s="12">
        <f t="shared" si="14"/>
        <v>2.2000000000000002</v>
      </c>
      <c r="D943" s="8">
        <v>0.47766155004501343</v>
      </c>
      <c r="E943" s="5">
        <f>MATCH(D943,'Route Data'!$C$7:$C$8,1)</f>
        <v>2</v>
      </c>
      <c r="F943" s="5">
        <f>INDEX('Route Data'!$D$7:$D$8,E943)</f>
        <v>1</v>
      </c>
      <c r="G943" s="5" t="str">
        <f>INDEX('Route Data'!$A$7:$A$8,E943)</f>
        <v>u18</v>
      </c>
      <c r="H943" s="5">
        <f>EnergyCoeff(INDEX('Route Data'!$K$7:$K$8,E943),INDEX('Route Data'!$L$7:$L$8,E943)*2*PI()/60,INDEX('Route Data'!$F$7:$F$8,E943))</f>
        <v>0.19430699130049439</v>
      </c>
      <c r="I943" s="5">
        <f>DischargeCoeff(INDEX('Route Data'!$I$7:$I$8,E943), INDEX('Route Data'!$L$7:$L$8,E943)*2*PI()/60, INDEX('Route Data'!$F$7:$F$8,E943))</f>
        <v>0.15939200179827354</v>
      </c>
      <c r="J943" s="8">
        <f>FlowAngleRel(INDEX('Route Data'!$J$7:$J$8,E943)*INDEX('Route Data'!$I$7:$I$8,E943), INDEX('Route Data'!$L$7:$L$8,E943)*2*PI()/60, INDEX('Route Data'!$F$7:$F$8,E943),INDEX('Route Data'!$O$7:$O$8,E943), INDEX('Route Data'!$P$7:$P$8,E943),INDEX('Route Data'!$M$7:$M$8,E943))</f>
        <v>1.130811765868994</v>
      </c>
      <c r="K943" s="8">
        <f>FlowAngleAbsT(INDEX('Route Data'!$K$7:$K$8,E943), INDEX('Route Data'!$I$7:$I$8,E943), INDEX('Route Data'!$I$7:$I$8,E943)*INDEX('Route Data'!$J$7:$J$8,E943), INDEX('Route Data'!$L$7:$L$8,E943)*2*PI()/60, INDEX('Route Data'!$F$7:$F$8,E943),INDEX('Route Data'!$O$7:$O$8,E943), INDEX('Route Data'!$P$7:$P$8,E943), INDEX('Route Data'!$H$7:$H$8,E943), INDEX('Route Data'!$Q$7:$Q$8,E943), INDEX('Route Data'!$M$7:$M$8,E943))</f>
        <v>0.51617226640175828</v>
      </c>
      <c r="L943" s="5">
        <f>INDEX('Route Data'!$N$7:$N$8,E943)</f>
        <v>0.4</v>
      </c>
      <c r="M943" s="8">
        <v>0.72116941213607788</v>
      </c>
      <c r="N943" s="8">
        <f>ProbStrikeFrancis(K943, I943, L943, INDEX('Route Data'!$G$7:$G$8,E943),C943, INDEX('Route Data'!$F$7:$F$8,E943), INDEX('Route Data'!$O$7:$O$8,E943), INDEX('Route Data'!$H$7:$H$18,E943))</f>
        <v>1</v>
      </c>
      <c r="O943" s="5" t="str">
        <f>IF(F943&gt;=1,IF(M943&lt;=N943,"STRIKE","pass"),IF(M943&lt;=INDEX('Route Data'!$R$7:$R$8,E943),"NO PASS","pass"))</f>
        <v>STRIKE</v>
      </c>
      <c r="P943" s="5">
        <f>IF(F943&gt;=1,IF(M943&lt;=N943,1,0),IF(M943&lt;=INDEX('Route Data'!$R$7:$R$8,E943),-1,0))</f>
        <v>1</v>
      </c>
    </row>
    <row r="944" spans="1:16">
      <c r="A944" s="5">
        <v>934</v>
      </c>
      <c r="B944" s="12">
        <v>23.99</v>
      </c>
      <c r="C944" s="12">
        <f t="shared" si="14"/>
        <v>2</v>
      </c>
      <c r="D944" s="8">
        <v>0.98372924327850342</v>
      </c>
      <c r="E944" s="5">
        <f>MATCH(D944,'Route Data'!$C$7:$C$8,1)</f>
        <v>2</v>
      </c>
      <c r="F944" s="5">
        <f>INDEX('Route Data'!$D$7:$D$8,E944)</f>
        <v>1</v>
      </c>
      <c r="G944" s="5" t="str">
        <f>INDEX('Route Data'!$A$7:$A$8,E944)</f>
        <v>u18</v>
      </c>
      <c r="H944" s="5">
        <f>EnergyCoeff(INDEX('Route Data'!$K$7:$K$8,E944),INDEX('Route Data'!$L$7:$L$8,E944)*2*PI()/60,INDEX('Route Data'!$F$7:$F$8,E944))</f>
        <v>0.19430699130049439</v>
      </c>
      <c r="I944" s="5">
        <f>DischargeCoeff(INDEX('Route Data'!$I$7:$I$8,E944), INDEX('Route Data'!$L$7:$L$8,E944)*2*PI()/60, INDEX('Route Data'!$F$7:$F$8,E944))</f>
        <v>0.15939200179827354</v>
      </c>
      <c r="J944" s="8">
        <f>FlowAngleRel(INDEX('Route Data'!$J$7:$J$8,E944)*INDEX('Route Data'!$I$7:$I$8,E944), INDEX('Route Data'!$L$7:$L$8,E944)*2*PI()/60, INDEX('Route Data'!$F$7:$F$8,E944),INDEX('Route Data'!$O$7:$O$8,E944), INDEX('Route Data'!$P$7:$P$8,E944),INDEX('Route Data'!$M$7:$M$8,E944))</f>
        <v>1.130811765868994</v>
      </c>
      <c r="K944" s="8">
        <f>FlowAngleAbsT(INDEX('Route Data'!$K$7:$K$8,E944), INDEX('Route Data'!$I$7:$I$8,E944), INDEX('Route Data'!$I$7:$I$8,E944)*INDEX('Route Data'!$J$7:$J$8,E944), INDEX('Route Data'!$L$7:$L$8,E944)*2*PI()/60, INDEX('Route Data'!$F$7:$F$8,E944),INDEX('Route Data'!$O$7:$O$8,E944), INDEX('Route Data'!$P$7:$P$8,E944), INDEX('Route Data'!$H$7:$H$8,E944), INDEX('Route Data'!$Q$7:$Q$8,E944), INDEX('Route Data'!$M$7:$M$8,E944))</f>
        <v>0.51617226640175828</v>
      </c>
      <c r="L944" s="5">
        <f>INDEX('Route Data'!$N$7:$N$8,E944)</f>
        <v>0.4</v>
      </c>
      <c r="M944" s="8">
        <v>0.20182931423187256</v>
      </c>
      <c r="N944" s="8">
        <f>ProbStrikeFrancis(K944, I944, L944, INDEX('Route Data'!$G$7:$G$8,E944),C944, INDEX('Route Data'!$F$7:$F$8,E944), INDEX('Route Data'!$O$7:$O$8,E944), INDEX('Route Data'!$H$7:$H$18,E944))</f>
        <v>1</v>
      </c>
      <c r="O944" s="5" t="str">
        <f>IF(F944&gt;=1,IF(M944&lt;=N944,"STRIKE","pass"),IF(M944&lt;=INDEX('Route Data'!$R$7:$R$8,E944),"NO PASS","pass"))</f>
        <v>STRIKE</v>
      </c>
      <c r="P944" s="5">
        <f>IF(F944&gt;=1,IF(M944&lt;=N944,1,0),IF(M944&lt;=INDEX('Route Data'!$R$7:$R$8,E944),-1,0))</f>
        <v>1</v>
      </c>
    </row>
    <row r="945" spans="1:16">
      <c r="A945" s="5">
        <v>935</v>
      </c>
      <c r="B945" s="12">
        <v>20.82</v>
      </c>
      <c r="C945" s="12">
        <f t="shared" si="14"/>
        <v>1.74</v>
      </c>
      <c r="D945" s="8">
        <v>0.19994693994522095</v>
      </c>
      <c r="E945" s="5">
        <f>MATCH(D945,'Route Data'!$C$7:$C$8,1)</f>
        <v>2</v>
      </c>
      <c r="F945" s="5">
        <f>INDEX('Route Data'!$D$7:$D$8,E945)</f>
        <v>1</v>
      </c>
      <c r="G945" s="5" t="str">
        <f>INDEX('Route Data'!$A$7:$A$8,E945)</f>
        <v>u18</v>
      </c>
      <c r="H945" s="5">
        <f>EnergyCoeff(INDEX('Route Data'!$K$7:$K$8,E945),INDEX('Route Data'!$L$7:$L$8,E945)*2*PI()/60,INDEX('Route Data'!$F$7:$F$8,E945))</f>
        <v>0.19430699130049439</v>
      </c>
      <c r="I945" s="5">
        <f>DischargeCoeff(INDEX('Route Data'!$I$7:$I$8,E945), INDEX('Route Data'!$L$7:$L$8,E945)*2*PI()/60, INDEX('Route Data'!$F$7:$F$8,E945))</f>
        <v>0.15939200179827354</v>
      </c>
      <c r="J945" s="8">
        <f>FlowAngleRel(INDEX('Route Data'!$J$7:$J$8,E945)*INDEX('Route Data'!$I$7:$I$8,E945), INDEX('Route Data'!$L$7:$L$8,E945)*2*PI()/60, INDEX('Route Data'!$F$7:$F$8,E945),INDEX('Route Data'!$O$7:$O$8,E945), INDEX('Route Data'!$P$7:$P$8,E945),INDEX('Route Data'!$M$7:$M$8,E945))</f>
        <v>1.130811765868994</v>
      </c>
      <c r="K945" s="8">
        <f>FlowAngleAbsT(INDEX('Route Data'!$K$7:$K$8,E945), INDEX('Route Data'!$I$7:$I$8,E945), INDEX('Route Data'!$I$7:$I$8,E945)*INDEX('Route Data'!$J$7:$J$8,E945), INDEX('Route Data'!$L$7:$L$8,E945)*2*PI()/60, INDEX('Route Data'!$F$7:$F$8,E945),INDEX('Route Data'!$O$7:$O$8,E945), INDEX('Route Data'!$P$7:$P$8,E945), INDEX('Route Data'!$H$7:$H$8,E945), INDEX('Route Data'!$Q$7:$Q$8,E945), INDEX('Route Data'!$M$7:$M$8,E945))</f>
        <v>0.51617226640175828</v>
      </c>
      <c r="L945" s="5">
        <f>INDEX('Route Data'!$N$7:$N$8,E945)</f>
        <v>0.4</v>
      </c>
      <c r="M945" s="8">
        <v>0.49427038431167603</v>
      </c>
      <c r="N945" s="8">
        <f>ProbStrikeFrancis(K945, I945, L945, INDEX('Route Data'!$G$7:$G$8,E945),C945, INDEX('Route Data'!$F$7:$F$8,E945), INDEX('Route Data'!$O$7:$O$8,E945), INDEX('Route Data'!$H$7:$H$18,E945))</f>
        <v>1</v>
      </c>
      <c r="O945" s="5" t="str">
        <f>IF(F945&gt;=1,IF(M945&lt;=N945,"STRIKE","pass"),IF(M945&lt;=INDEX('Route Data'!$R$7:$R$8,E945),"NO PASS","pass"))</f>
        <v>STRIKE</v>
      </c>
      <c r="P945" s="5">
        <f>IF(F945&gt;=1,IF(M945&lt;=N945,1,0),IF(M945&lt;=INDEX('Route Data'!$R$7:$R$8,E945),-1,0))</f>
        <v>1</v>
      </c>
    </row>
    <row r="946" spans="1:16">
      <c r="A946" s="5">
        <v>936</v>
      </c>
      <c r="B946" s="12">
        <v>22.23</v>
      </c>
      <c r="C946" s="12">
        <f t="shared" si="14"/>
        <v>1.85</v>
      </c>
      <c r="D946" s="8">
        <v>8.2452297210693359E-2</v>
      </c>
      <c r="E946" s="5">
        <f>MATCH(D946,'Route Data'!$C$7:$C$8,1)</f>
        <v>2</v>
      </c>
      <c r="F946" s="5">
        <f>INDEX('Route Data'!$D$7:$D$8,E946)</f>
        <v>1</v>
      </c>
      <c r="G946" s="5" t="str">
        <f>INDEX('Route Data'!$A$7:$A$8,E946)</f>
        <v>u18</v>
      </c>
      <c r="H946" s="5">
        <f>EnergyCoeff(INDEX('Route Data'!$K$7:$K$8,E946),INDEX('Route Data'!$L$7:$L$8,E946)*2*PI()/60,INDEX('Route Data'!$F$7:$F$8,E946))</f>
        <v>0.19430699130049439</v>
      </c>
      <c r="I946" s="5">
        <f>DischargeCoeff(INDEX('Route Data'!$I$7:$I$8,E946), INDEX('Route Data'!$L$7:$L$8,E946)*2*PI()/60, INDEX('Route Data'!$F$7:$F$8,E946))</f>
        <v>0.15939200179827354</v>
      </c>
      <c r="J946" s="8">
        <f>FlowAngleRel(INDEX('Route Data'!$J$7:$J$8,E946)*INDEX('Route Data'!$I$7:$I$8,E946), INDEX('Route Data'!$L$7:$L$8,E946)*2*PI()/60, INDEX('Route Data'!$F$7:$F$8,E946),INDEX('Route Data'!$O$7:$O$8,E946), INDEX('Route Data'!$P$7:$P$8,E946),INDEX('Route Data'!$M$7:$M$8,E946))</f>
        <v>1.130811765868994</v>
      </c>
      <c r="K946" s="8">
        <f>FlowAngleAbsT(INDEX('Route Data'!$K$7:$K$8,E946), INDEX('Route Data'!$I$7:$I$8,E946), INDEX('Route Data'!$I$7:$I$8,E946)*INDEX('Route Data'!$J$7:$J$8,E946), INDEX('Route Data'!$L$7:$L$8,E946)*2*PI()/60, INDEX('Route Data'!$F$7:$F$8,E946),INDEX('Route Data'!$O$7:$O$8,E946), INDEX('Route Data'!$P$7:$P$8,E946), INDEX('Route Data'!$H$7:$H$8,E946), INDEX('Route Data'!$Q$7:$Q$8,E946), INDEX('Route Data'!$M$7:$M$8,E946))</f>
        <v>0.51617226640175828</v>
      </c>
      <c r="L946" s="5">
        <f>INDEX('Route Data'!$N$7:$N$8,E946)</f>
        <v>0.4</v>
      </c>
      <c r="M946" s="8">
        <v>0.35136795043945313</v>
      </c>
      <c r="N946" s="8">
        <f>ProbStrikeFrancis(K946, I946, L946, INDEX('Route Data'!$G$7:$G$8,E946),C946, INDEX('Route Data'!$F$7:$F$8,E946), INDEX('Route Data'!$O$7:$O$8,E946), INDEX('Route Data'!$H$7:$H$18,E946))</f>
        <v>1</v>
      </c>
      <c r="O946" s="5" t="str">
        <f>IF(F946&gt;=1,IF(M946&lt;=N946,"STRIKE","pass"),IF(M946&lt;=INDEX('Route Data'!$R$7:$R$8,E946),"NO PASS","pass"))</f>
        <v>STRIKE</v>
      </c>
      <c r="P946" s="5">
        <f>IF(F946&gt;=1,IF(M946&lt;=N946,1,0),IF(M946&lt;=INDEX('Route Data'!$R$7:$R$8,E946),-1,0))</f>
        <v>1</v>
      </c>
    </row>
    <row r="947" spans="1:16">
      <c r="A947" s="5">
        <v>937</v>
      </c>
      <c r="B947" s="12">
        <v>22.32</v>
      </c>
      <c r="C947" s="12">
        <f t="shared" si="14"/>
        <v>1.86</v>
      </c>
      <c r="D947" s="8">
        <v>0.43493622541427612</v>
      </c>
      <c r="E947" s="5">
        <f>MATCH(D947,'Route Data'!$C$7:$C$8,1)</f>
        <v>2</v>
      </c>
      <c r="F947" s="5">
        <f>INDEX('Route Data'!$D$7:$D$8,E947)</f>
        <v>1</v>
      </c>
      <c r="G947" s="5" t="str">
        <f>INDEX('Route Data'!$A$7:$A$8,E947)</f>
        <v>u18</v>
      </c>
      <c r="H947" s="5">
        <f>EnergyCoeff(INDEX('Route Data'!$K$7:$K$8,E947),INDEX('Route Data'!$L$7:$L$8,E947)*2*PI()/60,INDEX('Route Data'!$F$7:$F$8,E947))</f>
        <v>0.19430699130049439</v>
      </c>
      <c r="I947" s="5">
        <f>DischargeCoeff(INDEX('Route Data'!$I$7:$I$8,E947), INDEX('Route Data'!$L$7:$L$8,E947)*2*PI()/60, INDEX('Route Data'!$F$7:$F$8,E947))</f>
        <v>0.15939200179827354</v>
      </c>
      <c r="J947" s="8">
        <f>FlowAngleRel(INDEX('Route Data'!$J$7:$J$8,E947)*INDEX('Route Data'!$I$7:$I$8,E947), INDEX('Route Data'!$L$7:$L$8,E947)*2*PI()/60, INDEX('Route Data'!$F$7:$F$8,E947),INDEX('Route Data'!$O$7:$O$8,E947), INDEX('Route Data'!$P$7:$P$8,E947),INDEX('Route Data'!$M$7:$M$8,E947))</f>
        <v>1.130811765868994</v>
      </c>
      <c r="K947" s="8">
        <f>FlowAngleAbsT(INDEX('Route Data'!$K$7:$K$8,E947), INDEX('Route Data'!$I$7:$I$8,E947), INDEX('Route Data'!$I$7:$I$8,E947)*INDEX('Route Data'!$J$7:$J$8,E947), INDEX('Route Data'!$L$7:$L$8,E947)*2*PI()/60, INDEX('Route Data'!$F$7:$F$8,E947),INDEX('Route Data'!$O$7:$O$8,E947), INDEX('Route Data'!$P$7:$P$8,E947), INDEX('Route Data'!$H$7:$H$8,E947), INDEX('Route Data'!$Q$7:$Q$8,E947), INDEX('Route Data'!$M$7:$M$8,E947))</f>
        <v>0.51617226640175828</v>
      </c>
      <c r="L947" s="5">
        <f>INDEX('Route Data'!$N$7:$N$8,E947)</f>
        <v>0.4</v>
      </c>
      <c r="M947" s="8">
        <v>4.5654475688934326E-2</v>
      </c>
      <c r="N947" s="8">
        <f>ProbStrikeFrancis(K947, I947, L947, INDEX('Route Data'!$G$7:$G$8,E947),C947, INDEX('Route Data'!$F$7:$F$8,E947), INDEX('Route Data'!$O$7:$O$8,E947), INDEX('Route Data'!$H$7:$H$18,E947))</f>
        <v>1</v>
      </c>
      <c r="O947" s="5" t="str">
        <f>IF(F947&gt;=1,IF(M947&lt;=N947,"STRIKE","pass"),IF(M947&lt;=INDEX('Route Data'!$R$7:$R$8,E947),"NO PASS","pass"))</f>
        <v>STRIKE</v>
      </c>
      <c r="P947" s="5">
        <f>IF(F947&gt;=1,IF(M947&lt;=N947,1,0),IF(M947&lt;=INDEX('Route Data'!$R$7:$R$8,E947),-1,0))</f>
        <v>1</v>
      </c>
    </row>
    <row r="948" spans="1:16">
      <c r="A948" s="5">
        <v>938</v>
      </c>
      <c r="B948" s="12">
        <v>22.07</v>
      </c>
      <c r="C948" s="12">
        <f t="shared" si="14"/>
        <v>1.84</v>
      </c>
      <c r="D948" s="8">
        <v>0.37748444080352783</v>
      </c>
      <c r="E948" s="5">
        <f>MATCH(D948,'Route Data'!$C$7:$C$8,1)</f>
        <v>2</v>
      </c>
      <c r="F948" s="5">
        <f>INDEX('Route Data'!$D$7:$D$8,E948)</f>
        <v>1</v>
      </c>
      <c r="G948" s="5" t="str">
        <f>INDEX('Route Data'!$A$7:$A$8,E948)</f>
        <v>u18</v>
      </c>
      <c r="H948" s="5">
        <f>EnergyCoeff(INDEX('Route Data'!$K$7:$K$8,E948),INDEX('Route Data'!$L$7:$L$8,E948)*2*PI()/60,INDEX('Route Data'!$F$7:$F$8,E948))</f>
        <v>0.19430699130049439</v>
      </c>
      <c r="I948" s="5">
        <f>DischargeCoeff(INDEX('Route Data'!$I$7:$I$8,E948), INDEX('Route Data'!$L$7:$L$8,E948)*2*PI()/60, INDEX('Route Data'!$F$7:$F$8,E948))</f>
        <v>0.15939200179827354</v>
      </c>
      <c r="J948" s="8">
        <f>FlowAngleRel(INDEX('Route Data'!$J$7:$J$8,E948)*INDEX('Route Data'!$I$7:$I$8,E948), INDEX('Route Data'!$L$7:$L$8,E948)*2*PI()/60, INDEX('Route Data'!$F$7:$F$8,E948),INDEX('Route Data'!$O$7:$O$8,E948), INDEX('Route Data'!$P$7:$P$8,E948),INDEX('Route Data'!$M$7:$M$8,E948))</f>
        <v>1.130811765868994</v>
      </c>
      <c r="K948" s="8">
        <f>FlowAngleAbsT(INDEX('Route Data'!$K$7:$K$8,E948), INDEX('Route Data'!$I$7:$I$8,E948), INDEX('Route Data'!$I$7:$I$8,E948)*INDEX('Route Data'!$J$7:$J$8,E948), INDEX('Route Data'!$L$7:$L$8,E948)*2*PI()/60, INDEX('Route Data'!$F$7:$F$8,E948),INDEX('Route Data'!$O$7:$O$8,E948), INDEX('Route Data'!$P$7:$P$8,E948), INDEX('Route Data'!$H$7:$H$8,E948), INDEX('Route Data'!$Q$7:$Q$8,E948), INDEX('Route Data'!$M$7:$M$8,E948))</f>
        <v>0.51617226640175828</v>
      </c>
      <c r="L948" s="5">
        <f>INDEX('Route Data'!$N$7:$N$8,E948)</f>
        <v>0.4</v>
      </c>
      <c r="M948" s="8">
        <v>0.69721567630767822</v>
      </c>
      <c r="N948" s="8">
        <f>ProbStrikeFrancis(K948, I948, L948, INDEX('Route Data'!$G$7:$G$8,E948),C948, INDEX('Route Data'!$F$7:$F$8,E948), INDEX('Route Data'!$O$7:$O$8,E948), INDEX('Route Data'!$H$7:$H$18,E948))</f>
        <v>1</v>
      </c>
      <c r="O948" s="5" t="str">
        <f>IF(F948&gt;=1,IF(M948&lt;=N948,"STRIKE","pass"),IF(M948&lt;=INDEX('Route Data'!$R$7:$R$8,E948),"NO PASS","pass"))</f>
        <v>STRIKE</v>
      </c>
      <c r="P948" s="5">
        <f>IF(F948&gt;=1,IF(M948&lt;=N948,1,0),IF(M948&lt;=INDEX('Route Data'!$R$7:$R$8,E948),-1,0))</f>
        <v>1</v>
      </c>
    </row>
    <row r="949" spans="1:16">
      <c r="A949" s="5">
        <v>939</v>
      </c>
      <c r="B949" s="12">
        <v>22.81</v>
      </c>
      <c r="C949" s="12">
        <f t="shared" si="14"/>
        <v>1.9</v>
      </c>
      <c r="D949" s="8">
        <v>0.81541901826858521</v>
      </c>
      <c r="E949" s="5">
        <f>MATCH(D949,'Route Data'!$C$7:$C$8,1)</f>
        <v>2</v>
      </c>
      <c r="F949" s="5">
        <f>INDEX('Route Data'!$D$7:$D$8,E949)</f>
        <v>1</v>
      </c>
      <c r="G949" s="5" t="str">
        <f>INDEX('Route Data'!$A$7:$A$8,E949)</f>
        <v>u18</v>
      </c>
      <c r="H949" s="5">
        <f>EnergyCoeff(INDEX('Route Data'!$K$7:$K$8,E949),INDEX('Route Data'!$L$7:$L$8,E949)*2*PI()/60,INDEX('Route Data'!$F$7:$F$8,E949))</f>
        <v>0.19430699130049439</v>
      </c>
      <c r="I949" s="5">
        <f>DischargeCoeff(INDEX('Route Data'!$I$7:$I$8,E949), INDEX('Route Data'!$L$7:$L$8,E949)*2*PI()/60, INDEX('Route Data'!$F$7:$F$8,E949))</f>
        <v>0.15939200179827354</v>
      </c>
      <c r="J949" s="8">
        <f>FlowAngleRel(INDEX('Route Data'!$J$7:$J$8,E949)*INDEX('Route Data'!$I$7:$I$8,E949), INDEX('Route Data'!$L$7:$L$8,E949)*2*PI()/60, INDEX('Route Data'!$F$7:$F$8,E949),INDEX('Route Data'!$O$7:$O$8,E949), INDEX('Route Data'!$P$7:$P$8,E949),INDEX('Route Data'!$M$7:$M$8,E949))</f>
        <v>1.130811765868994</v>
      </c>
      <c r="K949" s="8">
        <f>FlowAngleAbsT(INDEX('Route Data'!$K$7:$K$8,E949), INDEX('Route Data'!$I$7:$I$8,E949), INDEX('Route Data'!$I$7:$I$8,E949)*INDEX('Route Data'!$J$7:$J$8,E949), INDEX('Route Data'!$L$7:$L$8,E949)*2*PI()/60, INDEX('Route Data'!$F$7:$F$8,E949),INDEX('Route Data'!$O$7:$O$8,E949), INDEX('Route Data'!$P$7:$P$8,E949), INDEX('Route Data'!$H$7:$H$8,E949), INDEX('Route Data'!$Q$7:$Q$8,E949), INDEX('Route Data'!$M$7:$M$8,E949))</f>
        <v>0.51617226640175828</v>
      </c>
      <c r="L949" s="5">
        <f>INDEX('Route Data'!$N$7:$N$8,E949)</f>
        <v>0.4</v>
      </c>
      <c r="M949" s="8">
        <v>0.74253207445144653</v>
      </c>
      <c r="N949" s="8">
        <f>ProbStrikeFrancis(K949, I949, L949, INDEX('Route Data'!$G$7:$G$8,E949),C949, INDEX('Route Data'!$F$7:$F$8,E949), INDEX('Route Data'!$O$7:$O$8,E949), INDEX('Route Data'!$H$7:$H$18,E949))</f>
        <v>1</v>
      </c>
      <c r="O949" s="5" t="str">
        <f>IF(F949&gt;=1,IF(M949&lt;=N949,"STRIKE","pass"),IF(M949&lt;=INDEX('Route Data'!$R$7:$R$8,E949),"NO PASS","pass"))</f>
        <v>STRIKE</v>
      </c>
      <c r="P949" s="5">
        <f>IF(F949&gt;=1,IF(M949&lt;=N949,1,0),IF(M949&lt;=INDEX('Route Data'!$R$7:$R$8,E949),-1,0))</f>
        <v>1</v>
      </c>
    </row>
    <row r="950" spans="1:16">
      <c r="A950" s="5">
        <v>940</v>
      </c>
      <c r="B950" s="12">
        <v>25.96</v>
      </c>
      <c r="C950" s="12">
        <f t="shared" si="14"/>
        <v>2.16</v>
      </c>
      <c r="D950" s="8">
        <v>0.23603606224060059</v>
      </c>
      <c r="E950" s="5">
        <f>MATCH(D950,'Route Data'!$C$7:$C$8,1)</f>
        <v>2</v>
      </c>
      <c r="F950" s="5">
        <f>INDEX('Route Data'!$D$7:$D$8,E950)</f>
        <v>1</v>
      </c>
      <c r="G950" s="5" t="str">
        <f>INDEX('Route Data'!$A$7:$A$8,E950)</f>
        <v>u18</v>
      </c>
      <c r="H950" s="5">
        <f>EnergyCoeff(INDEX('Route Data'!$K$7:$K$8,E950),INDEX('Route Data'!$L$7:$L$8,E950)*2*PI()/60,INDEX('Route Data'!$F$7:$F$8,E950))</f>
        <v>0.19430699130049439</v>
      </c>
      <c r="I950" s="5">
        <f>DischargeCoeff(INDEX('Route Data'!$I$7:$I$8,E950), INDEX('Route Data'!$L$7:$L$8,E950)*2*PI()/60, INDEX('Route Data'!$F$7:$F$8,E950))</f>
        <v>0.15939200179827354</v>
      </c>
      <c r="J950" s="8">
        <f>FlowAngleRel(INDEX('Route Data'!$J$7:$J$8,E950)*INDEX('Route Data'!$I$7:$I$8,E950), INDEX('Route Data'!$L$7:$L$8,E950)*2*PI()/60, INDEX('Route Data'!$F$7:$F$8,E950),INDEX('Route Data'!$O$7:$O$8,E950), INDEX('Route Data'!$P$7:$P$8,E950),INDEX('Route Data'!$M$7:$M$8,E950))</f>
        <v>1.130811765868994</v>
      </c>
      <c r="K950" s="8">
        <f>FlowAngleAbsT(INDEX('Route Data'!$K$7:$K$8,E950), INDEX('Route Data'!$I$7:$I$8,E950), INDEX('Route Data'!$I$7:$I$8,E950)*INDEX('Route Data'!$J$7:$J$8,E950), INDEX('Route Data'!$L$7:$L$8,E950)*2*PI()/60, INDEX('Route Data'!$F$7:$F$8,E950),INDEX('Route Data'!$O$7:$O$8,E950), INDEX('Route Data'!$P$7:$P$8,E950), INDEX('Route Data'!$H$7:$H$8,E950), INDEX('Route Data'!$Q$7:$Q$8,E950), INDEX('Route Data'!$M$7:$M$8,E950))</f>
        <v>0.51617226640175828</v>
      </c>
      <c r="L950" s="5">
        <f>INDEX('Route Data'!$N$7:$N$8,E950)</f>
        <v>0.4</v>
      </c>
      <c r="M950" s="8">
        <v>0.1377413272857666</v>
      </c>
      <c r="N950" s="8">
        <f>ProbStrikeFrancis(K950, I950, L950, INDEX('Route Data'!$G$7:$G$8,E950),C950, INDEX('Route Data'!$F$7:$F$8,E950), INDEX('Route Data'!$O$7:$O$8,E950), INDEX('Route Data'!$H$7:$H$18,E950))</f>
        <v>1</v>
      </c>
      <c r="O950" s="5" t="str">
        <f>IF(F950&gt;=1,IF(M950&lt;=N950,"STRIKE","pass"),IF(M950&lt;=INDEX('Route Data'!$R$7:$R$8,E950),"NO PASS","pass"))</f>
        <v>STRIKE</v>
      </c>
      <c r="P950" s="5">
        <f>IF(F950&gt;=1,IF(M950&lt;=N950,1,0),IF(M950&lt;=INDEX('Route Data'!$R$7:$R$8,E950),-1,0))</f>
        <v>1</v>
      </c>
    </row>
    <row r="951" spans="1:16">
      <c r="A951" s="5">
        <v>941</v>
      </c>
      <c r="B951" s="12">
        <v>14.49</v>
      </c>
      <c r="C951" s="12">
        <f t="shared" si="14"/>
        <v>1.21</v>
      </c>
      <c r="D951" s="8">
        <v>0.70860570669174194</v>
      </c>
      <c r="E951" s="5">
        <f>MATCH(D951,'Route Data'!$C$7:$C$8,1)</f>
        <v>2</v>
      </c>
      <c r="F951" s="5">
        <f>INDEX('Route Data'!$D$7:$D$8,E951)</f>
        <v>1</v>
      </c>
      <c r="G951" s="5" t="str">
        <f>INDEX('Route Data'!$A$7:$A$8,E951)</f>
        <v>u18</v>
      </c>
      <c r="H951" s="5">
        <f>EnergyCoeff(INDEX('Route Data'!$K$7:$K$8,E951),INDEX('Route Data'!$L$7:$L$8,E951)*2*PI()/60,INDEX('Route Data'!$F$7:$F$8,E951))</f>
        <v>0.19430699130049439</v>
      </c>
      <c r="I951" s="5">
        <f>DischargeCoeff(INDEX('Route Data'!$I$7:$I$8,E951), INDEX('Route Data'!$L$7:$L$8,E951)*2*PI()/60, INDEX('Route Data'!$F$7:$F$8,E951))</f>
        <v>0.15939200179827354</v>
      </c>
      <c r="J951" s="8">
        <f>FlowAngleRel(INDEX('Route Data'!$J$7:$J$8,E951)*INDEX('Route Data'!$I$7:$I$8,E951), INDEX('Route Data'!$L$7:$L$8,E951)*2*PI()/60, INDEX('Route Data'!$F$7:$F$8,E951),INDEX('Route Data'!$O$7:$O$8,E951), INDEX('Route Data'!$P$7:$P$8,E951),INDEX('Route Data'!$M$7:$M$8,E951))</f>
        <v>1.130811765868994</v>
      </c>
      <c r="K951" s="8">
        <f>FlowAngleAbsT(INDEX('Route Data'!$K$7:$K$8,E951), INDEX('Route Data'!$I$7:$I$8,E951), INDEX('Route Data'!$I$7:$I$8,E951)*INDEX('Route Data'!$J$7:$J$8,E951), INDEX('Route Data'!$L$7:$L$8,E951)*2*PI()/60, INDEX('Route Data'!$F$7:$F$8,E951),INDEX('Route Data'!$O$7:$O$8,E951), INDEX('Route Data'!$P$7:$P$8,E951), INDEX('Route Data'!$H$7:$H$8,E951), INDEX('Route Data'!$Q$7:$Q$8,E951), INDEX('Route Data'!$M$7:$M$8,E951))</f>
        <v>0.51617226640175828</v>
      </c>
      <c r="L951" s="5">
        <f>INDEX('Route Data'!$N$7:$N$8,E951)</f>
        <v>0.4</v>
      </c>
      <c r="M951" s="8">
        <v>0.6865343451499939</v>
      </c>
      <c r="N951" s="8">
        <f>ProbStrikeFrancis(K951, I951, L951, INDEX('Route Data'!$G$7:$G$8,E951),C951, INDEX('Route Data'!$F$7:$F$8,E951), INDEX('Route Data'!$O$7:$O$8,E951), INDEX('Route Data'!$H$7:$H$18,E951))</f>
        <v>0.98804977041270814</v>
      </c>
      <c r="O951" s="5" t="str">
        <f>IF(F951&gt;=1,IF(M951&lt;=N951,"STRIKE","pass"),IF(M951&lt;=INDEX('Route Data'!$R$7:$R$8,E951),"NO PASS","pass"))</f>
        <v>STRIKE</v>
      </c>
      <c r="P951" s="5">
        <f>IF(F951&gt;=1,IF(M951&lt;=N951,1,0),IF(M951&lt;=INDEX('Route Data'!$R$7:$R$8,E951),-1,0))</f>
        <v>1</v>
      </c>
    </row>
    <row r="952" spans="1:16">
      <c r="A952" s="5">
        <v>942</v>
      </c>
      <c r="B952" s="12">
        <v>19.11</v>
      </c>
      <c r="C952" s="12">
        <f t="shared" si="14"/>
        <v>1.59</v>
      </c>
      <c r="D952" s="8">
        <v>0.55647599697113037</v>
      </c>
      <c r="E952" s="5">
        <f>MATCH(D952,'Route Data'!$C$7:$C$8,1)</f>
        <v>2</v>
      </c>
      <c r="F952" s="5">
        <f>INDEX('Route Data'!$D$7:$D$8,E952)</f>
        <v>1</v>
      </c>
      <c r="G952" s="5" t="str">
        <f>INDEX('Route Data'!$A$7:$A$8,E952)</f>
        <v>u18</v>
      </c>
      <c r="H952" s="5">
        <f>EnergyCoeff(INDEX('Route Data'!$K$7:$K$8,E952),INDEX('Route Data'!$L$7:$L$8,E952)*2*PI()/60,INDEX('Route Data'!$F$7:$F$8,E952))</f>
        <v>0.19430699130049439</v>
      </c>
      <c r="I952" s="5">
        <f>DischargeCoeff(INDEX('Route Data'!$I$7:$I$8,E952), INDEX('Route Data'!$L$7:$L$8,E952)*2*PI()/60, INDEX('Route Data'!$F$7:$F$8,E952))</f>
        <v>0.15939200179827354</v>
      </c>
      <c r="J952" s="8">
        <f>FlowAngleRel(INDEX('Route Data'!$J$7:$J$8,E952)*INDEX('Route Data'!$I$7:$I$8,E952), INDEX('Route Data'!$L$7:$L$8,E952)*2*PI()/60, INDEX('Route Data'!$F$7:$F$8,E952),INDEX('Route Data'!$O$7:$O$8,E952), INDEX('Route Data'!$P$7:$P$8,E952),INDEX('Route Data'!$M$7:$M$8,E952))</f>
        <v>1.130811765868994</v>
      </c>
      <c r="K952" s="8">
        <f>FlowAngleAbsT(INDEX('Route Data'!$K$7:$K$8,E952), INDEX('Route Data'!$I$7:$I$8,E952), INDEX('Route Data'!$I$7:$I$8,E952)*INDEX('Route Data'!$J$7:$J$8,E952), INDEX('Route Data'!$L$7:$L$8,E952)*2*PI()/60, INDEX('Route Data'!$F$7:$F$8,E952),INDEX('Route Data'!$O$7:$O$8,E952), INDEX('Route Data'!$P$7:$P$8,E952), INDEX('Route Data'!$H$7:$H$8,E952), INDEX('Route Data'!$Q$7:$Q$8,E952), INDEX('Route Data'!$M$7:$M$8,E952))</f>
        <v>0.51617226640175828</v>
      </c>
      <c r="L952" s="5">
        <f>INDEX('Route Data'!$N$7:$N$8,E952)</f>
        <v>0.4</v>
      </c>
      <c r="M952" s="8">
        <v>0.77457606792449951</v>
      </c>
      <c r="N952" s="8">
        <f>ProbStrikeFrancis(K952, I952, L952, INDEX('Route Data'!$G$7:$G$8,E952),C952, INDEX('Route Data'!$F$7:$F$8,E952), INDEX('Route Data'!$O$7:$O$8,E952), INDEX('Route Data'!$H$7:$H$18,E952))</f>
        <v>1</v>
      </c>
      <c r="O952" s="5" t="str">
        <f>IF(F952&gt;=1,IF(M952&lt;=N952,"STRIKE","pass"),IF(M952&lt;=INDEX('Route Data'!$R$7:$R$8,E952),"NO PASS","pass"))</f>
        <v>STRIKE</v>
      </c>
      <c r="P952" s="5">
        <f>IF(F952&gt;=1,IF(M952&lt;=N952,1,0),IF(M952&lt;=INDEX('Route Data'!$R$7:$R$8,E952),-1,0))</f>
        <v>1</v>
      </c>
    </row>
    <row r="953" spans="1:16">
      <c r="A953" s="5">
        <v>943</v>
      </c>
      <c r="B953" s="12">
        <v>24.28</v>
      </c>
      <c r="C953" s="12">
        <f t="shared" si="14"/>
        <v>2.02</v>
      </c>
      <c r="D953" s="8">
        <v>0.48170667886734009</v>
      </c>
      <c r="E953" s="5">
        <f>MATCH(D953,'Route Data'!$C$7:$C$8,1)</f>
        <v>2</v>
      </c>
      <c r="F953" s="5">
        <f>INDEX('Route Data'!$D$7:$D$8,E953)</f>
        <v>1</v>
      </c>
      <c r="G953" s="5" t="str">
        <f>INDEX('Route Data'!$A$7:$A$8,E953)</f>
        <v>u18</v>
      </c>
      <c r="H953" s="5">
        <f>EnergyCoeff(INDEX('Route Data'!$K$7:$K$8,E953),INDEX('Route Data'!$L$7:$L$8,E953)*2*PI()/60,INDEX('Route Data'!$F$7:$F$8,E953))</f>
        <v>0.19430699130049439</v>
      </c>
      <c r="I953" s="5">
        <f>DischargeCoeff(INDEX('Route Data'!$I$7:$I$8,E953), INDEX('Route Data'!$L$7:$L$8,E953)*2*PI()/60, INDEX('Route Data'!$F$7:$F$8,E953))</f>
        <v>0.15939200179827354</v>
      </c>
      <c r="J953" s="8">
        <f>FlowAngleRel(INDEX('Route Data'!$J$7:$J$8,E953)*INDEX('Route Data'!$I$7:$I$8,E953), INDEX('Route Data'!$L$7:$L$8,E953)*2*PI()/60, INDEX('Route Data'!$F$7:$F$8,E953),INDEX('Route Data'!$O$7:$O$8,E953), INDEX('Route Data'!$P$7:$P$8,E953),INDEX('Route Data'!$M$7:$M$8,E953))</f>
        <v>1.130811765868994</v>
      </c>
      <c r="K953" s="8">
        <f>FlowAngleAbsT(INDEX('Route Data'!$K$7:$K$8,E953), INDEX('Route Data'!$I$7:$I$8,E953), INDEX('Route Data'!$I$7:$I$8,E953)*INDEX('Route Data'!$J$7:$J$8,E953), INDEX('Route Data'!$L$7:$L$8,E953)*2*PI()/60, INDEX('Route Data'!$F$7:$F$8,E953),INDEX('Route Data'!$O$7:$O$8,E953), INDEX('Route Data'!$P$7:$P$8,E953), INDEX('Route Data'!$H$7:$H$8,E953), INDEX('Route Data'!$Q$7:$Q$8,E953), INDEX('Route Data'!$M$7:$M$8,E953))</f>
        <v>0.51617226640175828</v>
      </c>
      <c r="L953" s="5">
        <f>INDEX('Route Data'!$N$7:$N$8,E953)</f>
        <v>0.4</v>
      </c>
      <c r="M953" s="8">
        <v>4.1609346866607666E-2</v>
      </c>
      <c r="N953" s="8">
        <f>ProbStrikeFrancis(K953, I953, L953, INDEX('Route Data'!$G$7:$G$8,E953),C953, INDEX('Route Data'!$F$7:$F$8,E953), INDEX('Route Data'!$O$7:$O$8,E953), INDEX('Route Data'!$H$7:$H$18,E953))</f>
        <v>1</v>
      </c>
      <c r="O953" s="5" t="str">
        <f>IF(F953&gt;=1,IF(M953&lt;=N953,"STRIKE","pass"),IF(M953&lt;=INDEX('Route Data'!$R$7:$R$8,E953),"NO PASS","pass"))</f>
        <v>STRIKE</v>
      </c>
      <c r="P953" s="5">
        <f>IF(F953&gt;=1,IF(M953&lt;=N953,1,0),IF(M953&lt;=INDEX('Route Data'!$R$7:$R$8,E953),-1,0))</f>
        <v>1</v>
      </c>
    </row>
    <row r="954" spans="1:16">
      <c r="A954" s="5">
        <v>944</v>
      </c>
      <c r="B954" s="12">
        <v>28.61</v>
      </c>
      <c r="C954" s="12">
        <f t="shared" si="14"/>
        <v>2.38</v>
      </c>
      <c r="D954" s="8">
        <v>0.70601463317871094</v>
      </c>
      <c r="E954" s="5">
        <f>MATCH(D954,'Route Data'!$C$7:$C$8,1)</f>
        <v>2</v>
      </c>
      <c r="F954" s="5">
        <f>INDEX('Route Data'!$D$7:$D$8,E954)</f>
        <v>1</v>
      </c>
      <c r="G954" s="5" t="str">
        <f>INDEX('Route Data'!$A$7:$A$8,E954)</f>
        <v>u18</v>
      </c>
      <c r="H954" s="5">
        <f>EnergyCoeff(INDEX('Route Data'!$K$7:$K$8,E954),INDEX('Route Data'!$L$7:$L$8,E954)*2*PI()/60,INDEX('Route Data'!$F$7:$F$8,E954))</f>
        <v>0.19430699130049439</v>
      </c>
      <c r="I954" s="5">
        <f>DischargeCoeff(INDEX('Route Data'!$I$7:$I$8,E954), INDEX('Route Data'!$L$7:$L$8,E954)*2*PI()/60, INDEX('Route Data'!$F$7:$F$8,E954))</f>
        <v>0.15939200179827354</v>
      </c>
      <c r="J954" s="8">
        <f>FlowAngleRel(INDEX('Route Data'!$J$7:$J$8,E954)*INDEX('Route Data'!$I$7:$I$8,E954), INDEX('Route Data'!$L$7:$L$8,E954)*2*PI()/60, INDEX('Route Data'!$F$7:$F$8,E954),INDEX('Route Data'!$O$7:$O$8,E954), INDEX('Route Data'!$P$7:$P$8,E954),INDEX('Route Data'!$M$7:$M$8,E954))</f>
        <v>1.130811765868994</v>
      </c>
      <c r="K954" s="8">
        <f>FlowAngleAbsT(INDEX('Route Data'!$K$7:$K$8,E954), INDEX('Route Data'!$I$7:$I$8,E954), INDEX('Route Data'!$I$7:$I$8,E954)*INDEX('Route Data'!$J$7:$J$8,E954), INDEX('Route Data'!$L$7:$L$8,E954)*2*PI()/60, INDEX('Route Data'!$F$7:$F$8,E954),INDEX('Route Data'!$O$7:$O$8,E954), INDEX('Route Data'!$P$7:$P$8,E954), INDEX('Route Data'!$H$7:$H$8,E954), INDEX('Route Data'!$Q$7:$Q$8,E954), INDEX('Route Data'!$M$7:$M$8,E954))</f>
        <v>0.51617226640175828</v>
      </c>
      <c r="L954" s="5">
        <f>INDEX('Route Data'!$N$7:$N$8,E954)</f>
        <v>0.4</v>
      </c>
      <c r="M954" s="8">
        <v>0.2405095100402832</v>
      </c>
      <c r="N954" s="8">
        <f>ProbStrikeFrancis(K954, I954, L954, INDEX('Route Data'!$G$7:$G$8,E954),C954, INDEX('Route Data'!$F$7:$F$8,E954), INDEX('Route Data'!$O$7:$O$8,E954), INDEX('Route Data'!$H$7:$H$18,E954))</f>
        <v>1</v>
      </c>
      <c r="O954" s="5" t="str">
        <f>IF(F954&gt;=1,IF(M954&lt;=N954,"STRIKE","pass"),IF(M954&lt;=INDEX('Route Data'!$R$7:$R$8,E954),"NO PASS","pass"))</f>
        <v>STRIKE</v>
      </c>
      <c r="P954" s="5">
        <f>IF(F954&gt;=1,IF(M954&lt;=N954,1,0),IF(M954&lt;=INDEX('Route Data'!$R$7:$R$8,E954),-1,0))</f>
        <v>1</v>
      </c>
    </row>
    <row r="955" spans="1:16">
      <c r="A955" s="5">
        <v>945</v>
      </c>
      <c r="B955" s="12">
        <v>27.92</v>
      </c>
      <c r="C955" s="12">
        <f t="shared" si="14"/>
        <v>2.33</v>
      </c>
      <c r="D955" s="8">
        <v>3.3090770244598389E-2</v>
      </c>
      <c r="E955" s="5">
        <f>MATCH(D955,'Route Data'!$C$7:$C$8,1)</f>
        <v>2</v>
      </c>
      <c r="F955" s="5">
        <f>INDEX('Route Data'!$D$7:$D$8,E955)</f>
        <v>1</v>
      </c>
      <c r="G955" s="5" t="str">
        <f>INDEX('Route Data'!$A$7:$A$8,E955)</f>
        <v>u18</v>
      </c>
      <c r="H955" s="5">
        <f>EnergyCoeff(INDEX('Route Data'!$K$7:$K$8,E955),INDEX('Route Data'!$L$7:$L$8,E955)*2*PI()/60,INDEX('Route Data'!$F$7:$F$8,E955))</f>
        <v>0.19430699130049439</v>
      </c>
      <c r="I955" s="5">
        <f>DischargeCoeff(INDEX('Route Data'!$I$7:$I$8,E955), INDEX('Route Data'!$L$7:$L$8,E955)*2*PI()/60, INDEX('Route Data'!$F$7:$F$8,E955))</f>
        <v>0.15939200179827354</v>
      </c>
      <c r="J955" s="8">
        <f>FlowAngleRel(INDEX('Route Data'!$J$7:$J$8,E955)*INDEX('Route Data'!$I$7:$I$8,E955), INDEX('Route Data'!$L$7:$L$8,E955)*2*PI()/60, INDEX('Route Data'!$F$7:$F$8,E955),INDEX('Route Data'!$O$7:$O$8,E955), INDEX('Route Data'!$P$7:$P$8,E955),INDEX('Route Data'!$M$7:$M$8,E955))</f>
        <v>1.130811765868994</v>
      </c>
      <c r="K955" s="8">
        <f>FlowAngleAbsT(INDEX('Route Data'!$K$7:$K$8,E955), INDEX('Route Data'!$I$7:$I$8,E955), INDEX('Route Data'!$I$7:$I$8,E955)*INDEX('Route Data'!$J$7:$J$8,E955), INDEX('Route Data'!$L$7:$L$8,E955)*2*PI()/60, INDEX('Route Data'!$F$7:$F$8,E955),INDEX('Route Data'!$O$7:$O$8,E955), INDEX('Route Data'!$P$7:$P$8,E955), INDEX('Route Data'!$H$7:$H$8,E955), INDEX('Route Data'!$Q$7:$Q$8,E955), INDEX('Route Data'!$M$7:$M$8,E955))</f>
        <v>0.51617226640175828</v>
      </c>
      <c r="L955" s="5">
        <f>INDEX('Route Data'!$N$7:$N$8,E955)</f>
        <v>0.4</v>
      </c>
      <c r="M955" s="8">
        <v>0.64380902051925659</v>
      </c>
      <c r="N955" s="8">
        <f>ProbStrikeFrancis(K955, I955, L955, INDEX('Route Data'!$G$7:$G$8,E955),C955, INDEX('Route Data'!$F$7:$F$8,E955), INDEX('Route Data'!$O$7:$O$8,E955), INDEX('Route Data'!$H$7:$H$18,E955))</f>
        <v>1</v>
      </c>
      <c r="O955" s="5" t="str">
        <f>IF(F955&gt;=1,IF(M955&lt;=N955,"STRIKE","pass"),IF(M955&lt;=INDEX('Route Data'!$R$7:$R$8,E955),"NO PASS","pass"))</f>
        <v>STRIKE</v>
      </c>
      <c r="P955" s="5">
        <f>IF(F955&gt;=1,IF(M955&lt;=N955,1,0),IF(M955&lt;=INDEX('Route Data'!$R$7:$R$8,E955),-1,0))</f>
        <v>1</v>
      </c>
    </row>
    <row r="956" spans="1:16">
      <c r="A956" s="5">
        <v>946</v>
      </c>
      <c r="B956" s="12">
        <v>20.52</v>
      </c>
      <c r="C956" s="12">
        <f t="shared" si="14"/>
        <v>1.71</v>
      </c>
      <c r="D956" s="8">
        <v>0.31744158267974854</v>
      </c>
      <c r="E956" s="5">
        <f>MATCH(D956,'Route Data'!$C$7:$C$8,1)</f>
        <v>2</v>
      </c>
      <c r="F956" s="5">
        <f>INDEX('Route Data'!$D$7:$D$8,E956)</f>
        <v>1</v>
      </c>
      <c r="G956" s="5" t="str">
        <f>INDEX('Route Data'!$A$7:$A$8,E956)</f>
        <v>u18</v>
      </c>
      <c r="H956" s="5">
        <f>EnergyCoeff(INDEX('Route Data'!$K$7:$K$8,E956),INDEX('Route Data'!$L$7:$L$8,E956)*2*PI()/60,INDEX('Route Data'!$F$7:$F$8,E956))</f>
        <v>0.19430699130049439</v>
      </c>
      <c r="I956" s="5">
        <f>DischargeCoeff(INDEX('Route Data'!$I$7:$I$8,E956), INDEX('Route Data'!$L$7:$L$8,E956)*2*PI()/60, INDEX('Route Data'!$F$7:$F$8,E956))</f>
        <v>0.15939200179827354</v>
      </c>
      <c r="J956" s="8">
        <f>FlowAngleRel(INDEX('Route Data'!$J$7:$J$8,E956)*INDEX('Route Data'!$I$7:$I$8,E956), INDEX('Route Data'!$L$7:$L$8,E956)*2*PI()/60, INDEX('Route Data'!$F$7:$F$8,E956),INDEX('Route Data'!$O$7:$O$8,E956), INDEX('Route Data'!$P$7:$P$8,E956),INDEX('Route Data'!$M$7:$M$8,E956))</f>
        <v>1.130811765868994</v>
      </c>
      <c r="K956" s="8">
        <f>FlowAngleAbsT(INDEX('Route Data'!$K$7:$K$8,E956), INDEX('Route Data'!$I$7:$I$8,E956), INDEX('Route Data'!$I$7:$I$8,E956)*INDEX('Route Data'!$J$7:$J$8,E956), INDEX('Route Data'!$L$7:$L$8,E956)*2*PI()/60, INDEX('Route Data'!$F$7:$F$8,E956),INDEX('Route Data'!$O$7:$O$8,E956), INDEX('Route Data'!$P$7:$P$8,E956), INDEX('Route Data'!$H$7:$H$8,E956), INDEX('Route Data'!$Q$7:$Q$8,E956), INDEX('Route Data'!$M$7:$M$8,E956))</f>
        <v>0.51617226640175828</v>
      </c>
      <c r="L956" s="5">
        <f>INDEX('Route Data'!$N$7:$N$8,E956)</f>
        <v>0.4</v>
      </c>
      <c r="M956" s="8">
        <v>0.90275204181671143</v>
      </c>
      <c r="N956" s="8">
        <f>ProbStrikeFrancis(K956, I956, L956, INDEX('Route Data'!$G$7:$G$8,E956),C956, INDEX('Route Data'!$F$7:$F$8,E956), INDEX('Route Data'!$O$7:$O$8,E956), INDEX('Route Data'!$H$7:$H$18,E956))</f>
        <v>1</v>
      </c>
      <c r="O956" s="5" t="str">
        <f>IF(F956&gt;=1,IF(M956&lt;=N956,"STRIKE","pass"),IF(M956&lt;=INDEX('Route Data'!$R$7:$R$8,E956),"NO PASS","pass"))</f>
        <v>STRIKE</v>
      </c>
      <c r="P956" s="5">
        <f>IF(F956&gt;=1,IF(M956&lt;=N956,1,0),IF(M956&lt;=INDEX('Route Data'!$R$7:$R$8,E956),-1,0))</f>
        <v>1</v>
      </c>
    </row>
    <row r="957" spans="1:16">
      <c r="A957" s="5">
        <v>947</v>
      </c>
      <c r="B957" s="12">
        <v>21.15</v>
      </c>
      <c r="C957" s="12">
        <f t="shared" si="14"/>
        <v>1.76</v>
      </c>
      <c r="D957" s="8">
        <v>0.7299683690071106</v>
      </c>
      <c r="E957" s="5">
        <f>MATCH(D957,'Route Data'!$C$7:$C$8,1)</f>
        <v>2</v>
      </c>
      <c r="F957" s="5">
        <f>INDEX('Route Data'!$D$7:$D$8,E957)</f>
        <v>1</v>
      </c>
      <c r="G957" s="5" t="str">
        <f>INDEX('Route Data'!$A$7:$A$8,E957)</f>
        <v>u18</v>
      </c>
      <c r="H957" s="5">
        <f>EnergyCoeff(INDEX('Route Data'!$K$7:$K$8,E957),INDEX('Route Data'!$L$7:$L$8,E957)*2*PI()/60,INDEX('Route Data'!$F$7:$F$8,E957))</f>
        <v>0.19430699130049439</v>
      </c>
      <c r="I957" s="5">
        <f>DischargeCoeff(INDEX('Route Data'!$I$7:$I$8,E957), INDEX('Route Data'!$L$7:$L$8,E957)*2*PI()/60, INDEX('Route Data'!$F$7:$F$8,E957))</f>
        <v>0.15939200179827354</v>
      </c>
      <c r="J957" s="8">
        <f>FlowAngleRel(INDEX('Route Data'!$J$7:$J$8,E957)*INDEX('Route Data'!$I$7:$I$8,E957), INDEX('Route Data'!$L$7:$L$8,E957)*2*PI()/60, INDEX('Route Data'!$F$7:$F$8,E957),INDEX('Route Data'!$O$7:$O$8,E957), INDEX('Route Data'!$P$7:$P$8,E957),INDEX('Route Data'!$M$7:$M$8,E957))</f>
        <v>1.130811765868994</v>
      </c>
      <c r="K957" s="8">
        <f>FlowAngleAbsT(INDEX('Route Data'!$K$7:$K$8,E957), INDEX('Route Data'!$I$7:$I$8,E957), INDEX('Route Data'!$I$7:$I$8,E957)*INDEX('Route Data'!$J$7:$J$8,E957), INDEX('Route Data'!$L$7:$L$8,E957)*2*PI()/60, INDEX('Route Data'!$F$7:$F$8,E957),INDEX('Route Data'!$O$7:$O$8,E957), INDEX('Route Data'!$P$7:$P$8,E957), INDEX('Route Data'!$H$7:$H$8,E957), INDEX('Route Data'!$Q$7:$Q$8,E957), INDEX('Route Data'!$M$7:$M$8,E957))</f>
        <v>0.51617226640175828</v>
      </c>
      <c r="L957" s="5">
        <f>INDEX('Route Data'!$N$7:$N$8,E957)</f>
        <v>0.4</v>
      </c>
      <c r="M957" s="8">
        <v>0.53244763612747192</v>
      </c>
      <c r="N957" s="8">
        <f>ProbStrikeFrancis(K957, I957, L957, INDEX('Route Data'!$G$7:$G$8,E957),C957, INDEX('Route Data'!$F$7:$F$8,E957), INDEX('Route Data'!$O$7:$O$8,E957), INDEX('Route Data'!$H$7:$H$18,E957))</f>
        <v>1</v>
      </c>
      <c r="O957" s="5" t="str">
        <f>IF(F957&gt;=1,IF(M957&lt;=N957,"STRIKE","pass"),IF(M957&lt;=INDEX('Route Data'!$R$7:$R$8,E957),"NO PASS","pass"))</f>
        <v>STRIKE</v>
      </c>
      <c r="P957" s="5">
        <f>IF(F957&gt;=1,IF(M957&lt;=N957,1,0),IF(M957&lt;=INDEX('Route Data'!$R$7:$R$8,E957),-1,0))</f>
        <v>1</v>
      </c>
    </row>
    <row r="958" spans="1:16">
      <c r="A958" s="5">
        <v>948</v>
      </c>
      <c r="B958" s="12">
        <v>21.59</v>
      </c>
      <c r="C958" s="12">
        <f t="shared" si="14"/>
        <v>1.8</v>
      </c>
      <c r="D958" s="8">
        <v>0.49238801002502441</v>
      </c>
      <c r="E958" s="5">
        <f>MATCH(D958,'Route Data'!$C$7:$C$8,1)</f>
        <v>2</v>
      </c>
      <c r="F958" s="5">
        <f>INDEX('Route Data'!$D$7:$D$8,E958)</f>
        <v>1</v>
      </c>
      <c r="G958" s="5" t="str">
        <f>INDEX('Route Data'!$A$7:$A$8,E958)</f>
        <v>u18</v>
      </c>
      <c r="H958" s="5">
        <f>EnergyCoeff(INDEX('Route Data'!$K$7:$K$8,E958),INDEX('Route Data'!$L$7:$L$8,E958)*2*PI()/60,INDEX('Route Data'!$F$7:$F$8,E958))</f>
        <v>0.19430699130049439</v>
      </c>
      <c r="I958" s="5">
        <f>DischargeCoeff(INDEX('Route Data'!$I$7:$I$8,E958), INDEX('Route Data'!$L$7:$L$8,E958)*2*PI()/60, INDEX('Route Data'!$F$7:$F$8,E958))</f>
        <v>0.15939200179827354</v>
      </c>
      <c r="J958" s="8">
        <f>FlowAngleRel(INDEX('Route Data'!$J$7:$J$8,E958)*INDEX('Route Data'!$I$7:$I$8,E958), INDEX('Route Data'!$L$7:$L$8,E958)*2*PI()/60, INDEX('Route Data'!$F$7:$F$8,E958),INDEX('Route Data'!$O$7:$O$8,E958), INDEX('Route Data'!$P$7:$P$8,E958),INDEX('Route Data'!$M$7:$M$8,E958))</f>
        <v>1.130811765868994</v>
      </c>
      <c r="K958" s="8">
        <f>FlowAngleAbsT(INDEX('Route Data'!$K$7:$K$8,E958), INDEX('Route Data'!$I$7:$I$8,E958), INDEX('Route Data'!$I$7:$I$8,E958)*INDEX('Route Data'!$J$7:$J$8,E958), INDEX('Route Data'!$L$7:$L$8,E958)*2*PI()/60, INDEX('Route Data'!$F$7:$F$8,E958),INDEX('Route Data'!$O$7:$O$8,E958), INDEX('Route Data'!$P$7:$P$8,E958), INDEX('Route Data'!$H$7:$H$8,E958), INDEX('Route Data'!$Q$7:$Q$8,E958), INDEX('Route Data'!$M$7:$M$8,E958))</f>
        <v>0.51617226640175828</v>
      </c>
      <c r="L958" s="5">
        <f>INDEX('Route Data'!$N$7:$N$8,E958)</f>
        <v>0.4</v>
      </c>
      <c r="M958" s="8">
        <v>0.26945948600769043</v>
      </c>
      <c r="N958" s="8">
        <f>ProbStrikeFrancis(K958, I958, L958, INDEX('Route Data'!$G$7:$G$8,E958),C958, INDEX('Route Data'!$F$7:$F$8,E958), INDEX('Route Data'!$O$7:$O$8,E958), INDEX('Route Data'!$H$7:$H$18,E958))</f>
        <v>1</v>
      </c>
      <c r="O958" s="5" t="str">
        <f>IF(F958&gt;=1,IF(M958&lt;=N958,"STRIKE","pass"),IF(M958&lt;=INDEX('Route Data'!$R$7:$R$8,E958),"NO PASS","pass"))</f>
        <v>STRIKE</v>
      </c>
      <c r="P958" s="5">
        <f>IF(F958&gt;=1,IF(M958&lt;=N958,1,0),IF(M958&lt;=INDEX('Route Data'!$R$7:$R$8,E958),-1,0))</f>
        <v>1</v>
      </c>
    </row>
    <row r="959" spans="1:16">
      <c r="A959" s="5">
        <v>949</v>
      </c>
      <c r="B959" s="12">
        <v>20.170000000000002</v>
      </c>
      <c r="C959" s="12">
        <f t="shared" si="14"/>
        <v>1.68</v>
      </c>
      <c r="D959" s="8">
        <v>0.67397063970565796</v>
      </c>
      <c r="E959" s="5">
        <f>MATCH(D959,'Route Data'!$C$7:$C$8,1)</f>
        <v>2</v>
      </c>
      <c r="F959" s="5">
        <f>INDEX('Route Data'!$D$7:$D$8,E959)</f>
        <v>1</v>
      </c>
      <c r="G959" s="5" t="str">
        <f>INDEX('Route Data'!$A$7:$A$8,E959)</f>
        <v>u18</v>
      </c>
      <c r="H959" s="5">
        <f>EnergyCoeff(INDEX('Route Data'!$K$7:$K$8,E959),INDEX('Route Data'!$L$7:$L$8,E959)*2*PI()/60,INDEX('Route Data'!$F$7:$F$8,E959))</f>
        <v>0.19430699130049439</v>
      </c>
      <c r="I959" s="5">
        <f>DischargeCoeff(INDEX('Route Data'!$I$7:$I$8,E959), INDEX('Route Data'!$L$7:$L$8,E959)*2*PI()/60, INDEX('Route Data'!$F$7:$F$8,E959))</f>
        <v>0.15939200179827354</v>
      </c>
      <c r="J959" s="8">
        <f>FlowAngleRel(INDEX('Route Data'!$J$7:$J$8,E959)*INDEX('Route Data'!$I$7:$I$8,E959), INDEX('Route Data'!$L$7:$L$8,E959)*2*PI()/60, INDEX('Route Data'!$F$7:$F$8,E959),INDEX('Route Data'!$O$7:$O$8,E959), INDEX('Route Data'!$P$7:$P$8,E959),INDEX('Route Data'!$M$7:$M$8,E959))</f>
        <v>1.130811765868994</v>
      </c>
      <c r="K959" s="8">
        <f>FlowAngleAbsT(INDEX('Route Data'!$K$7:$K$8,E959), INDEX('Route Data'!$I$7:$I$8,E959), INDEX('Route Data'!$I$7:$I$8,E959)*INDEX('Route Data'!$J$7:$J$8,E959), INDEX('Route Data'!$L$7:$L$8,E959)*2*PI()/60, INDEX('Route Data'!$F$7:$F$8,E959),INDEX('Route Data'!$O$7:$O$8,E959), INDEX('Route Data'!$P$7:$P$8,E959), INDEX('Route Data'!$H$7:$H$8,E959), INDEX('Route Data'!$Q$7:$Q$8,E959), INDEX('Route Data'!$M$7:$M$8,E959))</f>
        <v>0.51617226640175828</v>
      </c>
      <c r="L959" s="5">
        <f>INDEX('Route Data'!$N$7:$N$8,E959)</f>
        <v>0.4</v>
      </c>
      <c r="M959" s="8">
        <v>0.79284471273422241</v>
      </c>
      <c r="N959" s="8">
        <f>ProbStrikeFrancis(K959, I959, L959, INDEX('Route Data'!$G$7:$G$8,E959),C959, INDEX('Route Data'!$F$7:$F$8,E959), INDEX('Route Data'!$O$7:$O$8,E959), INDEX('Route Data'!$H$7:$H$18,E959))</f>
        <v>1</v>
      </c>
      <c r="O959" s="5" t="str">
        <f>IF(F959&gt;=1,IF(M959&lt;=N959,"STRIKE","pass"),IF(M959&lt;=INDEX('Route Data'!$R$7:$R$8,E959),"NO PASS","pass"))</f>
        <v>STRIKE</v>
      </c>
      <c r="P959" s="5">
        <f>IF(F959&gt;=1,IF(M959&lt;=N959,1,0),IF(M959&lt;=INDEX('Route Data'!$R$7:$R$8,E959),-1,0))</f>
        <v>1</v>
      </c>
    </row>
    <row r="960" spans="1:16">
      <c r="A960" s="5">
        <v>950</v>
      </c>
      <c r="B960" s="12">
        <v>24.18</v>
      </c>
      <c r="C960" s="12">
        <f t="shared" si="14"/>
        <v>2.02</v>
      </c>
      <c r="D960" s="8">
        <v>0.12922275066375732</v>
      </c>
      <c r="E960" s="5">
        <f>MATCH(D960,'Route Data'!$C$7:$C$8,1)</f>
        <v>2</v>
      </c>
      <c r="F960" s="5">
        <f>INDEX('Route Data'!$D$7:$D$8,E960)</f>
        <v>1</v>
      </c>
      <c r="G960" s="5" t="str">
        <f>INDEX('Route Data'!$A$7:$A$8,E960)</f>
        <v>u18</v>
      </c>
      <c r="H960" s="5">
        <f>EnergyCoeff(INDEX('Route Data'!$K$7:$K$8,E960),INDEX('Route Data'!$L$7:$L$8,E960)*2*PI()/60,INDEX('Route Data'!$F$7:$F$8,E960))</f>
        <v>0.19430699130049439</v>
      </c>
      <c r="I960" s="5">
        <f>DischargeCoeff(INDEX('Route Data'!$I$7:$I$8,E960), INDEX('Route Data'!$L$7:$L$8,E960)*2*PI()/60, INDEX('Route Data'!$F$7:$F$8,E960))</f>
        <v>0.15939200179827354</v>
      </c>
      <c r="J960" s="8">
        <f>FlowAngleRel(INDEX('Route Data'!$J$7:$J$8,E960)*INDEX('Route Data'!$I$7:$I$8,E960), INDEX('Route Data'!$L$7:$L$8,E960)*2*PI()/60, INDEX('Route Data'!$F$7:$F$8,E960),INDEX('Route Data'!$O$7:$O$8,E960), INDEX('Route Data'!$P$7:$P$8,E960),INDEX('Route Data'!$M$7:$M$8,E960))</f>
        <v>1.130811765868994</v>
      </c>
      <c r="K960" s="8">
        <f>FlowAngleAbsT(INDEX('Route Data'!$K$7:$K$8,E960), INDEX('Route Data'!$I$7:$I$8,E960), INDEX('Route Data'!$I$7:$I$8,E960)*INDEX('Route Data'!$J$7:$J$8,E960), INDEX('Route Data'!$L$7:$L$8,E960)*2*PI()/60, INDEX('Route Data'!$F$7:$F$8,E960),INDEX('Route Data'!$O$7:$O$8,E960), INDEX('Route Data'!$P$7:$P$8,E960), INDEX('Route Data'!$H$7:$H$8,E960), INDEX('Route Data'!$Q$7:$Q$8,E960), INDEX('Route Data'!$M$7:$M$8,E960))</f>
        <v>0.51617226640175828</v>
      </c>
      <c r="L960" s="5">
        <f>INDEX('Route Data'!$N$7:$N$8,E960)</f>
        <v>0.4</v>
      </c>
      <c r="M960" s="8">
        <v>0.22268903255462646</v>
      </c>
      <c r="N960" s="8">
        <f>ProbStrikeFrancis(K960, I960, L960, INDEX('Route Data'!$G$7:$G$8,E960),C960, INDEX('Route Data'!$F$7:$F$8,E960), INDEX('Route Data'!$O$7:$O$8,E960), INDEX('Route Data'!$H$7:$H$18,E960))</f>
        <v>1</v>
      </c>
      <c r="O960" s="5" t="str">
        <f>IF(F960&gt;=1,IF(M960&lt;=N960,"STRIKE","pass"),IF(M960&lt;=INDEX('Route Data'!$R$7:$R$8,E960),"NO PASS","pass"))</f>
        <v>STRIKE</v>
      </c>
      <c r="P960" s="5">
        <f>IF(F960&gt;=1,IF(M960&lt;=N960,1,0),IF(M960&lt;=INDEX('Route Data'!$R$7:$R$8,E960),-1,0))</f>
        <v>1</v>
      </c>
    </row>
    <row r="961" spans="1:16">
      <c r="A961" s="5">
        <v>951</v>
      </c>
      <c r="B961" s="12">
        <v>15.12</v>
      </c>
      <c r="C961" s="12">
        <f t="shared" si="14"/>
        <v>1.26</v>
      </c>
      <c r="D961" s="8">
        <v>2.9045641422271729E-2</v>
      </c>
      <c r="E961" s="5">
        <f>MATCH(D961,'Route Data'!$C$7:$C$8,1)</f>
        <v>2</v>
      </c>
      <c r="F961" s="5">
        <f>INDEX('Route Data'!$D$7:$D$8,E961)</f>
        <v>1</v>
      </c>
      <c r="G961" s="5" t="str">
        <f>INDEX('Route Data'!$A$7:$A$8,E961)</f>
        <v>u18</v>
      </c>
      <c r="H961" s="5">
        <f>EnergyCoeff(INDEX('Route Data'!$K$7:$K$8,E961),INDEX('Route Data'!$L$7:$L$8,E961)*2*PI()/60,INDEX('Route Data'!$F$7:$F$8,E961))</f>
        <v>0.19430699130049439</v>
      </c>
      <c r="I961" s="5">
        <f>DischargeCoeff(INDEX('Route Data'!$I$7:$I$8,E961), INDEX('Route Data'!$L$7:$L$8,E961)*2*PI()/60, INDEX('Route Data'!$F$7:$F$8,E961))</f>
        <v>0.15939200179827354</v>
      </c>
      <c r="J961" s="8">
        <f>FlowAngleRel(INDEX('Route Data'!$J$7:$J$8,E961)*INDEX('Route Data'!$I$7:$I$8,E961), INDEX('Route Data'!$L$7:$L$8,E961)*2*PI()/60, INDEX('Route Data'!$F$7:$F$8,E961),INDEX('Route Data'!$O$7:$O$8,E961), INDEX('Route Data'!$P$7:$P$8,E961),INDEX('Route Data'!$M$7:$M$8,E961))</f>
        <v>1.130811765868994</v>
      </c>
      <c r="K961" s="8">
        <f>FlowAngleAbsT(INDEX('Route Data'!$K$7:$K$8,E961), INDEX('Route Data'!$I$7:$I$8,E961), INDEX('Route Data'!$I$7:$I$8,E961)*INDEX('Route Data'!$J$7:$J$8,E961), INDEX('Route Data'!$L$7:$L$8,E961)*2*PI()/60, INDEX('Route Data'!$F$7:$F$8,E961),INDEX('Route Data'!$O$7:$O$8,E961), INDEX('Route Data'!$P$7:$P$8,E961), INDEX('Route Data'!$H$7:$H$8,E961), INDEX('Route Data'!$Q$7:$Q$8,E961), INDEX('Route Data'!$M$7:$M$8,E961))</f>
        <v>0.51617226640175828</v>
      </c>
      <c r="L961" s="5">
        <f>INDEX('Route Data'!$N$7:$N$8,E961)</f>
        <v>0.4</v>
      </c>
      <c r="M961" s="8">
        <v>0.19873529672622681</v>
      </c>
      <c r="N961" s="8">
        <f>ProbStrikeFrancis(K961, I961, L961, INDEX('Route Data'!$G$7:$G$8,E961),C961, INDEX('Route Data'!$F$7:$F$8,E961), INDEX('Route Data'!$O$7:$O$8,E961), INDEX('Route Data'!$H$7:$H$18,E961))</f>
        <v>1</v>
      </c>
      <c r="O961" s="5" t="str">
        <f>IF(F961&gt;=1,IF(M961&lt;=N961,"STRIKE","pass"),IF(M961&lt;=INDEX('Route Data'!$R$7:$R$8,E961),"NO PASS","pass"))</f>
        <v>STRIKE</v>
      </c>
      <c r="P961" s="5">
        <f>IF(F961&gt;=1,IF(M961&lt;=N961,1,0),IF(M961&lt;=INDEX('Route Data'!$R$7:$R$8,E961),-1,0))</f>
        <v>1</v>
      </c>
    </row>
    <row r="962" spans="1:16">
      <c r="A962" s="5">
        <v>952</v>
      </c>
      <c r="B962" s="12">
        <v>25.84</v>
      </c>
      <c r="C962" s="12">
        <f t="shared" si="14"/>
        <v>2.15</v>
      </c>
      <c r="D962" s="8">
        <v>0.59515619277954102</v>
      </c>
      <c r="E962" s="5">
        <f>MATCH(D962,'Route Data'!$C$7:$C$8,1)</f>
        <v>2</v>
      </c>
      <c r="F962" s="5">
        <f>INDEX('Route Data'!$D$7:$D$8,E962)</f>
        <v>1</v>
      </c>
      <c r="G962" s="5" t="str">
        <f>INDEX('Route Data'!$A$7:$A$8,E962)</f>
        <v>u18</v>
      </c>
      <c r="H962" s="5">
        <f>EnergyCoeff(INDEX('Route Data'!$K$7:$K$8,E962),INDEX('Route Data'!$L$7:$L$8,E962)*2*PI()/60,INDEX('Route Data'!$F$7:$F$8,E962))</f>
        <v>0.19430699130049439</v>
      </c>
      <c r="I962" s="5">
        <f>DischargeCoeff(INDEX('Route Data'!$I$7:$I$8,E962), INDEX('Route Data'!$L$7:$L$8,E962)*2*PI()/60, INDEX('Route Data'!$F$7:$F$8,E962))</f>
        <v>0.15939200179827354</v>
      </c>
      <c r="J962" s="8">
        <f>FlowAngleRel(INDEX('Route Data'!$J$7:$J$8,E962)*INDEX('Route Data'!$I$7:$I$8,E962), INDEX('Route Data'!$L$7:$L$8,E962)*2*PI()/60, INDEX('Route Data'!$F$7:$F$8,E962),INDEX('Route Data'!$O$7:$O$8,E962), INDEX('Route Data'!$P$7:$P$8,E962),INDEX('Route Data'!$M$7:$M$8,E962))</f>
        <v>1.130811765868994</v>
      </c>
      <c r="K962" s="8">
        <f>FlowAngleAbsT(INDEX('Route Data'!$K$7:$K$8,E962), INDEX('Route Data'!$I$7:$I$8,E962), INDEX('Route Data'!$I$7:$I$8,E962)*INDEX('Route Data'!$J$7:$J$8,E962), INDEX('Route Data'!$L$7:$L$8,E962)*2*PI()/60, INDEX('Route Data'!$F$7:$F$8,E962),INDEX('Route Data'!$O$7:$O$8,E962), INDEX('Route Data'!$P$7:$P$8,E962), INDEX('Route Data'!$H$7:$H$8,E962), INDEX('Route Data'!$Q$7:$Q$8,E962), INDEX('Route Data'!$M$7:$M$8,E962))</f>
        <v>0.51617226640175828</v>
      </c>
      <c r="L962" s="5">
        <f>INDEX('Route Data'!$N$7:$N$8,E962)</f>
        <v>0.4</v>
      </c>
      <c r="M962" s="8">
        <v>0.73943805694580078</v>
      </c>
      <c r="N962" s="8">
        <f>ProbStrikeFrancis(K962, I962, L962, INDEX('Route Data'!$G$7:$G$8,E962),C962, INDEX('Route Data'!$F$7:$F$8,E962), INDEX('Route Data'!$O$7:$O$8,E962), INDEX('Route Data'!$H$7:$H$18,E962))</f>
        <v>1</v>
      </c>
      <c r="O962" s="5" t="str">
        <f>IF(F962&gt;=1,IF(M962&lt;=N962,"STRIKE","pass"),IF(M962&lt;=INDEX('Route Data'!$R$7:$R$8,E962),"NO PASS","pass"))</f>
        <v>STRIKE</v>
      </c>
      <c r="P962" s="5">
        <f>IF(F962&gt;=1,IF(M962&lt;=N962,1,0),IF(M962&lt;=INDEX('Route Data'!$R$7:$R$8,E962),-1,0))</f>
        <v>1</v>
      </c>
    </row>
    <row r="963" spans="1:16">
      <c r="A963" s="5">
        <v>953</v>
      </c>
      <c r="B963" s="12">
        <v>22.87</v>
      </c>
      <c r="C963" s="12">
        <f t="shared" si="14"/>
        <v>1.91</v>
      </c>
      <c r="D963" s="8">
        <v>0.63124531507492065</v>
      </c>
      <c r="E963" s="5">
        <f>MATCH(D963,'Route Data'!$C$7:$C$8,1)</f>
        <v>2</v>
      </c>
      <c r="F963" s="5">
        <f>INDEX('Route Data'!$D$7:$D$8,E963)</f>
        <v>1</v>
      </c>
      <c r="G963" s="5" t="str">
        <f>INDEX('Route Data'!$A$7:$A$8,E963)</f>
        <v>u18</v>
      </c>
      <c r="H963" s="5">
        <f>EnergyCoeff(INDEX('Route Data'!$K$7:$K$8,E963),INDEX('Route Data'!$L$7:$L$8,E963)*2*PI()/60,INDEX('Route Data'!$F$7:$F$8,E963))</f>
        <v>0.19430699130049439</v>
      </c>
      <c r="I963" s="5">
        <f>DischargeCoeff(INDEX('Route Data'!$I$7:$I$8,E963), INDEX('Route Data'!$L$7:$L$8,E963)*2*PI()/60, INDEX('Route Data'!$F$7:$F$8,E963))</f>
        <v>0.15939200179827354</v>
      </c>
      <c r="J963" s="8">
        <f>FlowAngleRel(INDEX('Route Data'!$J$7:$J$8,E963)*INDEX('Route Data'!$I$7:$I$8,E963), INDEX('Route Data'!$L$7:$L$8,E963)*2*PI()/60, INDEX('Route Data'!$F$7:$F$8,E963),INDEX('Route Data'!$O$7:$O$8,E963), INDEX('Route Data'!$P$7:$P$8,E963),INDEX('Route Data'!$M$7:$M$8,E963))</f>
        <v>1.130811765868994</v>
      </c>
      <c r="K963" s="8">
        <f>FlowAngleAbsT(INDEX('Route Data'!$K$7:$K$8,E963), INDEX('Route Data'!$I$7:$I$8,E963), INDEX('Route Data'!$I$7:$I$8,E963)*INDEX('Route Data'!$J$7:$J$8,E963), INDEX('Route Data'!$L$7:$L$8,E963)*2*PI()/60, INDEX('Route Data'!$F$7:$F$8,E963),INDEX('Route Data'!$O$7:$O$8,E963), INDEX('Route Data'!$P$7:$P$8,E963), INDEX('Route Data'!$H$7:$H$8,E963), INDEX('Route Data'!$Q$7:$Q$8,E963), INDEX('Route Data'!$M$7:$M$8,E963))</f>
        <v>0.51617226640175828</v>
      </c>
      <c r="L963" s="5">
        <f>INDEX('Route Data'!$N$7:$N$8,E963)</f>
        <v>0.4</v>
      </c>
      <c r="M963" s="8">
        <v>0.38290899991989136</v>
      </c>
      <c r="N963" s="8">
        <f>ProbStrikeFrancis(K963, I963, L963, INDEX('Route Data'!$G$7:$G$8,E963),C963, INDEX('Route Data'!$F$7:$F$8,E963), INDEX('Route Data'!$O$7:$O$8,E963), INDEX('Route Data'!$H$7:$H$18,E963))</f>
        <v>1</v>
      </c>
      <c r="O963" s="5" t="str">
        <f>IF(F963&gt;=1,IF(M963&lt;=N963,"STRIKE","pass"),IF(M963&lt;=INDEX('Route Data'!$R$7:$R$8,E963),"NO PASS","pass"))</f>
        <v>STRIKE</v>
      </c>
      <c r="P963" s="5">
        <f>IF(F963&gt;=1,IF(M963&lt;=N963,1,0),IF(M963&lt;=INDEX('Route Data'!$R$7:$R$8,E963),-1,0))</f>
        <v>1</v>
      </c>
    </row>
    <row r="964" spans="1:16">
      <c r="A964" s="5">
        <v>954</v>
      </c>
      <c r="B964" s="12">
        <v>19.93</v>
      </c>
      <c r="C964" s="12">
        <f t="shared" si="14"/>
        <v>1.66</v>
      </c>
      <c r="D964" s="8">
        <v>0.25739872455596924</v>
      </c>
      <c r="E964" s="5">
        <f>MATCH(D964,'Route Data'!$C$7:$C$8,1)</f>
        <v>2</v>
      </c>
      <c r="F964" s="5">
        <f>INDEX('Route Data'!$D$7:$D$8,E964)</f>
        <v>1</v>
      </c>
      <c r="G964" s="5" t="str">
        <f>INDEX('Route Data'!$A$7:$A$8,E964)</f>
        <v>u18</v>
      </c>
      <c r="H964" s="5">
        <f>EnergyCoeff(INDEX('Route Data'!$K$7:$K$8,E964),INDEX('Route Data'!$L$7:$L$8,E964)*2*PI()/60,INDEX('Route Data'!$F$7:$F$8,E964))</f>
        <v>0.19430699130049439</v>
      </c>
      <c r="I964" s="5">
        <f>DischargeCoeff(INDEX('Route Data'!$I$7:$I$8,E964), INDEX('Route Data'!$L$7:$L$8,E964)*2*PI()/60, INDEX('Route Data'!$F$7:$F$8,E964))</f>
        <v>0.15939200179827354</v>
      </c>
      <c r="J964" s="8">
        <f>FlowAngleRel(INDEX('Route Data'!$J$7:$J$8,E964)*INDEX('Route Data'!$I$7:$I$8,E964), INDEX('Route Data'!$L$7:$L$8,E964)*2*PI()/60, INDEX('Route Data'!$F$7:$F$8,E964),INDEX('Route Data'!$O$7:$O$8,E964), INDEX('Route Data'!$P$7:$P$8,E964),INDEX('Route Data'!$M$7:$M$8,E964))</f>
        <v>1.130811765868994</v>
      </c>
      <c r="K964" s="8">
        <f>FlowAngleAbsT(INDEX('Route Data'!$K$7:$K$8,E964), INDEX('Route Data'!$I$7:$I$8,E964), INDEX('Route Data'!$I$7:$I$8,E964)*INDEX('Route Data'!$J$7:$J$8,E964), INDEX('Route Data'!$L$7:$L$8,E964)*2*PI()/60, INDEX('Route Data'!$F$7:$F$8,E964),INDEX('Route Data'!$O$7:$O$8,E964), INDEX('Route Data'!$P$7:$P$8,E964), INDEX('Route Data'!$H$7:$H$8,E964), INDEX('Route Data'!$Q$7:$Q$8,E964), INDEX('Route Data'!$M$7:$M$8,E964))</f>
        <v>0.51617226640175828</v>
      </c>
      <c r="L964" s="5">
        <f>INDEX('Route Data'!$N$7:$N$8,E964)</f>
        <v>0.4</v>
      </c>
      <c r="M964" s="8">
        <v>0.71807539463043213</v>
      </c>
      <c r="N964" s="8">
        <f>ProbStrikeFrancis(K964, I964, L964, INDEX('Route Data'!$G$7:$G$8,E964),C964, INDEX('Route Data'!$F$7:$F$8,E964), INDEX('Route Data'!$O$7:$O$8,E964), INDEX('Route Data'!$H$7:$H$18,E964))</f>
        <v>1</v>
      </c>
      <c r="O964" s="5" t="str">
        <f>IF(F964&gt;=1,IF(M964&lt;=N964,"STRIKE","pass"),IF(M964&lt;=INDEX('Route Data'!$R$7:$R$8,E964),"NO PASS","pass"))</f>
        <v>STRIKE</v>
      </c>
      <c r="P964" s="5">
        <f>IF(F964&gt;=1,IF(M964&lt;=N964,1,0),IF(M964&lt;=INDEX('Route Data'!$R$7:$R$8,E964),-1,0))</f>
        <v>1</v>
      </c>
    </row>
    <row r="965" spans="1:16">
      <c r="A965" s="5">
        <v>955</v>
      </c>
      <c r="B965" s="12">
        <v>20.38</v>
      </c>
      <c r="C965" s="12">
        <f t="shared" si="14"/>
        <v>1.7</v>
      </c>
      <c r="D965" s="8">
        <v>0.64451771974563599</v>
      </c>
      <c r="E965" s="5">
        <f>MATCH(D965,'Route Data'!$C$7:$C$8,1)</f>
        <v>2</v>
      </c>
      <c r="F965" s="5">
        <f>INDEX('Route Data'!$D$7:$D$8,E965)</f>
        <v>1</v>
      </c>
      <c r="G965" s="5" t="str">
        <f>INDEX('Route Data'!$A$7:$A$8,E965)</f>
        <v>u18</v>
      </c>
      <c r="H965" s="5">
        <f>EnergyCoeff(INDEX('Route Data'!$K$7:$K$8,E965),INDEX('Route Data'!$L$7:$L$8,E965)*2*PI()/60,INDEX('Route Data'!$F$7:$F$8,E965))</f>
        <v>0.19430699130049439</v>
      </c>
      <c r="I965" s="5">
        <f>DischargeCoeff(INDEX('Route Data'!$I$7:$I$8,E965), INDEX('Route Data'!$L$7:$L$8,E965)*2*PI()/60, INDEX('Route Data'!$F$7:$F$8,E965))</f>
        <v>0.15939200179827354</v>
      </c>
      <c r="J965" s="8">
        <f>FlowAngleRel(INDEX('Route Data'!$J$7:$J$8,E965)*INDEX('Route Data'!$I$7:$I$8,E965), INDEX('Route Data'!$L$7:$L$8,E965)*2*PI()/60, INDEX('Route Data'!$F$7:$F$8,E965),INDEX('Route Data'!$O$7:$O$8,E965), INDEX('Route Data'!$P$7:$P$8,E965),INDEX('Route Data'!$M$7:$M$8,E965))</f>
        <v>1.130811765868994</v>
      </c>
      <c r="K965" s="8">
        <f>FlowAngleAbsT(INDEX('Route Data'!$K$7:$K$8,E965), INDEX('Route Data'!$I$7:$I$8,E965), INDEX('Route Data'!$I$7:$I$8,E965)*INDEX('Route Data'!$J$7:$J$8,E965), INDEX('Route Data'!$L$7:$L$8,E965)*2*PI()/60, INDEX('Route Data'!$F$7:$F$8,E965),INDEX('Route Data'!$O$7:$O$8,E965), INDEX('Route Data'!$P$7:$P$8,E965), INDEX('Route Data'!$H$7:$H$8,E965), INDEX('Route Data'!$Q$7:$Q$8,E965), INDEX('Route Data'!$M$7:$M$8,E965))</f>
        <v>0.51617226640175828</v>
      </c>
      <c r="L965" s="5">
        <f>INDEX('Route Data'!$N$7:$N$8,E965)</f>
        <v>0.4</v>
      </c>
      <c r="M965" s="8">
        <v>0.44699698686599731</v>
      </c>
      <c r="N965" s="8">
        <f>ProbStrikeFrancis(K965, I965, L965, INDEX('Route Data'!$G$7:$G$8,E965),C965, INDEX('Route Data'!$F$7:$F$8,E965), INDEX('Route Data'!$O$7:$O$8,E965), INDEX('Route Data'!$H$7:$H$18,E965))</f>
        <v>1</v>
      </c>
      <c r="O965" s="5" t="str">
        <f>IF(F965&gt;=1,IF(M965&lt;=N965,"STRIKE","pass"),IF(M965&lt;=INDEX('Route Data'!$R$7:$R$8,E965),"NO PASS","pass"))</f>
        <v>STRIKE</v>
      </c>
      <c r="P965" s="5">
        <f>IF(F965&gt;=1,IF(M965&lt;=N965,1,0),IF(M965&lt;=INDEX('Route Data'!$R$7:$R$8,E965),-1,0))</f>
        <v>1</v>
      </c>
    </row>
    <row r="966" spans="1:16">
      <c r="A966" s="5">
        <v>956</v>
      </c>
      <c r="B966" s="12">
        <v>23.62</v>
      </c>
      <c r="C966" s="12">
        <f t="shared" si="14"/>
        <v>1.97</v>
      </c>
      <c r="D966" s="8">
        <v>0.74873995780944824</v>
      </c>
      <c r="E966" s="5">
        <f>MATCH(D966,'Route Data'!$C$7:$C$8,1)</f>
        <v>2</v>
      </c>
      <c r="F966" s="5">
        <f>INDEX('Route Data'!$D$7:$D$8,E966)</f>
        <v>1</v>
      </c>
      <c r="G966" s="5" t="str">
        <f>INDEX('Route Data'!$A$7:$A$8,E966)</f>
        <v>u18</v>
      </c>
      <c r="H966" s="5">
        <f>EnergyCoeff(INDEX('Route Data'!$K$7:$K$8,E966),INDEX('Route Data'!$L$7:$L$8,E966)*2*PI()/60,INDEX('Route Data'!$F$7:$F$8,E966))</f>
        <v>0.19430699130049439</v>
      </c>
      <c r="I966" s="5">
        <f>DischargeCoeff(INDEX('Route Data'!$I$7:$I$8,E966), INDEX('Route Data'!$L$7:$L$8,E966)*2*PI()/60, INDEX('Route Data'!$F$7:$F$8,E966))</f>
        <v>0.15939200179827354</v>
      </c>
      <c r="J966" s="8">
        <f>FlowAngleRel(INDEX('Route Data'!$J$7:$J$8,E966)*INDEX('Route Data'!$I$7:$I$8,E966), INDEX('Route Data'!$L$7:$L$8,E966)*2*PI()/60, INDEX('Route Data'!$F$7:$F$8,E966),INDEX('Route Data'!$O$7:$O$8,E966), INDEX('Route Data'!$P$7:$P$8,E966),INDEX('Route Data'!$M$7:$M$8,E966))</f>
        <v>1.130811765868994</v>
      </c>
      <c r="K966" s="8">
        <f>FlowAngleAbsT(INDEX('Route Data'!$K$7:$K$8,E966), INDEX('Route Data'!$I$7:$I$8,E966), INDEX('Route Data'!$I$7:$I$8,E966)*INDEX('Route Data'!$J$7:$J$8,E966), INDEX('Route Data'!$L$7:$L$8,E966)*2*PI()/60, INDEX('Route Data'!$F$7:$F$8,E966),INDEX('Route Data'!$O$7:$O$8,E966), INDEX('Route Data'!$P$7:$P$8,E966), INDEX('Route Data'!$H$7:$H$8,E966), INDEX('Route Data'!$Q$7:$Q$8,E966), INDEX('Route Data'!$M$7:$M$8,E966))</f>
        <v>0.51617226640175828</v>
      </c>
      <c r="L966" s="5">
        <f>INDEX('Route Data'!$N$7:$N$8,E966)</f>
        <v>0.4</v>
      </c>
      <c r="M966" s="8">
        <v>0.52581143379211426</v>
      </c>
      <c r="N966" s="8">
        <f>ProbStrikeFrancis(K966, I966, L966, INDEX('Route Data'!$G$7:$G$8,E966),C966, INDEX('Route Data'!$F$7:$F$8,E966), INDEX('Route Data'!$O$7:$O$8,E966), INDEX('Route Data'!$H$7:$H$18,E966))</f>
        <v>1</v>
      </c>
      <c r="O966" s="5" t="str">
        <f>IF(F966&gt;=1,IF(M966&lt;=N966,"STRIKE","pass"),IF(M966&lt;=INDEX('Route Data'!$R$7:$R$8,E966),"NO PASS","pass"))</f>
        <v>STRIKE</v>
      </c>
      <c r="P966" s="5">
        <f>IF(F966&gt;=1,IF(M966&lt;=N966,1,0),IF(M966&lt;=INDEX('Route Data'!$R$7:$R$8,E966),-1,0))</f>
        <v>1</v>
      </c>
    </row>
    <row r="967" spans="1:16">
      <c r="A967" s="5">
        <v>957</v>
      </c>
      <c r="B967" s="12">
        <v>19.809999999999999</v>
      </c>
      <c r="C967" s="12">
        <f t="shared" si="14"/>
        <v>1.65</v>
      </c>
      <c r="D967" s="8">
        <v>0.90491479635238647</v>
      </c>
      <c r="E967" s="5">
        <f>MATCH(D967,'Route Data'!$C$7:$C$8,1)</f>
        <v>2</v>
      </c>
      <c r="F967" s="5">
        <f>INDEX('Route Data'!$D$7:$D$8,E967)</f>
        <v>1</v>
      </c>
      <c r="G967" s="5" t="str">
        <f>INDEX('Route Data'!$A$7:$A$8,E967)</f>
        <v>u18</v>
      </c>
      <c r="H967" s="5">
        <f>EnergyCoeff(INDEX('Route Data'!$K$7:$K$8,E967),INDEX('Route Data'!$L$7:$L$8,E967)*2*PI()/60,INDEX('Route Data'!$F$7:$F$8,E967))</f>
        <v>0.19430699130049439</v>
      </c>
      <c r="I967" s="5">
        <f>DischargeCoeff(INDEX('Route Data'!$I$7:$I$8,E967), INDEX('Route Data'!$L$7:$L$8,E967)*2*PI()/60, INDEX('Route Data'!$F$7:$F$8,E967))</f>
        <v>0.15939200179827354</v>
      </c>
      <c r="J967" s="8">
        <f>FlowAngleRel(INDEX('Route Data'!$J$7:$J$8,E967)*INDEX('Route Data'!$I$7:$I$8,E967), INDEX('Route Data'!$L$7:$L$8,E967)*2*PI()/60, INDEX('Route Data'!$F$7:$F$8,E967),INDEX('Route Data'!$O$7:$O$8,E967), INDEX('Route Data'!$P$7:$P$8,E967),INDEX('Route Data'!$M$7:$M$8,E967))</f>
        <v>1.130811765868994</v>
      </c>
      <c r="K967" s="8">
        <f>FlowAngleAbsT(INDEX('Route Data'!$K$7:$K$8,E967), INDEX('Route Data'!$I$7:$I$8,E967), INDEX('Route Data'!$I$7:$I$8,E967)*INDEX('Route Data'!$J$7:$J$8,E967), INDEX('Route Data'!$L$7:$L$8,E967)*2*PI()/60, INDEX('Route Data'!$F$7:$F$8,E967),INDEX('Route Data'!$O$7:$O$8,E967), INDEX('Route Data'!$P$7:$P$8,E967), INDEX('Route Data'!$H$7:$H$8,E967), INDEX('Route Data'!$Q$7:$Q$8,E967), INDEX('Route Data'!$M$7:$M$8,E967))</f>
        <v>0.51617226640175828</v>
      </c>
      <c r="L967" s="5">
        <f>INDEX('Route Data'!$N$7:$N$8,E967)</f>
        <v>0.4</v>
      </c>
      <c r="M967" s="8">
        <v>2.3788869380950928E-2</v>
      </c>
      <c r="N967" s="8">
        <f>ProbStrikeFrancis(K967, I967, L967, INDEX('Route Data'!$G$7:$G$8,E967),C967, INDEX('Route Data'!$F$7:$F$8,E967), INDEX('Route Data'!$O$7:$O$8,E967), INDEX('Route Data'!$H$7:$H$18,E967))</f>
        <v>1</v>
      </c>
      <c r="O967" s="5" t="str">
        <f>IF(F967&gt;=1,IF(M967&lt;=N967,"STRIKE","pass"),IF(M967&lt;=INDEX('Route Data'!$R$7:$R$8,E967),"NO PASS","pass"))</f>
        <v>STRIKE</v>
      </c>
      <c r="P967" s="5">
        <f>IF(F967&gt;=1,IF(M967&lt;=N967,1,0),IF(M967&lt;=INDEX('Route Data'!$R$7:$R$8,E967),-1,0))</f>
        <v>1</v>
      </c>
    </row>
    <row r="968" spans="1:16">
      <c r="A968" s="5">
        <v>958</v>
      </c>
      <c r="B968" s="12">
        <v>20.68</v>
      </c>
      <c r="C968" s="12">
        <f t="shared" si="14"/>
        <v>1.72</v>
      </c>
      <c r="D968" s="8">
        <v>0.70196950435638428</v>
      </c>
      <c r="E968" s="5">
        <f>MATCH(D968,'Route Data'!$C$7:$C$8,1)</f>
        <v>2</v>
      </c>
      <c r="F968" s="5">
        <f>INDEX('Route Data'!$D$7:$D$8,E968)</f>
        <v>1</v>
      </c>
      <c r="G968" s="5" t="str">
        <f>INDEX('Route Data'!$A$7:$A$8,E968)</f>
        <v>u18</v>
      </c>
      <c r="H968" s="5">
        <f>EnergyCoeff(INDEX('Route Data'!$K$7:$K$8,E968),INDEX('Route Data'!$L$7:$L$8,E968)*2*PI()/60,INDEX('Route Data'!$F$7:$F$8,E968))</f>
        <v>0.19430699130049439</v>
      </c>
      <c r="I968" s="5">
        <f>DischargeCoeff(INDEX('Route Data'!$I$7:$I$8,E968), INDEX('Route Data'!$L$7:$L$8,E968)*2*PI()/60, INDEX('Route Data'!$F$7:$F$8,E968))</f>
        <v>0.15939200179827354</v>
      </c>
      <c r="J968" s="8">
        <f>FlowAngleRel(INDEX('Route Data'!$J$7:$J$8,E968)*INDEX('Route Data'!$I$7:$I$8,E968), INDEX('Route Data'!$L$7:$L$8,E968)*2*PI()/60, INDEX('Route Data'!$F$7:$F$8,E968),INDEX('Route Data'!$O$7:$O$8,E968), INDEX('Route Data'!$P$7:$P$8,E968),INDEX('Route Data'!$M$7:$M$8,E968))</f>
        <v>1.130811765868994</v>
      </c>
      <c r="K968" s="8">
        <f>FlowAngleAbsT(INDEX('Route Data'!$K$7:$K$8,E968), INDEX('Route Data'!$I$7:$I$8,E968), INDEX('Route Data'!$I$7:$I$8,E968)*INDEX('Route Data'!$J$7:$J$8,E968), INDEX('Route Data'!$L$7:$L$8,E968)*2*PI()/60, INDEX('Route Data'!$F$7:$F$8,E968),INDEX('Route Data'!$O$7:$O$8,E968), INDEX('Route Data'!$P$7:$P$8,E968), INDEX('Route Data'!$H$7:$H$8,E968), INDEX('Route Data'!$Q$7:$Q$8,E968), INDEX('Route Data'!$M$7:$M$8,E968))</f>
        <v>0.51617226640175828</v>
      </c>
      <c r="L968" s="5">
        <f>INDEX('Route Data'!$N$7:$N$8,E968)</f>
        <v>0.4</v>
      </c>
      <c r="M968" s="8">
        <v>0.52985656261444092</v>
      </c>
      <c r="N968" s="8">
        <f>ProbStrikeFrancis(K968, I968, L968, INDEX('Route Data'!$G$7:$G$8,E968),C968, INDEX('Route Data'!$F$7:$F$8,E968), INDEX('Route Data'!$O$7:$O$8,E968), INDEX('Route Data'!$H$7:$H$18,E968))</f>
        <v>1</v>
      </c>
      <c r="O968" s="5" t="str">
        <f>IF(F968&gt;=1,IF(M968&lt;=N968,"STRIKE","pass"),IF(M968&lt;=INDEX('Route Data'!$R$7:$R$8,E968),"NO PASS","pass"))</f>
        <v>STRIKE</v>
      </c>
      <c r="P968" s="5">
        <f>IF(F968&gt;=1,IF(M968&lt;=N968,1,0),IF(M968&lt;=INDEX('Route Data'!$R$7:$R$8,E968),-1,0))</f>
        <v>1</v>
      </c>
    </row>
    <row r="969" spans="1:16">
      <c r="A969" s="5">
        <v>959</v>
      </c>
      <c r="B969" s="12">
        <v>22.84</v>
      </c>
      <c r="C969" s="12">
        <f t="shared" si="14"/>
        <v>1.9</v>
      </c>
      <c r="D969" s="8">
        <v>0.31080538034439087</v>
      </c>
      <c r="E969" s="5">
        <f>MATCH(D969,'Route Data'!$C$7:$C$8,1)</f>
        <v>2</v>
      </c>
      <c r="F969" s="5">
        <f>INDEX('Route Data'!$D$7:$D$8,E969)</f>
        <v>1</v>
      </c>
      <c r="G969" s="5" t="str">
        <f>INDEX('Route Data'!$A$7:$A$8,E969)</f>
        <v>u18</v>
      </c>
      <c r="H969" s="5">
        <f>EnergyCoeff(INDEX('Route Data'!$K$7:$K$8,E969),INDEX('Route Data'!$L$7:$L$8,E969)*2*PI()/60,INDEX('Route Data'!$F$7:$F$8,E969))</f>
        <v>0.19430699130049439</v>
      </c>
      <c r="I969" s="5">
        <f>DischargeCoeff(INDEX('Route Data'!$I$7:$I$8,E969), INDEX('Route Data'!$L$7:$L$8,E969)*2*PI()/60, INDEX('Route Data'!$F$7:$F$8,E969))</f>
        <v>0.15939200179827354</v>
      </c>
      <c r="J969" s="8">
        <f>FlowAngleRel(INDEX('Route Data'!$J$7:$J$8,E969)*INDEX('Route Data'!$I$7:$I$8,E969), INDEX('Route Data'!$L$7:$L$8,E969)*2*PI()/60, INDEX('Route Data'!$F$7:$F$8,E969),INDEX('Route Data'!$O$7:$O$8,E969), INDEX('Route Data'!$P$7:$P$8,E969),INDEX('Route Data'!$M$7:$M$8,E969))</f>
        <v>1.130811765868994</v>
      </c>
      <c r="K969" s="8">
        <f>FlowAngleAbsT(INDEX('Route Data'!$K$7:$K$8,E969), INDEX('Route Data'!$I$7:$I$8,E969), INDEX('Route Data'!$I$7:$I$8,E969)*INDEX('Route Data'!$J$7:$J$8,E969), INDEX('Route Data'!$L$7:$L$8,E969)*2*PI()/60, INDEX('Route Data'!$F$7:$F$8,E969),INDEX('Route Data'!$O$7:$O$8,E969), INDEX('Route Data'!$P$7:$P$8,E969), INDEX('Route Data'!$H$7:$H$8,E969), INDEX('Route Data'!$Q$7:$Q$8,E969), INDEX('Route Data'!$M$7:$M$8,E969))</f>
        <v>0.51617226640175828</v>
      </c>
      <c r="L969" s="5">
        <f>INDEX('Route Data'!$N$7:$N$8,E969)</f>
        <v>0.4</v>
      </c>
      <c r="M969" s="8">
        <v>0.74607425928115845</v>
      </c>
      <c r="N969" s="8">
        <f>ProbStrikeFrancis(K969, I969, L969, INDEX('Route Data'!$G$7:$G$8,E969),C969, INDEX('Route Data'!$F$7:$F$8,E969), INDEX('Route Data'!$O$7:$O$8,E969), INDEX('Route Data'!$H$7:$H$18,E969))</f>
        <v>1</v>
      </c>
      <c r="O969" s="5" t="str">
        <f>IF(F969&gt;=1,IF(M969&lt;=N969,"STRIKE","pass"),IF(M969&lt;=INDEX('Route Data'!$R$7:$R$8,E969),"NO PASS","pass"))</f>
        <v>STRIKE</v>
      </c>
      <c r="P969" s="5">
        <f>IF(F969&gt;=1,IF(M969&lt;=N969,1,0),IF(M969&lt;=INDEX('Route Data'!$R$7:$R$8,E969),-1,0))</f>
        <v>1</v>
      </c>
    </row>
    <row r="970" spans="1:16">
      <c r="A970" s="5">
        <v>960</v>
      </c>
      <c r="B970" s="12">
        <v>22.32</v>
      </c>
      <c r="C970" s="12">
        <f t="shared" si="14"/>
        <v>1.86</v>
      </c>
      <c r="D970" s="8">
        <v>0.48429775238037109</v>
      </c>
      <c r="E970" s="5">
        <f>MATCH(D970,'Route Data'!$C$7:$C$8,1)</f>
        <v>2</v>
      </c>
      <c r="F970" s="5">
        <f>INDEX('Route Data'!$D$7:$D$8,E970)</f>
        <v>1</v>
      </c>
      <c r="G970" s="5" t="str">
        <f>INDEX('Route Data'!$A$7:$A$8,E970)</f>
        <v>u18</v>
      </c>
      <c r="H970" s="5">
        <f>EnergyCoeff(INDEX('Route Data'!$K$7:$K$8,E970),INDEX('Route Data'!$L$7:$L$8,E970)*2*PI()/60,INDEX('Route Data'!$F$7:$F$8,E970))</f>
        <v>0.19430699130049439</v>
      </c>
      <c r="I970" s="5">
        <f>DischargeCoeff(INDEX('Route Data'!$I$7:$I$8,E970), INDEX('Route Data'!$L$7:$L$8,E970)*2*PI()/60, INDEX('Route Data'!$F$7:$F$8,E970))</f>
        <v>0.15939200179827354</v>
      </c>
      <c r="J970" s="8">
        <f>FlowAngleRel(INDEX('Route Data'!$J$7:$J$8,E970)*INDEX('Route Data'!$I$7:$I$8,E970), INDEX('Route Data'!$L$7:$L$8,E970)*2*PI()/60, INDEX('Route Data'!$F$7:$F$8,E970),INDEX('Route Data'!$O$7:$O$8,E970), INDEX('Route Data'!$P$7:$P$8,E970),INDEX('Route Data'!$M$7:$M$8,E970))</f>
        <v>1.130811765868994</v>
      </c>
      <c r="K970" s="8">
        <f>FlowAngleAbsT(INDEX('Route Data'!$K$7:$K$8,E970), INDEX('Route Data'!$I$7:$I$8,E970), INDEX('Route Data'!$I$7:$I$8,E970)*INDEX('Route Data'!$J$7:$J$8,E970), INDEX('Route Data'!$L$7:$L$8,E970)*2*PI()/60, INDEX('Route Data'!$F$7:$F$8,E970),INDEX('Route Data'!$O$7:$O$8,E970), INDEX('Route Data'!$P$7:$P$8,E970), INDEX('Route Data'!$H$7:$H$8,E970), INDEX('Route Data'!$Q$7:$Q$8,E970), INDEX('Route Data'!$M$7:$M$8,E970))</f>
        <v>0.51617226640175828</v>
      </c>
      <c r="L970" s="5">
        <f>INDEX('Route Data'!$N$7:$N$8,E970)</f>
        <v>0.4</v>
      </c>
      <c r="M970" s="8">
        <v>0.62857961654663086</v>
      </c>
      <c r="N970" s="8">
        <f>ProbStrikeFrancis(K970, I970, L970, INDEX('Route Data'!$G$7:$G$8,E970),C970, INDEX('Route Data'!$F$7:$F$8,E970), INDEX('Route Data'!$O$7:$O$8,E970), INDEX('Route Data'!$H$7:$H$18,E970))</f>
        <v>1</v>
      </c>
      <c r="O970" s="5" t="str">
        <f>IF(F970&gt;=1,IF(M970&lt;=N970,"STRIKE","pass"),IF(M970&lt;=INDEX('Route Data'!$R$7:$R$8,E970),"NO PASS","pass"))</f>
        <v>STRIKE</v>
      </c>
      <c r="P970" s="5">
        <f>IF(F970&gt;=1,IF(M970&lt;=N970,1,0),IF(M970&lt;=INDEX('Route Data'!$R$7:$R$8,E970),-1,0))</f>
        <v>1</v>
      </c>
    </row>
    <row r="971" spans="1:16">
      <c r="A971" s="5">
        <v>961</v>
      </c>
      <c r="B971" s="12">
        <v>19.3</v>
      </c>
      <c r="C971" s="12">
        <f t="shared" ref="C971:C1034" si="15">ROUND(B971/12,2)</f>
        <v>1.61</v>
      </c>
      <c r="D971" s="8">
        <v>0.49497908353805542</v>
      </c>
      <c r="E971" s="5">
        <f>MATCH(D971,'Route Data'!$C$7:$C$8,1)</f>
        <v>2</v>
      </c>
      <c r="F971" s="5">
        <f>INDEX('Route Data'!$D$7:$D$8,E971)</f>
        <v>1</v>
      </c>
      <c r="G971" s="5" t="str">
        <f>INDEX('Route Data'!$A$7:$A$8,E971)</f>
        <v>u18</v>
      </c>
      <c r="H971" s="5">
        <f>EnergyCoeff(INDEX('Route Data'!$K$7:$K$8,E971),INDEX('Route Data'!$L$7:$L$8,E971)*2*PI()/60,INDEX('Route Data'!$F$7:$F$8,E971))</f>
        <v>0.19430699130049439</v>
      </c>
      <c r="I971" s="5">
        <f>DischargeCoeff(INDEX('Route Data'!$I$7:$I$8,E971), INDEX('Route Data'!$L$7:$L$8,E971)*2*PI()/60, INDEX('Route Data'!$F$7:$F$8,E971))</f>
        <v>0.15939200179827354</v>
      </c>
      <c r="J971" s="8">
        <f>FlowAngleRel(INDEX('Route Data'!$J$7:$J$8,E971)*INDEX('Route Data'!$I$7:$I$8,E971), INDEX('Route Data'!$L$7:$L$8,E971)*2*PI()/60, INDEX('Route Data'!$F$7:$F$8,E971),INDEX('Route Data'!$O$7:$O$8,E971), INDEX('Route Data'!$P$7:$P$8,E971),INDEX('Route Data'!$M$7:$M$8,E971))</f>
        <v>1.130811765868994</v>
      </c>
      <c r="K971" s="8">
        <f>FlowAngleAbsT(INDEX('Route Data'!$K$7:$K$8,E971), INDEX('Route Data'!$I$7:$I$8,E971), INDEX('Route Data'!$I$7:$I$8,E971)*INDEX('Route Data'!$J$7:$J$8,E971), INDEX('Route Data'!$L$7:$L$8,E971)*2*PI()/60, INDEX('Route Data'!$F$7:$F$8,E971),INDEX('Route Data'!$O$7:$O$8,E971), INDEX('Route Data'!$P$7:$P$8,E971), INDEX('Route Data'!$H$7:$H$8,E971), INDEX('Route Data'!$Q$7:$Q$8,E971), INDEX('Route Data'!$M$7:$M$8,E971))</f>
        <v>0.51617226640175828</v>
      </c>
      <c r="L971" s="5">
        <f>INDEX('Route Data'!$N$7:$N$8,E971)</f>
        <v>0.4</v>
      </c>
      <c r="M971" s="8">
        <v>0.98106354475021362</v>
      </c>
      <c r="N971" s="8">
        <f>ProbStrikeFrancis(K971, I971, L971, INDEX('Route Data'!$G$7:$G$8,E971),C971, INDEX('Route Data'!$F$7:$F$8,E971), INDEX('Route Data'!$O$7:$O$8,E971), INDEX('Route Data'!$H$7:$H$18,E971))</f>
        <v>1</v>
      </c>
      <c r="O971" s="5" t="str">
        <f>IF(F971&gt;=1,IF(M971&lt;=N971,"STRIKE","pass"),IF(M971&lt;=INDEX('Route Data'!$R$7:$R$8,E971),"NO PASS","pass"))</f>
        <v>STRIKE</v>
      </c>
      <c r="P971" s="5">
        <f>IF(F971&gt;=1,IF(M971&lt;=N971,1,0),IF(M971&lt;=INDEX('Route Data'!$R$7:$R$8,E971),-1,0))</f>
        <v>1</v>
      </c>
    </row>
    <row r="972" spans="1:16">
      <c r="A972" s="5">
        <v>962</v>
      </c>
      <c r="B972" s="12">
        <v>21.76</v>
      </c>
      <c r="C972" s="12">
        <f t="shared" si="15"/>
        <v>1.81</v>
      </c>
      <c r="D972" s="8">
        <v>0.46293509006500244</v>
      </c>
      <c r="E972" s="5">
        <f>MATCH(D972,'Route Data'!$C$7:$C$8,1)</f>
        <v>2</v>
      </c>
      <c r="F972" s="5">
        <f>INDEX('Route Data'!$D$7:$D$8,E972)</f>
        <v>1</v>
      </c>
      <c r="G972" s="5" t="str">
        <f>INDEX('Route Data'!$A$7:$A$8,E972)</f>
        <v>u18</v>
      </c>
      <c r="H972" s="5">
        <f>EnergyCoeff(INDEX('Route Data'!$K$7:$K$8,E972),INDEX('Route Data'!$L$7:$L$8,E972)*2*PI()/60,INDEX('Route Data'!$F$7:$F$8,E972))</f>
        <v>0.19430699130049439</v>
      </c>
      <c r="I972" s="5">
        <f>DischargeCoeff(INDEX('Route Data'!$I$7:$I$8,E972), INDEX('Route Data'!$L$7:$L$8,E972)*2*PI()/60, INDEX('Route Data'!$F$7:$F$8,E972))</f>
        <v>0.15939200179827354</v>
      </c>
      <c r="J972" s="8">
        <f>FlowAngleRel(INDEX('Route Data'!$J$7:$J$8,E972)*INDEX('Route Data'!$I$7:$I$8,E972), INDEX('Route Data'!$L$7:$L$8,E972)*2*PI()/60, INDEX('Route Data'!$F$7:$F$8,E972),INDEX('Route Data'!$O$7:$O$8,E972), INDEX('Route Data'!$P$7:$P$8,E972),INDEX('Route Data'!$M$7:$M$8,E972))</f>
        <v>1.130811765868994</v>
      </c>
      <c r="K972" s="8">
        <f>FlowAngleAbsT(INDEX('Route Data'!$K$7:$K$8,E972), INDEX('Route Data'!$I$7:$I$8,E972), INDEX('Route Data'!$I$7:$I$8,E972)*INDEX('Route Data'!$J$7:$J$8,E972), INDEX('Route Data'!$L$7:$L$8,E972)*2*PI()/60, INDEX('Route Data'!$F$7:$F$8,E972),INDEX('Route Data'!$O$7:$O$8,E972), INDEX('Route Data'!$P$7:$P$8,E972), INDEX('Route Data'!$H$7:$H$8,E972), INDEX('Route Data'!$Q$7:$Q$8,E972), INDEX('Route Data'!$M$7:$M$8,E972))</f>
        <v>0.51617226640175828</v>
      </c>
      <c r="L972" s="5">
        <f>INDEX('Route Data'!$N$7:$N$8,E972)</f>
        <v>0.4</v>
      </c>
      <c r="M972" s="8">
        <v>0.92361176013946533</v>
      </c>
      <c r="N972" s="8">
        <f>ProbStrikeFrancis(K972, I972, L972, INDEX('Route Data'!$G$7:$G$8,E972),C972, INDEX('Route Data'!$F$7:$F$8,E972), INDEX('Route Data'!$O$7:$O$8,E972), INDEX('Route Data'!$H$7:$H$18,E972))</f>
        <v>1</v>
      </c>
      <c r="O972" s="5" t="str">
        <f>IF(F972&gt;=1,IF(M972&lt;=N972,"STRIKE","pass"),IF(M972&lt;=INDEX('Route Data'!$R$7:$R$8,E972),"NO PASS","pass"))</f>
        <v>STRIKE</v>
      </c>
      <c r="P972" s="5">
        <f>IF(F972&gt;=1,IF(M972&lt;=N972,1,0),IF(M972&lt;=INDEX('Route Data'!$R$7:$R$8,E972),-1,0))</f>
        <v>1</v>
      </c>
    </row>
    <row r="973" spans="1:16">
      <c r="A973" s="5">
        <v>963</v>
      </c>
      <c r="B973" s="12">
        <v>26.49</v>
      </c>
      <c r="C973" s="12">
        <f t="shared" si="15"/>
        <v>2.21</v>
      </c>
      <c r="D973" s="8">
        <v>0.55906707048416138</v>
      </c>
      <c r="E973" s="5">
        <f>MATCH(D973,'Route Data'!$C$7:$C$8,1)</f>
        <v>2</v>
      </c>
      <c r="F973" s="5">
        <f>INDEX('Route Data'!$D$7:$D$8,E973)</f>
        <v>1</v>
      </c>
      <c r="G973" s="5" t="str">
        <f>INDEX('Route Data'!$A$7:$A$8,E973)</f>
        <v>u18</v>
      </c>
      <c r="H973" s="5">
        <f>EnergyCoeff(INDEX('Route Data'!$K$7:$K$8,E973),INDEX('Route Data'!$L$7:$L$8,E973)*2*PI()/60,INDEX('Route Data'!$F$7:$F$8,E973))</f>
        <v>0.19430699130049439</v>
      </c>
      <c r="I973" s="5">
        <f>DischargeCoeff(INDEX('Route Data'!$I$7:$I$8,E973), INDEX('Route Data'!$L$7:$L$8,E973)*2*PI()/60, INDEX('Route Data'!$F$7:$F$8,E973))</f>
        <v>0.15939200179827354</v>
      </c>
      <c r="J973" s="8">
        <f>FlowAngleRel(INDEX('Route Data'!$J$7:$J$8,E973)*INDEX('Route Data'!$I$7:$I$8,E973), INDEX('Route Data'!$L$7:$L$8,E973)*2*PI()/60, INDEX('Route Data'!$F$7:$F$8,E973),INDEX('Route Data'!$O$7:$O$8,E973), INDEX('Route Data'!$P$7:$P$8,E973),INDEX('Route Data'!$M$7:$M$8,E973))</f>
        <v>1.130811765868994</v>
      </c>
      <c r="K973" s="8">
        <f>FlowAngleAbsT(INDEX('Route Data'!$K$7:$K$8,E973), INDEX('Route Data'!$I$7:$I$8,E973), INDEX('Route Data'!$I$7:$I$8,E973)*INDEX('Route Data'!$J$7:$J$8,E973), INDEX('Route Data'!$L$7:$L$8,E973)*2*PI()/60, INDEX('Route Data'!$F$7:$F$8,E973),INDEX('Route Data'!$O$7:$O$8,E973), INDEX('Route Data'!$P$7:$P$8,E973), INDEX('Route Data'!$H$7:$H$8,E973), INDEX('Route Data'!$Q$7:$Q$8,E973), INDEX('Route Data'!$M$7:$M$8,E973))</f>
        <v>0.51617226640175828</v>
      </c>
      <c r="L973" s="5">
        <f>INDEX('Route Data'!$N$7:$N$8,E973)</f>
        <v>0.4</v>
      </c>
      <c r="M973" s="8">
        <v>0.36154633760452271</v>
      </c>
      <c r="N973" s="8">
        <f>ProbStrikeFrancis(K973, I973, L973, INDEX('Route Data'!$G$7:$G$8,E973),C973, INDEX('Route Data'!$F$7:$F$8,E973), INDEX('Route Data'!$O$7:$O$8,E973), INDEX('Route Data'!$H$7:$H$18,E973))</f>
        <v>1</v>
      </c>
      <c r="O973" s="5" t="str">
        <f>IF(F973&gt;=1,IF(M973&lt;=N973,"STRIKE","pass"),IF(M973&lt;=INDEX('Route Data'!$R$7:$R$8,E973),"NO PASS","pass"))</f>
        <v>STRIKE</v>
      </c>
      <c r="P973" s="5">
        <f>IF(F973&gt;=1,IF(M973&lt;=N973,1,0),IF(M973&lt;=INDEX('Route Data'!$R$7:$R$8,E973),-1,0))</f>
        <v>1</v>
      </c>
    </row>
    <row r="974" spans="1:16">
      <c r="A974" s="5">
        <v>964</v>
      </c>
      <c r="B974" s="12">
        <v>26.54</v>
      </c>
      <c r="C974" s="12">
        <f t="shared" si="15"/>
        <v>2.21</v>
      </c>
      <c r="D974" s="8">
        <v>5.0919055938720703E-3</v>
      </c>
      <c r="E974" s="5">
        <f>MATCH(D974,'Route Data'!$C$7:$C$8,1)</f>
        <v>2</v>
      </c>
      <c r="F974" s="5">
        <f>INDEX('Route Data'!$D$7:$D$8,E974)</f>
        <v>1</v>
      </c>
      <c r="G974" s="5" t="str">
        <f>INDEX('Route Data'!$A$7:$A$8,E974)</f>
        <v>u18</v>
      </c>
      <c r="H974" s="5">
        <f>EnergyCoeff(INDEX('Route Data'!$K$7:$K$8,E974),INDEX('Route Data'!$L$7:$L$8,E974)*2*PI()/60,INDEX('Route Data'!$F$7:$F$8,E974))</f>
        <v>0.19430699130049439</v>
      </c>
      <c r="I974" s="5">
        <f>DischargeCoeff(INDEX('Route Data'!$I$7:$I$8,E974), INDEX('Route Data'!$L$7:$L$8,E974)*2*PI()/60, INDEX('Route Data'!$F$7:$F$8,E974))</f>
        <v>0.15939200179827354</v>
      </c>
      <c r="J974" s="8">
        <f>FlowAngleRel(INDEX('Route Data'!$J$7:$J$8,E974)*INDEX('Route Data'!$I$7:$I$8,E974), INDEX('Route Data'!$L$7:$L$8,E974)*2*PI()/60, INDEX('Route Data'!$F$7:$F$8,E974),INDEX('Route Data'!$O$7:$O$8,E974), INDEX('Route Data'!$P$7:$P$8,E974),INDEX('Route Data'!$M$7:$M$8,E974))</f>
        <v>1.130811765868994</v>
      </c>
      <c r="K974" s="8">
        <f>FlowAngleAbsT(INDEX('Route Data'!$K$7:$K$8,E974), INDEX('Route Data'!$I$7:$I$8,E974), INDEX('Route Data'!$I$7:$I$8,E974)*INDEX('Route Data'!$J$7:$J$8,E974), INDEX('Route Data'!$L$7:$L$8,E974)*2*PI()/60, INDEX('Route Data'!$F$7:$F$8,E974),INDEX('Route Data'!$O$7:$O$8,E974), INDEX('Route Data'!$P$7:$P$8,E974), INDEX('Route Data'!$H$7:$H$8,E974), INDEX('Route Data'!$Q$7:$Q$8,E974), INDEX('Route Data'!$M$7:$M$8,E974))</f>
        <v>0.51617226640175828</v>
      </c>
      <c r="L974" s="5">
        <f>INDEX('Route Data'!$N$7:$N$8,E974)</f>
        <v>0.4</v>
      </c>
      <c r="M974" s="8">
        <v>0.78216338157653809</v>
      </c>
      <c r="N974" s="8">
        <f>ProbStrikeFrancis(K974, I974, L974, INDEX('Route Data'!$G$7:$G$8,E974),C974, INDEX('Route Data'!$F$7:$F$8,E974), INDEX('Route Data'!$O$7:$O$8,E974), INDEX('Route Data'!$H$7:$H$18,E974))</f>
        <v>1</v>
      </c>
      <c r="O974" s="5" t="str">
        <f>IF(F974&gt;=1,IF(M974&lt;=N974,"STRIKE","pass"),IF(M974&lt;=INDEX('Route Data'!$R$7:$R$8,E974),"NO PASS","pass"))</f>
        <v>STRIKE</v>
      </c>
      <c r="P974" s="5">
        <f>IF(F974&gt;=1,IF(M974&lt;=N974,1,0),IF(M974&lt;=INDEX('Route Data'!$R$7:$R$8,E974),-1,0))</f>
        <v>1</v>
      </c>
    </row>
    <row r="975" spans="1:16">
      <c r="A975" s="5">
        <v>965</v>
      </c>
      <c r="B975" s="12">
        <v>21.87</v>
      </c>
      <c r="C975" s="12">
        <f t="shared" si="15"/>
        <v>1.82</v>
      </c>
      <c r="D975" s="8">
        <v>0.13585895299911499</v>
      </c>
      <c r="E975" s="5">
        <f>MATCH(D975,'Route Data'!$C$7:$C$8,1)</f>
        <v>2</v>
      </c>
      <c r="F975" s="5">
        <f>INDEX('Route Data'!$D$7:$D$8,E975)</f>
        <v>1</v>
      </c>
      <c r="G975" s="5" t="str">
        <f>INDEX('Route Data'!$A$7:$A$8,E975)</f>
        <v>u18</v>
      </c>
      <c r="H975" s="5">
        <f>EnergyCoeff(INDEX('Route Data'!$K$7:$K$8,E975),INDEX('Route Data'!$L$7:$L$8,E975)*2*PI()/60,INDEX('Route Data'!$F$7:$F$8,E975))</f>
        <v>0.19430699130049439</v>
      </c>
      <c r="I975" s="5">
        <f>DischargeCoeff(INDEX('Route Data'!$I$7:$I$8,E975), INDEX('Route Data'!$L$7:$L$8,E975)*2*PI()/60, INDEX('Route Data'!$F$7:$F$8,E975))</f>
        <v>0.15939200179827354</v>
      </c>
      <c r="J975" s="8">
        <f>FlowAngleRel(INDEX('Route Data'!$J$7:$J$8,E975)*INDEX('Route Data'!$I$7:$I$8,E975), INDEX('Route Data'!$L$7:$L$8,E975)*2*PI()/60, INDEX('Route Data'!$F$7:$F$8,E975),INDEX('Route Data'!$O$7:$O$8,E975), INDEX('Route Data'!$P$7:$P$8,E975),INDEX('Route Data'!$M$7:$M$8,E975))</f>
        <v>1.130811765868994</v>
      </c>
      <c r="K975" s="8">
        <f>FlowAngleAbsT(INDEX('Route Data'!$K$7:$K$8,E975), INDEX('Route Data'!$I$7:$I$8,E975), INDEX('Route Data'!$I$7:$I$8,E975)*INDEX('Route Data'!$J$7:$J$8,E975), INDEX('Route Data'!$L$7:$L$8,E975)*2*PI()/60, INDEX('Route Data'!$F$7:$F$8,E975),INDEX('Route Data'!$O$7:$O$8,E975), INDEX('Route Data'!$P$7:$P$8,E975), INDEX('Route Data'!$H$7:$H$8,E975), INDEX('Route Data'!$Q$7:$Q$8,E975), INDEX('Route Data'!$M$7:$M$8,E975))</f>
        <v>0.51617226640175828</v>
      </c>
      <c r="L975" s="5">
        <f>INDEX('Route Data'!$N$7:$N$8,E975)</f>
        <v>0.4</v>
      </c>
      <c r="M975" s="8">
        <v>0.25473302602767944</v>
      </c>
      <c r="N975" s="8">
        <f>ProbStrikeFrancis(K975, I975, L975, INDEX('Route Data'!$G$7:$G$8,E975),C975, INDEX('Route Data'!$F$7:$F$8,E975), INDEX('Route Data'!$O$7:$O$8,E975), INDEX('Route Data'!$H$7:$H$18,E975))</f>
        <v>1</v>
      </c>
      <c r="O975" s="5" t="str">
        <f>IF(F975&gt;=1,IF(M975&lt;=N975,"STRIKE","pass"),IF(M975&lt;=INDEX('Route Data'!$R$7:$R$8,E975),"NO PASS","pass"))</f>
        <v>STRIKE</v>
      </c>
      <c r="P975" s="5">
        <f>IF(F975&gt;=1,IF(M975&lt;=N975,1,0),IF(M975&lt;=INDEX('Route Data'!$R$7:$R$8,E975),-1,0))</f>
        <v>1</v>
      </c>
    </row>
    <row r="976" spans="1:16">
      <c r="A976" s="5">
        <v>966</v>
      </c>
      <c r="B976" s="12">
        <v>23.16</v>
      </c>
      <c r="C976" s="12">
        <f t="shared" si="15"/>
        <v>1.93</v>
      </c>
      <c r="D976" s="8">
        <v>0.27471625804901123</v>
      </c>
      <c r="E976" s="5">
        <f>MATCH(D976,'Route Data'!$C$7:$C$8,1)</f>
        <v>2</v>
      </c>
      <c r="F976" s="5">
        <f>INDEX('Route Data'!$D$7:$D$8,E976)</f>
        <v>1</v>
      </c>
      <c r="G976" s="5" t="str">
        <f>INDEX('Route Data'!$A$7:$A$8,E976)</f>
        <v>u18</v>
      </c>
      <c r="H976" s="5">
        <f>EnergyCoeff(INDEX('Route Data'!$K$7:$K$8,E976),INDEX('Route Data'!$L$7:$L$8,E976)*2*PI()/60,INDEX('Route Data'!$F$7:$F$8,E976))</f>
        <v>0.19430699130049439</v>
      </c>
      <c r="I976" s="5">
        <f>DischargeCoeff(INDEX('Route Data'!$I$7:$I$8,E976), INDEX('Route Data'!$L$7:$L$8,E976)*2*PI()/60, INDEX('Route Data'!$F$7:$F$8,E976))</f>
        <v>0.15939200179827354</v>
      </c>
      <c r="J976" s="8">
        <f>FlowAngleRel(INDEX('Route Data'!$J$7:$J$8,E976)*INDEX('Route Data'!$I$7:$I$8,E976), INDEX('Route Data'!$L$7:$L$8,E976)*2*PI()/60, INDEX('Route Data'!$F$7:$F$8,E976),INDEX('Route Data'!$O$7:$O$8,E976), INDEX('Route Data'!$P$7:$P$8,E976),INDEX('Route Data'!$M$7:$M$8,E976))</f>
        <v>1.130811765868994</v>
      </c>
      <c r="K976" s="8">
        <f>FlowAngleAbsT(INDEX('Route Data'!$K$7:$K$8,E976), INDEX('Route Data'!$I$7:$I$8,E976), INDEX('Route Data'!$I$7:$I$8,E976)*INDEX('Route Data'!$J$7:$J$8,E976), INDEX('Route Data'!$L$7:$L$8,E976)*2*PI()/60, INDEX('Route Data'!$F$7:$F$8,E976),INDEX('Route Data'!$O$7:$O$8,E976), INDEX('Route Data'!$P$7:$P$8,E976), INDEX('Route Data'!$H$7:$H$8,E976), INDEX('Route Data'!$Q$7:$Q$8,E976), INDEX('Route Data'!$M$7:$M$8,E976))</f>
        <v>0.51617226640175828</v>
      </c>
      <c r="L976" s="5">
        <f>INDEX('Route Data'!$N$7:$N$8,E976)</f>
        <v>0.4</v>
      </c>
      <c r="M976" s="8">
        <v>0.10260331630706787</v>
      </c>
      <c r="N976" s="8">
        <f>ProbStrikeFrancis(K976, I976, L976, INDEX('Route Data'!$G$7:$G$8,E976),C976, INDEX('Route Data'!$F$7:$F$8,E976), INDEX('Route Data'!$O$7:$O$8,E976), INDEX('Route Data'!$H$7:$H$18,E976))</f>
        <v>1</v>
      </c>
      <c r="O976" s="5" t="str">
        <f>IF(F976&gt;=1,IF(M976&lt;=N976,"STRIKE","pass"),IF(M976&lt;=INDEX('Route Data'!$R$7:$R$8,E976),"NO PASS","pass"))</f>
        <v>STRIKE</v>
      </c>
      <c r="P976" s="5">
        <f>IF(F976&gt;=1,IF(M976&lt;=N976,1,0),IF(M976&lt;=INDEX('Route Data'!$R$7:$R$8,E976),-1,0))</f>
        <v>1</v>
      </c>
    </row>
    <row r="977" spans="1:16">
      <c r="A977" s="5">
        <v>967</v>
      </c>
      <c r="B977" s="12">
        <v>25.46</v>
      </c>
      <c r="C977" s="12">
        <f t="shared" si="15"/>
        <v>2.12</v>
      </c>
      <c r="D977" s="8">
        <v>0.85814434289932251</v>
      </c>
      <c r="E977" s="5">
        <f>MATCH(D977,'Route Data'!$C$7:$C$8,1)</f>
        <v>2</v>
      </c>
      <c r="F977" s="5">
        <f>INDEX('Route Data'!$D$7:$D$8,E977)</f>
        <v>1</v>
      </c>
      <c r="G977" s="5" t="str">
        <f>INDEX('Route Data'!$A$7:$A$8,E977)</f>
        <v>u18</v>
      </c>
      <c r="H977" s="5">
        <f>EnergyCoeff(INDEX('Route Data'!$K$7:$K$8,E977),INDEX('Route Data'!$L$7:$L$8,E977)*2*PI()/60,INDEX('Route Data'!$F$7:$F$8,E977))</f>
        <v>0.19430699130049439</v>
      </c>
      <c r="I977" s="5">
        <f>DischargeCoeff(INDEX('Route Data'!$I$7:$I$8,E977), INDEX('Route Data'!$L$7:$L$8,E977)*2*PI()/60, INDEX('Route Data'!$F$7:$F$8,E977))</f>
        <v>0.15939200179827354</v>
      </c>
      <c r="J977" s="8">
        <f>FlowAngleRel(INDEX('Route Data'!$J$7:$J$8,E977)*INDEX('Route Data'!$I$7:$I$8,E977), INDEX('Route Data'!$L$7:$L$8,E977)*2*PI()/60, INDEX('Route Data'!$F$7:$F$8,E977),INDEX('Route Data'!$O$7:$O$8,E977), INDEX('Route Data'!$P$7:$P$8,E977),INDEX('Route Data'!$M$7:$M$8,E977))</f>
        <v>1.130811765868994</v>
      </c>
      <c r="K977" s="8">
        <f>FlowAngleAbsT(INDEX('Route Data'!$K$7:$K$8,E977), INDEX('Route Data'!$I$7:$I$8,E977), INDEX('Route Data'!$I$7:$I$8,E977)*INDEX('Route Data'!$J$7:$J$8,E977), INDEX('Route Data'!$L$7:$L$8,E977)*2*PI()/60, INDEX('Route Data'!$F$7:$F$8,E977),INDEX('Route Data'!$O$7:$O$8,E977), INDEX('Route Data'!$P$7:$P$8,E977), INDEX('Route Data'!$H$7:$H$8,E977), INDEX('Route Data'!$Q$7:$Q$8,E977), INDEX('Route Data'!$M$7:$M$8,E977))</f>
        <v>0.51617226640175828</v>
      </c>
      <c r="L977" s="5">
        <f>INDEX('Route Data'!$N$7:$N$8,E977)</f>
        <v>0.4</v>
      </c>
      <c r="M977" s="8">
        <v>2.7833998203277588E-2</v>
      </c>
      <c r="N977" s="8">
        <f>ProbStrikeFrancis(K977, I977, L977, INDEX('Route Data'!$G$7:$G$8,E977),C977, INDEX('Route Data'!$F$7:$F$8,E977), INDEX('Route Data'!$O$7:$O$8,E977), INDEX('Route Data'!$H$7:$H$18,E977))</f>
        <v>1</v>
      </c>
      <c r="O977" s="5" t="str">
        <f>IF(F977&gt;=1,IF(M977&lt;=N977,"STRIKE","pass"),IF(M977&lt;=INDEX('Route Data'!$R$7:$R$8,E977),"NO PASS","pass"))</f>
        <v>STRIKE</v>
      </c>
      <c r="P977" s="5">
        <f>IF(F977&gt;=1,IF(M977&lt;=N977,1,0),IF(M977&lt;=INDEX('Route Data'!$R$7:$R$8,E977),-1,0))</f>
        <v>1</v>
      </c>
    </row>
    <row r="978" spans="1:16">
      <c r="A978" s="5">
        <v>968</v>
      </c>
      <c r="B978" s="12">
        <v>21.45</v>
      </c>
      <c r="C978" s="12">
        <f t="shared" si="15"/>
        <v>1.79</v>
      </c>
      <c r="D978" s="8">
        <v>0.10786008834838867</v>
      </c>
      <c r="E978" s="5">
        <f>MATCH(D978,'Route Data'!$C$7:$C$8,1)</f>
        <v>2</v>
      </c>
      <c r="F978" s="5">
        <f>INDEX('Route Data'!$D$7:$D$8,E978)</f>
        <v>1</v>
      </c>
      <c r="G978" s="5" t="str">
        <f>INDEX('Route Data'!$A$7:$A$8,E978)</f>
        <v>u18</v>
      </c>
      <c r="H978" s="5">
        <f>EnergyCoeff(INDEX('Route Data'!$K$7:$K$8,E978),INDEX('Route Data'!$L$7:$L$8,E978)*2*PI()/60,INDEX('Route Data'!$F$7:$F$8,E978))</f>
        <v>0.19430699130049439</v>
      </c>
      <c r="I978" s="5">
        <f>DischargeCoeff(INDEX('Route Data'!$I$7:$I$8,E978), INDEX('Route Data'!$L$7:$L$8,E978)*2*PI()/60, INDEX('Route Data'!$F$7:$F$8,E978))</f>
        <v>0.15939200179827354</v>
      </c>
      <c r="J978" s="8">
        <f>FlowAngleRel(INDEX('Route Data'!$J$7:$J$8,E978)*INDEX('Route Data'!$I$7:$I$8,E978), INDEX('Route Data'!$L$7:$L$8,E978)*2*PI()/60, INDEX('Route Data'!$F$7:$F$8,E978),INDEX('Route Data'!$O$7:$O$8,E978), INDEX('Route Data'!$P$7:$P$8,E978),INDEX('Route Data'!$M$7:$M$8,E978))</f>
        <v>1.130811765868994</v>
      </c>
      <c r="K978" s="8">
        <f>FlowAngleAbsT(INDEX('Route Data'!$K$7:$K$8,E978), INDEX('Route Data'!$I$7:$I$8,E978), INDEX('Route Data'!$I$7:$I$8,E978)*INDEX('Route Data'!$J$7:$J$8,E978), INDEX('Route Data'!$L$7:$L$8,E978)*2*PI()/60, INDEX('Route Data'!$F$7:$F$8,E978),INDEX('Route Data'!$O$7:$O$8,E978), INDEX('Route Data'!$P$7:$P$8,E978), INDEX('Route Data'!$H$7:$H$8,E978), INDEX('Route Data'!$Q$7:$Q$8,E978), INDEX('Route Data'!$M$7:$M$8,E978))</f>
        <v>0.51617226640175828</v>
      </c>
      <c r="L978" s="5">
        <f>INDEX('Route Data'!$N$7:$N$8,E978)</f>
        <v>0.4</v>
      </c>
      <c r="M978" s="8">
        <v>0.25214195251464844</v>
      </c>
      <c r="N978" s="8">
        <f>ProbStrikeFrancis(K978, I978, L978, INDEX('Route Data'!$G$7:$G$8,E978),C978, INDEX('Route Data'!$F$7:$F$8,E978), INDEX('Route Data'!$O$7:$O$8,E978), INDEX('Route Data'!$H$7:$H$18,E978))</f>
        <v>1</v>
      </c>
      <c r="O978" s="5" t="str">
        <f>IF(F978&gt;=1,IF(M978&lt;=N978,"STRIKE","pass"),IF(M978&lt;=INDEX('Route Data'!$R$7:$R$8,E978),"NO PASS","pass"))</f>
        <v>STRIKE</v>
      </c>
      <c r="P978" s="5">
        <f>IF(F978&gt;=1,IF(M978&lt;=N978,1,0),IF(M978&lt;=INDEX('Route Data'!$R$7:$R$8,E978),-1,0))</f>
        <v>1</v>
      </c>
    </row>
    <row r="979" spans="1:16">
      <c r="A979" s="5">
        <v>969</v>
      </c>
      <c r="B979" s="12">
        <v>24.56</v>
      </c>
      <c r="C979" s="12">
        <f t="shared" si="15"/>
        <v>2.0499999999999998</v>
      </c>
      <c r="D979" s="8">
        <v>9.3133628368377686E-2</v>
      </c>
      <c r="E979" s="5">
        <f>MATCH(D979,'Route Data'!$C$7:$C$8,1)</f>
        <v>2</v>
      </c>
      <c r="F979" s="5">
        <f>INDEX('Route Data'!$D$7:$D$8,E979)</f>
        <v>1</v>
      </c>
      <c r="G979" s="5" t="str">
        <f>INDEX('Route Data'!$A$7:$A$8,E979)</f>
        <v>u18</v>
      </c>
      <c r="H979" s="5">
        <f>EnergyCoeff(INDEX('Route Data'!$K$7:$K$8,E979),INDEX('Route Data'!$L$7:$L$8,E979)*2*PI()/60,INDEX('Route Data'!$F$7:$F$8,E979))</f>
        <v>0.19430699130049439</v>
      </c>
      <c r="I979" s="5">
        <f>DischargeCoeff(INDEX('Route Data'!$I$7:$I$8,E979), INDEX('Route Data'!$L$7:$L$8,E979)*2*PI()/60, INDEX('Route Data'!$F$7:$F$8,E979))</f>
        <v>0.15939200179827354</v>
      </c>
      <c r="J979" s="8">
        <f>FlowAngleRel(INDEX('Route Data'!$J$7:$J$8,E979)*INDEX('Route Data'!$I$7:$I$8,E979), INDEX('Route Data'!$L$7:$L$8,E979)*2*PI()/60, INDEX('Route Data'!$F$7:$F$8,E979),INDEX('Route Data'!$O$7:$O$8,E979), INDEX('Route Data'!$P$7:$P$8,E979),INDEX('Route Data'!$M$7:$M$8,E979))</f>
        <v>1.130811765868994</v>
      </c>
      <c r="K979" s="8">
        <f>FlowAngleAbsT(INDEX('Route Data'!$K$7:$K$8,E979), INDEX('Route Data'!$I$7:$I$8,E979), INDEX('Route Data'!$I$7:$I$8,E979)*INDEX('Route Data'!$J$7:$J$8,E979), INDEX('Route Data'!$L$7:$L$8,E979)*2*PI()/60, INDEX('Route Data'!$F$7:$F$8,E979),INDEX('Route Data'!$O$7:$O$8,E979), INDEX('Route Data'!$P$7:$P$8,E979), INDEX('Route Data'!$H$7:$H$8,E979), INDEX('Route Data'!$Q$7:$Q$8,E979), INDEX('Route Data'!$M$7:$M$8,E979))</f>
        <v>0.51617226640175828</v>
      </c>
      <c r="L979" s="5">
        <f>INDEX('Route Data'!$N$7:$N$8,E979)</f>
        <v>0.4</v>
      </c>
      <c r="M979" s="8">
        <v>0.57921808958053589</v>
      </c>
      <c r="N979" s="8">
        <f>ProbStrikeFrancis(K979, I979, L979, INDEX('Route Data'!$G$7:$G$8,E979),C979, INDEX('Route Data'!$F$7:$F$8,E979), INDEX('Route Data'!$O$7:$O$8,E979), INDEX('Route Data'!$H$7:$H$18,E979))</f>
        <v>1</v>
      </c>
      <c r="O979" s="5" t="str">
        <f>IF(F979&gt;=1,IF(M979&lt;=N979,"STRIKE","pass"),IF(M979&lt;=INDEX('Route Data'!$R$7:$R$8,E979),"NO PASS","pass"))</f>
        <v>STRIKE</v>
      </c>
      <c r="P979" s="5">
        <f>IF(F979&gt;=1,IF(M979&lt;=N979,1,0),IF(M979&lt;=INDEX('Route Data'!$R$7:$R$8,E979),-1,0))</f>
        <v>1</v>
      </c>
    </row>
    <row r="980" spans="1:16">
      <c r="A980" s="5">
        <v>970</v>
      </c>
      <c r="B980" s="12">
        <v>21.27</v>
      </c>
      <c r="C980" s="12">
        <f t="shared" si="15"/>
        <v>1.77</v>
      </c>
      <c r="D980" s="8">
        <v>0.40289223194122314</v>
      </c>
      <c r="E980" s="5">
        <f>MATCH(D980,'Route Data'!$C$7:$C$8,1)</f>
        <v>2</v>
      </c>
      <c r="F980" s="5">
        <f>INDEX('Route Data'!$D$7:$D$8,E980)</f>
        <v>1</v>
      </c>
      <c r="G980" s="5" t="str">
        <f>INDEX('Route Data'!$A$7:$A$8,E980)</f>
        <v>u18</v>
      </c>
      <c r="H980" s="5">
        <f>EnergyCoeff(INDEX('Route Data'!$K$7:$K$8,E980),INDEX('Route Data'!$L$7:$L$8,E980)*2*PI()/60,INDEX('Route Data'!$F$7:$F$8,E980))</f>
        <v>0.19430699130049439</v>
      </c>
      <c r="I980" s="5">
        <f>DischargeCoeff(INDEX('Route Data'!$I$7:$I$8,E980), INDEX('Route Data'!$L$7:$L$8,E980)*2*PI()/60, INDEX('Route Data'!$F$7:$F$8,E980))</f>
        <v>0.15939200179827354</v>
      </c>
      <c r="J980" s="8">
        <f>FlowAngleRel(INDEX('Route Data'!$J$7:$J$8,E980)*INDEX('Route Data'!$I$7:$I$8,E980), INDEX('Route Data'!$L$7:$L$8,E980)*2*PI()/60, INDEX('Route Data'!$F$7:$F$8,E980),INDEX('Route Data'!$O$7:$O$8,E980), INDEX('Route Data'!$P$7:$P$8,E980),INDEX('Route Data'!$M$7:$M$8,E980))</f>
        <v>1.130811765868994</v>
      </c>
      <c r="K980" s="8">
        <f>FlowAngleAbsT(INDEX('Route Data'!$K$7:$K$8,E980), INDEX('Route Data'!$I$7:$I$8,E980), INDEX('Route Data'!$I$7:$I$8,E980)*INDEX('Route Data'!$J$7:$J$8,E980), INDEX('Route Data'!$L$7:$L$8,E980)*2*PI()/60, INDEX('Route Data'!$F$7:$F$8,E980),INDEX('Route Data'!$O$7:$O$8,E980), INDEX('Route Data'!$P$7:$P$8,E980), INDEX('Route Data'!$H$7:$H$8,E980), INDEX('Route Data'!$Q$7:$Q$8,E980), INDEX('Route Data'!$M$7:$M$8,E980))</f>
        <v>0.51617226640175828</v>
      </c>
      <c r="L980" s="5">
        <f>INDEX('Route Data'!$N$7:$N$8,E980)</f>
        <v>0.4</v>
      </c>
      <c r="M980" s="8">
        <v>0.86356890201568604</v>
      </c>
      <c r="N980" s="8">
        <f>ProbStrikeFrancis(K980, I980, L980, INDEX('Route Data'!$G$7:$G$8,E980),C980, INDEX('Route Data'!$F$7:$F$8,E980), INDEX('Route Data'!$O$7:$O$8,E980), INDEX('Route Data'!$H$7:$H$18,E980))</f>
        <v>1</v>
      </c>
      <c r="O980" s="5" t="str">
        <f>IF(F980&gt;=1,IF(M980&lt;=N980,"STRIKE","pass"),IF(M980&lt;=INDEX('Route Data'!$R$7:$R$8,E980),"NO PASS","pass"))</f>
        <v>STRIKE</v>
      </c>
      <c r="P980" s="5">
        <f>IF(F980&gt;=1,IF(M980&lt;=N980,1,0),IF(M980&lt;=INDEX('Route Data'!$R$7:$R$8,E980),-1,0))</f>
        <v>1</v>
      </c>
    </row>
    <row r="981" spans="1:16">
      <c r="A981" s="5">
        <v>971</v>
      </c>
      <c r="B981" s="12">
        <v>25.25</v>
      </c>
      <c r="C981" s="12">
        <f t="shared" si="15"/>
        <v>2.1</v>
      </c>
      <c r="D981" s="8">
        <v>0.47361642122268677</v>
      </c>
      <c r="E981" s="5">
        <f>MATCH(D981,'Route Data'!$C$7:$C$8,1)</f>
        <v>2</v>
      </c>
      <c r="F981" s="5">
        <f>INDEX('Route Data'!$D$7:$D$8,E981)</f>
        <v>1</v>
      </c>
      <c r="G981" s="5" t="str">
        <f>INDEX('Route Data'!$A$7:$A$8,E981)</f>
        <v>u18</v>
      </c>
      <c r="H981" s="5">
        <f>EnergyCoeff(INDEX('Route Data'!$K$7:$K$8,E981),INDEX('Route Data'!$L$7:$L$8,E981)*2*PI()/60,INDEX('Route Data'!$F$7:$F$8,E981))</f>
        <v>0.19430699130049439</v>
      </c>
      <c r="I981" s="5">
        <f>DischargeCoeff(INDEX('Route Data'!$I$7:$I$8,E981), INDEX('Route Data'!$L$7:$L$8,E981)*2*PI()/60, INDEX('Route Data'!$F$7:$F$8,E981))</f>
        <v>0.15939200179827354</v>
      </c>
      <c r="J981" s="8">
        <f>FlowAngleRel(INDEX('Route Data'!$J$7:$J$8,E981)*INDEX('Route Data'!$I$7:$I$8,E981), INDEX('Route Data'!$L$7:$L$8,E981)*2*PI()/60, INDEX('Route Data'!$F$7:$F$8,E981),INDEX('Route Data'!$O$7:$O$8,E981), INDEX('Route Data'!$P$7:$P$8,E981),INDEX('Route Data'!$M$7:$M$8,E981))</f>
        <v>1.130811765868994</v>
      </c>
      <c r="K981" s="8">
        <f>FlowAngleAbsT(INDEX('Route Data'!$K$7:$K$8,E981), INDEX('Route Data'!$I$7:$I$8,E981), INDEX('Route Data'!$I$7:$I$8,E981)*INDEX('Route Data'!$J$7:$J$8,E981), INDEX('Route Data'!$L$7:$L$8,E981)*2*PI()/60, INDEX('Route Data'!$F$7:$F$8,E981),INDEX('Route Data'!$O$7:$O$8,E981), INDEX('Route Data'!$P$7:$P$8,E981), INDEX('Route Data'!$H$7:$H$8,E981), INDEX('Route Data'!$Q$7:$Q$8,E981), INDEX('Route Data'!$M$7:$M$8,E981))</f>
        <v>0.51617226640175828</v>
      </c>
      <c r="L981" s="5">
        <f>INDEX('Route Data'!$N$7:$N$8,E981)</f>
        <v>0.4</v>
      </c>
      <c r="M981" s="8">
        <v>0.2760956883430481</v>
      </c>
      <c r="N981" s="8">
        <f>ProbStrikeFrancis(K981, I981, L981, INDEX('Route Data'!$G$7:$G$8,E981),C981, INDEX('Route Data'!$F$7:$F$8,E981), INDEX('Route Data'!$O$7:$O$8,E981), INDEX('Route Data'!$H$7:$H$18,E981))</f>
        <v>1</v>
      </c>
      <c r="O981" s="5" t="str">
        <f>IF(F981&gt;=1,IF(M981&lt;=N981,"STRIKE","pass"),IF(M981&lt;=INDEX('Route Data'!$R$7:$R$8,E981),"NO PASS","pass"))</f>
        <v>STRIKE</v>
      </c>
      <c r="P981" s="5">
        <f>IF(F981&gt;=1,IF(M981&lt;=N981,1,0),IF(M981&lt;=INDEX('Route Data'!$R$7:$R$8,E981),-1,0))</f>
        <v>1</v>
      </c>
    </row>
    <row r="982" spans="1:16">
      <c r="A982" s="5">
        <v>972</v>
      </c>
      <c r="B982" s="12">
        <v>19.39</v>
      </c>
      <c r="C982" s="12">
        <f t="shared" si="15"/>
        <v>1.62</v>
      </c>
      <c r="D982" s="8">
        <v>0.5270230770111084</v>
      </c>
      <c r="E982" s="5">
        <f>MATCH(D982,'Route Data'!$C$7:$C$8,1)</f>
        <v>2</v>
      </c>
      <c r="F982" s="5">
        <f>INDEX('Route Data'!$D$7:$D$8,E982)</f>
        <v>1</v>
      </c>
      <c r="G982" s="5" t="str">
        <f>INDEX('Route Data'!$A$7:$A$8,E982)</f>
        <v>u18</v>
      </c>
      <c r="H982" s="5">
        <f>EnergyCoeff(INDEX('Route Data'!$K$7:$K$8,E982),INDEX('Route Data'!$L$7:$L$8,E982)*2*PI()/60,INDEX('Route Data'!$F$7:$F$8,E982))</f>
        <v>0.19430699130049439</v>
      </c>
      <c r="I982" s="5">
        <f>DischargeCoeff(INDEX('Route Data'!$I$7:$I$8,E982), INDEX('Route Data'!$L$7:$L$8,E982)*2*PI()/60, INDEX('Route Data'!$F$7:$F$8,E982))</f>
        <v>0.15939200179827354</v>
      </c>
      <c r="J982" s="8">
        <f>FlowAngleRel(INDEX('Route Data'!$J$7:$J$8,E982)*INDEX('Route Data'!$I$7:$I$8,E982), INDEX('Route Data'!$L$7:$L$8,E982)*2*PI()/60, INDEX('Route Data'!$F$7:$F$8,E982),INDEX('Route Data'!$O$7:$O$8,E982), INDEX('Route Data'!$P$7:$P$8,E982),INDEX('Route Data'!$M$7:$M$8,E982))</f>
        <v>1.130811765868994</v>
      </c>
      <c r="K982" s="8">
        <f>FlowAngleAbsT(INDEX('Route Data'!$K$7:$K$8,E982), INDEX('Route Data'!$I$7:$I$8,E982), INDEX('Route Data'!$I$7:$I$8,E982)*INDEX('Route Data'!$J$7:$J$8,E982), INDEX('Route Data'!$L$7:$L$8,E982)*2*PI()/60, INDEX('Route Data'!$F$7:$F$8,E982),INDEX('Route Data'!$O$7:$O$8,E982), INDEX('Route Data'!$P$7:$P$8,E982), INDEX('Route Data'!$H$7:$H$8,E982), INDEX('Route Data'!$Q$7:$Q$8,E982), INDEX('Route Data'!$M$7:$M$8,E982))</f>
        <v>0.51617226640175828</v>
      </c>
      <c r="L982" s="5">
        <f>INDEX('Route Data'!$N$7:$N$8,E982)</f>
        <v>0.4</v>
      </c>
      <c r="M982" s="8">
        <v>3.8515329360961914E-2</v>
      </c>
      <c r="N982" s="8">
        <f>ProbStrikeFrancis(K982, I982, L982, INDEX('Route Data'!$G$7:$G$8,E982),C982, INDEX('Route Data'!$F$7:$F$8,E982), INDEX('Route Data'!$O$7:$O$8,E982), INDEX('Route Data'!$H$7:$H$18,E982))</f>
        <v>1</v>
      </c>
      <c r="O982" s="5" t="str">
        <f>IF(F982&gt;=1,IF(M982&lt;=N982,"STRIKE","pass"),IF(M982&lt;=INDEX('Route Data'!$R$7:$R$8,E982),"NO PASS","pass"))</f>
        <v>STRIKE</v>
      </c>
      <c r="P982" s="5">
        <f>IF(F982&gt;=1,IF(M982&lt;=N982,1,0),IF(M982&lt;=INDEX('Route Data'!$R$7:$R$8,E982),-1,0))</f>
        <v>1</v>
      </c>
    </row>
    <row r="983" spans="1:16">
      <c r="A983" s="5">
        <v>973</v>
      </c>
      <c r="B983" s="12">
        <v>23.71</v>
      </c>
      <c r="C983" s="12">
        <f t="shared" si="15"/>
        <v>1.98</v>
      </c>
      <c r="D983" s="8">
        <v>0.36680310964584351</v>
      </c>
      <c r="E983" s="5">
        <f>MATCH(D983,'Route Data'!$C$7:$C$8,1)</f>
        <v>2</v>
      </c>
      <c r="F983" s="5">
        <f>INDEX('Route Data'!$D$7:$D$8,E983)</f>
        <v>1</v>
      </c>
      <c r="G983" s="5" t="str">
        <f>INDEX('Route Data'!$A$7:$A$8,E983)</f>
        <v>u18</v>
      </c>
      <c r="H983" s="5">
        <f>EnergyCoeff(INDEX('Route Data'!$K$7:$K$8,E983),INDEX('Route Data'!$L$7:$L$8,E983)*2*PI()/60,INDEX('Route Data'!$F$7:$F$8,E983))</f>
        <v>0.19430699130049439</v>
      </c>
      <c r="I983" s="5">
        <f>DischargeCoeff(INDEX('Route Data'!$I$7:$I$8,E983), INDEX('Route Data'!$L$7:$L$8,E983)*2*PI()/60, INDEX('Route Data'!$F$7:$F$8,E983))</f>
        <v>0.15939200179827354</v>
      </c>
      <c r="J983" s="8">
        <f>FlowAngleRel(INDEX('Route Data'!$J$7:$J$8,E983)*INDEX('Route Data'!$I$7:$I$8,E983), INDEX('Route Data'!$L$7:$L$8,E983)*2*PI()/60, INDEX('Route Data'!$F$7:$F$8,E983),INDEX('Route Data'!$O$7:$O$8,E983), INDEX('Route Data'!$P$7:$P$8,E983),INDEX('Route Data'!$M$7:$M$8,E983))</f>
        <v>1.130811765868994</v>
      </c>
      <c r="K983" s="8">
        <f>FlowAngleAbsT(INDEX('Route Data'!$K$7:$K$8,E983), INDEX('Route Data'!$I$7:$I$8,E983), INDEX('Route Data'!$I$7:$I$8,E983)*INDEX('Route Data'!$J$7:$J$8,E983), INDEX('Route Data'!$L$7:$L$8,E983)*2*PI()/60, INDEX('Route Data'!$F$7:$F$8,E983),INDEX('Route Data'!$O$7:$O$8,E983), INDEX('Route Data'!$P$7:$P$8,E983), INDEX('Route Data'!$H$7:$H$8,E983), INDEX('Route Data'!$Q$7:$Q$8,E983), INDEX('Route Data'!$M$7:$M$8,E983))</f>
        <v>0.51617226640175828</v>
      </c>
      <c r="L983" s="5">
        <f>INDEX('Route Data'!$N$7:$N$8,E983)</f>
        <v>0.4</v>
      </c>
      <c r="M983" s="8">
        <v>0.22009795904159546</v>
      </c>
      <c r="N983" s="8">
        <f>ProbStrikeFrancis(K983, I983, L983, INDEX('Route Data'!$G$7:$G$8,E983),C983, INDEX('Route Data'!$F$7:$F$8,E983), INDEX('Route Data'!$O$7:$O$8,E983), INDEX('Route Data'!$H$7:$H$18,E983))</f>
        <v>1</v>
      </c>
      <c r="O983" s="5" t="str">
        <f>IF(F983&gt;=1,IF(M983&lt;=N983,"STRIKE","pass"),IF(M983&lt;=INDEX('Route Data'!$R$7:$R$8,E983),"NO PASS","pass"))</f>
        <v>STRIKE</v>
      </c>
      <c r="P983" s="5">
        <f>IF(F983&gt;=1,IF(M983&lt;=N983,1,0),IF(M983&lt;=INDEX('Route Data'!$R$7:$R$8,E983),-1,0))</f>
        <v>1</v>
      </c>
    </row>
    <row r="984" spans="1:16">
      <c r="A984" s="5">
        <v>974</v>
      </c>
      <c r="B984" s="12">
        <v>19.440000000000001</v>
      </c>
      <c r="C984" s="12">
        <f t="shared" si="15"/>
        <v>1.62</v>
      </c>
      <c r="D984" s="8">
        <v>0.84746301174163818</v>
      </c>
      <c r="E984" s="5">
        <f>MATCH(D984,'Route Data'!$C$7:$C$8,1)</f>
        <v>2</v>
      </c>
      <c r="F984" s="5">
        <f>INDEX('Route Data'!$D$7:$D$8,E984)</f>
        <v>1</v>
      </c>
      <c r="G984" s="5" t="str">
        <f>INDEX('Route Data'!$A$7:$A$8,E984)</f>
        <v>u18</v>
      </c>
      <c r="H984" s="5">
        <f>EnergyCoeff(INDEX('Route Data'!$K$7:$K$8,E984),INDEX('Route Data'!$L$7:$L$8,E984)*2*PI()/60,INDEX('Route Data'!$F$7:$F$8,E984))</f>
        <v>0.19430699130049439</v>
      </c>
      <c r="I984" s="5">
        <f>DischargeCoeff(INDEX('Route Data'!$I$7:$I$8,E984), INDEX('Route Data'!$L$7:$L$8,E984)*2*PI()/60, INDEX('Route Data'!$F$7:$F$8,E984))</f>
        <v>0.15939200179827354</v>
      </c>
      <c r="J984" s="8">
        <f>FlowAngleRel(INDEX('Route Data'!$J$7:$J$8,E984)*INDEX('Route Data'!$I$7:$I$8,E984), INDEX('Route Data'!$L$7:$L$8,E984)*2*PI()/60, INDEX('Route Data'!$F$7:$F$8,E984),INDEX('Route Data'!$O$7:$O$8,E984), INDEX('Route Data'!$P$7:$P$8,E984),INDEX('Route Data'!$M$7:$M$8,E984))</f>
        <v>1.130811765868994</v>
      </c>
      <c r="K984" s="8">
        <f>FlowAngleAbsT(INDEX('Route Data'!$K$7:$K$8,E984), INDEX('Route Data'!$I$7:$I$8,E984), INDEX('Route Data'!$I$7:$I$8,E984)*INDEX('Route Data'!$J$7:$J$8,E984), INDEX('Route Data'!$L$7:$L$8,E984)*2*PI()/60, INDEX('Route Data'!$F$7:$F$8,E984),INDEX('Route Data'!$O$7:$O$8,E984), INDEX('Route Data'!$P$7:$P$8,E984), INDEX('Route Data'!$H$7:$H$8,E984), INDEX('Route Data'!$Q$7:$Q$8,E984), INDEX('Route Data'!$M$7:$M$8,E984))</f>
        <v>0.51617226640175828</v>
      </c>
      <c r="L984" s="5">
        <f>INDEX('Route Data'!$N$7:$N$8,E984)</f>
        <v>0.4</v>
      </c>
      <c r="M984" s="8">
        <v>0.67535006999969482</v>
      </c>
      <c r="N984" s="8">
        <f>ProbStrikeFrancis(K984, I984, L984, INDEX('Route Data'!$G$7:$G$8,E984),C984, INDEX('Route Data'!$F$7:$F$8,E984), INDEX('Route Data'!$O$7:$O$8,E984), INDEX('Route Data'!$H$7:$H$18,E984))</f>
        <v>1</v>
      </c>
      <c r="O984" s="5" t="str">
        <f>IF(F984&gt;=1,IF(M984&lt;=N984,"STRIKE","pass"),IF(M984&lt;=INDEX('Route Data'!$R$7:$R$8,E984),"NO PASS","pass"))</f>
        <v>STRIKE</v>
      </c>
      <c r="P984" s="5">
        <f>IF(F984&gt;=1,IF(M984&lt;=N984,1,0),IF(M984&lt;=INDEX('Route Data'!$R$7:$R$8,E984),-1,0))</f>
        <v>1</v>
      </c>
    </row>
    <row r="985" spans="1:16">
      <c r="A985" s="5">
        <v>975</v>
      </c>
      <c r="B985" s="12">
        <v>21.5</v>
      </c>
      <c r="C985" s="12">
        <f t="shared" si="15"/>
        <v>1.79</v>
      </c>
      <c r="D985" s="8">
        <v>0.13990408182144165</v>
      </c>
      <c r="E985" s="5">
        <f>MATCH(D985,'Route Data'!$C$7:$C$8,1)</f>
        <v>2</v>
      </c>
      <c r="F985" s="5">
        <f>INDEX('Route Data'!$D$7:$D$8,E985)</f>
        <v>1</v>
      </c>
      <c r="G985" s="5" t="str">
        <f>INDEX('Route Data'!$A$7:$A$8,E985)</f>
        <v>u18</v>
      </c>
      <c r="H985" s="5">
        <f>EnergyCoeff(INDEX('Route Data'!$K$7:$K$8,E985),INDEX('Route Data'!$L$7:$L$8,E985)*2*PI()/60,INDEX('Route Data'!$F$7:$F$8,E985))</f>
        <v>0.19430699130049439</v>
      </c>
      <c r="I985" s="5">
        <f>DischargeCoeff(INDEX('Route Data'!$I$7:$I$8,E985), INDEX('Route Data'!$L$7:$L$8,E985)*2*PI()/60, INDEX('Route Data'!$F$7:$F$8,E985))</f>
        <v>0.15939200179827354</v>
      </c>
      <c r="J985" s="8">
        <f>FlowAngleRel(INDEX('Route Data'!$J$7:$J$8,E985)*INDEX('Route Data'!$I$7:$I$8,E985), INDEX('Route Data'!$L$7:$L$8,E985)*2*PI()/60, INDEX('Route Data'!$F$7:$F$8,E985),INDEX('Route Data'!$O$7:$O$8,E985), INDEX('Route Data'!$P$7:$P$8,E985),INDEX('Route Data'!$M$7:$M$8,E985))</f>
        <v>1.130811765868994</v>
      </c>
      <c r="K985" s="8">
        <f>FlowAngleAbsT(INDEX('Route Data'!$K$7:$K$8,E985), INDEX('Route Data'!$I$7:$I$8,E985), INDEX('Route Data'!$I$7:$I$8,E985)*INDEX('Route Data'!$J$7:$J$8,E985), INDEX('Route Data'!$L$7:$L$8,E985)*2*PI()/60, INDEX('Route Data'!$F$7:$F$8,E985),INDEX('Route Data'!$O$7:$O$8,E985), INDEX('Route Data'!$P$7:$P$8,E985), INDEX('Route Data'!$H$7:$H$8,E985), INDEX('Route Data'!$Q$7:$Q$8,E985), INDEX('Route Data'!$M$7:$M$8,E985))</f>
        <v>0.51617226640175828</v>
      </c>
      <c r="L985" s="5">
        <f>INDEX('Route Data'!$N$7:$N$8,E985)</f>
        <v>0.4</v>
      </c>
      <c r="M985" s="8">
        <v>0.57517296075820923</v>
      </c>
      <c r="N985" s="8">
        <f>ProbStrikeFrancis(K985, I985, L985, INDEX('Route Data'!$G$7:$G$8,E985),C985, INDEX('Route Data'!$F$7:$F$8,E985), INDEX('Route Data'!$O$7:$O$8,E985), INDEX('Route Data'!$H$7:$H$18,E985))</f>
        <v>1</v>
      </c>
      <c r="O985" s="5" t="str">
        <f>IF(F985&gt;=1,IF(M985&lt;=N985,"STRIKE","pass"),IF(M985&lt;=INDEX('Route Data'!$R$7:$R$8,E985),"NO PASS","pass"))</f>
        <v>STRIKE</v>
      </c>
      <c r="P985" s="5">
        <f>IF(F985&gt;=1,IF(M985&lt;=N985,1,0),IF(M985&lt;=INDEX('Route Data'!$R$7:$R$8,E985),-1,0))</f>
        <v>1</v>
      </c>
    </row>
    <row r="986" spans="1:16">
      <c r="A986" s="5">
        <v>976</v>
      </c>
      <c r="B986" s="12">
        <v>20.48</v>
      </c>
      <c r="C986" s="12">
        <f t="shared" si="15"/>
        <v>1.71</v>
      </c>
      <c r="D986" s="8">
        <v>0.99700164794921875</v>
      </c>
      <c r="E986" s="5">
        <f>MATCH(D986,'Route Data'!$C$7:$C$8,1)</f>
        <v>2</v>
      </c>
      <c r="F986" s="5">
        <f>INDEX('Route Data'!$D$7:$D$8,E986)</f>
        <v>1</v>
      </c>
      <c r="G986" s="5" t="str">
        <f>INDEX('Route Data'!$A$7:$A$8,E986)</f>
        <v>u18</v>
      </c>
      <c r="H986" s="5">
        <f>EnergyCoeff(INDEX('Route Data'!$K$7:$K$8,E986),INDEX('Route Data'!$L$7:$L$8,E986)*2*PI()/60,INDEX('Route Data'!$F$7:$F$8,E986))</f>
        <v>0.19430699130049439</v>
      </c>
      <c r="I986" s="5">
        <f>DischargeCoeff(INDEX('Route Data'!$I$7:$I$8,E986), INDEX('Route Data'!$L$7:$L$8,E986)*2*PI()/60, INDEX('Route Data'!$F$7:$F$8,E986))</f>
        <v>0.15939200179827354</v>
      </c>
      <c r="J986" s="8">
        <f>FlowAngleRel(INDEX('Route Data'!$J$7:$J$8,E986)*INDEX('Route Data'!$I$7:$I$8,E986), INDEX('Route Data'!$L$7:$L$8,E986)*2*PI()/60, INDEX('Route Data'!$F$7:$F$8,E986),INDEX('Route Data'!$O$7:$O$8,E986), INDEX('Route Data'!$P$7:$P$8,E986),INDEX('Route Data'!$M$7:$M$8,E986))</f>
        <v>1.130811765868994</v>
      </c>
      <c r="K986" s="8">
        <f>FlowAngleAbsT(INDEX('Route Data'!$K$7:$K$8,E986), INDEX('Route Data'!$I$7:$I$8,E986), INDEX('Route Data'!$I$7:$I$8,E986)*INDEX('Route Data'!$J$7:$J$8,E986), INDEX('Route Data'!$L$7:$L$8,E986)*2*PI()/60, INDEX('Route Data'!$F$7:$F$8,E986),INDEX('Route Data'!$O$7:$O$8,E986), INDEX('Route Data'!$P$7:$P$8,E986), INDEX('Route Data'!$H$7:$H$8,E986), INDEX('Route Data'!$Q$7:$Q$8,E986), INDEX('Route Data'!$M$7:$M$8,E986))</f>
        <v>0.51617226640175828</v>
      </c>
      <c r="L986" s="5">
        <f>INDEX('Route Data'!$N$7:$N$8,E986)</f>
        <v>0.4</v>
      </c>
      <c r="M986" s="8">
        <v>0.14128351211547852</v>
      </c>
      <c r="N986" s="8">
        <f>ProbStrikeFrancis(K986, I986, L986, INDEX('Route Data'!$G$7:$G$8,E986),C986, INDEX('Route Data'!$F$7:$F$8,E986), INDEX('Route Data'!$O$7:$O$8,E986), INDEX('Route Data'!$H$7:$H$18,E986))</f>
        <v>1</v>
      </c>
      <c r="O986" s="5" t="str">
        <f>IF(F986&gt;=1,IF(M986&lt;=N986,"STRIKE","pass"),IF(M986&lt;=INDEX('Route Data'!$R$7:$R$8,E986),"NO PASS","pass"))</f>
        <v>STRIKE</v>
      </c>
      <c r="P986" s="5">
        <f>IF(F986&gt;=1,IF(M986&lt;=N986,1,0),IF(M986&lt;=INDEX('Route Data'!$R$7:$R$8,E986),-1,0))</f>
        <v>1</v>
      </c>
    </row>
    <row r="987" spans="1:16">
      <c r="A987" s="5">
        <v>977</v>
      </c>
      <c r="B987" s="12">
        <v>23.35</v>
      </c>
      <c r="C987" s="12">
        <f t="shared" si="15"/>
        <v>1.95</v>
      </c>
      <c r="D987" s="8">
        <v>0.69128817319869995</v>
      </c>
      <c r="E987" s="5">
        <f>MATCH(D987,'Route Data'!$C$7:$C$8,1)</f>
        <v>2</v>
      </c>
      <c r="F987" s="5">
        <f>INDEX('Route Data'!$D$7:$D$8,E987)</f>
        <v>1</v>
      </c>
      <c r="G987" s="5" t="str">
        <f>INDEX('Route Data'!$A$7:$A$8,E987)</f>
        <v>u18</v>
      </c>
      <c r="H987" s="5">
        <f>EnergyCoeff(INDEX('Route Data'!$K$7:$K$8,E987),INDEX('Route Data'!$L$7:$L$8,E987)*2*PI()/60,INDEX('Route Data'!$F$7:$F$8,E987))</f>
        <v>0.19430699130049439</v>
      </c>
      <c r="I987" s="5">
        <f>DischargeCoeff(INDEX('Route Data'!$I$7:$I$8,E987), INDEX('Route Data'!$L$7:$L$8,E987)*2*PI()/60, INDEX('Route Data'!$F$7:$F$8,E987))</f>
        <v>0.15939200179827354</v>
      </c>
      <c r="J987" s="8">
        <f>FlowAngleRel(INDEX('Route Data'!$J$7:$J$8,E987)*INDEX('Route Data'!$I$7:$I$8,E987), INDEX('Route Data'!$L$7:$L$8,E987)*2*PI()/60, INDEX('Route Data'!$F$7:$F$8,E987),INDEX('Route Data'!$O$7:$O$8,E987), INDEX('Route Data'!$P$7:$P$8,E987),INDEX('Route Data'!$M$7:$M$8,E987))</f>
        <v>1.130811765868994</v>
      </c>
      <c r="K987" s="8">
        <f>FlowAngleAbsT(INDEX('Route Data'!$K$7:$K$8,E987), INDEX('Route Data'!$I$7:$I$8,E987), INDEX('Route Data'!$I$7:$I$8,E987)*INDEX('Route Data'!$J$7:$J$8,E987), INDEX('Route Data'!$L$7:$L$8,E987)*2*PI()/60, INDEX('Route Data'!$F$7:$F$8,E987),INDEX('Route Data'!$O$7:$O$8,E987), INDEX('Route Data'!$P$7:$P$8,E987), INDEX('Route Data'!$H$7:$H$8,E987), INDEX('Route Data'!$Q$7:$Q$8,E987), INDEX('Route Data'!$M$7:$M$8,E987))</f>
        <v>0.51617226640175828</v>
      </c>
      <c r="L987" s="5">
        <f>INDEX('Route Data'!$N$7:$N$8,E987)</f>
        <v>0.4</v>
      </c>
      <c r="M987" s="8">
        <v>0.17737263441085815</v>
      </c>
      <c r="N987" s="8">
        <f>ProbStrikeFrancis(K987, I987, L987, INDEX('Route Data'!$G$7:$G$8,E987),C987, INDEX('Route Data'!$F$7:$F$8,E987), INDEX('Route Data'!$O$7:$O$8,E987), INDEX('Route Data'!$H$7:$H$18,E987))</f>
        <v>1</v>
      </c>
      <c r="O987" s="5" t="str">
        <f>IF(F987&gt;=1,IF(M987&lt;=N987,"STRIKE","pass"),IF(M987&lt;=INDEX('Route Data'!$R$7:$R$8,E987),"NO PASS","pass"))</f>
        <v>STRIKE</v>
      </c>
      <c r="P987" s="5">
        <f>IF(F987&gt;=1,IF(M987&lt;=N987,1,0),IF(M987&lt;=INDEX('Route Data'!$R$7:$R$8,E987),-1,0))</f>
        <v>1</v>
      </c>
    </row>
    <row r="988" spans="1:16">
      <c r="A988" s="5">
        <v>978</v>
      </c>
      <c r="B988" s="12">
        <v>20.75</v>
      </c>
      <c r="C988" s="12">
        <f t="shared" si="15"/>
        <v>1.73</v>
      </c>
      <c r="D988" s="8">
        <v>0.34284937381744385</v>
      </c>
      <c r="E988" s="5">
        <f>MATCH(D988,'Route Data'!$C$7:$C$8,1)</f>
        <v>2</v>
      </c>
      <c r="F988" s="5">
        <f>INDEX('Route Data'!$D$7:$D$8,E988)</f>
        <v>1</v>
      </c>
      <c r="G988" s="5" t="str">
        <f>INDEX('Route Data'!$A$7:$A$8,E988)</f>
        <v>u18</v>
      </c>
      <c r="H988" s="5">
        <f>EnergyCoeff(INDEX('Route Data'!$K$7:$K$8,E988),INDEX('Route Data'!$L$7:$L$8,E988)*2*PI()/60,INDEX('Route Data'!$F$7:$F$8,E988))</f>
        <v>0.19430699130049439</v>
      </c>
      <c r="I988" s="5">
        <f>DischargeCoeff(INDEX('Route Data'!$I$7:$I$8,E988), INDEX('Route Data'!$L$7:$L$8,E988)*2*PI()/60, INDEX('Route Data'!$F$7:$F$8,E988))</f>
        <v>0.15939200179827354</v>
      </c>
      <c r="J988" s="8">
        <f>FlowAngleRel(INDEX('Route Data'!$J$7:$J$8,E988)*INDEX('Route Data'!$I$7:$I$8,E988), INDEX('Route Data'!$L$7:$L$8,E988)*2*PI()/60, INDEX('Route Data'!$F$7:$F$8,E988),INDEX('Route Data'!$O$7:$O$8,E988), INDEX('Route Data'!$P$7:$P$8,E988),INDEX('Route Data'!$M$7:$M$8,E988))</f>
        <v>1.130811765868994</v>
      </c>
      <c r="K988" s="8">
        <f>FlowAngleAbsT(INDEX('Route Data'!$K$7:$K$8,E988), INDEX('Route Data'!$I$7:$I$8,E988), INDEX('Route Data'!$I$7:$I$8,E988)*INDEX('Route Data'!$J$7:$J$8,E988), INDEX('Route Data'!$L$7:$L$8,E988)*2*PI()/60, INDEX('Route Data'!$F$7:$F$8,E988),INDEX('Route Data'!$O$7:$O$8,E988), INDEX('Route Data'!$P$7:$P$8,E988), INDEX('Route Data'!$H$7:$H$8,E988), INDEX('Route Data'!$Q$7:$Q$8,E988), INDEX('Route Data'!$M$7:$M$8,E988))</f>
        <v>0.51617226640175828</v>
      </c>
      <c r="L988" s="5">
        <f>INDEX('Route Data'!$N$7:$N$8,E988)</f>
        <v>0.4</v>
      </c>
      <c r="M988" s="8">
        <v>0.80352604389190674</v>
      </c>
      <c r="N988" s="8">
        <f>ProbStrikeFrancis(K988, I988, L988, INDEX('Route Data'!$G$7:$G$8,E988),C988, INDEX('Route Data'!$F$7:$F$8,E988), INDEX('Route Data'!$O$7:$O$8,E988), INDEX('Route Data'!$H$7:$H$18,E988))</f>
        <v>1</v>
      </c>
      <c r="O988" s="5" t="str">
        <f>IF(F988&gt;=1,IF(M988&lt;=N988,"STRIKE","pass"),IF(M988&lt;=INDEX('Route Data'!$R$7:$R$8,E988),"NO PASS","pass"))</f>
        <v>STRIKE</v>
      </c>
      <c r="P988" s="5">
        <f>IF(F988&gt;=1,IF(M988&lt;=N988,1,0),IF(M988&lt;=INDEX('Route Data'!$R$7:$R$8,E988),-1,0))</f>
        <v>1</v>
      </c>
    </row>
    <row r="989" spans="1:16">
      <c r="A989" s="5">
        <v>979</v>
      </c>
      <c r="B989" s="12">
        <v>24.35</v>
      </c>
      <c r="C989" s="12">
        <f t="shared" si="15"/>
        <v>2.0299999999999998</v>
      </c>
      <c r="D989" s="8">
        <v>0.38816577196121216</v>
      </c>
      <c r="E989" s="5">
        <f>MATCH(D989,'Route Data'!$C$7:$C$8,1)</f>
        <v>2</v>
      </c>
      <c r="F989" s="5">
        <f>INDEX('Route Data'!$D$7:$D$8,E989)</f>
        <v>1</v>
      </c>
      <c r="G989" s="5" t="str">
        <f>INDEX('Route Data'!$A$7:$A$8,E989)</f>
        <v>u18</v>
      </c>
      <c r="H989" s="5">
        <f>EnergyCoeff(INDEX('Route Data'!$K$7:$K$8,E989),INDEX('Route Data'!$L$7:$L$8,E989)*2*PI()/60,INDEX('Route Data'!$F$7:$F$8,E989))</f>
        <v>0.19430699130049439</v>
      </c>
      <c r="I989" s="5">
        <f>DischargeCoeff(INDEX('Route Data'!$I$7:$I$8,E989), INDEX('Route Data'!$L$7:$L$8,E989)*2*PI()/60, INDEX('Route Data'!$F$7:$F$8,E989))</f>
        <v>0.15939200179827354</v>
      </c>
      <c r="J989" s="8">
        <f>FlowAngleRel(INDEX('Route Data'!$J$7:$J$8,E989)*INDEX('Route Data'!$I$7:$I$8,E989), INDEX('Route Data'!$L$7:$L$8,E989)*2*PI()/60, INDEX('Route Data'!$F$7:$F$8,E989),INDEX('Route Data'!$O$7:$O$8,E989), INDEX('Route Data'!$P$7:$P$8,E989),INDEX('Route Data'!$M$7:$M$8,E989))</f>
        <v>1.130811765868994</v>
      </c>
      <c r="K989" s="8">
        <f>FlowAngleAbsT(INDEX('Route Data'!$K$7:$K$8,E989), INDEX('Route Data'!$I$7:$I$8,E989), INDEX('Route Data'!$I$7:$I$8,E989)*INDEX('Route Data'!$J$7:$J$8,E989), INDEX('Route Data'!$L$7:$L$8,E989)*2*PI()/60, INDEX('Route Data'!$F$7:$F$8,E989),INDEX('Route Data'!$O$7:$O$8,E989), INDEX('Route Data'!$P$7:$P$8,E989), INDEX('Route Data'!$H$7:$H$8,E989), INDEX('Route Data'!$Q$7:$Q$8,E989), INDEX('Route Data'!$M$7:$M$8,E989))</f>
        <v>0.51617226640175828</v>
      </c>
      <c r="L989" s="5">
        <f>INDEX('Route Data'!$N$7:$N$8,E989)</f>
        <v>0.4</v>
      </c>
      <c r="M989" s="8">
        <v>0.19064503908157349</v>
      </c>
      <c r="N989" s="8">
        <f>ProbStrikeFrancis(K989, I989, L989, INDEX('Route Data'!$G$7:$G$8,E989),C989, INDEX('Route Data'!$F$7:$F$8,E989), INDEX('Route Data'!$O$7:$O$8,E989), INDEX('Route Data'!$H$7:$H$18,E989))</f>
        <v>1</v>
      </c>
      <c r="O989" s="5" t="str">
        <f>IF(F989&gt;=1,IF(M989&lt;=N989,"STRIKE","pass"),IF(M989&lt;=INDEX('Route Data'!$R$7:$R$8,E989),"NO PASS","pass"))</f>
        <v>STRIKE</v>
      </c>
      <c r="P989" s="5">
        <f>IF(F989&gt;=1,IF(M989&lt;=N989,1,0),IF(M989&lt;=INDEX('Route Data'!$R$7:$R$8,E989),-1,0))</f>
        <v>1</v>
      </c>
    </row>
    <row r="990" spans="1:16">
      <c r="A990" s="5">
        <v>980</v>
      </c>
      <c r="B990" s="12">
        <v>21.79</v>
      </c>
      <c r="C990" s="12">
        <f t="shared" si="15"/>
        <v>1.82</v>
      </c>
      <c r="D990" s="8">
        <v>0.78337502479553223</v>
      </c>
      <c r="E990" s="5">
        <f>MATCH(D990,'Route Data'!$C$7:$C$8,1)</f>
        <v>2</v>
      </c>
      <c r="F990" s="5">
        <f>INDEX('Route Data'!$D$7:$D$8,E990)</f>
        <v>1</v>
      </c>
      <c r="G990" s="5" t="str">
        <f>INDEX('Route Data'!$A$7:$A$8,E990)</f>
        <v>u18</v>
      </c>
      <c r="H990" s="5">
        <f>EnergyCoeff(INDEX('Route Data'!$K$7:$K$8,E990),INDEX('Route Data'!$L$7:$L$8,E990)*2*PI()/60,INDEX('Route Data'!$F$7:$F$8,E990))</f>
        <v>0.19430699130049439</v>
      </c>
      <c r="I990" s="5">
        <f>DischargeCoeff(INDEX('Route Data'!$I$7:$I$8,E990), INDEX('Route Data'!$L$7:$L$8,E990)*2*PI()/60, INDEX('Route Data'!$F$7:$F$8,E990))</f>
        <v>0.15939200179827354</v>
      </c>
      <c r="J990" s="8">
        <f>FlowAngleRel(INDEX('Route Data'!$J$7:$J$8,E990)*INDEX('Route Data'!$I$7:$I$8,E990), INDEX('Route Data'!$L$7:$L$8,E990)*2*PI()/60, INDEX('Route Data'!$F$7:$F$8,E990),INDEX('Route Data'!$O$7:$O$8,E990), INDEX('Route Data'!$P$7:$P$8,E990),INDEX('Route Data'!$M$7:$M$8,E990))</f>
        <v>1.130811765868994</v>
      </c>
      <c r="K990" s="8">
        <f>FlowAngleAbsT(INDEX('Route Data'!$K$7:$K$8,E990), INDEX('Route Data'!$I$7:$I$8,E990), INDEX('Route Data'!$I$7:$I$8,E990)*INDEX('Route Data'!$J$7:$J$8,E990), INDEX('Route Data'!$L$7:$L$8,E990)*2*PI()/60, INDEX('Route Data'!$F$7:$F$8,E990),INDEX('Route Data'!$O$7:$O$8,E990), INDEX('Route Data'!$P$7:$P$8,E990), INDEX('Route Data'!$H$7:$H$8,E990), INDEX('Route Data'!$Q$7:$Q$8,E990), INDEX('Route Data'!$M$7:$M$8,E990))</f>
        <v>0.51617226640175828</v>
      </c>
      <c r="L990" s="5">
        <f>INDEX('Route Data'!$N$7:$N$8,E990)</f>
        <v>0.4</v>
      </c>
      <c r="M990" s="8">
        <v>0.29486727714538574</v>
      </c>
      <c r="N990" s="8">
        <f>ProbStrikeFrancis(K990, I990, L990, INDEX('Route Data'!$G$7:$G$8,E990),C990, INDEX('Route Data'!$F$7:$F$8,E990), INDEX('Route Data'!$O$7:$O$8,E990), INDEX('Route Data'!$H$7:$H$18,E990))</f>
        <v>1</v>
      </c>
      <c r="O990" s="5" t="str">
        <f>IF(F990&gt;=1,IF(M990&lt;=N990,"STRIKE","pass"),IF(M990&lt;=INDEX('Route Data'!$R$7:$R$8,E990),"NO PASS","pass"))</f>
        <v>STRIKE</v>
      </c>
      <c r="P990" s="5">
        <f>IF(F990&gt;=1,IF(M990&lt;=N990,1,0),IF(M990&lt;=INDEX('Route Data'!$R$7:$R$8,E990),-1,0))</f>
        <v>1</v>
      </c>
    </row>
    <row r="991" spans="1:16">
      <c r="A991" s="5">
        <v>981</v>
      </c>
      <c r="B991" s="12">
        <v>23.42</v>
      </c>
      <c r="C991" s="12">
        <f t="shared" si="15"/>
        <v>1.95</v>
      </c>
      <c r="D991" s="8">
        <v>0.33216804265975952</v>
      </c>
      <c r="E991" s="5">
        <f>MATCH(D991,'Route Data'!$C$7:$C$8,1)</f>
        <v>2</v>
      </c>
      <c r="F991" s="5">
        <f>INDEX('Route Data'!$D$7:$D$8,E991)</f>
        <v>1</v>
      </c>
      <c r="G991" s="5" t="str">
        <f>INDEX('Route Data'!$A$7:$A$8,E991)</f>
        <v>u18</v>
      </c>
      <c r="H991" s="5">
        <f>EnergyCoeff(INDEX('Route Data'!$K$7:$K$8,E991),INDEX('Route Data'!$L$7:$L$8,E991)*2*PI()/60,INDEX('Route Data'!$F$7:$F$8,E991))</f>
        <v>0.19430699130049439</v>
      </c>
      <c r="I991" s="5">
        <f>DischargeCoeff(INDEX('Route Data'!$I$7:$I$8,E991), INDEX('Route Data'!$L$7:$L$8,E991)*2*PI()/60, INDEX('Route Data'!$F$7:$F$8,E991))</f>
        <v>0.15939200179827354</v>
      </c>
      <c r="J991" s="8">
        <f>FlowAngleRel(INDEX('Route Data'!$J$7:$J$8,E991)*INDEX('Route Data'!$I$7:$I$8,E991), INDEX('Route Data'!$L$7:$L$8,E991)*2*PI()/60, INDEX('Route Data'!$F$7:$F$8,E991),INDEX('Route Data'!$O$7:$O$8,E991), INDEX('Route Data'!$P$7:$P$8,E991),INDEX('Route Data'!$M$7:$M$8,E991))</f>
        <v>1.130811765868994</v>
      </c>
      <c r="K991" s="8">
        <f>FlowAngleAbsT(INDEX('Route Data'!$K$7:$K$8,E991), INDEX('Route Data'!$I$7:$I$8,E991), INDEX('Route Data'!$I$7:$I$8,E991)*INDEX('Route Data'!$J$7:$J$8,E991), INDEX('Route Data'!$L$7:$L$8,E991)*2*PI()/60, INDEX('Route Data'!$F$7:$F$8,E991),INDEX('Route Data'!$O$7:$O$8,E991), INDEX('Route Data'!$P$7:$P$8,E991), INDEX('Route Data'!$H$7:$H$8,E991), INDEX('Route Data'!$Q$7:$Q$8,E991), INDEX('Route Data'!$M$7:$M$8,E991))</f>
        <v>0.51617226640175828</v>
      </c>
      <c r="L991" s="5">
        <f>INDEX('Route Data'!$N$7:$N$8,E991)</f>
        <v>0.4</v>
      </c>
      <c r="M991" s="8">
        <v>0.45104211568832397</v>
      </c>
      <c r="N991" s="8">
        <f>ProbStrikeFrancis(K991, I991, L991, INDEX('Route Data'!$G$7:$G$8,E991),C991, INDEX('Route Data'!$F$7:$F$8,E991), INDEX('Route Data'!$O$7:$O$8,E991), INDEX('Route Data'!$H$7:$H$18,E991))</f>
        <v>1</v>
      </c>
      <c r="O991" s="5" t="str">
        <f>IF(F991&gt;=1,IF(M991&lt;=N991,"STRIKE","pass"),IF(M991&lt;=INDEX('Route Data'!$R$7:$R$8,E991),"NO PASS","pass"))</f>
        <v>STRIKE</v>
      </c>
      <c r="P991" s="5">
        <f>IF(F991&gt;=1,IF(M991&lt;=N991,1,0),IF(M991&lt;=INDEX('Route Data'!$R$7:$R$8,E991),-1,0))</f>
        <v>1</v>
      </c>
    </row>
    <row r="992" spans="1:16">
      <c r="A992" s="5">
        <v>982</v>
      </c>
      <c r="B992" s="12">
        <v>24.42</v>
      </c>
      <c r="C992" s="12">
        <f t="shared" si="15"/>
        <v>2.04</v>
      </c>
      <c r="D992" s="8">
        <v>0.42020976543426514</v>
      </c>
      <c r="E992" s="5">
        <f>MATCH(D992,'Route Data'!$C$7:$C$8,1)</f>
        <v>2</v>
      </c>
      <c r="F992" s="5">
        <f>INDEX('Route Data'!$D$7:$D$8,E992)</f>
        <v>1</v>
      </c>
      <c r="G992" s="5" t="str">
        <f>INDEX('Route Data'!$A$7:$A$8,E992)</f>
        <v>u18</v>
      </c>
      <c r="H992" s="5">
        <f>EnergyCoeff(INDEX('Route Data'!$K$7:$K$8,E992),INDEX('Route Data'!$L$7:$L$8,E992)*2*PI()/60,INDEX('Route Data'!$F$7:$F$8,E992))</f>
        <v>0.19430699130049439</v>
      </c>
      <c r="I992" s="5">
        <f>DischargeCoeff(INDEX('Route Data'!$I$7:$I$8,E992), INDEX('Route Data'!$L$7:$L$8,E992)*2*PI()/60, INDEX('Route Data'!$F$7:$F$8,E992))</f>
        <v>0.15939200179827354</v>
      </c>
      <c r="J992" s="8">
        <f>FlowAngleRel(INDEX('Route Data'!$J$7:$J$8,E992)*INDEX('Route Data'!$I$7:$I$8,E992), INDEX('Route Data'!$L$7:$L$8,E992)*2*PI()/60, INDEX('Route Data'!$F$7:$F$8,E992),INDEX('Route Data'!$O$7:$O$8,E992), INDEX('Route Data'!$P$7:$P$8,E992),INDEX('Route Data'!$M$7:$M$8,E992))</f>
        <v>1.130811765868994</v>
      </c>
      <c r="K992" s="8">
        <f>FlowAngleAbsT(INDEX('Route Data'!$K$7:$K$8,E992), INDEX('Route Data'!$I$7:$I$8,E992), INDEX('Route Data'!$I$7:$I$8,E992)*INDEX('Route Data'!$J$7:$J$8,E992), INDEX('Route Data'!$L$7:$L$8,E992)*2*PI()/60, INDEX('Route Data'!$F$7:$F$8,E992),INDEX('Route Data'!$O$7:$O$8,E992), INDEX('Route Data'!$P$7:$P$8,E992), INDEX('Route Data'!$H$7:$H$8,E992), INDEX('Route Data'!$Q$7:$Q$8,E992), INDEX('Route Data'!$M$7:$M$8,E992))</f>
        <v>0.51617226640175828</v>
      </c>
      <c r="L992" s="5">
        <f>INDEX('Route Data'!$N$7:$N$8,E992)</f>
        <v>0.4</v>
      </c>
      <c r="M992" s="8">
        <v>0.24809682369232178</v>
      </c>
      <c r="N992" s="8">
        <f>ProbStrikeFrancis(K992, I992, L992, INDEX('Route Data'!$G$7:$G$8,E992),C992, INDEX('Route Data'!$F$7:$F$8,E992), INDEX('Route Data'!$O$7:$O$8,E992), INDEX('Route Data'!$H$7:$H$18,E992))</f>
        <v>1</v>
      </c>
      <c r="O992" s="5" t="str">
        <f>IF(F992&gt;=1,IF(M992&lt;=N992,"STRIKE","pass"),IF(M992&lt;=INDEX('Route Data'!$R$7:$R$8,E992),"NO PASS","pass"))</f>
        <v>STRIKE</v>
      </c>
      <c r="P992" s="5">
        <f>IF(F992&gt;=1,IF(M992&lt;=N992,1,0),IF(M992&lt;=INDEX('Route Data'!$R$7:$R$8,E992),-1,0))</f>
        <v>1</v>
      </c>
    </row>
    <row r="993" spans="1:16">
      <c r="A993" s="5">
        <v>983</v>
      </c>
      <c r="B993" s="12">
        <v>23.74</v>
      </c>
      <c r="C993" s="12">
        <f t="shared" si="15"/>
        <v>1.98</v>
      </c>
      <c r="D993" s="8">
        <v>0.68724304437637329</v>
      </c>
      <c r="E993" s="5">
        <f>MATCH(D993,'Route Data'!$C$7:$C$8,1)</f>
        <v>2</v>
      </c>
      <c r="F993" s="5">
        <f>INDEX('Route Data'!$D$7:$D$8,E993)</f>
        <v>1</v>
      </c>
      <c r="G993" s="5" t="str">
        <f>INDEX('Route Data'!$A$7:$A$8,E993)</f>
        <v>u18</v>
      </c>
      <c r="H993" s="5">
        <f>EnergyCoeff(INDEX('Route Data'!$K$7:$K$8,E993),INDEX('Route Data'!$L$7:$L$8,E993)*2*PI()/60,INDEX('Route Data'!$F$7:$F$8,E993))</f>
        <v>0.19430699130049439</v>
      </c>
      <c r="I993" s="5">
        <f>DischargeCoeff(INDEX('Route Data'!$I$7:$I$8,E993), INDEX('Route Data'!$L$7:$L$8,E993)*2*PI()/60, INDEX('Route Data'!$F$7:$F$8,E993))</f>
        <v>0.15939200179827354</v>
      </c>
      <c r="J993" s="8">
        <f>FlowAngleRel(INDEX('Route Data'!$J$7:$J$8,E993)*INDEX('Route Data'!$I$7:$I$8,E993), INDEX('Route Data'!$L$7:$L$8,E993)*2*PI()/60, INDEX('Route Data'!$F$7:$F$8,E993),INDEX('Route Data'!$O$7:$O$8,E993), INDEX('Route Data'!$P$7:$P$8,E993),INDEX('Route Data'!$M$7:$M$8,E993))</f>
        <v>1.130811765868994</v>
      </c>
      <c r="K993" s="8">
        <f>FlowAngleAbsT(INDEX('Route Data'!$K$7:$K$8,E993), INDEX('Route Data'!$I$7:$I$8,E993), INDEX('Route Data'!$I$7:$I$8,E993)*INDEX('Route Data'!$J$7:$J$8,E993), INDEX('Route Data'!$L$7:$L$8,E993)*2*PI()/60, INDEX('Route Data'!$F$7:$F$8,E993),INDEX('Route Data'!$O$7:$O$8,E993), INDEX('Route Data'!$P$7:$P$8,E993), INDEX('Route Data'!$H$7:$H$8,E993), INDEX('Route Data'!$Q$7:$Q$8,E993), INDEX('Route Data'!$M$7:$M$8,E993))</f>
        <v>0.51617226640175828</v>
      </c>
      <c r="L993" s="5">
        <f>INDEX('Route Data'!$N$7:$N$8,E993)</f>
        <v>0.4</v>
      </c>
      <c r="M993" s="8">
        <v>0.85693269968032837</v>
      </c>
      <c r="N993" s="8">
        <f>ProbStrikeFrancis(K993, I993, L993, INDEX('Route Data'!$G$7:$G$8,E993),C993, INDEX('Route Data'!$F$7:$F$8,E993), INDEX('Route Data'!$O$7:$O$8,E993), INDEX('Route Data'!$H$7:$H$18,E993))</f>
        <v>1</v>
      </c>
      <c r="O993" s="5" t="str">
        <f>IF(F993&gt;=1,IF(M993&lt;=N993,"STRIKE","pass"),IF(M993&lt;=INDEX('Route Data'!$R$7:$R$8,E993),"NO PASS","pass"))</f>
        <v>STRIKE</v>
      </c>
      <c r="P993" s="5">
        <f>IF(F993&gt;=1,IF(M993&lt;=N993,1,0),IF(M993&lt;=INDEX('Route Data'!$R$7:$R$8,E993),-1,0))</f>
        <v>1</v>
      </c>
    </row>
    <row r="994" spans="1:16">
      <c r="A994" s="5">
        <v>984</v>
      </c>
      <c r="B994" s="12">
        <v>26.23</v>
      </c>
      <c r="C994" s="12">
        <f t="shared" si="15"/>
        <v>2.19</v>
      </c>
      <c r="D994" s="8">
        <v>0.62056398391723633</v>
      </c>
      <c r="E994" s="5">
        <f>MATCH(D994,'Route Data'!$C$7:$C$8,1)</f>
        <v>2</v>
      </c>
      <c r="F994" s="5">
        <f>INDEX('Route Data'!$D$7:$D$8,E994)</f>
        <v>1</v>
      </c>
      <c r="G994" s="5" t="str">
        <f>INDEX('Route Data'!$A$7:$A$8,E994)</f>
        <v>u18</v>
      </c>
      <c r="H994" s="5">
        <f>EnergyCoeff(INDEX('Route Data'!$K$7:$K$8,E994),INDEX('Route Data'!$L$7:$L$8,E994)*2*PI()/60,INDEX('Route Data'!$F$7:$F$8,E994))</f>
        <v>0.19430699130049439</v>
      </c>
      <c r="I994" s="5">
        <f>DischargeCoeff(INDEX('Route Data'!$I$7:$I$8,E994), INDEX('Route Data'!$L$7:$L$8,E994)*2*PI()/60, INDEX('Route Data'!$F$7:$F$8,E994))</f>
        <v>0.15939200179827354</v>
      </c>
      <c r="J994" s="8">
        <f>FlowAngleRel(INDEX('Route Data'!$J$7:$J$8,E994)*INDEX('Route Data'!$I$7:$I$8,E994), INDEX('Route Data'!$L$7:$L$8,E994)*2*PI()/60, INDEX('Route Data'!$F$7:$F$8,E994),INDEX('Route Data'!$O$7:$O$8,E994), INDEX('Route Data'!$P$7:$P$8,E994),INDEX('Route Data'!$M$7:$M$8,E994))</f>
        <v>1.130811765868994</v>
      </c>
      <c r="K994" s="8">
        <f>FlowAngleAbsT(INDEX('Route Data'!$K$7:$K$8,E994), INDEX('Route Data'!$I$7:$I$8,E994), INDEX('Route Data'!$I$7:$I$8,E994)*INDEX('Route Data'!$J$7:$J$8,E994), INDEX('Route Data'!$L$7:$L$8,E994)*2*PI()/60, INDEX('Route Data'!$F$7:$F$8,E994),INDEX('Route Data'!$O$7:$O$8,E994), INDEX('Route Data'!$P$7:$P$8,E994), INDEX('Route Data'!$H$7:$H$8,E994), INDEX('Route Data'!$Q$7:$Q$8,E994), INDEX('Route Data'!$M$7:$M$8,E994))</f>
        <v>0.51617226640175828</v>
      </c>
      <c r="L994" s="5">
        <f>INDEX('Route Data'!$N$7:$N$8,E994)</f>
        <v>0.4</v>
      </c>
      <c r="M994" s="8">
        <v>3.0425071716308594E-2</v>
      </c>
      <c r="N994" s="8">
        <f>ProbStrikeFrancis(K994, I994, L994, INDEX('Route Data'!$G$7:$G$8,E994),C994, INDEX('Route Data'!$F$7:$F$8,E994), INDEX('Route Data'!$O$7:$O$8,E994), INDEX('Route Data'!$H$7:$H$18,E994))</f>
        <v>1</v>
      </c>
      <c r="O994" s="5" t="str">
        <f>IF(F994&gt;=1,IF(M994&lt;=N994,"STRIKE","pass"),IF(M994&lt;=INDEX('Route Data'!$R$7:$R$8,E994),"NO PASS","pass"))</f>
        <v>STRIKE</v>
      </c>
      <c r="P994" s="5">
        <f>IF(F994&gt;=1,IF(M994&lt;=N994,1,0),IF(M994&lt;=INDEX('Route Data'!$R$7:$R$8,E994),-1,0))</f>
        <v>1</v>
      </c>
    </row>
    <row r="995" spans="1:16">
      <c r="A995" s="5">
        <v>985</v>
      </c>
      <c r="B995" s="12">
        <v>20</v>
      </c>
      <c r="C995" s="12">
        <f t="shared" si="15"/>
        <v>1.67</v>
      </c>
      <c r="D995" s="8">
        <v>0.28944271802902222</v>
      </c>
      <c r="E995" s="5">
        <f>MATCH(D995,'Route Data'!$C$7:$C$8,1)</f>
        <v>2</v>
      </c>
      <c r="F995" s="5">
        <f>INDEX('Route Data'!$D$7:$D$8,E995)</f>
        <v>1</v>
      </c>
      <c r="G995" s="5" t="str">
        <f>INDEX('Route Data'!$A$7:$A$8,E995)</f>
        <v>u18</v>
      </c>
      <c r="H995" s="5">
        <f>EnergyCoeff(INDEX('Route Data'!$K$7:$K$8,E995),INDEX('Route Data'!$L$7:$L$8,E995)*2*PI()/60,INDEX('Route Data'!$F$7:$F$8,E995))</f>
        <v>0.19430699130049439</v>
      </c>
      <c r="I995" s="5">
        <f>DischargeCoeff(INDEX('Route Data'!$I$7:$I$8,E995), INDEX('Route Data'!$L$7:$L$8,E995)*2*PI()/60, INDEX('Route Data'!$F$7:$F$8,E995))</f>
        <v>0.15939200179827354</v>
      </c>
      <c r="J995" s="8">
        <f>FlowAngleRel(INDEX('Route Data'!$J$7:$J$8,E995)*INDEX('Route Data'!$I$7:$I$8,E995), INDEX('Route Data'!$L$7:$L$8,E995)*2*PI()/60, INDEX('Route Data'!$F$7:$F$8,E995),INDEX('Route Data'!$O$7:$O$8,E995), INDEX('Route Data'!$P$7:$P$8,E995),INDEX('Route Data'!$M$7:$M$8,E995))</f>
        <v>1.130811765868994</v>
      </c>
      <c r="K995" s="8">
        <f>FlowAngleAbsT(INDEX('Route Data'!$K$7:$K$8,E995), INDEX('Route Data'!$I$7:$I$8,E995), INDEX('Route Data'!$I$7:$I$8,E995)*INDEX('Route Data'!$J$7:$J$8,E995), INDEX('Route Data'!$L$7:$L$8,E995)*2*PI()/60, INDEX('Route Data'!$F$7:$F$8,E995),INDEX('Route Data'!$O$7:$O$8,E995), INDEX('Route Data'!$P$7:$P$8,E995), INDEX('Route Data'!$H$7:$H$8,E995), INDEX('Route Data'!$Q$7:$Q$8,E995), INDEX('Route Data'!$M$7:$M$8,E995))</f>
        <v>0.51617226640175828</v>
      </c>
      <c r="L995" s="5">
        <f>INDEX('Route Data'!$N$7:$N$8,E995)</f>
        <v>0.4</v>
      </c>
      <c r="M995" s="8">
        <v>4.110640287399292E-2</v>
      </c>
      <c r="N995" s="8">
        <f>ProbStrikeFrancis(K995, I995, L995, INDEX('Route Data'!$G$7:$G$8,E995),C995, INDEX('Route Data'!$F$7:$F$8,E995), INDEX('Route Data'!$O$7:$O$8,E995), INDEX('Route Data'!$H$7:$H$18,E995))</f>
        <v>1</v>
      </c>
      <c r="O995" s="5" t="str">
        <f>IF(F995&gt;=1,IF(M995&lt;=N995,"STRIKE","pass"),IF(M995&lt;=INDEX('Route Data'!$R$7:$R$8,E995),"NO PASS","pass"))</f>
        <v>STRIKE</v>
      </c>
      <c r="P995" s="5">
        <f>IF(F995&gt;=1,IF(M995&lt;=N995,1,0),IF(M995&lt;=INDEX('Route Data'!$R$7:$R$8,E995),-1,0))</f>
        <v>1</v>
      </c>
    </row>
    <row r="996" spans="1:16">
      <c r="A996" s="5">
        <v>986</v>
      </c>
      <c r="B996" s="12">
        <v>22.43</v>
      </c>
      <c r="C996" s="12">
        <f t="shared" si="15"/>
        <v>1.87</v>
      </c>
      <c r="D996" s="8">
        <v>0.54838573932647705</v>
      </c>
      <c r="E996" s="5">
        <f>MATCH(D996,'Route Data'!$C$7:$C$8,1)</f>
        <v>2</v>
      </c>
      <c r="F996" s="5">
        <f>INDEX('Route Data'!$D$7:$D$8,E996)</f>
        <v>1</v>
      </c>
      <c r="G996" s="5" t="str">
        <f>INDEX('Route Data'!$A$7:$A$8,E996)</f>
        <v>u18</v>
      </c>
      <c r="H996" s="5">
        <f>EnergyCoeff(INDEX('Route Data'!$K$7:$K$8,E996),INDEX('Route Data'!$L$7:$L$8,E996)*2*PI()/60,INDEX('Route Data'!$F$7:$F$8,E996))</f>
        <v>0.19430699130049439</v>
      </c>
      <c r="I996" s="5">
        <f>DischargeCoeff(INDEX('Route Data'!$I$7:$I$8,E996), INDEX('Route Data'!$L$7:$L$8,E996)*2*PI()/60, INDEX('Route Data'!$F$7:$F$8,E996))</f>
        <v>0.15939200179827354</v>
      </c>
      <c r="J996" s="8">
        <f>FlowAngleRel(INDEX('Route Data'!$J$7:$J$8,E996)*INDEX('Route Data'!$I$7:$I$8,E996), INDEX('Route Data'!$L$7:$L$8,E996)*2*PI()/60, INDEX('Route Data'!$F$7:$F$8,E996),INDEX('Route Data'!$O$7:$O$8,E996), INDEX('Route Data'!$P$7:$P$8,E996),INDEX('Route Data'!$M$7:$M$8,E996))</f>
        <v>1.130811765868994</v>
      </c>
      <c r="K996" s="8">
        <f>FlowAngleAbsT(INDEX('Route Data'!$K$7:$K$8,E996), INDEX('Route Data'!$I$7:$I$8,E996), INDEX('Route Data'!$I$7:$I$8,E996)*INDEX('Route Data'!$J$7:$J$8,E996), INDEX('Route Data'!$L$7:$L$8,E996)*2*PI()/60, INDEX('Route Data'!$F$7:$F$8,E996),INDEX('Route Data'!$O$7:$O$8,E996), INDEX('Route Data'!$P$7:$P$8,E996), INDEX('Route Data'!$H$7:$H$8,E996), INDEX('Route Data'!$Q$7:$Q$8,E996), INDEX('Route Data'!$M$7:$M$8,E996))</f>
        <v>0.51617226640175828</v>
      </c>
      <c r="L996" s="5">
        <f>INDEX('Route Data'!$N$7:$N$8,E996)</f>
        <v>0.4</v>
      </c>
      <c r="M996" s="8">
        <v>9.0624094009399414E-3</v>
      </c>
      <c r="N996" s="8">
        <f>ProbStrikeFrancis(K996, I996, L996, INDEX('Route Data'!$G$7:$G$8,E996),C996, INDEX('Route Data'!$F$7:$F$8,E996), INDEX('Route Data'!$O$7:$O$8,E996), INDEX('Route Data'!$H$7:$H$18,E996))</f>
        <v>1</v>
      </c>
      <c r="O996" s="5" t="str">
        <f>IF(F996&gt;=1,IF(M996&lt;=N996,"STRIKE","pass"),IF(M996&lt;=INDEX('Route Data'!$R$7:$R$8,E996),"NO PASS","pass"))</f>
        <v>STRIKE</v>
      </c>
      <c r="P996" s="5">
        <f>IF(F996&gt;=1,IF(M996&lt;=N996,1,0),IF(M996&lt;=INDEX('Route Data'!$R$7:$R$8,E996),-1,0))</f>
        <v>1</v>
      </c>
    </row>
    <row r="997" spans="1:16">
      <c r="A997" s="5">
        <v>987</v>
      </c>
      <c r="B997" s="12">
        <v>23.6</v>
      </c>
      <c r="C997" s="12">
        <f t="shared" si="15"/>
        <v>1.97</v>
      </c>
      <c r="D997" s="8">
        <v>3.7135899066925049E-2</v>
      </c>
      <c r="E997" s="5">
        <f>MATCH(D997,'Route Data'!$C$7:$C$8,1)</f>
        <v>2</v>
      </c>
      <c r="F997" s="5">
        <f>INDEX('Route Data'!$D$7:$D$8,E997)</f>
        <v>1</v>
      </c>
      <c r="G997" s="5" t="str">
        <f>INDEX('Route Data'!$A$7:$A$8,E997)</f>
        <v>u18</v>
      </c>
      <c r="H997" s="5">
        <f>EnergyCoeff(INDEX('Route Data'!$K$7:$K$8,E997),INDEX('Route Data'!$L$7:$L$8,E997)*2*PI()/60,INDEX('Route Data'!$F$7:$F$8,E997))</f>
        <v>0.19430699130049439</v>
      </c>
      <c r="I997" s="5">
        <f>DischargeCoeff(INDEX('Route Data'!$I$7:$I$8,E997), INDEX('Route Data'!$L$7:$L$8,E997)*2*PI()/60, INDEX('Route Data'!$F$7:$F$8,E997))</f>
        <v>0.15939200179827354</v>
      </c>
      <c r="J997" s="8">
        <f>FlowAngleRel(INDEX('Route Data'!$J$7:$J$8,E997)*INDEX('Route Data'!$I$7:$I$8,E997), INDEX('Route Data'!$L$7:$L$8,E997)*2*PI()/60, INDEX('Route Data'!$F$7:$F$8,E997),INDEX('Route Data'!$O$7:$O$8,E997), INDEX('Route Data'!$P$7:$P$8,E997),INDEX('Route Data'!$M$7:$M$8,E997))</f>
        <v>1.130811765868994</v>
      </c>
      <c r="K997" s="8">
        <f>FlowAngleAbsT(INDEX('Route Data'!$K$7:$K$8,E997), INDEX('Route Data'!$I$7:$I$8,E997), INDEX('Route Data'!$I$7:$I$8,E997)*INDEX('Route Data'!$J$7:$J$8,E997), INDEX('Route Data'!$L$7:$L$8,E997)*2*PI()/60, INDEX('Route Data'!$F$7:$F$8,E997),INDEX('Route Data'!$O$7:$O$8,E997), INDEX('Route Data'!$P$7:$P$8,E997), INDEX('Route Data'!$H$7:$H$8,E997), INDEX('Route Data'!$Q$7:$Q$8,E997), INDEX('Route Data'!$M$7:$M$8,E997))</f>
        <v>0.51617226640175828</v>
      </c>
      <c r="L997" s="5">
        <f>INDEX('Route Data'!$N$7:$N$8,E997)</f>
        <v>0.4</v>
      </c>
      <c r="M997" s="8">
        <v>0.10519438982009888</v>
      </c>
      <c r="N997" s="8">
        <f>ProbStrikeFrancis(K997, I997, L997, INDEX('Route Data'!$G$7:$G$8,E997),C997, INDEX('Route Data'!$F$7:$F$8,E997), INDEX('Route Data'!$O$7:$O$8,E997), INDEX('Route Data'!$H$7:$H$18,E997))</f>
        <v>1</v>
      </c>
      <c r="O997" s="5" t="str">
        <f>IF(F997&gt;=1,IF(M997&lt;=N997,"STRIKE","pass"),IF(M997&lt;=INDEX('Route Data'!$R$7:$R$8,E997),"NO PASS","pass"))</f>
        <v>STRIKE</v>
      </c>
      <c r="P997" s="5">
        <f>IF(F997&gt;=1,IF(M997&lt;=N997,1,0),IF(M997&lt;=INDEX('Route Data'!$R$7:$R$8,E997),-1,0))</f>
        <v>1</v>
      </c>
    </row>
    <row r="998" spans="1:16">
      <c r="A998" s="5">
        <v>988</v>
      </c>
      <c r="B998" s="12">
        <v>23.84</v>
      </c>
      <c r="C998" s="12">
        <f t="shared" si="15"/>
        <v>1.99</v>
      </c>
      <c r="D998" s="8">
        <v>3.9726972579956055E-2</v>
      </c>
      <c r="E998" s="5">
        <f>MATCH(D998,'Route Data'!$C$7:$C$8,1)</f>
        <v>2</v>
      </c>
      <c r="F998" s="5">
        <f>INDEX('Route Data'!$D$7:$D$8,E998)</f>
        <v>1</v>
      </c>
      <c r="G998" s="5" t="str">
        <f>INDEX('Route Data'!$A$7:$A$8,E998)</f>
        <v>u18</v>
      </c>
      <c r="H998" s="5">
        <f>EnergyCoeff(INDEX('Route Data'!$K$7:$K$8,E998),INDEX('Route Data'!$L$7:$L$8,E998)*2*PI()/60,INDEX('Route Data'!$F$7:$F$8,E998))</f>
        <v>0.19430699130049439</v>
      </c>
      <c r="I998" s="5">
        <f>DischargeCoeff(INDEX('Route Data'!$I$7:$I$8,E998), INDEX('Route Data'!$L$7:$L$8,E998)*2*PI()/60, INDEX('Route Data'!$F$7:$F$8,E998))</f>
        <v>0.15939200179827354</v>
      </c>
      <c r="J998" s="8">
        <f>FlowAngleRel(INDEX('Route Data'!$J$7:$J$8,E998)*INDEX('Route Data'!$I$7:$I$8,E998), INDEX('Route Data'!$L$7:$L$8,E998)*2*PI()/60, INDEX('Route Data'!$F$7:$F$8,E998),INDEX('Route Data'!$O$7:$O$8,E998), INDEX('Route Data'!$P$7:$P$8,E998),INDEX('Route Data'!$M$7:$M$8,E998))</f>
        <v>1.130811765868994</v>
      </c>
      <c r="K998" s="8">
        <f>FlowAngleAbsT(INDEX('Route Data'!$K$7:$K$8,E998), INDEX('Route Data'!$I$7:$I$8,E998), INDEX('Route Data'!$I$7:$I$8,E998)*INDEX('Route Data'!$J$7:$J$8,E998), INDEX('Route Data'!$L$7:$L$8,E998)*2*PI()/60, INDEX('Route Data'!$F$7:$F$8,E998),INDEX('Route Data'!$O$7:$O$8,E998), INDEX('Route Data'!$P$7:$P$8,E998), INDEX('Route Data'!$H$7:$H$8,E998), INDEX('Route Data'!$Q$7:$Q$8,E998), INDEX('Route Data'!$M$7:$M$8,E998))</f>
        <v>0.51617226640175828</v>
      </c>
      <c r="L998" s="5">
        <f>INDEX('Route Data'!$N$7:$N$8,E998)</f>
        <v>0.4</v>
      </c>
      <c r="M998" s="8">
        <v>0.55121922492980957</v>
      </c>
      <c r="N998" s="8">
        <f>ProbStrikeFrancis(K998, I998, L998, INDEX('Route Data'!$G$7:$G$8,E998),C998, INDEX('Route Data'!$F$7:$F$8,E998), INDEX('Route Data'!$O$7:$O$8,E998), INDEX('Route Data'!$H$7:$H$18,E998))</f>
        <v>1</v>
      </c>
      <c r="O998" s="5" t="str">
        <f>IF(F998&gt;=1,IF(M998&lt;=N998,"STRIKE","pass"),IF(M998&lt;=INDEX('Route Data'!$R$7:$R$8,E998),"NO PASS","pass"))</f>
        <v>STRIKE</v>
      </c>
      <c r="P998" s="5">
        <f>IF(F998&gt;=1,IF(M998&lt;=N998,1,0),IF(M998&lt;=INDEX('Route Data'!$R$7:$R$8,E998),-1,0))</f>
        <v>1</v>
      </c>
    </row>
    <row r="999" spans="1:16">
      <c r="A999" s="5">
        <v>989</v>
      </c>
      <c r="B999" s="12">
        <v>25.75</v>
      </c>
      <c r="C999" s="12">
        <f t="shared" si="15"/>
        <v>2.15</v>
      </c>
      <c r="D999" s="8">
        <v>0.56311219930648804</v>
      </c>
      <c r="E999" s="5">
        <f>MATCH(D999,'Route Data'!$C$7:$C$8,1)</f>
        <v>2</v>
      </c>
      <c r="F999" s="5">
        <f>INDEX('Route Data'!$D$7:$D$8,E999)</f>
        <v>1</v>
      </c>
      <c r="G999" s="5" t="str">
        <f>INDEX('Route Data'!$A$7:$A$8,E999)</f>
        <v>u18</v>
      </c>
      <c r="H999" s="5">
        <f>EnergyCoeff(INDEX('Route Data'!$K$7:$K$8,E999),INDEX('Route Data'!$L$7:$L$8,E999)*2*PI()/60,INDEX('Route Data'!$F$7:$F$8,E999))</f>
        <v>0.19430699130049439</v>
      </c>
      <c r="I999" s="5">
        <f>DischargeCoeff(INDEX('Route Data'!$I$7:$I$8,E999), INDEX('Route Data'!$L$7:$L$8,E999)*2*PI()/60, INDEX('Route Data'!$F$7:$F$8,E999))</f>
        <v>0.15939200179827354</v>
      </c>
      <c r="J999" s="8">
        <f>FlowAngleRel(INDEX('Route Data'!$J$7:$J$8,E999)*INDEX('Route Data'!$I$7:$I$8,E999), INDEX('Route Data'!$L$7:$L$8,E999)*2*PI()/60, INDEX('Route Data'!$F$7:$F$8,E999),INDEX('Route Data'!$O$7:$O$8,E999), INDEX('Route Data'!$P$7:$P$8,E999),INDEX('Route Data'!$M$7:$M$8,E999))</f>
        <v>1.130811765868994</v>
      </c>
      <c r="K999" s="8">
        <f>FlowAngleAbsT(INDEX('Route Data'!$K$7:$K$8,E999), INDEX('Route Data'!$I$7:$I$8,E999), INDEX('Route Data'!$I$7:$I$8,E999)*INDEX('Route Data'!$J$7:$J$8,E999), INDEX('Route Data'!$L$7:$L$8,E999)*2*PI()/60, INDEX('Route Data'!$F$7:$F$8,E999),INDEX('Route Data'!$O$7:$O$8,E999), INDEX('Route Data'!$P$7:$P$8,E999), INDEX('Route Data'!$H$7:$H$8,E999), INDEX('Route Data'!$Q$7:$Q$8,E999), INDEX('Route Data'!$M$7:$M$8,E999))</f>
        <v>0.51617226640175828</v>
      </c>
      <c r="L999" s="5">
        <f>INDEX('Route Data'!$N$7:$N$8,E999)</f>
        <v>0.4</v>
      </c>
      <c r="M999" s="8">
        <v>0.68198627233505249</v>
      </c>
      <c r="N999" s="8">
        <f>ProbStrikeFrancis(K999, I999, L999, INDEX('Route Data'!$G$7:$G$8,E999),C999, INDEX('Route Data'!$F$7:$F$8,E999), INDEX('Route Data'!$O$7:$O$8,E999), INDEX('Route Data'!$H$7:$H$18,E999))</f>
        <v>1</v>
      </c>
      <c r="O999" s="5" t="str">
        <f>IF(F999&gt;=1,IF(M999&lt;=N999,"STRIKE","pass"),IF(M999&lt;=INDEX('Route Data'!$R$7:$R$8,E999),"NO PASS","pass"))</f>
        <v>STRIKE</v>
      </c>
      <c r="P999" s="5">
        <f>IF(F999&gt;=1,IF(M999&lt;=N999,1,0),IF(M999&lt;=INDEX('Route Data'!$R$7:$R$8,E999),-1,0))</f>
        <v>1</v>
      </c>
    </row>
    <row r="1000" spans="1:16">
      <c r="A1000" s="5">
        <v>990</v>
      </c>
      <c r="B1000" s="12">
        <v>20.91</v>
      </c>
      <c r="C1000" s="12">
        <f t="shared" si="15"/>
        <v>1.74</v>
      </c>
      <c r="D1000" s="8">
        <v>0.72737729549407959</v>
      </c>
      <c r="E1000" s="5">
        <f>MATCH(D1000,'Route Data'!$C$7:$C$8,1)</f>
        <v>2</v>
      </c>
      <c r="F1000" s="5">
        <f>INDEX('Route Data'!$D$7:$D$8,E1000)</f>
        <v>1</v>
      </c>
      <c r="G1000" s="5" t="str">
        <f>INDEX('Route Data'!$A$7:$A$8,E1000)</f>
        <v>u18</v>
      </c>
      <c r="H1000" s="5">
        <f>EnergyCoeff(INDEX('Route Data'!$K$7:$K$8,E1000),INDEX('Route Data'!$L$7:$L$8,E1000)*2*PI()/60,INDEX('Route Data'!$F$7:$F$8,E1000))</f>
        <v>0.19430699130049439</v>
      </c>
      <c r="I1000" s="5">
        <f>DischargeCoeff(INDEX('Route Data'!$I$7:$I$8,E1000), INDEX('Route Data'!$L$7:$L$8,E1000)*2*PI()/60, INDEX('Route Data'!$F$7:$F$8,E1000))</f>
        <v>0.15939200179827354</v>
      </c>
      <c r="J1000" s="8">
        <f>FlowAngleRel(INDEX('Route Data'!$J$7:$J$8,E1000)*INDEX('Route Data'!$I$7:$I$8,E1000), INDEX('Route Data'!$L$7:$L$8,E1000)*2*PI()/60, INDEX('Route Data'!$F$7:$F$8,E1000),INDEX('Route Data'!$O$7:$O$8,E1000), INDEX('Route Data'!$P$7:$P$8,E1000),INDEX('Route Data'!$M$7:$M$8,E1000))</f>
        <v>1.130811765868994</v>
      </c>
      <c r="K1000" s="8">
        <f>FlowAngleAbsT(INDEX('Route Data'!$K$7:$K$8,E1000), INDEX('Route Data'!$I$7:$I$8,E1000), INDEX('Route Data'!$I$7:$I$8,E1000)*INDEX('Route Data'!$J$7:$J$8,E1000), INDEX('Route Data'!$L$7:$L$8,E1000)*2*PI()/60, INDEX('Route Data'!$F$7:$F$8,E1000),INDEX('Route Data'!$O$7:$O$8,E1000), INDEX('Route Data'!$P$7:$P$8,E1000), INDEX('Route Data'!$H$7:$H$8,E1000), INDEX('Route Data'!$Q$7:$Q$8,E1000), INDEX('Route Data'!$M$7:$M$8,E1000))</f>
        <v>0.51617226640175828</v>
      </c>
      <c r="L1000" s="5">
        <f>INDEX('Route Data'!$N$7:$N$8,E1000)</f>
        <v>0.4</v>
      </c>
      <c r="M1000" s="8">
        <v>0.82084357738494873</v>
      </c>
      <c r="N1000" s="8">
        <f>ProbStrikeFrancis(K1000, I1000, L1000, INDEX('Route Data'!$G$7:$G$8,E1000),C1000, INDEX('Route Data'!$F$7:$F$8,E1000), INDEX('Route Data'!$O$7:$O$8,E1000), INDEX('Route Data'!$H$7:$H$18,E1000))</f>
        <v>1</v>
      </c>
      <c r="O1000" s="5" t="str">
        <f>IF(F1000&gt;=1,IF(M1000&lt;=N1000,"STRIKE","pass"),IF(M1000&lt;=INDEX('Route Data'!$R$7:$R$8,E1000),"NO PASS","pass"))</f>
        <v>STRIKE</v>
      </c>
      <c r="P1000" s="5">
        <f>IF(F1000&gt;=1,IF(M1000&lt;=N1000,1,0),IF(M1000&lt;=INDEX('Route Data'!$R$7:$R$8,E1000),-1,0))</f>
        <v>1</v>
      </c>
    </row>
    <row r="1001" spans="1:16">
      <c r="A1001" s="5">
        <v>991</v>
      </c>
      <c r="B1001" s="12">
        <v>19.95</v>
      </c>
      <c r="C1001" s="12">
        <f t="shared" si="15"/>
        <v>1.66</v>
      </c>
      <c r="D1001" s="8">
        <v>0.96900278329849243</v>
      </c>
      <c r="E1001" s="5">
        <f>MATCH(D1001,'Route Data'!$C$7:$C$8,1)</f>
        <v>2</v>
      </c>
      <c r="F1001" s="5">
        <f>INDEX('Route Data'!$D$7:$D$8,E1001)</f>
        <v>1</v>
      </c>
      <c r="G1001" s="5" t="str">
        <f>INDEX('Route Data'!$A$7:$A$8,E1001)</f>
        <v>u18</v>
      </c>
      <c r="H1001" s="5">
        <f>EnergyCoeff(INDEX('Route Data'!$K$7:$K$8,E1001),INDEX('Route Data'!$L$7:$L$8,E1001)*2*PI()/60,INDEX('Route Data'!$F$7:$F$8,E1001))</f>
        <v>0.19430699130049439</v>
      </c>
      <c r="I1001" s="5">
        <f>DischargeCoeff(INDEX('Route Data'!$I$7:$I$8,E1001), INDEX('Route Data'!$L$7:$L$8,E1001)*2*PI()/60, INDEX('Route Data'!$F$7:$F$8,E1001))</f>
        <v>0.15939200179827354</v>
      </c>
      <c r="J1001" s="8">
        <f>FlowAngleRel(INDEX('Route Data'!$J$7:$J$8,E1001)*INDEX('Route Data'!$I$7:$I$8,E1001), INDEX('Route Data'!$L$7:$L$8,E1001)*2*PI()/60, INDEX('Route Data'!$F$7:$F$8,E1001),INDEX('Route Data'!$O$7:$O$8,E1001), INDEX('Route Data'!$P$7:$P$8,E1001),INDEX('Route Data'!$M$7:$M$8,E1001))</f>
        <v>1.130811765868994</v>
      </c>
      <c r="K1001" s="8">
        <f>FlowAngleAbsT(INDEX('Route Data'!$K$7:$K$8,E1001), INDEX('Route Data'!$I$7:$I$8,E1001), INDEX('Route Data'!$I$7:$I$8,E1001)*INDEX('Route Data'!$J$7:$J$8,E1001), INDEX('Route Data'!$L$7:$L$8,E1001)*2*PI()/60, INDEX('Route Data'!$F$7:$F$8,E1001),INDEX('Route Data'!$O$7:$O$8,E1001), INDEX('Route Data'!$P$7:$P$8,E1001), INDEX('Route Data'!$H$7:$H$8,E1001), INDEX('Route Data'!$Q$7:$Q$8,E1001), INDEX('Route Data'!$M$7:$M$8,E1001))</f>
        <v>0.51617226640175828</v>
      </c>
      <c r="L1001" s="5">
        <f>INDEX('Route Data'!$N$7:$N$8,E1001)</f>
        <v>0.4</v>
      </c>
      <c r="M1001" s="8">
        <v>0.40427166223526001</v>
      </c>
      <c r="N1001" s="8">
        <f>ProbStrikeFrancis(K1001, I1001, L1001, INDEX('Route Data'!$G$7:$G$8,E1001),C1001, INDEX('Route Data'!$F$7:$F$8,E1001), INDEX('Route Data'!$O$7:$O$8,E1001), INDEX('Route Data'!$H$7:$H$18,E1001))</f>
        <v>1</v>
      </c>
      <c r="O1001" s="5" t="str">
        <f>IF(F1001&gt;=1,IF(M1001&lt;=N1001,"STRIKE","pass"),IF(M1001&lt;=INDEX('Route Data'!$R$7:$R$8,E1001),"NO PASS","pass"))</f>
        <v>STRIKE</v>
      </c>
      <c r="P1001" s="5">
        <f>IF(F1001&gt;=1,IF(M1001&lt;=N1001,1,0),IF(M1001&lt;=INDEX('Route Data'!$R$7:$R$8,E1001),-1,0))</f>
        <v>1</v>
      </c>
    </row>
    <row r="1002" spans="1:16">
      <c r="A1002" s="5">
        <v>992</v>
      </c>
      <c r="B1002" s="12">
        <v>24.8</v>
      </c>
      <c r="C1002" s="12">
        <f t="shared" si="15"/>
        <v>2.0699999999999998</v>
      </c>
      <c r="D1002" s="8">
        <v>0.50970554351806641</v>
      </c>
      <c r="E1002" s="5">
        <f>MATCH(D1002,'Route Data'!$C$7:$C$8,1)</f>
        <v>2</v>
      </c>
      <c r="F1002" s="5">
        <f>INDEX('Route Data'!$D$7:$D$8,E1002)</f>
        <v>1</v>
      </c>
      <c r="G1002" s="5" t="str">
        <f>INDEX('Route Data'!$A$7:$A$8,E1002)</f>
        <v>u18</v>
      </c>
      <c r="H1002" s="5">
        <f>EnergyCoeff(INDEX('Route Data'!$K$7:$K$8,E1002),INDEX('Route Data'!$L$7:$L$8,E1002)*2*PI()/60,INDEX('Route Data'!$F$7:$F$8,E1002))</f>
        <v>0.19430699130049439</v>
      </c>
      <c r="I1002" s="5">
        <f>DischargeCoeff(INDEX('Route Data'!$I$7:$I$8,E1002), INDEX('Route Data'!$L$7:$L$8,E1002)*2*PI()/60, INDEX('Route Data'!$F$7:$F$8,E1002))</f>
        <v>0.15939200179827354</v>
      </c>
      <c r="J1002" s="8">
        <f>FlowAngleRel(INDEX('Route Data'!$J$7:$J$8,E1002)*INDEX('Route Data'!$I$7:$I$8,E1002), INDEX('Route Data'!$L$7:$L$8,E1002)*2*PI()/60, INDEX('Route Data'!$F$7:$F$8,E1002),INDEX('Route Data'!$O$7:$O$8,E1002), INDEX('Route Data'!$P$7:$P$8,E1002),INDEX('Route Data'!$M$7:$M$8,E1002))</f>
        <v>1.130811765868994</v>
      </c>
      <c r="K1002" s="8">
        <f>FlowAngleAbsT(INDEX('Route Data'!$K$7:$K$8,E1002), INDEX('Route Data'!$I$7:$I$8,E1002), INDEX('Route Data'!$I$7:$I$8,E1002)*INDEX('Route Data'!$J$7:$J$8,E1002), INDEX('Route Data'!$L$7:$L$8,E1002)*2*PI()/60, INDEX('Route Data'!$F$7:$F$8,E1002),INDEX('Route Data'!$O$7:$O$8,E1002), INDEX('Route Data'!$P$7:$P$8,E1002), INDEX('Route Data'!$H$7:$H$8,E1002), INDEX('Route Data'!$Q$7:$Q$8,E1002), INDEX('Route Data'!$M$7:$M$8,E1002))</f>
        <v>0.51617226640175828</v>
      </c>
      <c r="L1002" s="5">
        <f>INDEX('Route Data'!$N$7:$N$8,E1002)</f>
        <v>0.4</v>
      </c>
      <c r="M1002" s="8">
        <v>0.65398740768432617</v>
      </c>
      <c r="N1002" s="8">
        <f>ProbStrikeFrancis(K1002, I1002, L1002, INDEX('Route Data'!$G$7:$G$8,E1002),C1002, INDEX('Route Data'!$F$7:$F$8,E1002), INDEX('Route Data'!$O$7:$O$8,E1002), INDEX('Route Data'!$H$7:$H$18,E1002))</f>
        <v>1</v>
      </c>
      <c r="O1002" s="5" t="str">
        <f>IF(F1002&gt;=1,IF(M1002&lt;=N1002,"STRIKE","pass"),IF(M1002&lt;=INDEX('Route Data'!$R$7:$R$8,E1002),"NO PASS","pass"))</f>
        <v>STRIKE</v>
      </c>
      <c r="P1002" s="5">
        <f>IF(F1002&gt;=1,IF(M1002&lt;=N1002,1,0),IF(M1002&lt;=INDEX('Route Data'!$R$7:$R$8,E1002),-1,0))</f>
        <v>1</v>
      </c>
    </row>
    <row r="1003" spans="1:16">
      <c r="A1003" s="5">
        <v>993</v>
      </c>
      <c r="B1003" s="12">
        <v>25.2</v>
      </c>
      <c r="C1003" s="12">
        <f t="shared" si="15"/>
        <v>2.1</v>
      </c>
      <c r="D1003" s="8">
        <v>0.88759726285934448</v>
      </c>
      <c r="E1003" s="5">
        <f>MATCH(D1003,'Route Data'!$C$7:$C$8,1)</f>
        <v>2</v>
      </c>
      <c r="F1003" s="5">
        <f>INDEX('Route Data'!$D$7:$D$8,E1003)</f>
        <v>1</v>
      </c>
      <c r="G1003" s="5" t="str">
        <f>INDEX('Route Data'!$A$7:$A$8,E1003)</f>
        <v>u18</v>
      </c>
      <c r="H1003" s="5">
        <f>EnergyCoeff(INDEX('Route Data'!$K$7:$K$8,E1003),INDEX('Route Data'!$L$7:$L$8,E1003)*2*PI()/60,INDEX('Route Data'!$F$7:$F$8,E1003))</f>
        <v>0.19430699130049439</v>
      </c>
      <c r="I1003" s="5">
        <f>DischargeCoeff(INDEX('Route Data'!$I$7:$I$8,E1003), INDEX('Route Data'!$L$7:$L$8,E1003)*2*PI()/60, INDEX('Route Data'!$F$7:$F$8,E1003))</f>
        <v>0.15939200179827354</v>
      </c>
      <c r="J1003" s="8">
        <f>FlowAngleRel(INDEX('Route Data'!$J$7:$J$8,E1003)*INDEX('Route Data'!$I$7:$I$8,E1003), INDEX('Route Data'!$L$7:$L$8,E1003)*2*PI()/60, INDEX('Route Data'!$F$7:$F$8,E1003),INDEX('Route Data'!$O$7:$O$8,E1003), INDEX('Route Data'!$P$7:$P$8,E1003),INDEX('Route Data'!$M$7:$M$8,E1003))</f>
        <v>1.130811765868994</v>
      </c>
      <c r="K1003" s="8">
        <f>FlowAngleAbsT(INDEX('Route Data'!$K$7:$K$8,E1003), INDEX('Route Data'!$I$7:$I$8,E1003), INDEX('Route Data'!$I$7:$I$8,E1003)*INDEX('Route Data'!$J$7:$J$8,E1003), INDEX('Route Data'!$L$7:$L$8,E1003)*2*PI()/60, INDEX('Route Data'!$F$7:$F$8,E1003),INDEX('Route Data'!$O$7:$O$8,E1003), INDEX('Route Data'!$P$7:$P$8,E1003), INDEX('Route Data'!$H$7:$H$8,E1003), INDEX('Route Data'!$Q$7:$Q$8,E1003), INDEX('Route Data'!$M$7:$M$8,E1003))</f>
        <v>0.51617226640175828</v>
      </c>
      <c r="L1003" s="5">
        <f>INDEX('Route Data'!$N$7:$N$8,E1003)</f>
        <v>0.4</v>
      </c>
      <c r="M1003" s="8">
        <v>0.63926094770431519</v>
      </c>
      <c r="N1003" s="8">
        <f>ProbStrikeFrancis(K1003, I1003, L1003, INDEX('Route Data'!$G$7:$G$8,E1003),C1003, INDEX('Route Data'!$F$7:$F$8,E1003), INDEX('Route Data'!$O$7:$O$8,E1003), INDEX('Route Data'!$H$7:$H$18,E1003))</f>
        <v>1</v>
      </c>
      <c r="O1003" s="5" t="str">
        <f>IF(F1003&gt;=1,IF(M1003&lt;=N1003,"STRIKE","pass"),IF(M1003&lt;=INDEX('Route Data'!$R$7:$R$8,E1003),"NO PASS","pass"))</f>
        <v>STRIKE</v>
      </c>
      <c r="P1003" s="5">
        <f>IF(F1003&gt;=1,IF(M1003&lt;=N1003,1,0),IF(M1003&lt;=INDEX('Route Data'!$R$7:$R$8,E1003),-1,0))</f>
        <v>1</v>
      </c>
    </row>
    <row r="1004" spans="1:16">
      <c r="A1004" s="5">
        <v>994</v>
      </c>
      <c r="B1004" s="12">
        <v>21.96</v>
      </c>
      <c r="C1004" s="12">
        <f t="shared" si="15"/>
        <v>1.83</v>
      </c>
      <c r="D1004" s="8">
        <v>0.48834288120269775</v>
      </c>
      <c r="E1004" s="5">
        <f>MATCH(D1004,'Route Data'!$C$7:$C$8,1)</f>
        <v>2</v>
      </c>
      <c r="F1004" s="5">
        <f>INDEX('Route Data'!$D$7:$D$8,E1004)</f>
        <v>1</v>
      </c>
      <c r="G1004" s="5" t="str">
        <f>INDEX('Route Data'!$A$7:$A$8,E1004)</f>
        <v>u18</v>
      </c>
      <c r="H1004" s="5">
        <f>EnergyCoeff(INDEX('Route Data'!$K$7:$K$8,E1004),INDEX('Route Data'!$L$7:$L$8,E1004)*2*PI()/60,INDEX('Route Data'!$F$7:$F$8,E1004))</f>
        <v>0.19430699130049439</v>
      </c>
      <c r="I1004" s="5">
        <f>DischargeCoeff(INDEX('Route Data'!$I$7:$I$8,E1004), INDEX('Route Data'!$L$7:$L$8,E1004)*2*PI()/60, INDEX('Route Data'!$F$7:$F$8,E1004))</f>
        <v>0.15939200179827354</v>
      </c>
      <c r="J1004" s="8">
        <f>FlowAngleRel(INDEX('Route Data'!$J$7:$J$8,E1004)*INDEX('Route Data'!$I$7:$I$8,E1004), INDEX('Route Data'!$L$7:$L$8,E1004)*2*PI()/60, INDEX('Route Data'!$F$7:$F$8,E1004),INDEX('Route Data'!$O$7:$O$8,E1004), INDEX('Route Data'!$P$7:$P$8,E1004),INDEX('Route Data'!$M$7:$M$8,E1004))</f>
        <v>1.130811765868994</v>
      </c>
      <c r="K1004" s="8">
        <f>FlowAngleAbsT(INDEX('Route Data'!$K$7:$K$8,E1004), INDEX('Route Data'!$I$7:$I$8,E1004), INDEX('Route Data'!$I$7:$I$8,E1004)*INDEX('Route Data'!$J$7:$J$8,E1004), INDEX('Route Data'!$L$7:$L$8,E1004)*2*PI()/60, INDEX('Route Data'!$F$7:$F$8,E1004),INDEX('Route Data'!$O$7:$O$8,E1004), INDEX('Route Data'!$P$7:$P$8,E1004), INDEX('Route Data'!$H$7:$H$8,E1004), INDEX('Route Data'!$Q$7:$Q$8,E1004), INDEX('Route Data'!$M$7:$M$8,E1004))</f>
        <v>0.51617226640175828</v>
      </c>
      <c r="L1004" s="5">
        <f>INDEX('Route Data'!$N$7:$N$8,E1004)</f>
        <v>0.4</v>
      </c>
      <c r="M1004" s="8">
        <v>0.94901955127716064</v>
      </c>
      <c r="N1004" s="8">
        <f>ProbStrikeFrancis(K1004, I1004, L1004, INDEX('Route Data'!$G$7:$G$8,E1004),C1004, INDEX('Route Data'!$F$7:$F$8,E1004), INDEX('Route Data'!$O$7:$O$8,E1004), INDEX('Route Data'!$H$7:$H$18,E1004))</f>
        <v>1</v>
      </c>
      <c r="O1004" s="5" t="str">
        <f>IF(F1004&gt;=1,IF(M1004&lt;=N1004,"STRIKE","pass"),IF(M1004&lt;=INDEX('Route Data'!$R$7:$R$8,E1004),"NO PASS","pass"))</f>
        <v>STRIKE</v>
      </c>
      <c r="P1004" s="5">
        <f>IF(F1004&gt;=1,IF(M1004&lt;=N1004,1,0),IF(M1004&lt;=INDEX('Route Data'!$R$7:$R$8,E1004),-1,0))</f>
        <v>1</v>
      </c>
    </row>
    <row r="1005" spans="1:16">
      <c r="A1005" s="5">
        <v>995</v>
      </c>
      <c r="B1005" s="12">
        <v>22.91</v>
      </c>
      <c r="C1005" s="12">
        <f t="shared" si="15"/>
        <v>1.91</v>
      </c>
      <c r="D1005" s="8">
        <v>0.95168524980545044</v>
      </c>
      <c r="E1005" s="5">
        <f>MATCH(D1005,'Route Data'!$C$7:$C$8,1)</f>
        <v>2</v>
      </c>
      <c r="F1005" s="5">
        <f>INDEX('Route Data'!$D$7:$D$8,E1005)</f>
        <v>1</v>
      </c>
      <c r="G1005" s="5" t="str">
        <f>INDEX('Route Data'!$A$7:$A$8,E1005)</f>
        <v>u18</v>
      </c>
      <c r="H1005" s="5">
        <f>EnergyCoeff(INDEX('Route Data'!$K$7:$K$8,E1005),INDEX('Route Data'!$L$7:$L$8,E1005)*2*PI()/60,INDEX('Route Data'!$F$7:$F$8,E1005))</f>
        <v>0.19430699130049439</v>
      </c>
      <c r="I1005" s="5">
        <f>DischargeCoeff(INDEX('Route Data'!$I$7:$I$8,E1005), INDEX('Route Data'!$L$7:$L$8,E1005)*2*PI()/60, INDEX('Route Data'!$F$7:$F$8,E1005))</f>
        <v>0.15939200179827354</v>
      </c>
      <c r="J1005" s="8">
        <f>FlowAngleRel(INDEX('Route Data'!$J$7:$J$8,E1005)*INDEX('Route Data'!$I$7:$I$8,E1005), INDEX('Route Data'!$L$7:$L$8,E1005)*2*PI()/60, INDEX('Route Data'!$F$7:$F$8,E1005),INDEX('Route Data'!$O$7:$O$8,E1005), INDEX('Route Data'!$P$7:$P$8,E1005),INDEX('Route Data'!$M$7:$M$8,E1005))</f>
        <v>1.130811765868994</v>
      </c>
      <c r="K1005" s="8">
        <f>FlowAngleAbsT(INDEX('Route Data'!$K$7:$K$8,E1005), INDEX('Route Data'!$I$7:$I$8,E1005), INDEX('Route Data'!$I$7:$I$8,E1005)*INDEX('Route Data'!$J$7:$J$8,E1005), INDEX('Route Data'!$L$7:$L$8,E1005)*2*PI()/60, INDEX('Route Data'!$F$7:$F$8,E1005),INDEX('Route Data'!$O$7:$O$8,E1005), INDEX('Route Data'!$P$7:$P$8,E1005), INDEX('Route Data'!$H$7:$H$8,E1005), INDEX('Route Data'!$Q$7:$Q$8,E1005), INDEX('Route Data'!$M$7:$M$8,E1005))</f>
        <v>0.51617226640175828</v>
      </c>
      <c r="L1005" s="5">
        <f>INDEX('Route Data'!$N$7:$N$8,E1005)</f>
        <v>0.4</v>
      </c>
      <c r="M1005" s="8">
        <v>1.9743740558624268E-2</v>
      </c>
      <c r="N1005" s="8">
        <f>ProbStrikeFrancis(K1005, I1005, L1005, INDEX('Route Data'!$G$7:$G$8,E1005),C1005, INDEX('Route Data'!$F$7:$F$8,E1005), INDEX('Route Data'!$O$7:$O$8,E1005), INDEX('Route Data'!$H$7:$H$18,E1005))</f>
        <v>1</v>
      </c>
      <c r="O1005" s="5" t="str">
        <f>IF(F1005&gt;=1,IF(M1005&lt;=N1005,"STRIKE","pass"),IF(M1005&lt;=INDEX('Route Data'!$R$7:$R$8,E1005),"NO PASS","pass"))</f>
        <v>STRIKE</v>
      </c>
      <c r="P1005" s="5">
        <f>IF(F1005&gt;=1,IF(M1005&lt;=N1005,1,0),IF(M1005&lt;=INDEX('Route Data'!$R$7:$R$8,E1005),-1,0))</f>
        <v>1</v>
      </c>
    </row>
    <row r="1006" spans="1:16">
      <c r="A1006" s="5">
        <v>996</v>
      </c>
      <c r="B1006" s="12">
        <v>27.08</v>
      </c>
      <c r="C1006" s="12">
        <f t="shared" si="15"/>
        <v>2.2599999999999998</v>
      </c>
      <c r="D1006" s="8">
        <v>0.29607892036437988</v>
      </c>
      <c r="E1006" s="5">
        <f>MATCH(D1006,'Route Data'!$C$7:$C$8,1)</f>
        <v>2</v>
      </c>
      <c r="F1006" s="5">
        <f>INDEX('Route Data'!$D$7:$D$8,E1006)</f>
        <v>1</v>
      </c>
      <c r="G1006" s="5" t="str">
        <f>INDEX('Route Data'!$A$7:$A$8,E1006)</f>
        <v>u18</v>
      </c>
      <c r="H1006" s="5">
        <f>EnergyCoeff(INDEX('Route Data'!$K$7:$K$8,E1006),INDEX('Route Data'!$L$7:$L$8,E1006)*2*PI()/60,INDEX('Route Data'!$F$7:$F$8,E1006))</f>
        <v>0.19430699130049439</v>
      </c>
      <c r="I1006" s="5">
        <f>DischargeCoeff(INDEX('Route Data'!$I$7:$I$8,E1006), INDEX('Route Data'!$L$7:$L$8,E1006)*2*PI()/60, INDEX('Route Data'!$F$7:$F$8,E1006))</f>
        <v>0.15939200179827354</v>
      </c>
      <c r="J1006" s="8">
        <f>FlowAngleRel(INDEX('Route Data'!$J$7:$J$8,E1006)*INDEX('Route Data'!$I$7:$I$8,E1006), INDEX('Route Data'!$L$7:$L$8,E1006)*2*PI()/60, INDEX('Route Data'!$F$7:$F$8,E1006),INDEX('Route Data'!$O$7:$O$8,E1006), INDEX('Route Data'!$P$7:$P$8,E1006),INDEX('Route Data'!$M$7:$M$8,E1006))</f>
        <v>1.130811765868994</v>
      </c>
      <c r="K1006" s="8">
        <f>FlowAngleAbsT(INDEX('Route Data'!$K$7:$K$8,E1006), INDEX('Route Data'!$I$7:$I$8,E1006), INDEX('Route Data'!$I$7:$I$8,E1006)*INDEX('Route Data'!$J$7:$J$8,E1006), INDEX('Route Data'!$L$7:$L$8,E1006)*2*PI()/60, INDEX('Route Data'!$F$7:$F$8,E1006),INDEX('Route Data'!$O$7:$O$8,E1006), INDEX('Route Data'!$P$7:$P$8,E1006), INDEX('Route Data'!$H$7:$H$8,E1006), INDEX('Route Data'!$Q$7:$Q$8,E1006), INDEX('Route Data'!$M$7:$M$8,E1006))</f>
        <v>0.51617226640175828</v>
      </c>
      <c r="L1006" s="5">
        <f>INDEX('Route Data'!$N$7:$N$8,E1006)</f>
        <v>0.4</v>
      </c>
      <c r="M1006" s="8">
        <v>7.3150396347045898E-2</v>
      </c>
      <c r="N1006" s="8">
        <f>ProbStrikeFrancis(K1006, I1006, L1006, INDEX('Route Data'!$G$7:$G$8,E1006),C1006, INDEX('Route Data'!$F$7:$F$8,E1006), INDEX('Route Data'!$O$7:$O$8,E1006), INDEX('Route Data'!$H$7:$H$18,E1006))</f>
        <v>1</v>
      </c>
      <c r="O1006" s="5" t="str">
        <f>IF(F1006&gt;=1,IF(M1006&lt;=N1006,"STRIKE","pass"),IF(M1006&lt;=INDEX('Route Data'!$R$7:$R$8,E1006),"NO PASS","pass"))</f>
        <v>STRIKE</v>
      </c>
      <c r="P1006" s="5">
        <f>IF(F1006&gt;=1,IF(M1006&lt;=N1006,1,0),IF(M1006&lt;=INDEX('Route Data'!$R$7:$R$8,E1006),-1,0))</f>
        <v>1</v>
      </c>
    </row>
    <row r="1007" spans="1:16">
      <c r="A1007" s="5">
        <v>997</v>
      </c>
      <c r="B1007" s="12">
        <v>18.260000000000002</v>
      </c>
      <c r="C1007" s="12">
        <f t="shared" si="15"/>
        <v>1.52</v>
      </c>
      <c r="D1007" s="8">
        <v>0.79405635595321655</v>
      </c>
      <c r="E1007" s="5">
        <f>MATCH(D1007,'Route Data'!$C$7:$C$8,1)</f>
        <v>2</v>
      </c>
      <c r="F1007" s="5">
        <f>INDEX('Route Data'!$D$7:$D$8,E1007)</f>
        <v>1</v>
      </c>
      <c r="G1007" s="5" t="str">
        <f>INDEX('Route Data'!$A$7:$A$8,E1007)</f>
        <v>u18</v>
      </c>
      <c r="H1007" s="5">
        <f>EnergyCoeff(INDEX('Route Data'!$K$7:$K$8,E1007),INDEX('Route Data'!$L$7:$L$8,E1007)*2*PI()/60,INDEX('Route Data'!$F$7:$F$8,E1007))</f>
        <v>0.19430699130049439</v>
      </c>
      <c r="I1007" s="5">
        <f>DischargeCoeff(INDEX('Route Data'!$I$7:$I$8,E1007), INDEX('Route Data'!$L$7:$L$8,E1007)*2*PI()/60, INDEX('Route Data'!$F$7:$F$8,E1007))</f>
        <v>0.15939200179827354</v>
      </c>
      <c r="J1007" s="8">
        <f>FlowAngleRel(INDEX('Route Data'!$J$7:$J$8,E1007)*INDEX('Route Data'!$I$7:$I$8,E1007), INDEX('Route Data'!$L$7:$L$8,E1007)*2*PI()/60, INDEX('Route Data'!$F$7:$F$8,E1007),INDEX('Route Data'!$O$7:$O$8,E1007), INDEX('Route Data'!$P$7:$P$8,E1007),INDEX('Route Data'!$M$7:$M$8,E1007))</f>
        <v>1.130811765868994</v>
      </c>
      <c r="K1007" s="8">
        <f>FlowAngleAbsT(INDEX('Route Data'!$K$7:$K$8,E1007), INDEX('Route Data'!$I$7:$I$8,E1007), INDEX('Route Data'!$I$7:$I$8,E1007)*INDEX('Route Data'!$J$7:$J$8,E1007), INDEX('Route Data'!$L$7:$L$8,E1007)*2*PI()/60, INDEX('Route Data'!$F$7:$F$8,E1007),INDEX('Route Data'!$O$7:$O$8,E1007), INDEX('Route Data'!$P$7:$P$8,E1007), INDEX('Route Data'!$H$7:$H$8,E1007), INDEX('Route Data'!$Q$7:$Q$8,E1007), INDEX('Route Data'!$M$7:$M$8,E1007))</f>
        <v>0.51617226640175828</v>
      </c>
      <c r="L1007" s="5">
        <f>INDEX('Route Data'!$N$7:$N$8,E1007)</f>
        <v>0.4</v>
      </c>
      <c r="M1007" s="8">
        <v>0.91293042898178101</v>
      </c>
      <c r="N1007" s="8">
        <f>ProbStrikeFrancis(K1007, I1007, L1007, INDEX('Route Data'!$G$7:$G$8,E1007),C1007, INDEX('Route Data'!$F$7:$F$8,E1007), INDEX('Route Data'!$O$7:$O$8,E1007), INDEX('Route Data'!$H$7:$H$18,E1007))</f>
        <v>1</v>
      </c>
      <c r="O1007" s="5" t="str">
        <f>IF(F1007&gt;=1,IF(M1007&lt;=N1007,"STRIKE","pass"),IF(M1007&lt;=INDEX('Route Data'!$R$7:$R$8,E1007),"NO PASS","pass"))</f>
        <v>STRIKE</v>
      </c>
      <c r="P1007" s="5">
        <f>IF(F1007&gt;=1,IF(M1007&lt;=N1007,1,0),IF(M1007&lt;=INDEX('Route Data'!$R$7:$R$8,E1007),-1,0))</f>
        <v>1</v>
      </c>
    </row>
    <row r="1008" spans="1:16">
      <c r="A1008" s="5">
        <v>998</v>
      </c>
      <c r="B1008" s="12">
        <v>26.17</v>
      </c>
      <c r="C1008" s="12">
        <f t="shared" si="15"/>
        <v>2.1800000000000002</v>
      </c>
      <c r="D1008" s="8">
        <v>0.30012404918670654</v>
      </c>
      <c r="E1008" s="5">
        <f>MATCH(D1008,'Route Data'!$C$7:$C$8,1)</f>
        <v>2</v>
      </c>
      <c r="F1008" s="5">
        <f>INDEX('Route Data'!$D$7:$D$8,E1008)</f>
        <v>1</v>
      </c>
      <c r="G1008" s="5" t="str">
        <f>INDEX('Route Data'!$A$7:$A$8,E1008)</f>
        <v>u18</v>
      </c>
      <c r="H1008" s="5">
        <f>EnergyCoeff(INDEX('Route Data'!$K$7:$K$8,E1008),INDEX('Route Data'!$L$7:$L$8,E1008)*2*PI()/60,INDEX('Route Data'!$F$7:$F$8,E1008))</f>
        <v>0.19430699130049439</v>
      </c>
      <c r="I1008" s="5">
        <f>DischargeCoeff(INDEX('Route Data'!$I$7:$I$8,E1008), INDEX('Route Data'!$L$7:$L$8,E1008)*2*PI()/60, INDEX('Route Data'!$F$7:$F$8,E1008))</f>
        <v>0.15939200179827354</v>
      </c>
      <c r="J1008" s="8">
        <f>FlowAngleRel(INDEX('Route Data'!$J$7:$J$8,E1008)*INDEX('Route Data'!$I$7:$I$8,E1008), INDEX('Route Data'!$L$7:$L$8,E1008)*2*PI()/60, INDEX('Route Data'!$F$7:$F$8,E1008),INDEX('Route Data'!$O$7:$O$8,E1008), INDEX('Route Data'!$P$7:$P$8,E1008),INDEX('Route Data'!$M$7:$M$8,E1008))</f>
        <v>1.130811765868994</v>
      </c>
      <c r="K1008" s="8">
        <f>FlowAngleAbsT(INDEX('Route Data'!$K$7:$K$8,E1008), INDEX('Route Data'!$I$7:$I$8,E1008), INDEX('Route Data'!$I$7:$I$8,E1008)*INDEX('Route Data'!$J$7:$J$8,E1008), INDEX('Route Data'!$L$7:$L$8,E1008)*2*PI()/60, INDEX('Route Data'!$F$7:$F$8,E1008),INDEX('Route Data'!$O$7:$O$8,E1008), INDEX('Route Data'!$P$7:$P$8,E1008), INDEX('Route Data'!$H$7:$H$8,E1008), INDEX('Route Data'!$Q$7:$Q$8,E1008), INDEX('Route Data'!$M$7:$M$8,E1008))</f>
        <v>0.51617226640175828</v>
      </c>
      <c r="L1008" s="5">
        <f>INDEX('Route Data'!$N$7:$N$8,E1008)</f>
        <v>0.4</v>
      </c>
      <c r="M1008" s="8">
        <v>0.39359033107757568</v>
      </c>
      <c r="N1008" s="8">
        <f>ProbStrikeFrancis(K1008, I1008, L1008, INDEX('Route Data'!$G$7:$G$8,E1008),C1008, INDEX('Route Data'!$F$7:$F$8,E1008), INDEX('Route Data'!$O$7:$O$8,E1008), INDEX('Route Data'!$H$7:$H$18,E1008))</f>
        <v>1</v>
      </c>
      <c r="O1008" s="5" t="str">
        <f>IF(F1008&gt;=1,IF(M1008&lt;=N1008,"STRIKE","pass"),IF(M1008&lt;=INDEX('Route Data'!$R$7:$R$8,E1008),"NO PASS","pass"))</f>
        <v>STRIKE</v>
      </c>
      <c r="P1008" s="5">
        <f>IF(F1008&gt;=1,IF(M1008&lt;=N1008,1,0),IF(M1008&lt;=INDEX('Route Data'!$R$7:$R$8,E1008),-1,0))</f>
        <v>1</v>
      </c>
    </row>
    <row r="1009" spans="1:16">
      <c r="A1009" s="5">
        <v>999</v>
      </c>
      <c r="B1009" s="12">
        <v>22.37</v>
      </c>
      <c r="C1009" s="12">
        <f t="shared" si="15"/>
        <v>1.86</v>
      </c>
      <c r="D1009" s="8">
        <v>0.51634174585342407</v>
      </c>
      <c r="E1009" s="5">
        <f>MATCH(D1009,'Route Data'!$C$7:$C$8,1)</f>
        <v>2</v>
      </c>
      <c r="F1009" s="5">
        <f>INDEX('Route Data'!$D$7:$D$8,E1009)</f>
        <v>1</v>
      </c>
      <c r="G1009" s="5" t="str">
        <f>INDEX('Route Data'!$A$7:$A$8,E1009)</f>
        <v>u18</v>
      </c>
      <c r="H1009" s="5">
        <f>EnergyCoeff(INDEX('Route Data'!$K$7:$K$8,E1009),INDEX('Route Data'!$L$7:$L$8,E1009)*2*PI()/60,INDEX('Route Data'!$F$7:$F$8,E1009))</f>
        <v>0.19430699130049439</v>
      </c>
      <c r="I1009" s="5">
        <f>DischargeCoeff(INDEX('Route Data'!$I$7:$I$8,E1009), INDEX('Route Data'!$L$7:$L$8,E1009)*2*PI()/60, INDEX('Route Data'!$F$7:$F$8,E1009))</f>
        <v>0.15939200179827354</v>
      </c>
      <c r="J1009" s="8">
        <f>FlowAngleRel(INDEX('Route Data'!$J$7:$J$8,E1009)*INDEX('Route Data'!$I$7:$I$8,E1009), INDEX('Route Data'!$L$7:$L$8,E1009)*2*PI()/60, INDEX('Route Data'!$F$7:$F$8,E1009),INDEX('Route Data'!$O$7:$O$8,E1009), INDEX('Route Data'!$P$7:$P$8,E1009),INDEX('Route Data'!$M$7:$M$8,E1009))</f>
        <v>1.130811765868994</v>
      </c>
      <c r="K1009" s="8">
        <f>FlowAngleAbsT(INDEX('Route Data'!$K$7:$K$8,E1009), INDEX('Route Data'!$I$7:$I$8,E1009), INDEX('Route Data'!$I$7:$I$8,E1009)*INDEX('Route Data'!$J$7:$J$8,E1009), INDEX('Route Data'!$L$7:$L$8,E1009)*2*PI()/60, INDEX('Route Data'!$F$7:$F$8,E1009),INDEX('Route Data'!$O$7:$O$8,E1009), INDEX('Route Data'!$P$7:$P$8,E1009), INDEX('Route Data'!$H$7:$H$8,E1009), INDEX('Route Data'!$Q$7:$Q$8,E1009), INDEX('Route Data'!$M$7:$M$8,E1009))</f>
        <v>0.51617226640175828</v>
      </c>
      <c r="L1009" s="5">
        <f>INDEX('Route Data'!$N$7:$N$8,E1009)</f>
        <v>0.4</v>
      </c>
      <c r="M1009" s="8">
        <v>0.68603140115737915</v>
      </c>
      <c r="N1009" s="8">
        <f>ProbStrikeFrancis(K1009, I1009, L1009, INDEX('Route Data'!$G$7:$G$8,E1009),C1009, INDEX('Route Data'!$F$7:$F$8,E1009), INDEX('Route Data'!$O$7:$O$8,E1009), INDEX('Route Data'!$H$7:$H$18,E1009))</f>
        <v>1</v>
      </c>
      <c r="O1009" s="5" t="str">
        <f>IF(F1009&gt;=1,IF(M1009&lt;=N1009,"STRIKE","pass"),IF(M1009&lt;=INDEX('Route Data'!$R$7:$R$8,E1009),"NO PASS","pass"))</f>
        <v>STRIKE</v>
      </c>
      <c r="P1009" s="5">
        <f>IF(F1009&gt;=1,IF(M1009&lt;=N1009,1,0),IF(M1009&lt;=INDEX('Route Data'!$R$7:$R$8,E1009),-1,0))</f>
        <v>1</v>
      </c>
    </row>
    <row r="1010" spans="1:16">
      <c r="A1010" s="5">
        <v>1000</v>
      </c>
      <c r="B1010" s="12">
        <v>21.65</v>
      </c>
      <c r="C1010" s="12">
        <f t="shared" si="15"/>
        <v>1.8</v>
      </c>
      <c r="D1010" s="8">
        <v>0.39884710311889648</v>
      </c>
      <c r="E1010" s="5">
        <f>MATCH(D1010,'Route Data'!$C$7:$C$8,1)</f>
        <v>2</v>
      </c>
      <c r="F1010" s="5">
        <f>INDEX('Route Data'!$D$7:$D$8,E1010)</f>
        <v>1</v>
      </c>
      <c r="G1010" s="5" t="str">
        <f>INDEX('Route Data'!$A$7:$A$8,E1010)</f>
        <v>u18</v>
      </c>
      <c r="H1010" s="5">
        <f>EnergyCoeff(INDEX('Route Data'!$K$7:$K$8,E1010),INDEX('Route Data'!$L$7:$L$8,E1010)*2*PI()/60,INDEX('Route Data'!$F$7:$F$8,E1010))</f>
        <v>0.19430699130049439</v>
      </c>
      <c r="I1010" s="5">
        <f>DischargeCoeff(INDEX('Route Data'!$I$7:$I$8,E1010), INDEX('Route Data'!$L$7:$L$8,E1010)*2*PI()/60, INDEX('Route Data'!$F$7:$F$8,E1010))</f>
        <v>0.15939200179827354</v>
      </c>
      <c r="J1010" s="8">
        <f>FlowAngleRel(INDEX('Route Data'!$J$7:$J$8,E1010)*INDEX('Route Data'!$I$7:$I$8,E1010), INDEX('Route Data'!$L$7:$L$8,E1010)*2*PI()/60, INDEX('Route Data'!$F$7:$F$8,E1010),INDEX('Route Data'!$O$7:$O$8,E1010), INDEX('Route Data'!$P$7:$P$8,E1010),INDEX('Route Data'!$M$7:$M$8,E1010))</f>
        <v>1.130811765868994</v>
      </c>
      <c r="K1010" s="8">
        <f>FlowAngleAbsT(INDEX('Route Data'!$K$7:$K$8,E1010), INDEX('Route Data'!$I$7:$I$8,E1010), INDEX('Route Data'!$I$7:$I$8,E1010)*INDEX('Route Data'!$J$7:$J$8,E1010), INDEX('Route Data'!$L$7:$L$8,E1010)*2*PI()/60, INDEX('Route Data'!$F$7:$F$8,E1010),INDEX('Route Data'!$O$7:$O$8,E1010), INDEX('Route Data'!$P$7:$P$8,E1010), INDEX('Route Data'!$H$7:$H$8,E1010), INDEX('Route Data'!$Q$7:$Q$8,E1010), INDEX('Route Data'!$M$7:$M$8,E1010))</f>
        <v>0.51617226640175828</v>
      </c>
      <c r="L1010" s="5">
        <f>INDEX('Route Data'!$N$7:$N$8,E1010)</f>
        <v>0.4</v>
      </c>
      <c r="M1010" s="8">
        <v>0.54312896728515625</v>
      </c>
      <c r="N1010" s="8">
        <f>ProbStrikeFrancis(K1010, I1010, L1010, INDEX('Route Data'!$G$7:$G$8,E1010),C1010, INDEX('Route Data'!$F$7:$F$8,E1010), INDEX('Route Data'!$O$7:$O$8,E1010), INDEX('Route Data'!$H$7:$H$18,E1010))</f>
        <v>1</v>
      </c>
      <c r="O1010" s="5" t="str">
        <f>IF(F1010&gt;=1,IF(M1010&lt;=N1010,"STRIKE","pass"),IF(M1010&lt;=INDEX('Route Data'!$R$7:$R$8,E1010),"NO PASS","pass"))</f>
        <v>STRIKE</v>
      </c>
      <c r="P1010" s="5">
        <f>IF(F1010&gt;=1,IF(M1010&lt;=N1010,1,0),IF(M1010&lt;=INDEX('Route Data'!$R$7:$R$8,E1010),-1,0))</f>
        <v>1</v>
      </c>
    </row>
  </sheetData>
  <sheetProtection algorithmName="SHA-512" hashValue="CPRVGdgVq/tax33XwV0SaBD6jHyL39HFujWHqSAmMY8GfYmGKSKCwMKjja8TTGxQ9zPUuwksm4yDlZvJc+9QFA==" saltValue="Jzs4JVdwo2aYPIDtG194Yw==" spinCount="100000" sheet="1" objects="1" scenarios="1"/>
  <dataConsolidate/>
  <mergeCells count="12">
    <mergeCell ref="O9:P9"/>
    <mergeCell ref="E5:G5"/>
    <mergeCell ref="E6:G6"/>
    <mergeCell ref="E7:G7"/>
    <mergeCell ref="C4:G4"/>
    <mergeCell ref="J4:N4"/>
    <mergeCell ref="J5:K5"/>
    <mergeCell ref="J6:K6"/>
    <mergeCell ref="J7:K7"/>
    <mergeCell ref="L5:M5"/>
    <mergeCell ref="L7:M7"/>
    <mergeCell ref="L6:M6"/>
  </mergeCells>
  <conditionalFormatting sqref="B11:B1010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{7BB6F6BC-BA54-47C8-B97A-50C9C89D0CB3}</x14:id>
        </ext>
      </extLst>
    </cfRule>
  </conditionalFormatting>
  <conditionalFormatting sqref="N11:N1010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{9B317A3F-1136-4085-BAC9-BE725A2F48C5}</x14:id>
        </ext>
      </extLst>
    </cfRule>
  </conditionalFormatting>
  <dataValidations count="3">
    <dataValidation type="whole" allowBlank="1" showInputMessage="1" showErrorMessage="1" errorTitle="Error" error="Number of fish exceeds the maximum.  Re-enter a number between 1 and 10,000." sqref="D5" xr:uid="{00000000-0002-0000-0200-000000000000}">
      <formula1>1</formula1>
      <formula2>10000</formula2>
    </dataValidation>
    <dataValidation type="decimal" allowBlank="1" showInputMessage="1" showErrorMessage="1" sqref="D6" xr:uid="{00000000-0002-0000-0200-000001000000}">
      <formula1>0.1</formula1>
      <formula2>60</formula2>
    </dataValidation>
    <dataValidation type="decimal" allowBlank="1" showInputMessage="1" showErrorMessage="1" sqref="D7" xr:uid="{00000000-0002-0000-0200-000002000000}">
      <formula1>0.0000001</formula1>
      <formula2>24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imulate">
                <anchor moveWithCells="1" sizeWithCells="1">
                  <from>
                    <xdr:col>7</xdr:col>
                    <xdr:colOff>95250</xdr:colOff>
                    <xdr:row>2</xdr:row>
                    <xdr:rowOff>171450</xdr:rowOff>
                  </from>
                  <to>
                    <xdr:col>8</xdr:col>
                    <xdr:colOff>600075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rchive">
                <anchor moveWithCells="1" sizeWithCells="1">
                  <from>
                    <xdr:col>14</xdr:col>
                    <xdr:colOff>95250</xdr:colOff>
                    <xdr:row>3</xdr:row>
                    <xdr:rowOff>0</xdr:rowOff>
                  </from>
                  <to>
                    <xdr:col>15</xdr:col>
                    <xdr:colOff>552450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Run">
                <anchor moveWithCells="1" sizeWithCells="1">
                  <from>
                    <xdr:col>0</xdr:col>
                    <xdr:colOff>76200</xdr:colOff>
                    <xdr:row>2</xdr:row>
                    <xdr:rowOff>171450</xdr:rowOff>
                  </from>
                  <to>
                    <xdr:col>1</xdr:col>
                    <xdr:colOff>552450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Archive">
                <anchor moveWithCells="1" sizeWithCells="1">
                  <from>
                    <xdr:col>14</xdr:col>
                    <xdr:colOff>95250</xdr:colOff>
                    <xdr:row>4</xdr:row>
                    <xdr:rowOff>171450</xdr:rowOff>
                  </from>
                  <to>
                    <xdr:col>15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learArchives">
                <anchor moveWithCells="1" sizeWithCells="1">
                  <from>
                    <xdr:col>0</xdr:col>
                    <xdr:colOff>76200</xdr:colOff>
                    <xdr:row>4</xdr:row>
                    <xdr:rowOff>161925</xdr:rowOff>
                  </from>
                  <to>
                    <xdr:col>1</xdr:col>
                    <xdr:colOff>552450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BB6F6BC-BA54-47C8-B97A-50C9C89D0CB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B11:B1010</xm:sqref>
        </x14:conditionalFormatting>
        <x14:conditionalFormatting xmlns:xm="http://schemas.microsoft.com/office/excel/2006/main">
          <x14:cfRule type="dataBar" id="{9B317A3F-1136-4085-BAC9-BE725A2F48C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N11:N1010</xm:sqref>
        </x14:conditionalFormatting>
        <x14:conditionalFormatting xmlns:xm="http://schemas.microsoft.com/office/excel/2006/main">
          <x14:cfRule type="iconSet" priority="1" id="{AE97ED7C-4478-4C49-BEB9-C861DAE46F31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TrafficLights1" iconId="1"/>
              <x14:cfIcon iconSet="3Symbols2" iconId="2"/>
              <x14:cfIcon iconSet="3Symbols2" iconId="0"/>
            </x14:iconSet>
          </x14:cfRule>
          <xm:sqref>P11:P1010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Method</vt:lpstr>
      <vt:lpstr>Route Data</vt:lpstr>
      <vt:lpstr>Simulation</vt:lpstr>
      <vt:lpstr>Method!Print_Area</vt:lpstr>
    </vt:vector>
  </TitlesOfParts>
  <Manager>USFWS</Manager>
  <Company>Department of Interior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Turbine Blade Strike Analysis model</dc:title>
  <dc:subject>TBSA Release 181019</dc:subject>
  <dc:creator>Brett Towler</dc:creator>
  <cp:keywords/>
  <dc:description>Model</dc:description>
  <cp:lastModifiedBy>Kevin Nebiolo</cp:lastModifiedBy>
  <cp:lastPrinted>2018-10-27T22:41:36Z</cp:lastPrinted>
  <dcterms:created xsi:type="dcterms:W3CDTF">2018-08-31T13:55:59Z</dcterms:created>
  <dcterms:modified xsi:type="dcterms:W3CDTF">2023-02-14T19:37:58Z</dcterms:modified>
  <cp:category>x64</cp:category>
</cp:coreProperties>
</file>