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eba1ba43692f98ec/Documents/ASE6002/ModelProject/cost_model/"/>
    </mc:Choice>
  </mc:AlternateContent>
  <xr:revisionPtr revIDLastSave="13517" documentId="13_ncr:1_{B419944E-7C9D-4821-9DB0-661A8B92BD60}" xr6:coauthVersionLast="47" xr6:coauthVersionMax="47" xr10:uidLastSave="{AA0951D1-7E17-40FE-9EEC-58FEB58820FC}"/>
  <bookViews>
    <workbookView xWindow="-98" yWindow="-98" windowWidth="21795" windowHeight="12975" activeTab="3" xr2:uid="{0BE88EB2-3A1E-BD41-82F4-6438F84B674A}"/>
  </bookViews>
  <sheets>
    <sheet name="CHAINSAW" sheetId="7" r:id="rId1"/>
    <sheet name="Motor" sheetId="3" r:id="rId2"/>
    <sheet name="Bar" sheetId="4" r:id="rId3"/>
    <sheet name="Saw" sheetId="5" r:id="rId4"/>
    <sheet name="Sheet1" sheetId="6" r:id="rId5"/>
  </sheets>
  <definedNames>
    <definedName name="Bar_length">Bar!$B$2</definedName>
    <definedName name="barCost">Bar!$E$2</definedName>
    <definedName name="barWeight">Bar!$E$3</definedName>
    <definedName name="batteryCost">Sheet1!$B$3</definedName>
    <definedName name="FactorySQFT">CHAINSAW!$H$36</definedName>
    <definedName name="FixedCost">CHAINSAW!$H$15</definedName>
    <definedName name="MachineryCost">CHAINSAW!$I$14</definedName>
    <definedName name="motorCost">Sheet1!$B$4</definedName>
    <definedName name="NumOfEmployees">CHAINSAW!$I$11</definedName>
    <definedName name="sawCost">Saw!$E$1</definedName>
    <definedName name="sawLength">Saw!$B$1</definedName>
    <definedName name="sawWeight">Saw!$E$2</definedName>
    <definedName name="varCost">Sheet1!$B$1</definedName>
  </definedNames>
  <calcPr calcId="191028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2" i="4"/>
  <c r="E1" i="5"/>
  <c r="E2" i="5"/>
  <c r="G35" i="7"/>
  <c r="G36" i="7" s="1"/>
  <c r="F35" i="7"/>
  <c r="F36" i="7" s="1"/>
  <c r="E34" i="7"/>
  <c r="B34" i="7"/>
  <c r="E19" i="7"/>
  <c r="H14" i="7"/>
  <c r="H13" i="7"/>
  <c r="H11" i="7"/>
  <c r="P3" i="5"/>
  <c r="P4" i="5"/>
  <c r="P5" i="5"/>
  <c r="Q5" i="5" s="1"/>
  <c r="P6" i="5"/>
  <c r="Q6" i="5" s="1"/>
  <c r="P7" i="5"/>
  <c r="P8" i="5"/>
  <c r="P9" i="5"/>
  <c r="Q9" i="5" s="1"/>
  <c r="P10" i="5"/>
  <c r="P11" i="5"/>
  <c r="P12" i="5"/>
  <c r="P13" i="5"/>
  <c r="P14" i="5"/>
  <c r="Q14" i="5" s="1"/>
  <c r="P15" i="5"/>
  <c r="Q15" i="5" s="1"/>
  <c r="P16" i="5"/>
  <c r="Q16" i="5" s="1"/>
  <c r="P17" i="5"/>
  <c r="Q17" i="5" s="1"/>
  <c r="P18" i="5"/>
  <c r="Q18" i="5" s="1"/>
  <c r="P19" i="5"/>
  <c r="Q19" i="5" s="1"/>
  <c r="P20" i="5"/>
  <c r="Q20" i="5" s="1"/>
  <c r="P21" i="5"/>
  <c r="Q21" i="5" s="1"/>
  <c r="P22" i="5"/>
  <c r="Q22" i="5" s="1"/>
  <c r="P23" i="5"/>
  <c r="P24" i="5"/>
  <c r="Q24" i="5" s="1"/>
  <c r="P25" i="5"/>
  <c r="Q25" i="5" s="1"/>
  <c r="P26" i="5"/>
  <c r="P27" i="5"/>
  <c r="P28" i="5"/>
  <c r="Q28" i="5" s="1"/>
  <c r="P29" i="5"/>
  <c r="P30" i="5"/>
  <c r="Q30" i="5" s="1"/>
  <c r="P31" i="5"/>
  <c r="O4" i="4"/>
  <c r="P4" i="4" s="1"/>
  <c r="O5" i="4"/>
  <c r="P5" i="4" s="1"/>
  <c r="O6" i="4"/>
  <c r="P6" i="4" s="1"/>
  <c r="O7" i="4"/>
  <c r="P7" i="4" s="1"/>
  <c r="O8" i="4"/>
  <c r="P8" i="4" s="1"/>
  <c r="O9" i="4"/>
  <c r="P9" i="4" s="1"/>
  <c r="O10" i="4"/>
  <c r="P10" i="4" s="1"/>
  <c r="O11" i="4"/>
  <c r="P11" i="4" s="1"/>
  <c r="O12" i="4"/>
  <c r="O13" i="4"/>
  <c r="P13" i="4" s="1"/>
  <c r="O14" i="4"/>
  <c r="P14" i="4" s="1"/>
  <c r="O15" i="4"/>
  <c r="P15" i="4" s="1"/>
  <c r="O16" i="4"/>
  <c r="P16" i="4" s="1"/>
  <c r="O17" i="4"/>
  <c r="P17" i="4" s="1"/>
  <c r="O18" i="4"/>
  <c r="P18" i="4" s="1"/>
  <c r="O19" i="4"/>
  <c r="P19" i="4" s="1"/>
  <c r="O20" i="4"/>
  <c r="P20" i="4" s="1"/>
  <c r="O21" i="4"/>
  <c r="P21" i="4" s="1"/>
  <c r="O22" i="4"/>
  <c r="P22" i="4" s="1"/>
  <c r="O23" i="4"/>
  <c r="P23" i="4" s="1"/>
  <c r="O24" i="4"/>
  <c r="P24" i="4" s="1"/>
  <c r="O25" i="4"/>
  <c r="P25" i="4" s="1"/>
  <c r="O26" i="4"/>
  <c r="P26" i="4" s="1"/>
  <c r="O27" i="4"/>
  <c r="O28" i="4"/>
  <c r="O29" i="4"/>
  <c r="O30" i="4"/>
  <c r="P30" i="4" s="1"/>
  <c r="O31" i="4"/>
  <c r="O32" i="4"/>
  <c r="P32" i="4" s="1"/>
  <c r="O33" i="4"/>
  <c r="O34" i="4"/>
  <c r="O35" i="4"/>
  <c r="P35" i="4" s="1"/>
  <c r="O36" i="4"/>
  <c r="P36" i="4" s="1"/>
  <c r="O37" i="4"/>
  <c r="P37" i="4" s="1"/>
  <c r="O3" i="4"/>
  <c r="P3" i="4" s="1"/>
  <c r="Q11" i="5"/>
  <c r="Q8" i="5"/>
  <c r="Q3" i="5"/>
  <c r="Q4" i="5"/>
  <c r="Q23" i="5"/>
  <c r="Q13" i="5"/>
  <c r="Q7" i="5"/>
  <c r="O29" i="5"/>
  <c r="Q10" i="5"/>
  <c r="Q12" i="5"/>
  <c r="Q26" i="5"/>
  <c r="Q31" i="5"/>
  <c r="Q27" i="5"/>
  <c r="D2" i="3"/>
  <c r="C2" i="3"/>
  <c r="P34" i="4"/>
  <c r="P33" i="4"/>
  <c r="O2" i="3"/>
  <c r="V2" i="3"/>
  <c r="O3" i="3"/>
  <c r="V3" i="3"/>
  <c r="O4" i="3"/>
  <c r="V4" i="3"/>
  <c r="O5" i="3"/>
  <c r="V5" i="3"/>
  <c r="O6" i="3"/>
  <c r="V6" i="3"/>
  <c r="O7" i="3"/>
  <c r="V7" i="3"/>
  <c r="O8" i="3"/>
  <c r="V8" i="3"/>
  <c r="O9" i="3"/>
  <c r="V9" i="3"/>
  <c r="O10" i="3"/>
  <c r="V10" i="3"/>
  <c r="O11" i="3"/>
  <c r="V11" i="3"/>
  <c r="O12" i="3"/>
  <c r="V12" i="3"/>
  <c r="O13" i="3"/>
  <c r="V13" i="3"/>
  <c r="O14" i="3"/>
  <c r="V14" i="3"/>
  <c r="O15" i="3"/>
  <c r="V15" i="3"/>
  <c r="O16" i="3"/>
  <c r="V16" i="3"/>
  <c r="O17" i="3"/>
  <c r="V17" i="3"/>
  <c r="O18" i="3"/>
  <c r="V18" i="3"/>
  <c r="O19" i="3"/>
  <c r="V19" i="3"/>
  <c r="O20" i="3"/>
  <c r="V20" i="3"/>
  <c r="O21" i="3"/>
  <c r="V21" i="3"/>
  <c r="O22" i="3"/>
  <c r="V22" i="3"/>
  <c r="O23" i="3"/>
  <c r="V23" i="3"/>
  <c r="O24" i="3"/>
  <c r="V24" i="3"/>
  <c r="O25" i="3"/>
  <c r="V25" i="3"/>
  <c r="O26" i="3"/>
  <c r="V26" i="3"/>
  <c r="O27" i="3"/>
  <c r="V27" i="3"/>
  <c r="O28" i="3"/>
  <c r="V28" i="3"/>
  <c r="O29" i="3"/>
  <c r="V29" i="3"/>
  <c r="O30" i="3"/>
  <c r="V30" i="3"/>
  <c r="O31" i="3"/>
  <c r="V31" i="3"/>
  <c r="O32" i="3"/>
  <c r="V32" i="3"/>
  <c r="O33" i="3"/>
  <c r="V33" i="3"/>
  <c r="O34" i="3"/>
  <c r="V34" i="3"/>
  <c r="O35" i="3"/>
  <c r="V35" i="3"/>
  <c r="O36" i="3"/>
  <c r="V36" i="3"/>
  <c r="O37" i="3"/>
  <c r="V37" i="3"/>
  <c r="O38" i="3"/>
  <c r="V38" i="3"/>
  <c r="O39" i="3"/>
  <c r="V39" i="3"/>
  <c r="O40" i="3"/>
  <c r="V40" i="3"/>
  <c r="O41" i="3"/>
  <c r="V41" i="3"/>
  <c r="O42" i="3"/>
  <c r="V42" i="3"/>
  <c r="O43" i="3"/>
  <c r="V43" i="3"/>
  <c r="O44" i="3"/>
  <c r="V44" i="3"/>
  <c r="O45" i="3"/>
  <c r="V45" i="3"/>
  <c r="O46" i="3"/>
  <c r="V46" i="3"/>
  <c r="O47" i="3"/>
  <c r="V47" i="3"/>
  <c r="O48" i="3"/>
  <c r="V48" i="3"/>
  <c r="O49" i="3"/>
  <c r="V49" i="3"/>
  <c r="O50" i="3"/>
  <c r="V50" i="3"/>
  <c r="O51" i="3"/>
  <c r="V51" i="3"/>
  <c r="O52" i="3"/>
  <c r="V52" i="3"/>
  <c r="O53" i="3"/>
  <c r="V53" i="3"/>
  <c r="O54" i="3"/>
  <c r="V54" i="3"/>
  <c r="O55" i="3"/>
  <c r="V55" i="3"/>
  <c r="O56" i="3"/>
  <c r="V56" i="3"/>
  <c r="O57" i="3"/>
  <c r="V57" i="3"/>
  <c r="O58" i="3"/>
  <c r="V58" i="3"/>
  <c r="O59" i="3"/>
  <c r="V59" i="3"/>
  <c r="O60" i="3"/>
  <c r="V60" i="3"/>
  <c r="O61" i="3"/>
  <c r="V61" i="3"/>
  <c r="G2" i="3"/>
  <c r="G3" i="3"/>
  <c r="P12" i="4"/>
  <c r="P27" i="4"/>
  <c r="P28" i="4"/>
  <c r="P29" i="4"/>
  <c r="P31" i="4"/>
  <c r="B1" i="6" l="1"/>
  <c r="G37" i="7"/>
  <c r="I36" i="7"/>
  <c r="H12" i="7" s="1"/>
  <c r="H15" i="7" s="1"/>
  <c r="Q29" i="5"/>
</calcChain>
</file>

<file path=xl/sharedStrings.xml><?xml version="1.0" encoding="utf-8"?>
<sst xmlns="http://schemas.openxmlformats.org/spreadsheetml/2006/main" count="509" uniqueCount="186">
  <si>
    <t>Outputs</t>
  </si>
  <si>
    <t>Input</t>
  </si>
  <si>
    <t># Of Units produced</t>
  </si>
  <si>
    <t>Component</t>
  </si>
  <si>
    <t>Cost/unit</t>
  </si>
  <si>
    <t>Front Handle</t>
  </si>
  <si>
    <t>Motor Housing Assembly</t>
  </si>
  <si>
    <t>Wind Plate</t>
  </si>
  <si>
    <t xml:space="preserve">Motor and Wiring Harness Assembly </t>
  </si>
  <si>
    <t>Front Handle Guard</t>
  </si>
  <si>
    <t>Housing Assembly</t>
  </si>
  <si>
    <t xml:space="preserve">Compression Spring </t>
  </si>
  <si>
    <t>Trigger Assembly</t>
  </si>
  <si>
    <t xml:space="preserve">Gear Box Base Assembly </t>
  </si>
  <si>
    <t xml:space="preserve">Output Gear and Shaft Assembly </t>
  </si>
  <si>
    <t>Ball Bearing (6000 2RS)</t>
  </si>
  <si>
    <t>Input Gear Assembly</t>
  </si>
  <si>
    <t>Gear Box Cover Assembly</t>
  </si>
  <si>
    <t>Filter</t>
  </si>
  <si>
    <t>Outlet Tube</t>
  </si>
  <si>
    <t>Oil Tank</t>
  </si>
  <si>
    <t>Oil Cap Assembly</t>
  </si>
  <si>
    <t>Saw Chain</t>
  </si>
  <si>
    <t>Guide Bar</t>
  </si>
  <si>
    <t>Scabbard</t>
  </si>
  <si>
    <t>Insert Plate</t>
  </si>
  <si>
    <t>Adjustment Block</t>
  </si>
  <si>
    <t>Sprocket</t>
  </si>
  <si>
    <t>Bar Cover</t>
  </si>
  <si>
    <t>Front Handle Arm</t>
  </si>
  <si>
    <t>Battery</t>
  </si>
  <si>
    <t>Hardware Kit</t>
  </si>
  <si>
    <t>Label Kit</t>
  </si>
  <si>
    <t>Min</t>
  </si>
  <si>
    <t>Max</t>
  </si>
  <si>
    <t>Output</t>
  </si>
  <si>
    <t>Manufacturer</t>
  </si>
  <si>
    <t>Model Number</t>
  </si>
  <si>
    <t>Volts (V)</t>
  </si>
  <si>
    <t>Power (W)</t>
  </si>
  <si>
    <t>Torque (Nm)</t>
  </si>
  <si>
    <t>Angular Velocity (rad/s)</t>
  </si>
  <si>
    <t>RPM (Rated)</t>
  </si>
  <si>
    <t>Weight (kg)</t>
  </si>
  <si>
    <t>Price ($)</t>
  </si>
  <si>
    <t>Length (mm)</t>
  </si>
  <si>
    <t>Sq or Rd</t>
  </si>
  <si>
    <t>Size (mm)</t>
  </si>
  <si>
    <t>Power/Weight</t>
  </si>
  <si>
    <t>Source</t>
  </si>
  <si>
    <t>Torque</t>
  </si>
  <si>
    <t>Nm</t>
  </si>
  <si>
    <t>Weight</t>
  </si>
  <si>
    <t>kg</t>
  </si>
  <si>
    <t>42BLR53-12-01</t>
  </si>
  <si>
    <t>R</t>
  </si>
  <si>
    <t>stepperonline.com</t>
  </si>
  <si>
    <t>Price</t>
  </si>
  <si>
    <t>$</t>
  </si>
  <si>
    <t>57BYA54-12-01</t>
  </si>
  <si>
    <t>57BYB54-12-01</t>
  </si>
  <si>
    <t>S</t>
  </si>
  <si>
    <t>36BLR65-24-01</t>
  </si>
  <si>
    <t>42BLR43-24-01</t>
  </si>
  <si>
    <t>42BLR63-24-01</t>
  </si>
  <si>
    <t>42BLR83-24-01</t>
  </si>
  <si>
    <t>42BLS40-24-01</t>
  </si>
  <si>
    <t>42BLS60-24-01</t>
  </si>
  <si>
    <t>42BLS80-24-01</t>
  </si>
  <si>
    <t>42BLS100-24-01</t>
  </si>
  <si>
    <t>42BSA46-24-01</t>
  </si>
  <si>
    <t>42BSA62-24-01</t>
  </si>
  <si>
    <t>42BSA78-24-01</t>
  </si>
  <si>
    <t>42BSB101-24-01</t>
  </si>
  <si>
    <t>42BSB41-24-01</t>
  </si>
  <si>
    <t>42BSB61-24-01</t>
  </si>
  <si>
    <t>42BSB81-24-01</t>
  </si>
  <si>
    <t>42BYA43-24-01</t>
  </si>
  <si>
    <t>42BYA51-24-01</t>
  </si>
  <si>
    <t>42BYA73-24-01</t>
  </si>
  <si>
    <t>57BLR50-24-01</t>
  </si>
  <si>
    <t>57BLR70-24-01</t>
  </si>
  <si>
    <t>57BLR70-24-02</t>
  </si>
  <si>
    <t>57BLR90-24-01</t>
  </si>
  <si>
    <t>57BLY54-24-01</t>
  </si>
  <si>
    <t>57BSA58-24-01</t>
  </si>
  <si>
    <t>57BSD76-24-01</t>
  </si>
  <si>
    <t>57BYA54-24-01</t>
  </si>
  <si>
    <t>57BYA74-24-01</t>
  </si>
  <si>
    <t>57BYB74-24-01</t>
  </si>
  <si>
    <t>57BYB54-24-01</t>
  </si>
  <si>
    <t>86BSA70-24-01</t>
  </si>
  <si>
    <t>42BSA62-36-01</t>
  </si>
  <si>
    <t>57BLR43-36-01</t>
  </si>
  <si>
    <t>57BLR50-36-01</t>
  </si>
  <si>
    <t>57BLR70-36-01</t>
  </si>
  <si>
    <t>57BLR90-36-01</t>
  </si>
  <si>
    <t>57BLR110-36-01</t>
  </si>
  <si>
    <t>57BSA100-36-01</t>
  </si>
  <si>
    <t>57BSA79-36-01</t>
  </si>
  <si>
    <t>57BSD116-36-01</t>
  </si>
  <si>
    <t>57BSD76-36-01</t>
  </si>
  <si>
    <t>57BSD96-36-01</t>
  </si>
  <si>
    <t>57BYA74-36-01</t>
  </si>
  <si>
    <t>57BYA94-36-01</t>
  </si>
  <si>
    <t>57BYB74-36-01</t>
  </si>
  <si>
    <t>57BYB94-36-01</t>
  </si>
  <si>
    <t>42BSA78-48-01</t>
  </si>
  <si>
    <t>42BSB101-48-01</t>
  </si>
  <si>
    <t>42BSB61-48-01</t>
  </si>
  <si>
    <t>42BSB81-48-01</t>
  </si>
  <si>
    <t>57BSA100-48-01</t>
  </si>
  <si>
    <t>57BSD116-48-01</t>
  </si>
  <si>
    <t>57BYA94-48-01</t>
  </si>
  <si>
    <t>57BYA114-48-01</t>
  </si>
  <si>
    <t>57BYB114-48-01</t>
  </si>
  <si>
    <t>57BYB94-48-01</t>
  </si>
  <si>
    <t>86BSA108-48-01</t>
  </si>
  <si>
    <t>86BSA135-48-01</t>
  </si>
  <si>
    <t>Bar</t>
  </si>
  <si>
    <t>Bar length</t>
  </si>
  <si>
    <t>Cost</t>
  </si>
  <si>
    <t>Compatible Bar Length</t>
  </si>
  <si>
    <t>Gauge</t>
  </si>
  <si>
    <t>Pitch</t>
  </si>
  <si>
    <t>Compatible Chain Saw Manufacturer</t>
  </si>
  <si>
    <t>Brand</t>
  </si>
  <si>
    <t>0.05 in</t>
  </si>
  <si>
    <t>3/8 in</t>
  </si>
  <si>
    <t>Dewalt</t>
  </si>
  <si>
    <t>DEWALT</t>
  </si>
  <si>
    <t>ECHO</t>
  </si>
  <si>
    <t>Makita</t>
  </si>
  <si>
    <t>MAKITA</t>
  </si>
  <si>
    <t>Milwaukee</t>
  </si>
  <si>
    <t>MILWAUKEE</t>
  </si>
  <si>
    <r>
      <t>The cost of laser cutting steel can vary depending on several factors, including the thickness of the steel, the complexity of the design, and the specific laser cutting service provider. </t>
    </r>
    <r>
      <rPr>
        <sz val="10"/>
        <rFont val="Roboto"/>
      </rPr>
      <t>Generally, the cost ranges from </t>
    </r>
    <r>
      <rPr>
        <b/>
        <sz val="10"/>
        <rFont val="Roboto"/>
      </rPr>
      <t>$13 to $20 per hour</t>
    </r>
    <r>
      <rPr>
        <sz val="10"/>
        <rFont val="Roboto"/>
      </rPr>
      <t>1</t>
    </r>
    <r>
      <rPr>
        <sz val="10"/>
        <color rgb="FF111111"/>
        <rFont val="Roboto"/>
      </rPr>
      <t>. </t>
    </r>
    <r>
      <rPr>
        <sz val="10"/>
        <rFont val="Roboto"/>
      </rPr>
      <t>For example, a project requiring 15,000 inches of cutting at a rate of 70 inches per minute would take about 3.57 hours, translating to a cost of approximately $46.41 to $71.401</t>
    </r>
    <r>
      <rPr>
        <sz val="10"/>
        <color rgb="FF111111"/>
        <rFont val="Roboto"/>
      </rPr>
      <t>.</t>
    </r>
  </si>
  <si>
    <r>
      <t>The cost to manufacture a chainsaw chain can vary widely based on factors such as the materials used, the complexity of the design, and the scale of production. </t>
    </r>
    <r>
      <rPr>
        <sz val="10"/>
        <rFont val="Roboto"/>
      </rPr>
      <t>Generally, the cost to produce a chainsaw chain can range from </t>
    </r>
    <r>
      <rPr>
        <b/>
        <sz val="10"/>
        <rFont val="Roboto"/>
      </rPr>
      <t>$5 to $15 per chain</t>
    </r>
    <r>
      <rPr>
        <sz val="10"/>
        <rFont val="Roboto"/>
      </rPr>
      <t>12</t>
    </r>
    <r>
      <rPr>
        <sz val="10"/>
        <color rgb="FF111111"/>
        <rFont val="Roboto"/>
      </rPr>
      <t>. This includes the cost of raw materials like steel, manufacturing processes, labor, and overhead costs.</t>
    </r>
  </si>
  <si>
    <r>
      <t>The cost to manufacture a chainsaw bar can vary significantly based on factors such as the materials used, the complexity of the design, and the scale of production. </t>
    </r>
    <r>
      <rPr>
        <sz val="10"/>
        <rFont val="Roboto"/>
      </rPr>
      <t>Generally, the cost can range from </t>
    </r>
    <r>
      <rPr>
        <b/>
        <sz val="10"/>
        <rFont val="Roboto"/>
      </rPr>
      <t>$20 to $50 per bar</t>
    </r>
    <r>
      <rPr>
        <sz val="10"/>
        <rFont val="Roboto"/>
      </rPr>
      <t>12</t>
    </r>
    <r>
      <rPr>
        <sz val="10"/>
        <color rgb="FF111111"/>
        <rFont val="Roboto"/>
      </rPr>
      <t>. This includes the cost of raw materials like high-quality steel, manufacturing processes, labor, and overhead costs.</t>
    </r>
  </si>
  <si>
    <t>EGO</t>
  </si>
  <si>
    <t>Stihl</t>
  </si>
  <si>
    <t>m/s</t>
  </si>
  <si>
    <t>chain speed</t>
  </si>
  <si>
    <t>Cuts</t>
  </si>
  <si>
    <t>Black and Decker</t>
  </si>
  <si>
    <t xml:space="preserve">Standard cut is 4x4 pressure treated wood. </t>
  </si>
  <si>
    <t>length</t>
  </si>
  <si>
    <t>Number of Links</t>
  </si>
  <si>
    <t>File Size</t>
  </si>
  <si>
    <t>5/32 in</t>
  </si>
  <si>
    <t>7/32 in</t>
  </si>
  <si>
    <t>OREGON</t>
  </si>
  <si>
    <t>TRILINK</t>
  </si>
  <si>
    <t>Kg</t>
  </si>
  <si>
    <t>Compatible Bar Length (cm)</t>
  </si>
  <si>
    <t>cm</t>
  </si>
  <si>
    <t>varCost</t>
  </si>
  <si>
    <t>input1</t>
  </si>
  <si>
    <t>input2</t>
  </si>
  <si>
    <t>https://chainsawpartsworld.com/product-category/ms271/?product-page=5</t>
  </si>
  <si>
    <t>Variable</t>
  </si>
  <si>
    <t>Category</t>
  </si>
  <si>
    <t>Startup</t>
  </si>
  <si>
    <t>NRE</t>
  </si>
  <si>
    <t>Facilities</t>
  </si>
  <si>
    <t>Employees</t>
  </si>
  <si>
    <t>Machinery</t>
  </si>
  <si>
    <t>Fixed</t>
  </si>
  <si>
    <t>Total</t>
  </si>
  <si>
    <t>Per Unit</t>
  </si>
  <si>
    <t>Chain Brake</t>
  </si>
  <si>
    <t>Industrial Space</t>
  </si>
  <si>
    <t>Throttle Trigger</t>
  </si>
  <si>
    <t>Tensioning Mechanism</t>
  </si>
  <si>
    <t>Vibration Dampening System</t>
  </si>
  <si>
    <t>Oil Lubrication System</t>
  </si>
  <si>
    <t>Variable per Unit</t>
  </si>
  <si>
    <t>Motor</t>
  </si>
  <si>
    <t>Chain</t>
  </si>
  <si>
    <t>Guide bar</t>
  </si>
  <si>
    <t>Cost per kWh</t>
  </si>
  <si>
    <t>Friction between saw and wood</t>
  </si>
  <si>
    <t>Startup Costs</t>
  </si>
  <si>
    <t>motorcost</t>
  </si>
  <si>
    <t>batterycost</t>
  </si>
  <si>
    <t>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</si>
</sst>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"/>
  </numFmts>
  <fonts count="1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6"/>
      <color rgb="FF000000"/>
      <name val="Roboto"/>
    </font>
    <font>
      <sz val="7"/>
      <color rgb="FF000000"/>
      <name val="Roboto"/>
    </font>
    <font>
      <sz val="7"/>
      <color rgb="FF00739E"/>
      <name val="Roboto"/>
    </font>
    <font>
      <sz val="10"/>
      <color rgb="FF111111"/>
      <name val="Roboto"/>
    </font>
    <font>
      <sz val="10"/>
      <name val="Roboto"/>
    </font>
    <font>
      <b/>
      <sz val="10"/>
      <name val="Roboto"/>
    </font>
    <font>
      <sz val="10"/>
      <name val="Arial"/>
      <family val="2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b/>
      <sz val="10"/>
      <color rgb="FF000000"/>
      <name val="Roboto"/>
    </font>
    <font>
      <sz val="10"/>
      <color rgb="FF00739E"/>
      <name val="Roboto"/>
    </font>
    <font>
      <sz val="10"/>
      <color rgb="FF000000"/>
      <name val="Roboto"/>
    </font>
    <font>
      <u/>
      <sz val="10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72777D"/>
      </bottom>
      <diagonal/>
    </border>
    <border>
      <left/>
      <right/>
      <top style="medium">
        <color rgb="FFEEEEEE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44" fontId="2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/>
    </xf>
    <xf numFmtId="8" fontId="5" fillId="2" borderId="4" xfId="0" applyNumberFormat="1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8" fontId="5" fillId="2" borderId="0" xfId="0" applyNumberFormat="1" applyFont="1" applyFill="1" applyAlignment="1">
      <alignment horizontal="left" vertical="center"/>
    </xf>
    <xf numFmtId="0" fontId="6" fillId="0" borderId="0" xfId="0" applyFont="1"/>
    <xf numFmtId="164" fontId="0" fillId="0" borderId="0" xfId="0" applyNumberFormat="1"/>
    <xf numFmtId="44" fontId="0" fillId="0" borderId="0" xfId="1" applyFont="1"/>
    <xf numFmtId="9" fontId="0" fillId="0" borderId="0" xfId="2" applyFont="1"/>
    <xf numFmtId="0" fontId="10" fillId="0" borderId="0" xfId="0" applyFont="1"/>
    <xf numFmtId="0" fontId="0" fillId="5" borderId="0" xfId="0" applyFill="1"/>
    <xf numFmtId="164" fontId="0" fillId="5" borderId="0" xfId="0" applyNumberFormat="1" applyFill="1"/>
    <xf numFmtId="0" fontId="11" fillId="0" borderId="0" xfId="0" applyFont="1"/>
    <xf numFmtId="0" fontId="12" fillId="2" borderId="3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/>
    </xf>
    <xf numFmtId="8" fontId="13" fillId="2" borderId="4" xfId="0" applyNumberFormat="1" applyFont="1" applyFill="1" applyBorder="1" applyAlignment="1">
      <alignment horizontal="left" vertical="center"/>
    </xf>
    <xf numFmtId="0" fontId="13" fillId="2" borderId="4" xfId="0" applyFont="1" applyFill="1" applyBorder="1" applyAlignment="1">
      <alignment horizontal="left" vertical="center"/>
    </xf>
    <xf numFmtId="0" fontId="7" fillId="4" borderId="4" xfId="0" applyFont="1" applyFill="1" applyBorder="1" applyAlignment="1">
      <alignment horizontal="left" vertical="center"/>
    </xf>
    <xf numFmtId="8" fontId="13" fillId="4" borderId="4" xfId="0" applyNumberFormat="1" applyFont="1" applyFill="1" applyBorder="1" applyAlignment="1">
      <alignment horizontal="left" vertical="center"/>
    </xf>
    <xf numFmtId="0" fontId="14" fillId="2" borderId="4" xfId="0" applyFont="1" applyFill="1" applyBorder="1" applyAlignment="1">
      <alignment vertical="center"/>
    </xf>
    <xf numFmtId="0" fontId="14" fillId="2" borderId="4" xfId="0" applyFont="1" applyFill="1" applyBorder="1" applyAlignment="1">
      <alignment horizontal="left" vertical="center"/>
    </xf>
    <xf numFmtId="0" fontId="14" fillId="4" borderId="4" xfId="0" applyFont="1" applyFill="1" applyBorder="1" applyAlignment="1">
      <alignment horizontal="left" vertical="center"/>
    </xf>
    <xf numFmtId="0" fontId="2" fillId="0" borderId="0" xfId="4"/>
    <xf numFmtId="0" fontId="1" fillId="0" borderId="11" xfId="4" applyFont="1" applyBorder="1"/>
    <xf numFmtId="0" fontId="2" fillId="0" borderId="12" xfId="4" applyBorder="1"/>
    <xf numFmtId="0" fontId="15" fillId="0" borderId="0" xfId="3"/>
    <xf numFmtId="0" fontId="2" fillId="6" borderId="9" xfId="4" applyFill="1" applyBorder="1"/>
    <xf numFmtId="44" fontId="0" fillId="0" borderId="10" xfId="5" applyFont="1" applyBorder="1"/>
    <xf numFmtId="0" fontId="2" fillId="6" borderId="5" xfId="4" applyFill="1" applyBorder="1"/>
    <xf numFmtId="44" fontId="0" fillId="0" borderId="6" xfId="5" applyFont="1" applyBorder="1"/>
    <xf numFmtId="0" fontId="2" fillId="3" borderId="5" xfId="4" applyFill="1" applyBorder="1"/>
    <xf numFmtId="0" fontId="1" fillId="0" borderId="13" xfId="4" applyFont="1" applyBorder="1"/>
    <xf numFmtId="0" fontId="1" fillId="0" borderId="14" xfId="4" applyFont="1" applyBorder="1"/>
    <xf numFmtId="0" fontId="2" fillId="0" borderId="15" xfId="4" applyBorder="1"/>
    <xf numFmtId="44" fontId="0" fillId="0" borderId="16" xfId="5" applyFont="1" applyBorder="1"/>
    <xf numFmtId="0" fontId="2" fillId="3" borderId="0" xfId="4" applyFill="1"/>
    <xf numFmtId="0" fontId="2" fillId="0" borderId="5" xfId="4" applyBorder="1"/>
    <xf numFmtId="0" fontId="2" fillId="0" borderId="7" xfId="4" applyBorder="1"/>
    <xf numFmtId="44" fontId="0" fillId="0" borderId="8" xfId="5" applyFont="1" applyBorder="1"/>
    <xf numFmtId="0" fontId="1" fillId="0" borderId="1" xfId="4" applyFont="1" applyBorder="1"/>
    <xf numFmtId="44" fontId="1" fillId="0" borderId="2" xfId="4" applyNumberFormat="1" applyFont="1" applyBorder="1"/>
    <xf numFmtId="0" fontId="1" fillId="0" borderId="12" xfId="4" applyFont="1" applyBorder="1"/>
    <xf numFmtId="0" fontId="2" fillId="0" borderId="9" xfId="4" applyBorder="1"/>
    <xf numFmtId="0" fontId="2" fillId="7" borderId="5" xfId="4" applyFill="1" applyBorder="1"/>
    <xf numFmtId="44" fontId="0" fillId="0" borderId="0" xfId="5" applyFont="1"/>
    <xf numFmtId="44" fontId="2" fillId="0" borderId="6" xfId="5" applyFont="1" applyBorder="1"/>
    <xf numFmtId="0" fontId="1" fillId="0" borderId="17" xfId="4" applyFont="1" applyBorder="1"/>
    <xf numFmtId="0" fontId="2" fillId="0" borderId="18" xfId="4" applyBorder="1"/>
    <xf numFmtId="0" fontId="2" fillId="0" borderId="19" xfId="4" applyBorder="1"/>
    <xf numFmtId="0" fontId="2" fillId="0" borderId="20" xfId="4" applyBorder="1"/>
    <xf numFmtId="44" fontId="2" fillId="0" borderId="0" xfId="4" applyNumberFormat="1"/>
  </cellXfs>
  <cellStyles count="6">
    <cellStyle name="Currency" xfId="1" builtinId="4"/>
    <cellStyle name="Currency 2" xfId="5" xr:uid="{B872E8AE-4215-4433-B48A-B4BFF1B05FF7}"/>
    <cellStyle name="Hyperlink" xfId="3" builtinId="8"/>
    <cellStyle name="Normal" xfId="0" builtinId="0"/>
    <cellStyle name="Normal 2" xfId="4" xr:uid="{760C69DD-6B03-4054-B18B-0B53935870C3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Torque vs Weight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Motor!$N$2:$N$61</c:f>
              <c:numCache>
                <c:formatCode>General</c:formatCode>
                <c:ptCount val="60"/>
                <c:pt idx="0">
                  <c:v>4.8000000000000001E-2</c:v>
                </c:pt>
                <c:pt idx="1">
                  <c:v>0.16</c:v>
                </c:pt>
                <c:pt idx="2">
                  <c:v>0.16</c:v>
                </c:pt>
                <c:pt idx="3">
                  <c:v>6.4000000000000001E-2</c:v>
                </c:pt>
                <c:pt idx="4">
                  <c:v>6.2E-2</c:v>
                </c:pt>
                <c:pt idx="5">
                  <c:v>0.13100000000000001</c:v>
                </c:pt>
                <c:pt idx="6">
                  <c:v>0.17899999999999999</c:v>
                </c:pt>
                <c:pt idx="7">
                  <c:v>6.3E-2</c:v>
                </c:pt>
                <c:pt idx="8">
                  <c:v>0.125</c:v>
                </c:pt>
                <c:pt idx="9">
                  <c:v>0.185</c:v>
                </c:pt>
                <c:pt idx="10">
                  <c:v>0.25</c:v>
                </c:pt>
                <c:pt idx="11">
                  <c:v>0.08</c:v>
                </c:pt>
                <c:pt idx="12">
                  <c:v>0.16</c:v>
                </c:pt>
                <c:pt idx="13">
                  <c:v>0.24</c:v>
                </c:pt>
                <c:pt idx="14">
                  <c:v>0.25</c:v>
                </c:pt>
                <c:pt idx="15">
                  <c:v>6.3E-2</c:v>
                </c:pt>
                <c:pt idx="16">
                  <c:v>0.125</c:v>
                </c:pt>
                <c:pt idx="17">
                  <c:v>0.19</c:v>
                </c:pt>
                <c:pt idx="18">
                  <c:v>0.04</c:v>
                </c:pt>
                <c:pt idx="19">
                  <c:v>0.08</c:v>
                </c:pt>
                <c:pt idx="20">
                  <c:v>0.16</c:v>
                </c:pt>
                <c:pt idx="21">
                  <c:v>0.23</c:v>
                </c:pt>
                <c:pt idx="22">
                  <c:v>0.37</c:v>
                </c:pt>
                <c:pt idx="23">
                  <c:v>0.47</c:v>
                </c:pt>
                <c:pt idx="24">
                  <c:v>0.6</c:v>
                </c:pt>
                <c:pt idx="25">
                  <c:v>0.16</c:v>
                </c:pt>
                <c:pt idx="26">
                  <c:v>0.2</c:v>
                </c:pt>
                <c:pt idx="27">
                  <c:v>0.3</c:v>
                </c:pt>
                <c:pt idx="28">
                  <c:v>0.16</c:v>
                </c:pt>
                <c:pt idx="29">
                  <c:v>0.32</c:v>
                </c:pt>
                <c:pt idx="30">
                  <c:v>0.28999999999999998</c:v>
                </c:pt>
                <c:pt idx="31">
                  <c:v>0.16</c:v>
                </c:pt>
                <c:pt idx="32">
                  <c:v>0.35</c:v>
                </c:pt>
                <c:pt idx="33">
                  <c:v>0.16</c:v>
                </c:pt>
                <c:pt idx="34">
                  <c:v>5.5E-2</c:v>
                </c:pt>
                <c:pt idx="35">
                  <c:v>0.11</c:v>
                </c:pt>
                <c:pt idx="36">
                  <c:v>0.22</c:v>
                </c:pt>
                <c:pt idx="37">
                  <c:v>0.33</c:v>
                </c:pt>
                <c:pt idx="38">
                  <c:v>0.44</c:v>
                </c:pt>
                <c:pt idx="39">
                  <c:v>0.6</c:v>
                </c:pt>
                <c:pt idx="40">
                  <c:v>0.4</c:v>
                </c:pt>
                <c:pt idx="41">
                  <c:v>0.6</c:v>
                </c:pt>
                <c:pt idx="42">
                  <c:v>0.3</c:v>
                </c:pt>
                <c:pt idx="43">
                  <c:v>0.45</c:v>
                </c:pt>
                <c:pt idx="44">
                  <c:v>0.32</c:v>
                </c:pt>
                <c:pt idx="45">
                  <c:v>0.45</c:v>
                </c:pt>
                <c:pt idx="46">
                  <c:v>0.28999999999999998</c:v>
                </c:pt>
                <c:pt idx="47">
                  <c:v>0.41</c:v>
                </c:pt>
                <c:pt idx="48">
                  <c:v>0.24</c:v>
                </c:pt>
                <c:pt idx="49">
                  <c:v>0.25</c:v>
                </c:pt>
                <c:pt idx="50">
                  <c:v>0.125</c:v>
                </c:pt>
                <c:pt idx="51">
                  <c:v>0.19</c:v>
                </c:pt>
                <c:pt idx="52">
                  <c:v>0.6</c:v>
                </c:pt>
                <c:pt idx="53">
                  <c:v>0.6</c:v>
                </c:pt>
                <c:pt idx="54">
                  <c:v>0.45</c:v>
                </c:pt>
                <c:pt idx="55">
                  <c:v>0.6</c:v>
                </c:pt>
                <c:pt idx="56">
                  <c:v>0.56999999999999995</c:v>
                </c:pt>
                <c:pt idx="57">
                  <c:v>0.41</c:v>
                </c:pt>
                <c:pt idx="58">
                  <c:v>1.4</c:v>
                </c:pt>
                <c:pt idx="59">
                  <c:v>2.1</c:v>
                </c:pt>
              </c:numCache>
            </c:numRef>
          </c:xVal>
          <c:yVal>
            <c:numRef>
              <c:f>Motor!$Q$2:$Q$61</c:f>
              <c:numCache>
                <c:formatCode>General</c:formatCode>
                <c:ptCount val="60"/>
                <c:pt idx="0">
                  <c:v>0.35</c:v>
                </c:pt>
                <c:pt idx="1">
                  <c:v>0.47</c:v>
                </c:pt>
                <c:pt idx="2">
                  <c:v>0.54</c:v>
                </c:pt>
                <c:pt idx="3">
                  <c:v>0.3</c:v>
                </c:pt>
                <c:pt idx="4">
                  <c:v>0.3</c:v>
                </c:pt>
                <c:pt idx="5">
                  <c:v>0.47</c:v>
                </c:pt>
                <c:pt idx="6">
                  <c:v>0.6</c:v>
                </c:pt>
                <c:pt idx="7">
                  <c:v>0.3</c:v>
                </c:pt>
                <c:pt idx="8">
                  <c:v>0.6</c:v>
                </c:pt>
                <c:pt idx="9">
                  <c:v>0.65</c:v>
                </c:pt>
                <c:pt idx="10">
                  <c:v>0.85</c:v>
                </c:pt>
                <c:pt idx="11">
                  <c:v>0.38</c:v>
                </c:pt>
                <c:pt idx="12">
                  <c:v>0.53</c:v>
                </c:pt>
                <c:pt idx="13">
                  <c:v>0.68</c:v>
                </c:pt>
                <c:pt idx="14">
                  <c:v>0.88</c:v>
                </c:pt>
                <c:pt idx="15">
                  <c:v>0.32</c:v>
                </c:pt>
                <c:pt idx="16">
                  <c:v>0.5</c:v>
                </c:pt>
                <c:pt idx="17">
                  <c:v>0.72</c:v>
                </c:pt>
                <c:pt idx="18">
                  <c:v>0.3</c:v>
                </c:pt>
                <c:pt idx="19">
                  <c:v>0.36</c:v>
                </c:pt>
                <c:pt idx="20">
                  <c:v>0.52</c:v>
                </c:pt>
                <c:pt idx="21">
                  <c:v>0.55000000000000004</c:v>
                </c:pt>
                <c:pt idx="22">
                  <c:v>0.82</c:v>
                </c:pt>
                <c:pt idx="23">
                  <c:v>0.81</c:v>
                </c:pt>
                <c:pt idx="24">
                  <c:v>1.18</c:v>
                </c:pt>
                <c:pt idx="25">
                  <c:v>0.52</c:v>
                </c:pt>
                <c:pt idx="26">
                  <c:v>0.7</c:v>
                </c:pt>
                <c:pt idx="27">
                  <c:v>0.9</c:v>
                </c:pt>
                <c:pt idx="28">
                  <c:v>0.56999999999999995</c:v>
                </c:pt>
                <c:pt idx="29">
                  <c:v>0.85</c:v>
                </c:pt>
                <c:pt idx="30">
                  <c:v>0.79</c:v>
                </c:pt>
                <c:pt idx="31">
                  <c:v>0.54</c:v>
                </c:pt>
                <c:pt idx="32">
                  <c:v>1.65</c:v>
                </c:pt>
                <c:pt idx="33">
                  <c:v>0.53</c:v>
                </c:pt>
                <c:pt idx="34">
                  <c:v>0.4</c:v>
                </c:pt>
                <c:pt idx="35">
                  <c:v>0.53</c:v>
                </c:pt>
                <c:pt idx="36">
                  <c:v>0.73</c:v>
                </c:pt>
                <c:pt idx="37">
                  <c:v>1.03</c:v>
                </c:pt>
                <c:pt idx="38">
                  <c:v>1.25</c:v>
                </c:pt>
                <c:pt idx="39">
                  <c:v>1.35</c:v>
                </c:pt>
                <c:pt idx="40">
                  <c:v>1.03</c:v>
                </c:pt>
                <c:pt idx="41">
                  <c:v>1.49</c:v>
                </c:pt>
                <c:pt idx="42">
                  <c:v>0.9</c:v>
                </c:pt>
                <c:pt idx="43">
                  <c:v>0.91</c:v>
                </c:pt>
                <c:pt idx="44">
                  <c:v>0.85</c:v>
                </c:pt>
                <c:pt idx="45">
                  <c:v>1.1299999999999999</c:v>
                </c:pt>
                <c:pt idx="46">
                  <c:v>0.79</c:v>
                </c:pt>
                <c:pt idx="47">
                  <c:v>1.04</c:v>
                </c:pt>
                <c:pt idx="48">
                  <c:v>0.68</c:v>
                </c:pt>
                <c:pt idx="49">
                  <c:v>0.88</c:v>
                </c:pt>
                <c:pt idx="50">
                  <c:v>0.5</c:v>
                </c:pt>
                <c:pt idx="51">
                  <c:v>0.72</c:v>
                </c:pt>
                <c:pt idx="52">
                  <c:v>1.35</c:v>
                </c:pt>
                <c:pt idx="53">
                  <c:v>1.49</c:v>
                </c:pt>
                <c:pt idx="54">
                  <c:v>1.1299999999999999</c:v>
                </c:pt>
                <c:pt idx="55">
                  <c:v>1.41</c:v>
                </c:pt>
                <c:pt idx="56">
                  <c:v>1.29</c:v>
                </c:pt>
                <c:pt idx="57">
                  <c:v>1.04</c:v>
                </c:pt>
                <c:pt idx="58">
                  <c:v>3.2</c:v>
                </c:pt>
                <c:pt idx="59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D2-EE4B-BC9F-B533CD2A7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39432"/>
        <c:axId val="44841480"/>
      </c:scatterChart>
      <c:valAx>
        <c:axId val="4483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1480"/>
        <c:crosses val="autoZero"/>
        <c:crossBetween val="midCat"/>
      </c:valAx>
      <c:valAx>
        <c:axId val="4484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9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Torque vs Price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Motor!$N$2:$N$61</c:f>
              <c:numCache>
                <c:formatCode>General</c:formatCode>
                <c:ptCount val="60"/>
                <c:pt idx="0">
                  <c:v>4.8000000000000001E-2</c:v>
                </c:pt>
                <c:pt idx="1">
                  <c:v>0.16</c:v>
                </c:pt>
                <c:pt idx="2">
                  <c:v>0.16</c:v>
                </c:pt>
                <c:pt idx="3">
                  <c:v>6.4000000000000001E-2</c:v>
                </c:pt>
                <c:pt idx="4">
                  <c:v>6.2E-2</c:v>
                </c:pt>
                <c:pt idx="5">
                  <c:v>0.13100000000000001</c:v>
                </c:pt>
                <c:pt idx="6">
                  <c:v>0.17899999999999999</c:v>
                </c:pt>
                <c:pt idx="7">
                  <c:v>6.3E-2</c:v>
                </c:pt>
                <c:pt idx="8">
                  <c:v>0.125</c:v>
                </c:pt>
                <c:pt idx="9">
                  <c:v>0.185</c:v>
                </c:pt>
                <c:pt idx="10">
                  <c:v>0.25</c:v>
                </c:pt>
                <c:pt idx="11">
                  <c:v>0.08</c:v>
                </c:pt>
                <c:pt idx="12">
                  <c:v>0.16</c:v>
                </c:pt>
                <c:pt idx="13">
                  <c:v>0.24</c:v>
                </c:pt>
                <c:pt idx="14">
                  <c:v>0.25</c:v>
                </c:pt>
                <c:pt idx="15">
                  <c:v>6.3E-2</c:v>
                </c:pt>
                <c:pt idx="16">
                  <c:v>0.125</c:v>
                </c:pt>
                <c:pt idx="17">
                  <c:v>0.19</c:v>
                </c:pt>
                <c:pt idx="18">
                  <c:v>0.04</c:v>
                </c:pt>
                <c:pt idx="19">
                  <c:v>0.08</c:v>
                </c:pt>
                <c:pt idx="20">
                  <c:v>0.16</c:v>
                </c:pt>
                <c:pt idx="21">
                  <c:v>0.23</c:v>
                </c:pt>
                <c:pt idx="22">
                  <c:v>0.37</c:v>
                </c:pt>
                <c:pt idx="23">
                  <c:v>0.47</c:v>
                </c:pt>
                <c:pt idx="24">
                  <c:v>0.6</c:v>
                </c:pt>
                <c:pt idx="25">
                  <c:v>0.16</c:v>
                </c:pt>
                <c:pt idx="26">
                  <c:v>0.2</c:v>
                </c:pt>
                <c:pt idx="27">
                  <c:v>0.3</c:v>
                </c:pt>
                <c:pt idx="28">
                  <c:v>0.16</c:v>
                </c:pt>
                <c:pt idx="29">
                  <c:v>0.32</c:v>
                </c:pt>
                <c:pt idx="30">
                  <c:v>0.28999999999999998</c:v>
                </c:pt>
                <c:pt idx="31">
                  <c:v>0.16</c:v>
                </c:pt>
                <c:pt idx="32">
                  <c:v>0.35</c:v>
                </c:pt>
                <c:pt idx="33">
                  <c:v>0.16</c:v>
                </c:pt>
                <c:pt idx="34">
                  <c:v>5.5E-2</c:v>
                </c:pt>
                <c:pt idx="35">
                  <c:v>0.11</c:v>
                </c:pt>
                <c:pt idx="36">
                  <c:v>0.22</c:v>
                </c:pt>
                <c:pt idx="37">
                  <c:v>0.33</c:v>
                </c:pt>
                <c:pt idx="38">
                  <c:v>0.44</c:v>
                </c:pt>
                <c:pt idx="39">
                  <c:v>0.6</c:v>
                </c:pt>
                <c:pt idx="40">
                  <c:v>0.4</c:v>
                </c:pt>
                <c:pt idx="41">
                  <c:v>0.6</c:v>
                </c:pt>
                <c:pt idx="42">
                  <c:v>0.3</c:v>
                </c:pt>
                <c:pt idx="43">
                  <c:v>0.45</c:v>
                </c:pt>
                <c:pt idx="44">
                  <c:v>0.32</c:v>
                </c:pt>
                <c:pt idx="45">
                  <c:v>0.45</c:v>
                </c:pt>
                <c:pt idx="46">
                  <c:v>0.28999999999999998</c:v>
                </c:pt>
                <c:pt idx="47">
                  <c:v>0.41</c:v>
                </c:pt>
                <c:pt idx="48">
                  <c:v>0.24</c:v>
                </c:pt>
                <c:pt idx="49">
                  <c:v>0.25</c:v>
                </c:pt>
                <c:pt idx="50">
                  <c:v>0.125</c:v>
                </c:pt>
                <c:pt idx="51">
                  <c:v>0.19</c:v>
                </c:pt>
                <c:pt idx="52">
                  <c:v>0.6</c:v>
                </c:pt>
                <c:pt idx="53">
                  <c:v>0.6</c:v>
                </c:pt>
                <c:pt idx="54">
                  <c:v>0.45</c:v>
                </c:pt>
                <c:pt idx="55">
                  <c:v>0.6</c:v>
                </c:pt>
                <c:pt idx="56">
                  <c:v>0.56999999999999995</c:v>
                </c:pt>
                <c:pt idx="57">
                  <c:v>0.41</c:v>
                </c:pt>
                <c:pt idx="58">
                  <c:v>1.4</c:v>
                </c:pt>
                <c:pt idx="59">
                  <c:v>2.1</c:v>
                </c:pt>
              </c:numCache>
            </c:numRef>
          </c:xVal>
          <c:yVal>
            <c:numRef>
              <c:f>Motor!$R$2:$R$61</c:f>
              <c:numCache>
                <c:formatCode>General</c:formatCode>
                <c:ptCount val="60"/>
                <c:pt idx="0">
                  <c:v>24.85</c:v>
                </c:pt>
                <c:pt idx="1">
                  <c:v>24.02</c:v>
                </c:pt>
                <c:pt idx="2">
                  <c:v>21.35</c:v>
                </c:pt>
                <c:pt idx="3">
                  <c:v>23.02</c:v>
                </c:pt>
                <c:pt idx="4">
                  <c:v>22.23</c:v>
                </c:pt>
                <c:pt idx="5">
                  <c:v>26.16</c:v>
                </c:pt>
                <c:pt idx="6">
                  <c:v>32.69</c:v>
                </c:pt>
                <c:pt idx="7">
                  <c:v>19.88</c:v>
                </c:pt>
                <c:pt idx="8">
                  <c:v>24.85</c:v>
                </c:pt>
                <c:pt idx="9">
                  <c:v>30.08</c:v>
                </c:pt>
                <c:pt idx="10">
                  <c:v>35.31</c:v>
                </c:pt>
                <c:pt idx="11">
                  <c:v>21.35</c:v>
                </c:pt>
                <c:pt idx="12">
                  <c:v>24.02</c:v>
                </c:pt>
                <c:pt idx="13">
                  <c:v>32.020000000000003</c:v>
                </c:pt>
                <c:pt idx="14">
                  <c:v>29.35</c:v>
                </c:pt>
                <c:pt idx="15">
                  <c:v>18.68</c:v>
                </c:pt>
                <c:pt idx="16">
                  <c:v>21.35</c:v>
                </c:pt>
                <c:pt idx="17">
                  <c:v>26.68</c:v>
                </c:pt>
                <c:pt idx="18">
                  <c:v>20.010000000000002</c:v>
                </c:pt>
                <c:pt idx="19">
                  <c:v>22.68</c:v>
                </c:pt>
                <c:pt idx="20">
                  <c:v>32.020000000000003</c:v>
                </c:pt>
                <c:pt idx="21">
                  <c:v>24.85</c:v>
                </c:pt>
                <c:pt idx="22">
                  <c:v>30.08</c:v>
                </c:pt>
                <c:pt idx="23">
                  <c:v>30.08</c:v>
                </c:pt>
                <c:pt idx="24">
                  <c:v>36.619999999999997</c:v>
                </c:pt>
                <c:pt idx="25">
                  <c:v>20.92</c:v>
                </c:pt>
                <c:pt idx="26">
                  <c:v>29.35</c:v>
                </c:pt>
                <c:pt idx="27">
                  <c:v>28.02</c:v>
                </c:pt>
                <c:pt idx="28">
                  <c:v>24.02</c:v>
                </c:pt>
                <c:pt idx="29">
                  <c:v>37.36</c:v>
                </c:pt>
                <c:pt idx="30">
                  <c:v>29.35</c:v>
                </c:pt>
                <c:pt idx="31">
                  <c:v>21.35</c:v>
                </c:pt>
                <c:pt idx="32">
                  <c:v>58.7</c:v>
                </c:pt>
                <c:pt idx="33">
                  <c:v>24.02</c:v>
                </c:pt>
                <c:pt idx="34">
                  <c:v>23.54</c:v>
                </c:pt>
                <c:pt idx="35">
                  <c:v>24.85</c:v>
                </c:pt>
                <c:pt idx="36">
                  <c:v>30.08</c:v>
                </c:pt>
                <c:pt idx="37">
                  <c:v>36.619999999999997</c:v>
                </c:pt>
                <c:pt idx="38">
                  <c:v>41.85</c:v>
                </c:pt>
                <c:pt idx="39">
                  <c:v>58.7</c:v>
                </c:pt>
                <c:pt idx="40">
                  <c:v>42.69</c:v>
                </c:pt>
                <c:pt idx="41">
                  <c:v>38.69</c:v>
                </c:pt>
                <c:pt idx="42">
                  <c:v>28.02</c:v>
                </c:pt>
                <c:pt idx="43">
                  <c:v>33.35</c:v>
                </c:pt>
                <c:pt idx="44">
                  <c:v>37.36</c:v>
                </c:pt>
                <c:pt idx="45">
                  <c:v>49.36</c:v>
                </c:pt>
                <c:pt idx="46">
                  <c:v>29.35</c:v>
                </c:pt>
                <c:pt idx="47">
                  <c:v>34.69</c:v>
                </c:pt>
                <c:pt idx="48">
                  <c:v>32.020000000000003</c:v>
                </c:pt>
                <c:pt idx="49">
                  <c:v>29.35</c:v>
                </c:pt>
                <c:pt idx="50">
                  <c:v>21.35</c:v>
                </c:pt>
                <c:pt idx="51">
                  <c:v>26.68</c:v>
                </c:pt>
                <c:pt idx="52">
                  <c:v>58.7</c:v>
                </c:pt>
                <c:pt idx="53">
                  <c:v>38.69</c:v>
                </c:pt>
                <c:pt idx="54">
                  <c:v>49.36</c:v>
                </c:pt>
                <c:pt idx="55">
                  <c:v>58.7</c:v>
                </c:pt>
                <c:pt idx="56">
                  <c:v>41.36</c:v>
                </c:pt>
                <c:pt idx="57">
                  <c:v>34.69</c:v>
                </c:pt>
                <c:pt idx="58">
                  <c:v>93.39</c:v>
                </c:pt>
                <c:pt idx="59">
                  <c:v>120.08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A5-6B4B-9BB5-CFE7DC56E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39432"/>
        <c:axId val="44841480"/>
      </c:scatterChart>
      <c:valAx>
        <c:axId val="4483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1480"/>
        <c:crosses val="autoZero"/>
        <c:crossBetween val="midCat"/>
      </c:valAx>
      <c:valAx>
        <c:axId val="4484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9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8978018372703412"/>
                  <c:y val="0.120699500356887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Bar!$I$3:$I$37</c:f>
              <c:numCache>
                <c:formatCode>General</c:formatCode>
                <c:ptCount val="3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40</c:v>
                </c:pt>
                <c:pt idx="21">
                  <c:v>45</c:v>
                </c:pt>
                <c:pt idx="22">
                  <c:v>35</c:v>
                </c:pt>
                <c:pt idx="23">
                  <c:v>45</c:v>
                </c:pt>
                <c:pt idx="24">
                  <c:v>50</c:v>
                </c:pt>
                <c:pt idx="25">
                  <c:v>45</c:v>
                </c:pt>
                <c:pt idx="26">
                  <c:v>45</c:v>
                </c:pt>
                <c:pt idx="27">
                  <c:v>40</c:v>
                </c:pt>
                <c:pt idx="28">
                  <c:v>50</c:v>
                </c:pt>
                <c:pt idx="29">
                  <c:v>45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</c:numCache>
            </c:numRef>
          </c:xVal>
          <c:yVal>
            <c:numRef>
              <c:f>Bar!$N$3:$N$37</c:f>
              <c:numCache>
                <c:formatCode>"$"#,##0.00_);[Red]\("$"#,##0.00\)</c:formatCode>
                <c:ptCount val="35"/>
                <c:pt idx="0">
                  <c:v>33.369999999999997</c:v>
                </c:pt>
                <c:pt idx="1">
                  <c:v>30.58</c:v>
                </c:pt>
                <c:pt idx="2">
                  <c:v>25.02</c:v>
                </c:pt>
                <c:pt idx="3">
                  <c:v>28.06</c:v>
                </c:pt>
                <c:pt idx="4">
                  <c:v>42.26</c:v>
                </c:pt>
                <c:pt idx="5">
                  <c:v>38.619999999999997</c:v>
                </c:pt>
                <c:pt idx="6">
                  <c:v>31.35</c:v>
                </c:pt>
                <c:pt idx="7">
                  <c:v>30.59</c:v>
                </c:pt>
                <c:pt idx="8">
                  <c:v>30</c:v>
                </c:pt>
                <c:pt idx="9">
                  <c:v>42.26</c:v>
                </c:pt>
                <c:pt idx="10">
                  <c:v>32.67</c:v>
                </c:pt>
                <c:pt idx="11">
                  <c:v>41.17</c:v>
                </c:pt>
                <c:pt idx="12">
                  <c:v>34.47</c:v>
                </c:pt>
                <c:pt idx="13">
                  <c:v>33.69</c:v>
                </c:pt>
                <c:pt idx="14">
                  <c:v>40.69</c:v>
                </c:pt>
                <c:pt idx="15">
                  <c:v>43.01</c:v>
                </c:pt>
                <c:pt idx="16">
                  <c:v>53.99</c:v>
                </c:pt>
                <c:pt idx="17">
                  <c:v>50.47</c:v>
                </c:pt>
                <c:pt idx="18">
                  <c:v>46.93</c:v>
                </c:pt>
                <c:pt idx="19">
                  <c:v>55.85</c:v>
                </c:pt>
                <c:pt idx="20">
                  <c:v>65.989999999999995</c:v>
                </c:pt>
                <c:pt idx="21">
                  <c:v>54.99</c:v>
                </c:pt>
                <c:pt idx="22">
                  <c:v>35</c:v>
                </c:pt>
                <c:pt idx="23">
                  <c:v>60</c:v>
                </c:pt>
                <c:pt idx="24">
                  <c:v>50</c:v>
                </c:pt>
                <c:pt idx="25">
                  <c:v>60</c:v>
                </c:pt>
                <c:pt idx="26">
                  <c:v>54</c:v>
                </c:pt>
                <c:pt idx="27">
                  <c:v>60</c:v>
                </c:pt>
                <c:pt idx="28">
                  <c:v>70</c:v>
                </c:pt>
                <c:pt idx="29">
                  <c:v>38</c:v>
                </c:pt>
                <c:pt idx="30">
                  <c:v>51</c:v>
                </c:pt>
                <c:pt idx="31">
                  <c:v>56.7</c:v>
                </c:pt>
                <c:pt idx="32">
                  <c:v>85</c:v>
                </c:pt>
                <c:pt idx="33">
                  <c:v>60</c:v>
                </c:pt>
                <c:pt idx="34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0-48E0-A150-86BA83B36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496896"/>
        <c:axId val="2084500736"/>
      </c:scatterChart>
      <c:valAx>
        <c:axId val="208449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500736"/>
        <c:crosses val="autoZero"/>
        <c:crossBetween val="midCat"/>
      </c:valAx>
      <c:valAx>
        <c:axId val="20845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49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3424682688917616"/>
                  <c:y val="-6.37787322039290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Saw!$I$2:$I$31</c:f>
              <c:numCache>
                <c:formatCode>General</c:formatCode>
                <c:ptCount val="30"/>
                <c:pt idx="1">
                  <c:v>50</c:v>
                </c:pt>
                <c:pt idx="2">
                  <c:v>45</c:v>
                </c:pt>
                <c:pt idx="3">
                  <c:v>45</c:v>
                </c:pt>
                <c:pt idx="4">
                  <c:v>50</c:v>
                </c:pt>
                <c:pt idx="5">
                  <c:v>45</c:v>
                </c:pt>
                <c:pt idx="6">
                  <c:v>50</c:v>
                </c:pt>
                <c:pt idx="7">
                  <c:v>50</c:v>
                </c:pt>
                <c:pt idx="8">
                  <c:v>40</c:v>
                </c:pt>
                <c:pt idx="9">
                  <c:v>50</c:v>
                </c:pt>
                <c:pt idx="10">
                  <c:v>35</c:v>
                </c:pt>
                <c:pt idx="11">
                  <c:v>45</c:v>
                </c:pt>
                <c:pt idx="12">
                  <c:v>40</c:v>
                </c:pt>
                <c:pt idx="13">
                  <c:v>50</c:v>
                </c:pt>
                <c:pt idx="14">
                  <c:v>50</c:v>
                </c:pt>
                <c:pt idx="15">
                  <c:v>40</c:v>
                </c:pt>
                <c:pt idx="16">
                  <c:v>35</c:v>
                </c:pt>
                <c:pt idx="17">
                  <c:v>45</c:v>
                </c:pt>
                <c:pt idx="18">
                  <c:v>30</c:v>
                </c:pt>
                <c:pt idx="19">
                  <c:v>30</c:v>
                </c:pt>
                <c:pt idx="20">
                  <c:v>40</c:v>
                </c:pt>
                <c:pt idx="21">
                  <c:v>45</c:v>
                </c:pt>
                <c:pt idx="22">
                  <c:v>40</c:v>
                </c:pt>
                <c:pt idx="23">
                  <c:v>35</c:v>
                </c:pt>
                <c:pt idx="24">
                  <c:v>35</c:v>
                </c:pt>
                <c:pt idx="25">
                  <c:v>30</c:v>
                </c:pt>
                <c:pt idx="26">
                  <c:v>35</c:v>
                </c:pt>
                <c:pt idx="27">
                  <c:v>40</c:v>
                </c:pt>
                <c:pt idx="28">
                  <c:v>30</c:v>
                </c:pt>
                <c:pt idx="29">
                  <c:v>35</c:v>
                </c:pt>
              </c:numCache>
            </c:numRef>
          </c:xVal>
          <c:yVal>
            <c:numRef>
              <c:f>Saw!$O$2:$O$31</c:f>
              <c:numCache>
                <c:formatCode>"$"#,##0.00_);[Red]\("$"#,##0.00\)</c:formatCode>
                <c:ptCount val="30"/>
                <c:pt idx="1">
                  <c:v>45.28</c:v>
                </c:pt>
                <c:pt idx="2">
                  <c:v>41.85</c:v>
                </c:pt>
                <c:pt idx="3">
                  <c:v>39.700000000000003</c:v>
                </c:pt>
                <c:pt idx="4">
                  <c:v>33.229999999999997</c:v>
                </c:pt>
                <c:pt idx="5">
                  <c:v>31.39</c:v>
                </c:pt>
                <c:pt idx="6">
                  <c:v>30.84</c:v>
                </c:pt>
                <c:pt idx="7">
                  <c:v>28.99</c:v>
                </c:pt>
                <c:pt idx="8">
                  <c:v>27.51</c:v>
                </c:pt>
                <c:pt idx="9">
                  <c:v>26.65</c:v>
                </c:pt>
                <c:pt idx="10">
                  <c:v>25.66</c:v>
                </c:pt>
                <c:pt idx="11">
                  <c:v>25.29</c:v>
                </c:pt>
                <c:pt idx="12">
                  <c:v>24.26</c:v>
                </c:pt>
                <c:pt idx="13">
                  <c:v>24.2</c:v>
                </c:pt>
                <c:pt idx="14">
                  <c:v>23.52</c:v>
                </c:pt>
                <c:pt idx="15">
                  <c:v>21.3</c:v>
                </c:pt>
                <c:pt idx="16">
                  <c:v>20.5</c:v>
                </c:pt>
                <c:pt idx="17">
                  <c:v>20.420000000000002</c:v>
                </c:pt>
                <c:pt idx="18">
                  <c:v>20.27</c:v>
                </c:pt>
                <c:pt idx="19">
                  <c:v>19.489999999999998</c:v>
                </c:pt>
                <c:pt idx="20">
                  <c:v>19.149999999999999</c:v>
                </c:pt>
                <c:pt idx="21">
                  <c:v>18.46</c:v>
                </c:pt>
                <c:pt idx="22">
                  <c:v>17.940000000000001</c:v>
                </c:pt>
                <c:pt idx="23">
                  <c:v>17.89</c:v>
                </c:pt>
                <c:pt idx="24">
                  <c:v>17.37</c:v>
                </c:pt>
                <c:pt idx="25">
                  <c:v>16.13</c:v>
                </c:pt>
                <c:pt idx="26">
                  <c:v>15.37</c:v>
                </c:pt>
                <c:pt idx="27" formatCode="General">
                  <c:v>14.93</c:v>
                </c:pt>
                <c:pt idx="28">
                  <c:v>13.29</c:v>
                </c:pt>
                <c:pt idx="29">
                  <c:v>12.59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F6-49D7-9409-D3A94E880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440160"/>
        <c:axId val="1610438720"/>
      </c:scatterChart>
      <c:valAx>
        <c:axId val="161044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438720"/>
        <c:crosses val="autoZero"/>
        <c:crossBetween val="midCat"/>
      </c:valAx>
      <c:valAx>
        <c:axId val="161043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44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4</xdr:row>
      <xdr:rowOff>114300</xdr:rowOff>
    </xdr:from>
    <xdr:to>
      <xdr:col>8</xdr:col>
      <xdr:colOff>25400</xdr:colOff>
      <xdr:row>21</xdr:row>
      <xdr:rowOff>50800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9D3F936D-30DF-6547-9F40-1B19CBB74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241300</xdr:colOff>
      <xdr:row>22</xdr:row>
      <xdr:rowOff>0</xdr:rowOff>
    </xdr:from>
    <xdr:to>
      <xdr:col>8</xdr:col>
      <xdr:colOff>63500</xdr:colOff>
      <xdr:row>38</xdr:row>
      <xdr:rowOff>101600</xdr:rowOff>
    </xdr:to>
    <xdr:graphicFrame macro="">
      <xdr:nvGraphicFramePr>
        <xdr:cNvPr id="10" name="Chart 2">
          <a:extLst>
            <a:ext uri="{FF2B5EF4-FFF2-40B4-BE49-F238E27FC236}">
              <a16:creationId xmlns:a16="http://schemas.microsoft.com/office/drawing/2014/main" id="{C2865FE5-4F61-B544-B6A4-70826007D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</xdr:colOff>
      <xdr:row>4</xdr:row>
      <xdr:rowOff>83820</xdr:rowOff>
    </xdr:from>
    <xdr:to>
      <xdr:col>6</xdr:col>
      <xdr:colOff>175260</xdr:colOff>
      <xdr:row>14</xdr:row>
      <xdr:rowOff>111760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1E4C0FE5-941C-B35B-8C24-FF72C5ECD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141922</xdr:colOff>
      <xdr:row>2</xdr:row>
      <xdr:rowOff>87312</xdr:rowOff>
    </xdr:from>
    <xdr:to>
      <xdr:col>7</xdr:col>
      <xdr:colOff>7620</xdr:colOff>
      <xdr:row>16</xdr:row>
      <xdr:rowOff>143510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C04FAD48-F681-B762-6B78-9CA5E6519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hainsawpartsworld.com/product-category/ms271/?product-page=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1917A-2402-4315-88B5-A72059303FC8}">
  <dimension ref="A1:I45"/>
  <sheetViews>
    <sheetView zoomScale="80" zoomScaleNormal="80" workbookViewId="0">
      <selection activeCell="H15" sqref="H15"/>
    </sheetView>
  </sheetViews>
  <sheetFormatPr defaultColWidth="11.46484375" defaultRowHeight="12.75" x14ac:dyDescent="0.35"/>
  <cols>
    <col min="1" max="1" width="31.6640625" style="25" bestFit="1" customWidth="1"/>
    <col min="2" max="2" width="10.33203125" style="25" customWidth="1"/>
    <col min="3" max="3" width="24.86328125" style="25" bestFit="1" customWidth="1"/>
    <col min="4" max="4" width="8.6640625" style="25" customWidth="1"/>
    <col min="5" max="5" width="14.1328125" style="25" bestFit="1" customWidth="1"/>
    <col min="6" max="6" width="62.6640625" style="25" bestFit="1" customWidth="1"/>
    <col min="7" max="7" width="24.86328125" style="25" bestFit="1" customWidth="1"/>
    <col min="8" max="9" width="14.1328125" style="25" bestFit="1" customWidth="1"/>
    <col min="10" max="257" width="8.6640625" style="25" customWidth="1"/>
    <col min="258" max="16384" width="11.46484375" style="25"/>
  </cols>
  <sheetData>
    <row r="1" spans="1:9" x14ac:dyDescent="0.35">
      <c r="B1" s="25" t="s">
        <v>0</v>
      </c>
      <c r="G1" s="25" t="s">
        <v>1</v>
      </c>
    </row>
    <row r="2" spans="1:9" x14ac:dyDescent="0.35">
      <c r="F2" s="25" t="s">
        <v>2</v>
      </c>
    </row>
    <row r="4" spans="1:9" ht="13.15" thickBot="1" x14ac:dyDescent="0.4"/>
    <row r="5" spans="1:9" ht="13.5" thickBot="1" x14ac:dyDescent="0.45">
      <c r="A5" s="26" t="s">
        <v>3</v>
      </c>
      <c r="B5" s="27" t="s">
        <v>4</v>
      </c>
      <c r="D5" s="28"/>
    </row>
    <row r="6" spans="1:9" x14ac:dyDescent="0.35">
      <c r="A6" s="29" t="s">
        <v>5</v>
      </c>
      <c r="B6" s="30">
        <v>45</v>
      </c>
    </row>
    <row r="7" spans="1:9" x14ac:dyDescent="0.35">
      <c r="A7" s="31" t="s">
        <v>6</v>
      </c>
      <c r="B7" s="32">
        <v>37</v>
      </c>
      <c r="D7" s="28"/>
    </row>
    <row r="8" spans="1:9" x14ac:dyDescent="0.35">
      <c r="A8" s="31" t="s">
        <v>7</v>
      </c>
      <c r="B8" s="32"/>
      <c r="D8" s="28" t="s">
        <v>159</v>
      </c>
    </row>
    <row r="9" spans="1:9" ht="13.15" thickBot="1" x14ac:dyDescent="0.4">
      <c r="A9" s="33" t="s">
        <v>8</v>
      </c>
      <c r="B9" s="32"/>
    </row>
    <row r="10" spans="1:9" ht="13.5" thickBot="1" x14ac:dyDescent="0.45">
      <c r="A10" s="31" t="s">
        <v>9</v>
      </c>
      <c r="B10" s="32">
        <v>32</v>
      </c>
      <c r="D10" s="25" t="s">
        <v>160</v>
      </c>
      <c r="G10" s="34" t="s">
        <v>161</v>
      </c>
      <c r="H10" s="35" t="s">
        <v>162</v>
      </c>
    </row>
    <row r="11" spans="1:9" x14ac:dyDescent="0.35">
      <c r="A11" s="33" t="s">
        <v>10</v>
      </c>
      <c r="B11" s="32"/>
      <c r="D11" s="25" t="s">
        <v>160</v>
      </c>
      <c r="G11" s="36" t="s">
        <v>163</v>
      </c>
      <c r="H11" s="37">
        <f>I11*110000</f>
        <v>770000</v>
      </c>
      <c r="I11" s="38">
        <v>7</v>
      </c>
    </row>
    <row r="12" spans="1:9" x14ac:dyDescent="0.35">
      <c r="A12" s="31" t="s">
        <v>11</v>
      </c>
      <c r="B12" s="32"/>
      <c r="D12" s="25" t="s">
        <v>160</v>
      </c>
      <c r="G12" s="39" t="s">
        <v>164</v>
      </c>
      <c r="H12" s="32">
        <f>(I36+7000)*12</f>
        <v>307500</v>
      </c>
    </row>
    <row r="13" spans="1:9" x14ac:dyDescent="0.35">
      <c r="A13" s="31" t="s">
        <v>12</v>
      </c>
      <c r="B13" s="32">
        <v>13</v>
      </c>
      <c r="D13" s="25" t="s">
        <v>160</v>
      </c>
      <c r="G13" s="39" t="s">
        <v>165</v>
      </c>
      <c r="H13" s="32">
        <f>2*I11*55*2080</f>
        <v>1601600</v>
      </c>
    </row>
    <row r="14" spans="1:9" ht="13.15" thickBot="1" x14ac:dyDescent="0.4">
      <c r="A14" s="31" t="s">
        <v>13</v>
      </c>
      <c r="B14" s="32">
        <v>24</v>
      </c>
      <c r="G14" s="40" t="s">
        <v>166</v>
      </c>
      <c r="H14" s="41">
        <f>(100000+150000+250000)*I14</f>
        <v>520000</v>
      </c>
      <c r="I14" s="38">
        <v>1.04</v>
      </c>
    </row>
    <row r="15" spans="1:9" ht="13.5" thickBot="1" x14ac:dyDescent="0.45">
      <c r="A15" s="31" t="s">
        <v>14</v>
      </c>
      <c r="B15" s="32"/>
      <c r="D15" s="25" t="s">
        <v>167</v>
      </c>
      <c r="E15" s="25">
        <v>13</v>
      </c>
      <c r="G15" s="42" t="s">
        <v>168</v>
      </c>
      <c r="H15" s="43">
        <f>SUM(H11:H14)</f>
        <v>3199100</v>
      </c>
    </row>
    <row r="16" spans="1:9" ht="13.15" thickBot="1" x14ac:dyDescent="0.4">
      <c r="A16" s="31" t="s">
        <v>15</v>
      </c>
      <c r="B16" s="32"/>
    </row>
    <row r="17" spans="1:8" ht="13.5" thickBot="1" x14ac:dyDescent="0.45">
      <c r="A17" s="31" t="s">
        <v>16</v>
      </c>
      <c r="B17" s="32">
        <v>15</v>
      </c>
      <c r="G17" s="26" t="s">
        <v>167</v>
      </c>
      <c r="H17" s="44" t="s">
        <v>169</v>
      </c>
    </row>
    <row r="18" spans="1:8" x14ac:dyDescent="0.35">
      <c r="A18" s="31" t="s">
        <v>17</v>
      </c>
      <c r="B18" s="32"/>
      <c r="G18" s="45" t="s">
        <v>170</v>
      </c>
      <c r="H18" s="30">
        <v>8</v>
      </c>
    </row>
    <row r="19" spans="1:8" x14ac:dyDescent="0.35">
      <c r="A19" s="46" t="s">
        <v>18</v>
      </c>
      <c r="B19" s="32">
        <v>30</v>
      </c>
      <c r="C19" s="25" t="s">
        <v>171</v>
      </c>
      <c r="E19" s="47">
        <f>140*H36</f>
        <v>3500000</v>
      </c>
      <c r="G19" s="39" t="s">
        <v>172</v>
      </c>
      <c r="H19" s="32">
        <v>3</v>
      </c>
    </row>
    <row r="20" spans="1:8" x14ac:dyDescent="0.35">
      <c r="A20" s="46" t="s">
        <v>19</v>
      </c>
      <c r="B20" s="32"/>
      <c r="C20" s="25" t="s">
        <v>163</v>
      </c>
      <c r="D20" s="25" t="s">
        <v>167</v>
      </c>
      <c r="G20" s="39" t="s">
        <v>173</v>
      </c>
      <c r="H20" s="48">
        <v>7</v>
      </c>
    </row>
    <row r="21" spans="1:8" x14ac:dyDescent="0.35">
      <c r="A21" s="46" t="s">
        <v>20</v>
      </c>
      <c r="B21" s="32">
        <v>52</v>
      </c>
      <c r="G21" s="39" t="s">
        <v>174</v>
      </c>
      <c r="H21" s="48">
        <v>11</v>
      </c>
    </row>
    <row r="22" spans="1:8" ht="13.15" thickBot="1" x14ac:dyDescent="0.4">
      <c r="A22" s="46" t="s">
        <v>21</v>
      </c>
      <c r="B22" s="32"/>
      <c r="G22" s="40" t="s">
        <v>175</v>
      </c>
      <c r="H22" s="41">
        <v>4</v>
      </c>
    </row>
    <row r="23" spans="1:8" ht="13.5" thickBot="1" x14ac:dyDescent="0.45">
      <c r="A23" s="33" t="s">
        <v>22</v>
      </c>
      <c r="B23" s="32"/>
      <c r="G23" s="49" t="s">
        <v>176</v>
      </c>
    </row>
    <row r="24" spans="1:8" x14ac:dyDescent="0.35">
      <c r="A24" s="33" t="s">
        <v>23</v>
      </c>
      <c r="B24" s="32"/>
      <c r="G24" s="50" t="s">
        <v>30</v>
      </c>
    </row>
    <row r="25" spans="1:8" x14ac:dyDescent="0.35">
      <c r="A25" s="31" t="s">
        <v>24</v>
      </c>
      <c r="B25" s="32"/>
      <c r="G25" s="51" t="s">
        <v>177</v>
      </c>
    </row>
    <row r="26" spans="1:8" x14ac:dyDescent="0.35">
      <c r="A26" s="31" t="s">
        <v>25</v>
      </c>
      <c r="B26" s="32"/>
      <c r="G26" s="51" t="s">
        <v>178</v>
      </c>
    </row>
    <row r="27" spans="1:8" ht="13.15" thickBot="1" x14ac:dyDescent="0.4">
      <c r="A27" s="31" t="s">
        <v>26</v>
      </c>
      <c r="B27" s="32"/>
      <c r="G27" s="52" t="s">
        <v>179</v>
      </c>
    </row>
    <row r="28" spans="1:8" x14ac:dyDescent="0.35">
      <c r="A28" s="33" t="s">
        <v>27</v>
      </c>
      <c r="B28" s="32"/>
    </row>
    <row r="29" spans="1:8" x14ac:dyDescent="0.35">
      <c r="A29" s="31" t="s">
        <v>28</v>
      </c>
      <c r="B29" s="32">
        <v>27</v>
      </c>
    </row>
    <row r="30" spans="1:8" x14ac:dyDescent="0.35">
      <c r="A30" s="31" t="s">
        <v>29</v>
      </c>
      <c r="B30" s="32">
        <v>18</v>
      </c>
    </row>
    <row r="31" spans="1:8" x14ac:dyDescent="0.35">
      <c r="A31" s="38" t="s">
        <v>30</v>
      </c>
      <c r="B31" s="32"/>
      <c r="E31" s="25">
        <v>6.4500000000000002E-2</v>
      </c>
      <c r="F31" s="25" t="s">
        <v>180</v>
      </c>
    </row>
    <row r="32" spans="1:8" x14ac:dyDescent="0.35">
      <c r="A32" s="39" t="s">
        <v>31</v>
      </c>
      <c r="B32" s="32"/>
      <c r="E32" s="25">
        <v>400</v>
      </c>
    </row>
    <row r="33" spans="1:9" ht="13.15" thickBot="1" x14ac:dyDescent="0.4">
      <c r="A33" s="40" t="s">
        <v>32</v>
      </c>
      <c r="B33" s="41"/>
      <c r="E33" s="25">
        <v>200</v>
      </c>
    </row>
    <row r="34" spans="1:9" x14ac:dyDescent="0.35">
      <c r="B34" s="25">
        <f>SUM(B6:B33)</f>
        <v>293</v>
      </c>
      <c r="E34" s="25">
        <f>E33*E32*E31</f>
        <v>5160</v>
      </c>
    </row>
    <row r="35" spans="1:9" x14ac:dyDescent="0.35">
      <c r="F35" s="25">
        <f>75+142+400</f>
        <v>617</v>
      </c>
      <c r="G35" s="25">
        <f>0.63+1+4*0.71</f>
        <v>4.47</v>
      </c>
    </row>
    <row r="36" spans="1:9" x14ac:dyDescent="0.35">
      <c r="F36" s="47">
        <f>F35/6</f>
        <v>102.83333333333333</v>
      </c>
      <c r="G36" s="47">
        <f>G35/6</f>
        <v>0.745</v>
      </c>
      <c r="H36" s="38">
        <v>25000</v>
      </c>
      <c r="I36" s="53">
        <f>G36*H36</f>
        <v>18625</v>
      </c>
    </row>
    <row r="37" spans="1:9" x14ac:dyDescent="0.35">
      <c r="G37" s="53">
        <f>G36*12</f>
        <v>8.94</v>
      </c>
    </row>
    <row r="44" spans="1:9" x14ac:dyDescent="0.35">
      <c r="G44" s="25" t="s">
        <v>181</v>
      </c>
    </row>
    <row r="45" spans="1:9" x14ac:dyDescent="0.35">
      <c r="G45" s="25" t="s">
        <v>182</v>
      </c>
      <c r="H45" s="47">
        <v>1709800</v>
      </c>
      <c r="I45" s="53">
        <v>3074400</v>
      </c>
    </row>
  </sheetData>
  <hyperlinks>
    <hyperlink ref="D8" r:id="rId1" xr:uid="{0FA179E5-588C-49F9-BE82-300E1074D7FB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55582-4061-484E-8974-7F9BDBEF5182}">
  <dimension ref="A1:W61"/>
  <sheetViews>
    <sheetView workbookViewId="0">
      <selection activeCell="B2" sqref="B2"/>
    </sheetView>
  </sheetViews>
  <sheetFormatPr defaultColWidth="11.3984375" defaultRowHeight="12.75" x14ac:dyDescent="0.35"/>
  <sheetData>
    <row r="1" spans="1:23" ht="14.25" x14ac:dyDescent="0.45">
      <c r="A1" s="15"/>
      <c r="B1" s="15" t="s">
        <v>1</v>
      </c>
      <c r="C1" s="15" t="s">
        <v>33</v>
      </c>
      <c r="D1" s="15" t="s">
        <v>34</v>
      </c>
      <c r="E1" s="15"/>
      <c r="F1" s="15" t="s">
        <v>35</v>
      </c>
      <c r="G1" s="1"/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</row>
    <row r="2" spans="1:23" ht="14.25" x14ac:dyDescent="0.45">
      <c r="A2" s="12" t="s">
        <v>50</v>
      </c>
      <c r="B2" s="12">
        <v>2.1</v>
      </c>
      <c r="C2" s="12">
        <f>MIN(N2:N61)</f>
        <v>0.04</v>
      </c>
      <c r="D2" s="12">
        <f>MAX(N2:N61)</f>
        <v>2.1</v>
      </c>
      <c r="E2" s="12" t="s">
        <v>51</v>
      </c>
      <c r="F2" s="12" t="s">
        <v>52</v>
      </c>
      <c r="G2">
        <f>1.931*B2+0.2579</f>
        <v>4.3130000000000006</v>
      </c>
      <c r="H2" t="s">
        <v>53</v>
      </c>
      <c r="J2" s="13"/>
      <c r="K2" s="13" t="s">
        <v>54</v>
      </c>
      <c r="L2" s="13">
        <v>12</v>
      </c>
      <c r="M2" s="13">
        <v>15</v>
      </c>
      <c r="N2" s="13">
        <v>4.8000000000000001E-2</v>
      </c>
      <c r="O2" s="14">
        <f t="shared" ref="O2:O33" si="0">M2/N2</f>
        <v>312.5</v>
      </c>
      <c r="P2" s="13">
        <v>3000</v>
      </c>
      <c r="Q2" s="13">
        <v>0.35</v>
      </c>
      <c r="R2" s="13">
        <v>24.85</v>
      </c>
      <c r="S2" s="13">
        <v>53</v>
      </c>
      <c r="T2" s="13" t="s">
        <v>55</v>
      </c>
      <c r="U2" s="13">
        <v>42</v>
      </c>
      <c r="V2" s="13">
        <f t="shared" ref="V2:V33" si="1">M2/Q2</f>
        <v>42.857142857142861</v>
      </c>
      <c r="W2" s="13" t="s">
        <v>56</v>
      </c>
    </row>
    <row r="3" spans="1:23" ht="14.25" x14ac:dyDescent="0.45">
      <c r="A3" s="12"/>
      <c r="B3" s="12"/>
      <c r="C3" s="12"/>
      <c r="D3" s="12"/>
      <c r="E3" s="12"/>
      <c r="F3" s="12" t="s">
        <v>57</v>
      </c>
      <c r="G3">
        <f>50.039*B2+18.089</f>
        <v>123.1709</v>
      </c>
      <c r="H3" t="s">
        <v>58</v>
      </c>
      <c r="J3" s="13"/>
      <c r="K3" s="13" t="s">
        <v>59</v>
      </c>
      <c r="L3" s="13">
        <v>12</v>
      </c>
      <c r="M3" s="13">
        <v>50</v>
      </c>
      <c r="N3" s="13">
        <v>0.16</v>
      </c>
      <c r="O3" s="14">
        <f t="shared" si="0"/>
        <v>312.5</v>
      </c>
      <c r="P3" s="13">
        <v>3000</v>
      </c>
      <c r="Q3" s="13">
        <v>0.47</v>
      </c>
      <c r="R3" s="13">
        <v>24.02</v>
      </c>
      <c r="S3" s="13">
        <v>53.5</v>
      </c>
      <c r="T3" s="13" t="s">
        <v>55</v>
      </c>
      <c r="U3" s="13">
        <v>57</v>
      </c>
      <c r="V3" s="13">
        <f t="shared" si="1"/>
        <v>106.38297872340426</v>
      </c>
      <c r="W3" s="13" t="s">
        <v>56</v>
      </c>
    </row>
    <row r="4" spans="1:23" x14ac:dyDescent="0.35">
      <c r="J4" s="13"/>
      <c r="K4" s="13" t="s">
        <v>60</v>
      </c>
      <c r="L4" s="13">
        <v>12</v>
      </c>
      <c r="M4" s="13">
        <v>50</v>
      </c>
      <c r="N4" s="13">
        <v>0.16</v>
      </c>
      <c r="O4" s="14">
        <f t="shared" si="0"/>
        <v>312.5</v>
      </c>
      <c r="P4" s="13">
        <v>3000</v>
      </c>
      <c r="Q4" s="13">
        <v>0.54</v>
      </c>
      <c r="R4" s="13">
        <v>21.35</v>
      </c>
      <c r="S4" s="13">
        <v>53.5</v>
      </c>
      <c r="T4" s="13" t="s">
        <v>61</v>
      </c>
      <c r="U4" s="13">
        <v>57</v>
      </c>
      <c r="V4" s="13">
        <f t="shared" si="1"/>
        <v>92.592592592592581</v>
      </c>
      <c r="W4" s="13" t="s">
        <v>56</v>
      </c>
    </row>
    <row r="5" spans="1:23" x14ac:dyDescent="0.35">
      <c r="A5" s="2"/>
      <c r="K5" t="s">
        <v>62</v>
      </c>
      <c r="L5">
        <v>24</v>
      </c>
      <c r="M5">
        <v>20</v>
      </c>
      <c r="N5">
        <v>6.4000000000000001E-2</v>
      </c>
      <c r="O5" s="9">
        <f t="shared" si="0"/>
        <v>312.5</v>
      </c>
      <c r="P5">
        <v>3000</v>
      </c>
      <c r="Q5">
        <v>0.3</v>
      </c>
      <c r="R5">
        <v>23.02</v>
      </c>
      <c r="S5">
        <v>65.2</v>
      </c>
      <c r="T5" t="s">
        <v>55</v>
      </c>
      <c r="U5">
        <v>36</v>
      </c>
      <c r="V5">
        <f t="shared" si="1"/>
        <v>66.666666666666671</v>
      </c>
      <c r="W5" t="s">
        <v>56</v>
      </c>
    </row>
    <row r="6" spans="1:23" x14ac:dyDescent="0.35">
      <c r="A6" s="2"/>
      <c r="K6" t="s">
        <v>63</v>
      </c>
      <c r="L6">
        <v>24</v>
      </c>
      <c r="M6">
        <v>13</v>
      </c>
      <c r="N6">
        <v>6.2E-2</v>
      </c>
      <c r="O6" s="9">
        <f t="shared" si="0"/>
        <v>209.67741935483872</v>
      </c>
      <c r="P6">
        <v>2000</v>
      </c>
      <c r="Q6">
        <v>0.3</v>
      </c>
      <c r="R6">
        <v>22.23</v>
      </c>
      <c r="S6">
        <v>43</v>
      </c>
      <c r="T6" t="s">
        <v>55</v>
      </c>
      <c r="U6">
        <v>42</v>
      </c>
      <c r="V6">
        <f t="shared" si="1"/>
        <v>43.333333333333336</v>
      </c>
      <c r="W6" t="s">
        <v>56</v>
      </c>
    </row>
    <row r="7" spans="1:23" x14ac:dyDescent="0.35">
      <c r="K7" t="s">
        <v>64</v>
      </c>
      <c r="L7">
        <v>24</v>
      </c>
      <c r="M7">
        <v>55</v>
      </c>
      <c r="N7">
        <v>0.13100000000000001</v>
      </c>
      <c r="O7" s="9">
        <f t="shared" si="0"/>
        <v>419.84732824427482</v>
      </c>
      <c r="P7">
        <v>4000</v>
      </c>
      <c r="Q7">
        <v>0.47</v>
      </c>
      <c r="R7">
        <v>26.16</v>
      </c>
      <c r="S7">
        <v>63</v>
      </c>
      <c r="T7" t="s">
        <v>55</v>
      </c>
      <c r="U7">
        <v>42</v>
      </c>
      <c r="V7">
        <f t="shared" si="1"/>
        <v>117.02127659574468</v>
      </c>
      <c r="W7" t="s">
        <v>56</v>
      </c>
    </row>
    <row r="8" spans="1:23" x14ac:dyDescent="0.35">
      <c r="K8" t="s">
        <v>65</v>
      </c>
      <c r="L8">
        <v>24</v>
      </c>
      <c r="M8">
        <v>75</v>
      </c>
      <c r="N8">
        <v>0.17899999999999999</v>
      </c>
      <c r="O8" s="9">
        <f t="shared" si="0"/>
        <v>418.99441340782124</v>
      </c>
      <c r="P8">
        <v>4000</v>
      </c>
      <c r="Q8">
        <v>0.6</v>
      </c>
      <c r="R8">
        <v>32.69</v>
      </c>
      <c r="S8">
        <v>83</v>
      </c>
      <c r="T8" t="s">
        <v>55</v>
      </c>
      <c r="U8">
        <v>42</v>
      </c>
      <c r="V8">
        <f t="shared" si="1"/>
        <v>125</v>
      </c>
      <c r="W8" t="s">
        <v>56</v>
      </c>
    </row>
    <row r="9" spans="1:23" x14ac:dyDescent="0.35">
      <c r="K9" t="s">
        <v>66</v>
      </c>
      <c r="L9">
        <v>24</v>
      </c>
      <c r="M9">
        <v>26</v>
      </c>
      <c r="N9">
        <v>6.3E-2</v>
      </c>
      <c r="O9" s="9">
        <f t="shared" si="0"/>
        <v>412.69841269841271</v>
      </c>
      <c r="P9">
        <v>4000</v>
      </c>
      <c r="Q9">
        <v>0.3</v>
      </c>
      <c r="R9">
        <v>19.88</v>
      </c>
      <c r="S9">
        <v>39</v>
      </c>
      <c r="T9" t="s">
        <v>61</v>
      </c>
      <c r="U9">
        <v>42</v>
      </c>
      <c r="V9">
        <f t="shared" si="1"/>
        <v>86.666666666666671</v>
      </c>
      <c r="W9" t="s">
        <v>56</v>
      </c>
    </row>
    <row r="10" spans="1:23" x14ac:dyDescent="0.35">
      <c r="K10" t="s">
        <v>67</v>
      </c>
      <c r="L10">
        <v>24</v>
      </c>
      <c r="M10">
        <v>52.5</v>
      </c>
      <c r="N10">
        <v>0.125</v>
      </c>
      <c r="O10" s="9">
        <f t="shared" si="0"/>
        <v>420</v>
      </c>
      <c r="P10">
        <v>4000</v>
      </c>
      <c r="Q10">
        <v>0.6</v>
      </c>
      <c r="R10">
        <v>24.85</v>
      </c>
      <c r="S10">
        <v>59.2</v>
      </c>
      <c r="T10" t="s">
        <v>61</v>
      </c>
      <c r="U10">
        <v>42</v>
      </c>
      <c r="V10">
        <f t="shared" si="1"/>
        <v>87.5</v>
      </c>
      <c r="W10" t="s">
        <v>56</v>
      </c>
    </row>
    <row r="11" spans="1:23" x14ac:dyDescent="0.35">
      <c r="K11" t="s">
        <v>68</v>
      </c>
      <c r="L11">
        <v>24</v>
      </c>
      <c r="M11">
        <v>77.5</v>
      </c>
      <c r="N11">
        <v>0.185</v>
      </c>
      <c r="O11" s="9">
        <f t="shared" si="0"/>
        <v>418.91891891891891</v>
      </c>
      <c r="P11">
        <v>4000</v>
      </c>
      <c r="Q11">
        <v>0.65</v>
      </c>
      <c r="R11">
        <v>30.08</v>
      </c>
      <c r="S11">
        <v>79</v>
      </c>
      <c r="T11" t="s">
        <v>61</v>
      </c>
      <c r="U11">
        <v>42</v>
      </c>
      <c r="V11">
        <f t="shared" si="1"/>
        <v>119.23076923076923</v>
      </c>
      <c r="W11" t="s">
        <v>56</v>
      </c>
    </row>
    <row r="12" spans="1:23" x14ac:dyDescent="0.35">
      <c r="K12" t="s">
        <v>69</v>
      </c>
      <c r="L12">
        <v>24</v>
      </c>
      <c r="M12">
        <v>105</v>
      </c>
      <c r="N12">
        <v>0.25</v>
      </c>
      <c r="O12" s="9">
        <f t="shared" si="0"/>
        <v>420</v>
      </c>
      <c r="P12">
        <v>4000</v>
      </c>
      <c r="Q12">
        <v>0.85</v>
      </c>
      <c r="R12">
        <v>35.31</v>
      </c>
      <c r="S12">
        <v>99.2</v>
      </c>
      <c r="T12" t="s">
        <v>61</v>
      </c>
      <c r="U12">
        <v>42</v>
      </c>
      <c r="V12">
        <f t="shared" si="1"/>
        <v>123.52941176470588</v>
      </c>
      <c r="W12" t="s">
        <v>56</v>
      </c>
    </row>
    <row r="13" spans="1:23" x14ac:dyDescent="0.35">
      <c r="K13" t="s">
        <v>70</v>
      </c>
      <c r="L13">
        <v>24</v>
      </c>
      <c r="M13">
        <v>25</v>
      </c>
      <c r="N13">
        <v>0.08</v>
      </c>
      <c r="O13" s="9">
        <f t="shared" si="0"/>
        <v>312.5</v>
      </c>
      <c r="P13">
        <v>3000</v>
      </c>
      <c r="Q13">
        <v>0.38</v>
      </c>
      <c r="R13">
        <v>21.35</v>
      </c>
      <c r="S13">
        <v>46</v>
      </c>
      <c r="T13" t="s">
        <v>61</v>
      </c>
      <c r="U13">
        <v>42</v>
      </c>
      <c r="V13">
        <f t="shared" si="1"/>
        <v>65.78947368421052</v>
      </c>
      <c r="W13" t="s">
        <v>56</v>
      </c>
    </row>
    <row r="14" spans="1:23" x14ac:dyDescent="0.35">
      <c r="K14" t="s">
        <v>71</v>
      </c>
      <c r="L14">
        <v>24</v>
      </c>
      <c r="M14">
        <v>50</v>
      </c>
      <c r="N14">
        <v>0.16</v>
      </c>
      <c r="O14" s="9">
        <f t="shared" si="0"/>
        <v>312.5</v>
      </c>
      <c r="P14">
        <v>3000</v>
      </c>
      <c r="Q14">
        <v>0.53</v>
      </c>
      <c r="R14">
        <v>24.02</v>
      </c>
      <c r="S14">
        <v>62</v>
      </c>
      <c r="T14" t="s">
        <v>61</v>
      </c>
      <c r="U14">
        <v>42</v>
      </c>
      <c r="V14">
        <f t="shared" si="1"/>
        <v>94.339622641509436</v>
      </c>
      <c r="W14" t="s">
        <v>56</v>
      </c>
    </row>
    <row r="15" spans="1:23" x14ac:dyDescent="0.35">
      <c r="K15" t="s">
        <v>72</v>
      </c>
      <c r="L15">
        <v>24</v>
      </c>
      <c r="M15">
        <v>75</v>
      </c>
      <c r="N15">
        <v>0.24</v>
      </c>
      <c r="O15" s="9">
        <f t="shared" si="0"/>
        <v>312.5</v>
      </c>
      <c r="P15">
        <v>3000</v>
      </c>
      <c r="Q15">
        <v>0.68</v>
      </c>
      <c r="R15">
        <v>32.020000000000003</v>
      </c>
      <c r="S15">
        <v>78</v>
      </c>
      <c r="T15" t="s">
        <v>61</v>
      </c>
      <c r="U15">
        <v>42</v>
      </c>
      <c r="V15">
        <f t="shared" si="1"/>
        <v>110.29411764705881</v>
      </c>
      <c r="W15" t="s">
        <v>56</v>
      </c>
    </row>
    <row r="16" spans="1:23" x14ac:dyDescent="0.35">
      <c r="K16" t="s">
        <v>73</v>
      </c>
      <c r="L16">
        <v>24</v>
      </c>
      <c r="M16">
        <v>79</v>
      </c>
      <c r="N16">
        <v>0.25</v>
      </c>
      <c r="O16" s="9">
        <f t="shared" si="0"/>
        <v>316</v>
      </c>
      <c r="P16">
        <v>3000</v>
      </c>
      <c r="Q16">
        <v>0.88</v>
      </c>
      <c r="R16">
        <v>29.35</v>
      </c>
      <c r="S16">
        <v>101</v>
      </c>
      <c r="T16" t="s">
        <v>61</v>
      </c>
      <c r="U16">
        <v>42</v>
      </c>
      <c r="V16">
        <f t="shared" si="1"/>
        <v>89.772727272727266</v>
      </c>
      <c r="W16" t="s">
        <v>56</v>
      </c>
    </row>
    <row r="17" spans="11:23" x14ac:dyDescent="0.35">
      <c r="K17" t="s">
        <v>74</v>
      </c>
      <c r="L17">
        <v>24</v>
      </c>
      <c r="M17">
        <v>20</v>
      </c>
      <c r="N17">
        <v>6.3E-2</v>
      </c>
      <c r="O17" s="9">
        <f t="shared" si="0"/>
        <v>317.46031746031747</v>
      </c>
      <c r="P17">
        <v>3000</v>
      </c>
      <c r="Q17">
        <v>0.32</v>
      </c>
      <c r="R17">
        <v>18.68</v>
      </c>
      <c r="S17">
        <v>41</v>
      </c>
      <c r="T17" t="s">
        <v>61</v>
      </c>
      <c r="U17">
        <v>42</v>
      </c>
      <c r="V17">
        <f t="shared" si="1"/>
        <v>62.5</v>
      </c>
      <c r="W17" t="s">
        <v>56</v>
      </c>
    </row>
    <row r="18" spans="11:23" x14ac:dyDescent="0.35">
      <c r="K18" t="s">
        <v>75</v>
      </c>
      <c r="L18">
        <v>24</v>
      </c>
      <c r="M18">
        <v>39</v>
      </c>
      <c r="N18">
        <v>0.125</v>
      </c>
      <c r="O18" s="9">
        <f t="shared" si="0"/>
        <v>312</v>
      </c>
      <c r="P18">
        <v>3000</v>
      </c>
      <c r="Q18">
        <v>0.5</v>
      </c>
      <c r="R18">
        <v>21.35</v>
      </c>
      <c r="S18">
        <v>61</v>
      </c>
      <c r="T18" t="s">
        <v>61</v>
      </c>
      <c r="U18">
        <v>42</v>
      </c>
      <c r="V18">
        <f t="shared" si="1"/>
        <v>78</v>
      </c>
      <c r="W18" t="s">
        <v>56</v>
      </c>
    </row>
    <row r="19" spans="11:23" x14ac:dyDescent="0.35">
      <c r="K19" t="s">
        <v>76</v>
      </c>
      <c r="L19">
        <v>24</v>
      </c>
      <c r="M19">
        <v>60</v>
      </c>
      <c r="N19">
        <v>0.19</v>
      </c>
      <c r="O19" s="9">
        <f t="shared" si="0"/>
        <v>315.78947368421052</v>
      </c>
      <c r="P19">
        <v>3000</v>
      </c>
      <c r="Q19">
        <v>0.72</v>
      </c>
      <c r="R19">
        <v>26.68</v>
      </c>
      <c r="S19">
        <v>81</v>
      </c>
      <c r="T19" t="s">
        <v>61</v>
      </c>
      <c r="U19">
        <v>42</v>
      </c>
      <c r="V19">
        <f t="shared" si="1"/>
        <v>83.333333333333343</v>
      </c>
      <c r="W19" t="s">
        <v>56</v>
      </c>
    </row>
    <row r="20" spans="11:23" x14ac:dyDescent="0.35">
      <c r="K20" t="s">
        <v>77</v>
      </c>
      <c r="L20">
        <v>24</v>
      </c>
      <c r="M20">
        <v>13</v>
      </c>
      <c r="N20">
        <v>0.04</v>
      </c>
      <c r="O20" s="9">
        <f t="shared" si="0"/>
        <v>325</v>
      </c>
      <c r="P20">
        <v>3000</v>
      </c>
      <c r="Q20">
        <v>0.3</v>
      </c>
      <c r="R20">
        <v>20.010000000000002</v>
      </c>
      <c r="S20">
        <v>43</v>
      </c>
      <c r="T20" t="s">
        <v>55</v>
      </c>
      <c r="U20">
        <v>42</v>
      </c>
      <c r="V20">
        <f t="shared" si="1"/>
        <v>43.333333333333336</v>
      </c>
      <c r="W20" t="s">
        <v>56</v>
      </c>
    </row>
    <row r="21" spans="11:23" x14ac:dyDescent="0.35">
      <c r="K21" t="s">
        <v>78</v>
      </c>
      <c r="L21">
        <v>24</v>
      </c>
      <c r="M21">
        <v>25</v>
      </c>
      <c r="N21">
        <v>0.08</v>
      </c>
      <c r="O21" s="9">
        <f t="shared" si="0"/>
        <v>312.5</v>
      </c>
      <c r="P21">
        <v>3000</v>
      </c>
      <c r="Q21">
        <v>0.36</v>
      </c>
      <c r="R21">
        <v>22.68</v>
      </c>
      <c r="S21">
        <v>51</v>
      </c>
      <c r="T21" t="s">
        <v>55</v>
      </c>
      <c r="U21">
        <v>42</v>
      </c>
      <c r="V21">
        <f t="shared" si="1"/>
        <v>69.444444444444443</v>
      </c>
      <c r="W21" t="s">
        <v>56</v>
      </c>
    </row>
    <row r="22" spans="11:23" x14ac:dyDescent="0.35">
      <c r="K22" t="s">
        <v>79</v>
      </c>
      <c r="L22">
        <v>24</v>
      </c>
      <c r="M22">
        <v>50</v>
      </c>
      <c r="N22">
        <v>0.16</v>
      </c>
      <c r="O22" s="9">
        <f t="shared" si="0"/>
        <v>312.5</v>
      </c>
      <c r="P22">
        <v>3000</v>
      </c>
      <c r="Q22">
        <v>0.52</v>
      </c>
      <c r="R22">
        <v>32.020000000000003</v>
      </c>
      <c r="S22">
        <v>73</v>
      </c>
      <c r="T22" t="s">
        <v>55</v>
      </c>
      <c r="U22">
        <v>42</v>
      </c>
      <c r="V22">
        <f t="shared" si="1"/>
        <v>96.153846153846146</v>
      </c>
      <c r="W22" t="s">
        <v>56</v>
      </c>
    </row>
    <row r="23" spans="11:23" x14ac:dyDescent="0.35">
      <c r="K23" t="s">
        <v>80</v>
      </c>
      <c r="L23">
        <v>24</v>
      </c>
      <c r="M23">
        <v>84</v>
      </c>
      <c r="N23">
        <v>0.23</v>
      </c>
      <c r="O23" s="9">
        <f t="shared" si="0"/>
        <v>365.21739130434781</v>
      </c>
      <c r="P23">
        <v>3500</v>
      </c>
      <c r="Q23">
        <v>0.55000000000000004</v>
      </c>
      <c r="R23">
        <v>24.85</v>
      </c>
      <c r="S23">
        <v>49</v>
      </c>
      <c r="T23" t="s">
        <v>55</v>
      </c>
      <c r="U23">
        <v>57</v>
      </c>
      <c r="V23">
        <f t="shared" si="1"/>
        <v>152.72727272727272</v>
      </c>
      <c r="W23" t="s">
        <v>56</v>
      </c>
    </row>
    <row r="24" spans="11:23" x14ac:dyDescent="0.35">
      <c r="K24" t="s">
        <v>81</v>
      </c>
      <c r="L24">
        <v>24</v>
      </c>
      <c r="M24">
        <v>134</v>
      </c>
      <c r="N24">
        <v>0.37</v>
      </c>
      <c r="O24" s="9">
        <f t="shared" si="0"/>
        <v>362.16216216216219</v>
      </c>
      <c r="P24">
        <v>3500</v>
      </c>
      <c r="Q24">
        <v>0.82</v>
      </c>
      <c r="R24">
        <v>30.08</v>
      </c>
      <c r="S24">
        <v>69</v>
      </c>
      <c r="T24" t="s">
        <v>55</v>
      </c>
      <c r="U24">
        <v>57</v>
      </c>
      <c r="V24">
        <f t="shared" si="1"/>
        <v>163.41463414634148</v>
      </c>
      <c r="W24" t="s">
        <v>56</v>
      </c>
    </row>
    <row r="25" spans="11:23" x14ac:dyDescent="0.35">
      <c r="K25" t="s">
        <v>82</v>
      </c>
      <c r="L25">
        <v>24</v>
      </c>
      <c r="M25">
        <v>172</v>
      </c>
      <c r="N25">
        <v>0.47</v>
      </c>
      <c r="O25" s="9">
        <f t="shared" si="0"/>
        <v>365.95744680851067</v>
      </c>
      <c r="P25">
        <v>3500</v>
      </c>
      <c r="Q25">
        <v>0.81</v>
      </c>
      <c r="R25">
        <v>30.08</v>
      </c>
      <c r="S25">
        <v>69</v>
      </c>
      <c r="T25" t="s">
        <v>55</v>
      </c>
      <c r="U25">
        <v>57</v>
      </c>
      <c r="V25">
        <f t="shared" si="1"/>
        <v>212.34567901234567</v>
      </c>
      <c r="W25" t="s">
        <v>56</v>
      </c>
    </row>
    <row r="26" spans="11:23" x14ac:dyDescent="0.35">
      <c r="K26" t="s">
        <v>83</v>
      </c>
      <c r="L26">
        <v>24</v>
      </c>
      <c r="M26">
        <v>220</v>
      </c>
      <c r="N26">
        <v>0.6</v>
      </c>
      <c r="O26" s="9">
        <f t="shared" si="0"/>
        <v>366.66666666666669</v>
      </c>
      <c r="P26">
        <v>3500</v>
      </c>
      <c r="Q26">
        <v>1.18</v>
      </c>
      <c r="R26">
        <v>36.619999999999997</v>
      </c>
      <c r="S26">
        <v>89</v>
      </c>
      <c r="T26" t="s">
        <v>55</v>
      </c>
      <c r="U26">
        <v>57</v>
      </c>
      <c r="V26">
        <f t="shared" si="1"/>
        <v>186.4406779661017</v>
      </c>
      <c r="W26" t="s">
        <v>56</v>
      </c>
    </row>
    <row r="27" spans="11:23" x14ac:dyDescent="0.35">
      <c r="K27" t="s">
        <v>84</v>
      </c>
      <c r="L27">
        <v>24</v>
      </c>
      <c r="M27">
        <v>67</v>
      </c>
      <c r="N27">
        <v>0.16</v>
      </c>
      <c r="O27" s="9">
        <f t="shared" si="0"/>
        <v>418.75</v>
      </c>
      <c r="P27">
        <v>4000</v>
      </c>
      <c r="Q27">
        <v>0.52</v>
      </c>
      <c r="R27">
        <v>20.92</v>
      </c>
      <c r="S27">
        <v>53.5</v>
      </c>
      <c r="T27" t="s">
        <v>55</v>
      </c>
      <c r="U27">
        <v>57</v>
      </c>
      <c r="V27">
        <f t="shared" si="1"/>
        <v>128.84615384615384</v>
      </c>
      <c r="W27" t="s">
        <v>56</v>
      </c>
    </row>
    <row r="28" spans="11:23" x14ac:dyDescent="0.35">
      <c r="K28" t="s">
        <v>85</v>
      </c>
      <c r="L28">
        <v>24</v>
      </c>
      <c r="M28">
        <v>63</v>
      </c>
      <c r="N28">
        <v>0.2</v>
      </c>
      <c r="O28" s="9">
        <f t="shared" si="0"/>
        <v>315</v>
      </c>
      <c r="P28">
        <v>3000</v>
      </c>
      <c r="Q28">
        <v>0.7</v>
      </c>
      <c r="R28">
        <v>29.35</v>
      </c>
      <c r="S28">
        <v>58</v>
      </c>
      <c r="T28" t="s">
        <v>61</v>
      </c>
      <c r="U28">
        <v>57</v>
      </c>
      <c r="V28">
        <f t="shared" si="1"/>
        <v>90</v>
      </c>
      <c r="W28" t="s">
        <v>56</v>
      </c>
    </row>
    <row r="29" spans="11:23" x14ac:dyDescent="0.35">
      <c r="K29" t="s">
        <v>86</v>
      </c>
      <c r="L29">
        <v>24</v>
      </c>
      <c r="M29">
        <v>94</v>
      </c>
      <c r="N29">
        <v>0.3</v>
      </c>
      <c r="O29" s="9">
        <f t="shared" si="0"/>
        <v>313.33333333333337</v>
      </c>
      <c r="P29">
        <v>3000</v>
      </c>
      <c r="Q29">
        <v>0.9</v>
      </c>
      <c r="R29">
        <v>28.02</v>
      </c>
      <c r="S29">
        <v>76</v>
      </c>
      <c r="T29" t="s">
        <v>61</v>
      </c>
      <c r="U29">
        <v>57</v>
      </c>
      <c r="V29">
        <f t="shared" si="1"/>
        <v>104.44444444444444</v>
      </c>
      <c r="W29" t="s">
        <v>56</v>
      </c>
    </row>
    <row r="30" spans="11:23" x14ac:dyDescent="0.35">
      <c r="K30" t="s">
        <v>87</v>
      </c>
      <c r="L30">
        <v>24</v>
      </c>
      <c r="M30">
        <v>50</v>
      </c>
      <c r="N30">
        <v>0.16</v>
      </c>
      <c r="O30" s="9">
        <f t="shared" si="0"/>
        <v>312.5</v>
      </c>
      <c r="P30">
        <v>3000</v>
      </c>
      <c r="Q30">
        <v>0.56999999999999995</v>
      </c>
      <c r="R30">
        <v>24.02</v>
      </c>
      <c r="S30">
        <v>53.5</v>
      </c>
      <c r="T30" t="s">
        <v>55</v>
      </c>
      <c r="U30">
        <v>57</v>
      </c>
      <c r="V30">
        <f t="shared" si="1"/>
        <v>87.719298245614041</v>
      </c>
      <c r="W30" t="s">
        <v>56</v>
      </c>
    </row>
    <row r="31" spans="11:23" x14ac:dyDescent="0.35">
      <c r="K31" t="s">
        <v>88</v>
      </c>
      <c r="L31">
        <v>24</v>
      </c>
      <c r="M31">
        <v>101</v>
      </c>
      <c r="N31">
        <v>0.32</v>
      </c>
      <c r="O31" s="9">
        <f t="shared" si="0"/>
        <v>315.625</v>
      </c>
      <c r="P31">
        <v>3000</v>
      </c>
      <c r="Q31">
        <v>0.85</v>
      </c>
      <c r="R31">
        <v>37.36</v>
      </c>
      <c r="S31">
        <v>73.5</v>
      </c>
      <c r="T31" t="s">
        <v>55</v>
      </c>
      <c r="U31">
        <v>57</v>
      </c>
      <c r="V31">
        <f t="shared" si="1"/>
        <v>118.82352941176471</v>
      </c>
      <c r="W31" t="s">
        <v>56</v>
      </c>
    </row>
    <row r="32" spans="11:23" x14ac:dyDescent="0.35">
      <c r="K32" t="s">
        <v>89</v>
      </c>
      <c r="L32">
        <v>24</v>
      </c>
      <c r="M32">
        <v>91</v>
      </c>
      <c r="N32">
        <v>0.28999999999999998</v>
      </c>
      <c r="O32" s="9">
        <f t="shared" si="0"/>
        <v>313.79310344827587</v>
      </c>
      <c r="P32">
        <v>3000</v>
      </c>
      <c r="Q32">
        <v>0.79</v>
      </c>
      <c r="R32">
        <v>29.35</v>
      </c>
      <c r="S32">
        <v>73.5</v>
      </c>
      <c r="T32" t="s">
        <v>61</v>
      </c>
      <c r="U32">
        <v>57</v>
      </c>
      <c r="V32">
        <f t="shared" si="1"/>
        <v>115.18987341772151</v>
      </c>
      <c r="W32" t="s">
        <v>56</v>
      </c>
    </row>
    <row r="33" spans="10:23" x14ac:dyDescent="0.35">
      <c r="K33" t="s">
        <v>90</v>
      </c>
      <c r="L33">
        <v>24</v>
      </c>
      <c r="M33">
        <v>50</v>
      </c>
      <c r="N33">
        <v>0.16</v>
      </c>
      <c r="O33" s="9">
        <f t="shared" si="0"/>
        <v>312.5</v>
      </c>
      <c r="P33">
        <v>3000</v>
      </c>
      <c r="Q33">
        <v>0.54</v>
      </c>
      <c r="R33">
        <v>21.35</v>
      </c>
      <c r="S33">
        <v>53.5</v>
      </c>
      <c r="T33" t="s">
        <v>61</v>
      </c>
      <c r="U33">
        <v>57</v>
      </c>
      <c r="V33">
        <f t="shared" si="1"/>
        <v>92.592592592592581</v>
      </c>
      <c r="W33" t="s">
        <v>56</v>
      </c>
    </row>
    <row r="34" spans="10:23" x14ac:dyDescent="0.35">
      <c r="K34" t="s">
        <v>91</v>
      </c>
      <c r="L34">
        <v>24</v>
      </c>
      <c r="M34">
        <v>110</v>
      </c>
      <c r="N34">
        <v>0.35</v>
      </c>
      <c r="O34" s="9">
        <f t="shared" ref="O34:O61" si="2">M34/N34</f>
        <v>314.28571428571428</v>
      </c>
      <c r="P34">
        <v>3000</v>
      </c>
      <c r="Q34">
        <v>1.65</v>
      </c>
      <c r="R34">
        <v>58.7</v>
      </c>
      <c r="S34">
        <v>70</v>
      </c>
      <c r="T34" t="s">
        <v>61</v>
      </c>
      <c r="U34">
        <v>86</v>
      </c>
      <c r="V34">
        <f t="shared" ref="V34:V61" si="3">M34/Q34</f>
        <v>66.666666666666671</v>
      </c>
      <c r="W34" t="s">
        <v>56</v>
      </c>
    </row>
    <row r="35" spans="10:23" x14ac:dyDescent="0.35">
      <c r="J35" s="13"/>
      <c r="K35" s="13" t="s">
        <v>92</v>
      </c>
      <c r="L35" s="13">
        <v>36</v>
      </c>
      <c r="M35" s="13">
        <v>50</v>
      </c>
      <c r="N35" s="13">
        <v>0.16</v>
      </c>
      <c r="O35" s="14">
        <f t="shared" si="2"/>
        <v>312.5</v>
      </c>
      <c r="P35" s="13">
        <v>3000</v>
      </c>
      <c r="Q35" s="13">
        <v>0.53</v>
      </c>
      <c r="R35" s="13">
        <v>24.02</v>
      </c>
      <c r="S35" s="13">
        <v>62</v>
      </c>
      <c r="T35" s="13" t="s">
        <v>61</v>
      </c>
      <c r="U35" s="13">
        <v>42</v>
      </c>
      <c r="V35" s="13">
        <f t="shared" si="3"/>
        <v>94.339622641509436</v>
      </c>
      <c r="W35" s="13" t="s">
        <v>56</v>
      </c>
    </row>
    <row r="36" spans="10:23" x14ac:dyDescent="0.35">
      <c r="J36" s="13"/>
      <c r="K36" s="13" t="s">
        <v>93</v>
      </c>
      <c r="L36" s="13">
        <v>36</v>
      </c>
      <c r="M36" s="13">
        <v>25</v>
      </c>
      <c r="N36" s="13">
        <v>5.5E-2</v>
      </c>
      <c r="O36" s="14">
        <f t="shared" si="2"/>
        <v>454.54545454545456</v>
      </c>
      <c r="P36" s="13">
        <v>4400</v>
      </c>
      <c r="Q36" s="13">
        <v>0.4</v>
      </c>
      <c r="R36" s="13">
        <v>23.54</v>
      </c>
      <c r="S36" s="13">
        <v>43</v>
      </c>
      <c r="T36" s="13" t="s">
        <v>55</v>
      </c>
      <c r="U36" s="13">
        <v>57</v>
      </c>
      <c r="V36" s="13">
        <f t="shared" si="3"/>
        <v>62.5</v>
      </c>
      <c r="W36" s="13" t="s">
        <v>56</v>
      </c>
    </row>
    <row r="37" spans="10:23" x14ac:dyDescent="0.35">
      <c r="J37" s="13"/>
      <c r="K37" s="13" t="s">
        <v>94</v>
      </c>
      <c r="L37" s="13">
        <v>36</v>
      </c>
      <c r="M37" s="13">
        <v>46</v>
      </c>
      <c r="N37" s="13">
        <v>0.11</v>
      </c>
      <c r="O37" s="14">
        <f t="shared" si="2"/>
        <v>418.18181818181819</v>
      </c>
      <c r="P37" s="13">
        <v>4000</v>
      </c>
      <c r="Q37" s="13">
        <v>0.53</v>
      </c>
      <c r="R37" s="13">
        <v>24.85</v>
      </c>
      <c r="S37" s="13">
        <v>49</v>
      </c>
      <c r="T37" s="13" t="s">
        <v>55</v>
      </c>
      <c r="U37" s="13">
        <v>57</v>
      </c>
      <c r="V37" s="13">
        <f t="shared" si="3"/>
        <v>86.79245283018868</v>
      </c>
      <c r="W37" s="13" t="s">
        <v>56</v>
      </c>
    </row>
    <row r="38" spans="10:23" x14ac:dyDescent="0.35">
      <c r="J38" s="13"/>
      <c r="K38" s="13" t="s">
        <v>95</v>
      </c>
      <c r="L38" s="13">
        <v>36</v>
      </c>
      <c r="M38" s="13">
        <v>99</v>
      </c>
      <c r="N38" s="13">
        <v>0.22</v>
      </c>
      <c r="O38" s="14">
        <f t="shared" si="2"/>
        <v>450</v>
      </c>
      <c r="P38" s="13">
        <v>4300</v>
      </c>
      <c r="Q38" s="13">
        <v>0.73</v>
      </c>
      <c r="R38" s="13">
        <v>30.08</v>
      </c>
      <c r="S38" s="13">
        <v>69</v>
      </c>
      <c r="T38" s="13" t="s">
        <v>55</v>
      </c>
      <c r="U38" s="13">
        <v>57</v>
      </c>
      <c r="V38" s="13">
        <f t="shared" si="3"/>
        <v>135.61643835616439</v>
      </c>
      <c r="W38" s="13" t="s">
        <v>56</v>
      </c>
    </row>
    <row r="39" spans="10:23" x14ac:dyDescent="0.35">
      <c r="J39" s="13"/>
      <c r="K39" s="13" t="s">
        <v>96</v>
      </c>
      <c r="L39" s="13">
        <v>36</v>
      </c>
      <c r="M39" s="13">
        <v>138</v>
      </c>
      <c r="N39" s="13">
        <v>0.33</v>
      </c>
      <c r="O39" s="14">
        <f t="shared" si="2"/>
        <v>418.18181818181819</v>
      </c>
      <c r="P39" s="13">
        <v>4000</v>
      </c>
      <c r="Q39" s="13">
        <v>1.03</v>
      </c>
      <c r="R39" s="13">
        <v>36.619999999999997</v>
      </c>
      <c r="S39" s="13">
        <v>89</v>
      </c>
      <c r="T39" s="13" t="s">
        <v>55</v>
      </c>
      <c r="U39" s="13">
        <v>57</v>
      </c>
      <c r="V39" s="13">
        <f t="shared" si="3"/>
        <v>133.98058252427185</v>
      </c>
      <c r="W39" s="13" t="s">
        <v>56</v>
      </c>
    </row>
    <row r="40" spans="10:23" x14ac:dyDescent="0.35">
      <c r="J40" s="13"/>
      <c r="K40" s="13" t="s">
        <v>97</v>
      </c>
      <c r="L40" s="13">
        <v>36</v>
      </c>
      <c r="M40" s="13">
        <v>184</v>
      </c>
      <c r="N40" s="13">
        <v>0.44</v>
      </c>
      <c r="O40" s="14">
        <f t="shared" si="2"/>
        <v>418.18181818181819</v>
      </c>
      <c r="P40" s="13">
        <v>4000</v>
      </c>
      <c r="Q40" s="13">
        <v>1.25</v>
      </c>
      <c r="R40" s="13">
        <v>41.85</v>
      </c>
      <c r="S40" s="13">
        <v>109</v>
      </c>
      <c r="T40" s="13" t="s">
        <v>55</v>
      </c>
      <c r="U40" s="13">
        <v>57</v>
      </c>
      <c r="V40" s="13">
        <f t="shared" si="3"/>
        <v>147.19999999999999</v>
      </c>
      <c r="W40" s="13" t="s">
        <v>56</v>
      </c>
    </row>
    <row r="41" spans="10:23" x14ac:dyDescent="0.35">
      <c r="J41" s="13"/>
      <c r="K41" s="13" t="s">
        <v>98</v>
      </c>
      <c r="L41" s="13">
        <v>36</v>
      </c>
      <c r="M41" s="13">
        <v>188</v>
      </c>
      <c r="N41" s="13">
        <v>0.6</v>
      </c>
      <c r="O41" s="14">
        <f t="shared" si="2"/>
        <v>313.33333333333337</v>
      </c>
      <c r="P41" s="13">
        <v>3000</v>
      </c>
      <c r="Q41" s="13">
        <v>1.35</v>
      </c>
      <c r="R41" s="13">
        <v>58.7</v>
      </c>
      <c r="S41" s="13">
        <v>100</v>
      </c>
      <c r="T41" s="13" t="s">
        <v>61</v>
      </c>
      <c r="U41" s="13">
        <v>57</v>
      </c>
      <c r="V41" s="13">
        <f t="shared" si="3"/>
        <v>139.25925925925924</v>
      </c>
      <c r="W41" s="13" t="s">
        <v>56</v>
      </c>
    </row>
    <row r="42" spans="10:23" x14ac:dyDescent="0.35">
      <c r="J42" s="13"/>
      <c r="K42" s="13" t="s">
        <v>99</v>
      </c>
      <c r="L42" s="13">
        <v>36</v>
      </c>
      <c r="M42" s="13">
        <v>126</v>
      </c>
      <c r="N42" s="13">
        <v>0.4</v>
      </c>
      <c r="O42" s="14">
        <f t="shared" si="2"/>
        <v>315</v>
      </c>
      <c r="P42" s="13">
        <v>3000</v>
      </c>
      <c r="Q42" s="13">
        <v>1.03</v>
      </c>
      <c r="R42" s="13">
        <v>42.69</v>
      </c>
      <c r="S42" s="13">
        <v>79</v>
      </c>
      <c r="T42" s="13" t="s">
        <v>61</v>
      </c>
      <c r="U42" s="13">
        <v>57</v>
      </c>
      <c r="V42" s="13">
        <f t="shared" si="3"/>
        <v>122.33009708737863</v>
      </c>
      <c r="W42" s="13" t="s">
        <v>56</v>
      </c>
    </row>
    <row r="43" spans="10:23" x14ac:dyDescent="0.35">
      <c r="J43" s="13"/>
      <c r="K43" s="13" t="s">
        <v>100</v>
      </c>
      <c r="L43" s="13">
        <v>36</v>
      </c>
      <c r="M43" s="13">
        <v>188</v>
      </c>
      <c r="N43" s="13">
        <v>0.6</v>
      </c>
      <c r="O43" s="14">
        <f t="shared" si="2"/>
        <v>313.33333333333337</v>
      </c>
      <c r="P43" s="13">
        <v>3000</v>
      </c>
      <c r="Q43" s="13">
        <v>1.49</v>
      </c>
      <c r="R43" s="13">
        <v>38.69</v>
      </c>
      <c r="S43" s="13">
        <v>116</v>
      </c>
      <c r="T43" s="13" t="s">
        <v>61</v>
      </c>
      <c r="U43" s="13">
        <v>57</v>
      </c>
      <c r="V43" s="13">
        <f t="shared" si="3"/>
        <v>126.1744966442953</v>
      </c>
      <c r="W43" s="13" t="s">
        <v>56</v>
      </c>
    </row>
    <row r="44" spans="10:23" x14ac:dyDescent="0.35">
      <c r="J44" s="13"/>
      <c r="K44" s="13" t="s">
        <v>101</v>
      </c>
      <c r="L44" s="13">
        <v>36</v>
      </c>
      <c r="M44" s="13">
        <v>94</v>
      </c>
      <c r="N44" s="13">
        <v>0.3</v>
      </c>
      <c r="O44" s="14">
        <f t="shared" si="2"/>
        <v>313.33333333333337</v>
      </c>
      <c r="P44" s="13">
        <v>3000</v>
      </c>
      <c r="Q44" s="13">
        <v>0.9</v>
      </c>
      <c r="R44" s="13">
        <v>28.02</v>
      </c>
      <c r="S44" s="13">
        <v>76</v>
      </c>
      <c r="T44" s="13" t="s">
        <v>61</v>
      </c>
      <c r="U44" s="13">
        <v>57</v>
      </c>
      <c r="V44" s="13">
        <f t="shared" si="3"/>
        <v>104.44444444444444</v>
      </c>
      <c r="W44" s="13" t="s">
        <v>56</v>
      </c>
    </row>
    <row r="45" spans="10:23" x14ac:dyDescent="0.35">
      <c r="J45" s="13"/>
      <c r="K45" s="13" t="s">
        <v>102</v>
      </c>
      <c r="L45" s="13">
        <v>36</v>
      </c>
      <c r="M45" s="13">
        <v>141</v>
      </c>
      <c r="N45" s="13">
        <v>0.45</v>
      </c>
      <c r="O45" s="14">
        <f t="shared" si="2"/>
        <v>313.33333333333331</v>
      </c>
      <c r="P45" s="13">
        <v>3000</v>
      </c>
      <c r="Q45" s="13">
        <v>0.91</v>
      </c>
      <c r="R45" s="13">
        <v>33.35</v>
      </c>
      <c r="S45" s="13">
        <v>96</v>
      </c>
      <c r="T45" s="13" t="s">
        <v>61</v>
      </c>
      <c r="U45" s="13">
        <v>57</v>
      </c>
      <c r="V45" s="13">
        <f t="shared" si="3"/>
        <v>154.94505494505495</v>
      </c>
      <c r="W45" s="13" t="s">
        <v>56</v>
      </c>
    </row>
    <row r="46" spans="10:23" x14ac:dyDescent="0.35">
      <c r="J46" s="13"/>
      <c r="K46" s="13" t="s">
        <v>103</v>
      </c>
      <c r="L46" s="13">
        <v>36</v>
      </c>
      <c r="M46" s="13">
        <v>101</v>
      </c>
      <c r="N46" s="13">
        <v>0.32</v>
      </c>
      <c r="O46" s="14">
        <f t="shared" si="2"/>
        <v>315.625</v>
      </c>
      <c r="P46" s="13">
        <v>3000</v>
      </c>
      <c r="Q46" s="13">
        <v>0.85</v>
      </c>
      <c r="R46" s="13">
        <v>37.36</v>
      </c>
      <c r="S46" s="13">
        <v>73.5</v>
      </c>
      <c r="T46" s="13" t="s">
        <v>55</v>
      </c>
      <c r="U46" s="13">
        <v>57</v>
      </c>
      <c r="V46" s="13">
        <f t="shared" si="3"/>
        <v>118.82352941176471</v>
      </c>
      <c r="W46" s="13" t="s">
        <v>56</v>
      </c>
    </row>
    <row r="47" spans="10:23" x14ac:dyDescent="0.35">
      <c r="J47" s="13"/>
      <c r="K47" s="13" t="s">
        <v>104</v>
      </c>
      <c r="L47" s="13">
        <v>36</v>
      </c>
      <c r="M47" s="13">
        <v>141</v>
      </c>
      <c r="N47" s="13">
        <v>0.45</v>
      </c>
      <c r="O47" s="14">
        <f t="shared" si="2"/>
        <v>313.33333333333331</v>
      </c>
      <c r="P47" s="13">
        <v>3000</v>
      </c>
      <c r="Q47" s="13">
        <v>1.1299999999999999</v>
      </c>
      <c r="R47" s="13">
        <v>49.36</v>
      </c>
      <c r="S47" s="13">
        <v>93.5</v>
      </c>
      <c r="T47" s="13" t="s">
        <v>55</v>
      </c>
      <c r="U47" s="13">
        <v>57</v>
      </c>
      <c r="V47" s="13">
        <f t="shared" si="3"/>
        <v>124.77876106194691</v>
      </c>
      <c r="W47" s="13" t="s">
        <v>56</v>
      </c>
    </row>
    <row r="48" spans="10:23" x14ac:dyDescent="0.35">
      <c r="J48" s="13"/>
      <c r="K48" s="13" t="s">
        <v>105</v>
      </c>
      <c r="L48" s="13">
        <v>36</v>
      </c>
      <c r="M48" s="13">
        <v>91</v>
      </c>
      <c r="N48" s="13">
        <v>0.28999999999999998</v>
      </c>
      <c r="O48" s="14">
        <f t="shared" si="2"/>
        <v>313.79310344827587</v>
      </c>
      <c r="P48" s="13">
        <v>3000</v>
      </c>
      <c r="Q48" s="13">
        <v>0.79</v>
      </c>
      <c r="R48" s="13">
        <v>29.35</v>
      </c>
      <c r="S48" s="13">
        <v>73.5</v>
      </c>
      <c r="T48" s="13" t="s">
        <v>55</v>
      </c>
      <c r="U48" s="13">
        <v>57</v>
      </c>
      <c r="V48" s="13">
        <f t="shared" si="3"/>
        <v>115.18987341772151</v>
      </c>
      <c r="W48" s="13" t="s">
        <v>56</v>
      </c>
    </row>
    <row r="49" spans="10:23" x14ac:dyDescent="0.35">
      <c r="J49" s="13"/>
      <c r="K49" s="13" t="s">
        <v>106</v>
      </c>
      <c r="L49" s="13">
        <v>36</v>
      </c>
      <c r="M49" s="13">
        <v>129</v>
      </c>
      <c r="N49" s="13">
        <v>0.41</v>
      </c>
      <c r="O49" s="14">
        <f t="shared" si="2"/>
        <v>314.63414634146341</v>
      </c>
      <c r="P49" s="13">
        <v>3000</v>
      </c>
      <c r="Q49" s="13">
        <v>1.04</v>
      </c>
      <c r="R49" s="13">
        <v>34.69</v>
      </c>
      <c r="S49" s="13">
        <v>93.5</v>
      </c>
      <c r="T49" s="13" t="s">
        <v>55</v>
      </c>
      <c r="U49" s="13">
        <v>57</v>
      </c>
      <c r="V49" s="13">
        <f t="shared" si="3"/>
        <v>124.03846153846153</v>
      </c>
      <c r="W49" s="13" t="s">
        <v>56</v>
      </c>
    </row>
    <row r="50" spans="10:23" x14ac:dyDescent="0.35">
      <c r="K50" t="s">
        <v>107</v>
      </c>
      <c r="L50">
        <v>48</v>
      </c>
      <c r="M50">
        <v>75</v>
      </c>
      <c r="N50">
        <v>0.24</v>
      </c>
      <c r="O50" s="9">
        <f t="shared" si="2"/>
        <v>312.5</v>
      </c>
      <c r="P50">
        <v>3000</v>
      </c>
      <c r="Q50">
        <v>0.68</v>
      </c>
      <c r="R50">
        <v>32.020000000000003</v>
      </c>
      <c r="S50">
        <v>78</v>
      </c>
      <c r="T50" t="s">
        <v>61</v>
      </c>
      <c r="U50">
        <v>42</v>
      </c>
      <c r="V50">
        <f t="shared" si="3"/>
        <v>110.29411764705881</v>
      </c>
      <c r="W50" t="s">
        <v>56</v>
      </c>
    </row>
    <row r="51" spans="10:23" x14ac:dyDescent="0.35">
      <c r="K51" t="s">
        <v>108</v>
      </c>
      <c r="L51">
        <v>48</v>
      </c>
      <c r="M51">
        <v>79</v>
      </c>
      <c r="N51">
        <v>0.25</v>
      </c>
      <c r="O51" s="9">
        <f t="shared" si="2"/>
        <v>316</v>
      </c>
      <c r="P51">
        <v>3000</v>
      </c>
      <c r="Q51">
        <v>0.88</v>
      </c>
      <c r="R51">
        <v>29.35</v>
      </c>
      <c r="S51">
        <v>101</v>
      </c>
      <c r="T51" t="s">
        <v>61</v>
      </c>
      <c r="U51">
        <v>42</v>
      </c>
      <c r="V51">
        <f t="shared" si="3"/>
        <v>89.772727272727266</v>
      </c>
      <c r="W51" t="s">
        <v>56</v>
      </c>
    </row>
    <row r="52" spans="10:23" x14ac:dyDescent="0.35">
      <c r="K52" t="s">
        <v>109</v>
      </c>
      <c r="L52">
        <v>48</v>
      </c>
      <c r="M52">
        <v>39</v>
      </c>
      <c r="N52">
        <v>0.125</v>
      </c>
      <c r="O52" s="9">
        <f t="shared" si="2"/>
        <v>312</v>
      </c>
      <c r="P52">
        <v>3000</v>
      </c>
      <c r="Q52">
        <v>0.5</v>
      </c>
      <c r="R52">
        <v>21.35</v>
      </c>
      <c r="S52">
        <v>61</v>
      </c>
      <c r="T52" t="s">
        <v>61</v>
      </c>
      <c r="U52">
        <v>42</v>
      </c>
      <c r="V52">
        <f t="shared" si="3"/>
        <v>78</v>
      </c>
      <c r="W52" t="s">
        <v>56</v>
      </c>
    </row>
    <row r="53" spans="10:23" x14ac:dyDescent="0.35">
      <c r="K53" t="s">
        <v>110</v>
      </c>
      <c r="L53">
        <v>48</v>
      </c>
      <c r="M53">
        <v>60</v>
      </c>
      <c r="N53">
        <v>0.19</v>
      </c>
      <c r="O53" s="9">
        <f t="shared" si="2"/>
        <v>315.78947368421052</v>
      </c>
      <c r="P53">
        <v>3000</v>
      </c>
      <c r="Q53">
        <v>0.72</v>
      </c>
      <c r="R53">
        <v>26.68</v>
      </c>
      <c r="S53">
        <v>81</v>
      </c>
      <c r="T53" t="s">
        <v>61</v>
      </c>
      <c r="U53">
        <v>42</v>
      </c>
      <c r="V53">
        <f t="shared" si="3"/>
        <v>83.333333333333343</v>
      </c>
      <c r="W53" t="s">
        <v>56</v>
      </c>
    </row>
    <row r="54" spans="10:23" x14ac:dyDescent="0.35">
      <c r="K54" t="s">
        <v>111</v>
      </c>
      <c r="L54">
        <v>48</v>
      </c>
      <c r="M54">
        <v>188</v>
      </c>
      <c r="N54">
        <v>0.6</v>
      </c>
      <c r="O54" s="9">
        <f t="shared" si="2"/>
        <v>313.33333333333337</v>
      </c>
      <c r="P54">
        <v>3000</v>
      </c>
      <c r="Q54">
        <v>1.35</v>
      </c>
      <c r="R54">
        <v>58.7</v>
      </c>
      <c r="S54">
        <v>100</v>
      </c>
      <c r="T54" t="s">
        <v>61</v>
      </c>
      <c r="U54">
        <v>57</v>
      </c>
      <c r="V54">
        <f t="shared" si="3"/>
        <v>139.25925925925924</v>
      </c>
      <c r="W54" t="s">
        <v>56</v>
      </c>
    </row>
    <row r="55" spans="10:23" x14ac:dyDescent="0.35">
      <c r="K55" t="s">
        <v>112</v>
      </c>
      <c r="L55">
        <v>48</v>
      </c>
      <c r="M55">
        <v>188</v>
      </c>
      <c r="N55">
        <v>0.6</v>
      </c>
      <c r="O55" s="9">
        <f t="shared" si="2"/>
        <v>313.33333333333337</v>
      </c>
      <c r="P55">
        <v>3000</v>
      </c>
      <c r="Q55">
        <v>1.49</v>
      </c>
      <c r="R55">
        <v>38.69</v>
      </c>
      <c r="S55">
        <v>116</v>
      </c>
      <c r="T55" t="s">
        <v>61</v>
      </c>
      <c r="U55">
        <v>57</v>
      </c>
      <c r="V55">
        <f t="shared" si="3"/>
        <v>126.1744966442953</v>
      </c>
      <c r="W55" t="s">
        <v>56</v>
      </c>
    </row>
    <row r="56" spans="10:23" x14ac:dyDescent="0.35">
      <c r="K56" t="s">
        <v>113</v>
      </c>
      <c r="L56">
        <v>48</v>
      </c>
      <c r="M56">
        <v>141</v>
      </c>
      <c r="N56">
        <v>0.45</v>
      </c>
      <c r="O56" s="9">
        <f t="shared" si="2"/>
        <v>313.33333333333331</v>
      </c>
      <c r="P56">
        <v>3000</v>
      </c>
      <c r="Q56">
        <v>1.1299999999999999</v>
      </c>
      <c r="R56">
        <v>49.36</v>
      </c>
      <c r="S56">
        <v>93.5</v>
      </c>
      <c r="T56" t="s">
        <v>55</v>
      </c>
      <c r="U56">
        <v>57</v>
      </c>
      <c r="V56">
        <f t="shared" si="3"/>
        <v>124.77876106194691</v>
      </c>
      <c r="W56" t="s">
        <v>56</v>
      </c>
    </row>
    <row r="57" spans="10:23" x14ac:dyDescent="0.35">
      <c r="K57" t="s">
        <v>114</v>
      </c>
      <c r="L57">
        <v>48</v>
      </c>
      <c r="M57">
        <v>188</v>
      </c>
      <c r="N57">
        <v>0.6</v>
      </c>
      <c r="O57" s="9">
        <f t="shared" si="2"/>
        <v>313.33333333333337</v>
      </c>
      <c r="P57">
        <v>3000</v>
      </c>
      <c r="Q57">
        <v>1.41</v>
      </c>
      <c r="R57">
        <v>58.7</v>
      </c>
      <c r="S57">
        <v>113.5</v>
      </c>
      <c r="T57" t="s">
        <v>55</v>
      </c>
      <c r="U57">
        <v>57</v>
      </c>
      <c r="V57">
        <f t="shared" si="3"/>
        <v>133.33333333333334</v>
      </c>
      <c r="W57" t="s">
        <v>56</v>
      </c>
    </row>
    <row r="58" spans="10:23" x14ac:dyDescent="0.35">
      <c r="K58" t="s">
        <v>115</v>
      </c>
      <c r="L58">
        <v>48</v>
      </c>
      <c r="M58">
        <v>179</v>
      </c>
      <c r="N58">
        <v>0.56999999999999995</v>
      </c>
      <c r="O58" s="9">
        <f t="shared" si="2"/>
        <v>314.03508771929825</v>
      </c>
      <c r="P58">
        <v>3000</v>
      </c>
      <c r="Q58">
        <v>1.29</v>
      </c>
      <c r="R58">
        <v>41.36</v>
      </c>
      <c r="S58">
        <v>113.5</v>
      </c>
      <c r="T58" t="s">
        <v>61</v>
      </c>
      <c r="U58">
        <v>57</v>
      </c>
      <c r="V58">
        <f t="shared" si="3"/>
        <v>138.75968992248062</v>
      </c>
      <c r="W58" t="s">
        <v>56</v>
      </c>
    </row>
    <row r="59" spans="10:23" x14ac:dyDescent="0.35">
      <c r="K59" t="s">
        <v>116</v>
      </c>
      <c r="L59">
        <v>48</v>
      </c>
      <c r="M59">
        <v>129</v>
      </c>
      <c r="N59">
        <v>0.41</v>
      </c>
      <c r="O59" s="9">
        <f t="shared" si="2"/>
        <v>314.63414634146341</v>
      </c>
      <c r="P59">
        <v>3000</v>
      </c>
      <c r="Q59">
        <v>1.04</v>
      </c>
      <c r="R59">
        <v>34.69</v>
      </c>
      <c r="S59">
        <v>93.5</v>
      </c>
      <c r="T59" t="s">
        <v>61</v>
      </c>
      <c r="U59">
        <v>57</v>
      </c>
      <c r="V59">
        <f t="shared" si="3"/>
        <v>124.03846153846153</v>
      </c>
      <c r="W59" t="s">
        <v>56</v>
      </c>
    </row>
    <row r="60" spans="10:23" x14ac:dyDescent="0.35">
      <c r="K60" t="s">
        <v>117</v>
      </c>
      <c r="L60">
        <v>48</v>
      </c>
      <c r="M60">
        <v>440</v>
      </c>
      <c r="N60">
        <v>1.4</v>
      </c>
      <c r="O60" s="9">
        <f t="shared" si="2"/>
        <v>314.28571428571428</v>
      </c>
      <c r="P60">
        <v>3000</v>
      </c>
      <c r="Q60">
        <v>3.2</v>
      </c>
      <c r="R60">
        <v>93.39</v>
      </c>
      <c r="S60">
        <v>108</v>
      </c>
      <c r="T60" t="s">
        <v>61</v>
      </c>
      <c r="U60">
        <v>86</v>
      </c>
      <c r="V60">
        <f t="shared" si="3"/>
        <v>137.5</v>
      </c>
      <c r="W60" t="s">
        <v>56</v>
      </c>
    </row>
    <row r="61" spans="10:23" x14ac:dyDescent="0.35">
      <c r="K61" t="s">
        <v>118</v>
      </c>
      <c r="L61">
        <v>48</v>
      </c>
      <c r="M61">
        <v>660</v>
      </c>
      <c r="N61">
        <v>2.1</v>
      </c>
      <c r="O61" s="9">
        <f t="shared" si="2"/>
        <v>314.28571428571428</v>
      </c>
      <c r="P61">
        <v>3000</v>
      </c>
      <c r="Q61">
        <v>4.2</v>
      </c>
      <c r="R61">
        <v>120.08</v>
      </c>
      <c r="S61">
        <v>135</v>
      </c>
      <c r="T61" t="s">
        <v>61</v>
      </c>
      <c r="U61">
        <v>86</v>
      </c>
      <c r="V61">
        <f t="shared" si="3"/>
        <v>157.14285714285714</v>
      </c>
      <c r="W61" t="s">
        <v>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E1EB1-38B5-4FFE-A36F-3B9B55345D99}">
  <sheetPr codeName="Sheet1"/>
  <dimension ref="A1:X46"/>
  <sheetViews>
    <sheetView workbookViewId="0">
      <selection activeCell="E2" sqref="E2"/>
    </sheetView>
  </sheetViews>
  <sheetFormatPr defaultColWidth="8.73046875" defaultRowHeight="12.75" x14ac:dyDescent="0.35"/>
  <cols>
    <col min="9" max="9" width="16.265625" customWidth="1"/>
    <col min="12" max="12" width="28" customWidth="1"/>
    <col min="15" max="15" width="8.73046875" style="10"/>
  </cols>
  <sheetData>
    <row r="1" spans="1:19" x14ac:dyDescent="0.35">
      <c r="B1" t="s">
        <v>1</v>
      </c>
      <c r="E1" t="s">
        <v>35</v>
      </c>
      <c r="H1" t="s">
        <v>119</v>
      </c>
    </row>
    <row r="2" spans="1:19" ht="13.15" thickBot="1" x14ac:dyDescent="0.4">
      <c r="A2" t="s">
        <v>120</v>
      </c>
      <c r="B2">
        <v>0.39</v>
      </c>
      <c r="C2" t="s">
        <v>155</v>
      </c>
      <c r="D2" t="s">
        <v>121</v>
      </c>
      <c r="E2" s="10">
        <f>0.0408*(B2/10)^2-1.7314*(B2/10)+46.597</f>
        <v>46.5295374568</v>
      </c>
      <c r="F2" t="s">
        <v>58</v>
      </c>
      <c r="I2" s="3" t="s">
        <v>154</v>
      </c>
      <c r="J2" s="3" t="s">
        <v>123</v>
      </c>
      <c r="K2" s="3" t="s">
        <v>124</v>
      </c>
      <c r="L2" s="3" t="s">
        <v>125</v>
      </c>
      <c r="M2" s="3" t="s">
        <v>126</v>
      </c>
      <c r="N2" s="3" t="s">
        <v>57</v>
      </c>
    </row>
    <row r="3" spans="1:19" ht="13.15" thickBot="1" x14ac:dyDescent="0.4">
      <c r="D3" t="s">
        <v>52</v>
      </c>
      <c r="E3">
        <f>(B2/10)*0.06</f>
        <v>2.3400000000000001E-3</v>
      </c>
      <c r="F3" t="s">
        <v>153</v>
      </c>
      <c r="I3" s="4">
        <v>30</v>
      </c>
      <c r="J3" s="4" t="s">
        <v>127</v>
      </c>
      <c r="K3" s="4" t="s">
        <v>128</v>
      </c>
      <c r="L3" s="4" t="s">
        <v>129</v>
      </c>
      <c r="M3" s="4" t="s">
        <v>130</v>
      </c>
      <c r="N3" s="5">
        <v>33.369999999999997</v>
      </c>
      <c r="O3" s="10">
        <f>20*(I3/30)</f>
        <v>20</v>
      </c>
      <c r="P3" s="11">
        <f>N3/O3-1</f>
        <v>0.66849999999999987</v>
      </c>
    </row>
    <row r="4" spans="1:19" ht="13.15" thickBot="1" x14ac:dyDescent="0.4">
      <c r="I4" s="4">
        <v>30</v>
      </c>
      <c r="J4" s="4" t="s">
        <v>127</v>
      </c>
      <c r="K4" s="4" t="s">
        <v>128</v>
      </c>
      <c r="L4" s="4" t="s">
        <v>131</v>
      </c>
      <c r="M4" s="4" t="s">
        <v>131</v>
      </c>
      <c r="N4" s="5">
        <v>30.58</v>
      </c>
      <c r="O4" s="10">
        <f t="shared" ref="O4:O37" si="0">20*(I4/30)</f>
        <v>20</v>
      </c>
      <c r="P4" s="11">
        <f t="shared" ref="P4:P37" si="1">N4/O4-1</f>
        <v>0.52899999999999991</v>
      </c>
    </row>
    <row r="5" spans="1:19" ht="13.15" thickBot="1" x14ac:dyDescent="0.4">
      <c r="I5" s="4">
        <v>30</v>
      </c>
      <c r="J5" s="4" t="s">
        <v>127</v>
      </c>
      <c r="K5" s="4" t="s">
        <v>128</v>
      </c>
      <c r="L5" s="4" t="s">
        <v>131</v>
      </c>
      <c r="M5" s="4" t="s">
        <v>131</v>
      </c>
      <c r="N5" s="5">
        <v>25.02</v>
      </c>
      <c r="O5" s="10">
        <f t="shared" si="0"/>
        <v>20</v>
      </c>
      <c r="P5" s="11">
        <f t="shared" si="1"/>
        <v>0.25099999999999989</v>
      </c>
    </row>
    <row r="6" spans="1:19" ht="13.15" thickBot="1" x14ac:dyDescent="0.4">
      <c r="I6" s="4">
        <v>30</v>
      </c>
      <c r="J6" s="4" t="s">
        <v>127</v>
      </c>
      <c r="K6" s="4" t="s">
        <v>128</v>
      </c>
      <c r="L6" s="4" t="s">
        <v>132</v>
      </c>
      <c r="M6" s="4" t="s">
        <v>133</v>
      </c>
      <c r="N6" s="5">
        <v>28.06</v>
      </c>
      <c r="O6" s="10">
        <f t="shared" si="0"/>
        <v>20</v>
      </c>
      <c r="P6" s="11">
        <f t="shared" si="1"/>
        <v>0.40300000000000002</v>
      </c>
    </row>
    <row r="7" spans="1:19" ht="13.15" thickBot="1" x14ac:dyDescent="0.4">
      <c r="I7" s="4">
        <v>30</v>
      </c>
      <c r="J7" s="4" t="s">
        <v>127</v>
      </c>
      <c r="K7" s="4" t="s">
        <v>128</v>
      </c>
      <c r="L7" s="4" t="s">
        <v>134</v>
      </c>
      <c r="M7" s="4" t="s">
        <v>135</v>
      </c>
      <c r="N7" s="5">
        <v>42.26</v>
      </c>
      <c r="O7" s="10">
        <f t="shared" si="0"/>
        <v>20</v>
      </c>
      <c r="P7" s="11">
        <f t="shared" si="1"/>
        <v>1.113</v>
      </c>
    </row>
    <row r="8" spans="1:19" ht="13.15" thickBot="1" x14ac:dyDescent="0.4">
      <c r="I8" s="4">
        <v>35</v>
      </c>
      <c r="J8" s="4" t="s">
        <v>127</v>
      </c>
      <c r="K8" s="4" t="s">
        <v>128</v>
      </c>
      <c r="L8" s="4" t="s">
        <v>131</v>
      </c>
      <c r="M8" s="4" t="s">
        <v>131</v>
      </c>
      <c r="N8" s="5">
        <v>38.619999999999997</v>
      </c>
      <c r="O8" s="10">
        <f t="shared" si="0"/>
        <v>23.333333333333336</v>
      </c>
      <c r="P8" s="11">
        <f t="shared" si="1"/>
        <v>0.6551428571428568</v>
      </c>
    </row>
    <row r="9" spans="1:19" ht="13.15" thickBot="1" x14ac:dyDescent="0.4">
      <c r="I9" s="4">
        <v>35</v>
      </c>
      <c r="J9" s="4" t="s">
        <v>127</v>
      </c>
      <c r="K9" s="4" t="s">
        <v>128</v>
      </c>
      <c r="L9" s="4" t="s">
        <v>132</v>
      </c>
      <c r="M9" s="4" t="s">
        <v>133</v>
      </c>
      <c r="N9" s="5">
        <v>31.35</v>
      </c>
      <c r="O9" s="10">
        <f t="shared" si="0"/>
        <v>23.333333333333336</v>
      </c>
      <c r="P9" s="11">
        <f t="shared" si="1"/>
        <v>0.34357142857142842</v>
      </c>
    </row>
    <row r="10" spans="1:19" ht="13.15" thickBot="1" x14ac:dyDescent="0.4">
      <c r="I10" s="4">
        <v>35</v>
      </c>
      <c r="J10" s="4" t="s">
        <v>127</v>
      </c>
      <c r="K10" s="4" t="s">
        <v>128</v>
      </c>
      <c r="L10" s="4" t="s">
        <v>132</v>
      </c>
      <c r="M10" s="4" t="s">
        <v>133</v>
      </c>
      <c r="N10" s="5">
        <v>30.59</v>
      </c>
      <c r="O10" s="10">
        <f t="shared" si="0"/>
        <v>23.333333333333336</v>
      </c>
      <c r="P10" s="11">
        <f t="shared" si="1"/>
        <v>0.31099999999999994</v>
      </c>
    </row>
    <row r="11" spans="1:19" ht="13.15" thickBot="1" x14ac:dyDescent="0.4">
      <c r="I11" s="4">
        <v>35</v>
      </c>
      <c r="J11" s="4" t="s">
        <v>127</v>
      </c>
      <c r="K11" s="4" t="s">
        <v>128</v>
      </c>
      <c r="L11" s="4" t="s">
        <v>134</v>
      </c>
      <c r="M11" s="4" t="s">
        <v>135</v>
      </c>
      <c r="N11" s="5">
        <v>30</v>
      </c>
      <c r="O11" s="10">
        <f t="shared" si="0"/>
        <v>23.333333333333336</v>
      </c>
      <c r="P11" s="11">
        <f t="shared" si="1"/>
        <v>0.28571428571428559</v>
      </c>
    </row>
    <row r="12" spans="1:19" ht="13.15" thickBot="1" x14ac:dyDescent="0.4">
      <c r="I12" s="4">
        <v>35</v>
      </c>
      <c r="J12" s="4" t="s">
        <v>127</v>
      </c>
      <c r="K12" s="4" t="s">
        <v>128</v>
      </c>
      <c r="L12" s="4" t="s">
        <v>134</v>
      </c>
      <c r="M12" s="4" t="s">
        <v>135</v>
      </c>
      <c r="N12" s="5">
        <v>42.26</v>
      </c>
      <c r="O12" s="10">
        <f t="shared" si="0"/>
        <v>23.333333333333336</v>
      </c>
      <c r="P12" s="11">
        <f t="shared" si="1"/>
        <v>0.81114285714285694</v>
      </c>
    </row>
    <row r="13" spans="1:19" ht="13.15" thickBot="1" x14ac:dyDescent="0.4">
      <c r="I13" s="4">
        <v>40</v>
      </c>
      <c r="J13" s="4" t="s">
        <v>127</v>
      </c>
      <c r="K13" s="4" t="s">
        <v>128</v>
      </c>
      <c r="L13" s="4" t="s">
        <v>129</v>
      </c>
      <c r="M13" s="4" t="s">
        <v>130</v>
      </c>
      <c r="N13" s="5">
        <v>32.67</v>
      </c>
      <c r="O13" s="10">
        <f t="shared" si="0"/>
        <v>26.666666666666664</v>
      </c>
      <c r="P13" s="11">
        <f t="shared" si="1"/>
        <v>0.22512500000000024</v>
      </c>
    </row>
    <row r="14" spans="1:19" ht="13.15" thickBot="1" x14ac:dyDescent="0.4">
      <c r="I14" s="4">
        <v>40</v>
      </c>
      <c r="J14" s="4" t="s">
        <v>127</v>
      </c>
      <c r="K14" s="4" t="s">
        <v>128</v>
      </c>
      <c r="L14" s="4" t="s">
        <v>131</v>
      </c>
      <c r="M14" s="4" t="s">
        <v>131</v>
      </c>
      <c r="N14" s="5">
        <v>41.17</v>
      </c>
      <c r="O14" s="10">
        <f t="shared" si="0"/>
        <v>26.666666666666664</v>
      </c>
      <c r="P14" s="11">
        <f t="shared" si="1"/>
        <v>0.54387500000000011</v>
      </c>
    </row>
    <row r="15" spans="1:19" ht="13.5" thickBot="1" x14ac:dyDescent="0.45">
      <c r="I15" s="4">
        <v>40</v>
      </c>
      <c r="J15" s="4" t="s">
        <v>127</v>
      </c>
      <c r="K15" s="4" t="s">
        <v>128</v>
      </c>
      <c r="L15" s="4" t="s">
        <v>132</v>
      </c>
      <c r="M15" s="4" t="s">
        <v>133</v>
      </c>
      <c r="N15" s="5">
        <v>34.47</v>
      </c>
      <c r="O15" s="10">
        <f t="shared" si="0"/>
        <v>26.666666666666664</v>
      </c>
      <c r="P15" s="11">
        <f t="shared" si="1"/>
        <v>0.29262500000000014</v>
      </c>
      <c r="S15" s="8" t="s">
        <v>136</v>
      </c>
    </row>
    <row r="16" spans="1:19" ht="13.15" thickBot="1" x14ac:dyDescent="0.4">
      <c r="I16" s="4">
        <v>40</v>
      </c>
      <c r="J16" s="4" t="s">
        <v>127</v>
      </c>
      <c r="K16" s="4" t="s">
        <v>128</v>
      </c>
      <c r="L16" s="4" t="s">
        <v>132</v>
      </c>
      <c r="M16" s="4" t="s">
        <v>133</v>
      </c>
      <c r="N16" s="5">
        <v>33.69</v>
      </c>
      <c r="O16" s="10">
        <f t="shared" si="0"/>
        <v>26.666666666666664</v>
      </c>
      <c r="P16" s="11">
        <f t="shared" si="1"/>
        <v>0.26337500000000014</v>
      </c>
    </row>
    <row r="17" spans="9:24" ht="13.5" thickBot="1" x14ac:dyDescent="0.45">
      <c r="I17" s="4">
        <v>45</v>
      </c>
      <c r="J17" s="4" t="s">
        <v>127</v>
      </c>
      <c r="K17" s="4" t="s">
        <v>128</v>
      </c>
      <c r="L17" s="4" t="s">
        <v>129</v>
      </c>
      <c r="M17" s="4" t="s">
        <v>130</v>
      </c>
      <c r="N17" s="5">
        <v>40.69</v>
      </c>
      <c r="O17" s="10">
        <f t="shared" si="0"/>
        <v>30</v>
      </c>
      <c r="P17" s="11">
        <f t="shared" si="1"/>
        <v>0.35633333333333317</v>
      </c>
      <c r="S17" s="8" t="s">
        <v>137</v>
      </c>
    </row>
    <row r="18" spans="9:24" ht="13.15" thickBot="1" x14ac:dyDescent="0.4">
      <c r="I18" s="4">
        <v>45</v>
      </c>
      <c r="J18" s="4" t="s">
        <v>127</v>
      </c>
      <c r="K18" s="4" t="s">
        <v>128</v>
      </c>
      <c r="L18" s="4" t="s">
        <v>131</v>
      </c>
      <c r="M18" s="4" t="s">
        <v>131</v>
      </c>
      <c r="N18" s="5">
        <v>43.01</v>
      </c>
      <c r="O18" s="10">
        <f t="shared" si="0"/>
        <v>30</v>
      </c>
      <c r="P18" s="11">
        <f t="shared" si="1"/>
        <v>0.43366666666666664</v>
      </c>
    </row>
    <row r="19" spans="9:24" ht="13.5" thickBot="1" x14ac:dyDescent="0.45">
      <c r="I19" s="4">
        <v>45</v>
      </c>
      <c r="J19" s="4" t="s">
        <v>127</v>
      </c>
      <c r="K19" s="4" t="s">
        <v>128</v>
      </c>
      <c r="L19" s="4" t="s">
        <v>131</v>
      </c>
      <c r="M19" s="4" t="s">
        <v>131</v>
      </c>
      <c r="N19" s="5">
        <v>53.99</v>
      </c>
      <c r="O19" s="10">
        <f t="shared" si="0"/>
        <v>30</v>
      </c>
      <c r="P19" s="11">
        <f t="shared" si="1"/>
        <v>0.79966666666666675</v>
      </c>
      <c r="S19" s="8" t="s">
        <v>138</v>
      </c>
    </row>
    <row r="20" spans="9:24" ht="13.15" thickBot="1" x14ac:dyDescent="0.4">
      <c r="I20" s="4">
        <v>45</v>
      </c>
      <c r="J20" s="4" t="s">
        <v>127</v>
      </c>
      <c r="K20" s="4" t="s">
        <v>128</v>
      </c>
      <c r="L20" s="4" t="s">
        <v>139</v>
      </c>
      <c r="M20" s="4" t="s">
        <v>139</v>
      </c>
      <c r="N20" s="5">
        <v>50.47</v>
      </c>
      <c r="O20" s="10">
        <f t="shared" si="0"/>
        <v>30</v>
      </c>
      <c r="P20" s="11">
        <f t="shared" si="1"/>
        <v>0.68233333333333324</v>
      </c>
    </row>
    <row r="21" spans="9:24" ht="13.15" thickBot="1" x14ac:dyDescent="0.4">
      <c r="I21" s="4">
        <v>45</v>
      </c>
      <c r="J21" s="4" t="s">
        <v>127</v>
      </c>
      <c r="K21" s="4" t="s">
        <v>128</v>
      </c>
      <c r="L21" s="4" t="s">
        <v>132</v>
      </c>
      <c r="M21" s="4" t="s">
        <v>133</v>
      </c>
      <c r="N21" s="5">
        <v>46.93</v>
      </c>
      <c r="O21" s="10">
        <f t="shared" si="0"/>
        <v>30</v>
      </c>
      <c r="P21" s="11">
        <f t="shared" si="1"/>
        <v>0.56433333333333335</v>
      </c>
      <c r="S21" t="s">
        <v>140</v>
      </c>
      <c r="T21">
        <v>225</v>
      </c>
      <c r="V21">
        <v>30</v>
      </c>
      <c r="W21" t="s">
        <v>141</v>
      </c>
      <c r="X21" t="s">
        <v>142</v>
      </c>
    </row>
    <row r="22" spans="9:24" x14ac:dyDescent="0.35">
      <c r="I22" s="4">
        <v>45</v>
      </c>
      <c r="J22" s="4" t="s">
        <v>127</v>
      </c>
      <c r="K22" s="4" t="s">
        <v>128</v>
      </c>
      <c r="L22" s="4" t="s">
        <v>132</v>
      </c>
      <c r="M22" s="4" t="s">
        <v>133</v>
      </c>
      <c r="N22" s="5">
        <v>55.85</v>
      </c>
      <c r="O22" s="10">
        <f t="shared" si="0"/>
        <v>30</v>
      </c>
      <c r="P22" s="11">
        <f t="shared" si="1"/>
        <v>0.8616666666666668</v>
      </c>
    </row>
    <row r="23" spans="9:24" x14ac:dyDescent="0.35">
      <c r="I23" s="6">
        <v>40</v>
      </c>
      <c r="L23" s="6" t="s">
        <v>140</v>
      </c>
      <c r="N23" s="7">
        <v>65.989999999999995</v>
      </c>
      <c r="O23" s="10">
        <f t="shared" si="0"/>
        <v>26.666666666666664</v>
      </c>
      <c r="P23" s="11">
        <f t="shared" si="1"/>
        <v>1.4746250000000001</v>
      </c>
    </row>
    <row r="24" spans="9:24" x14ac:dyDescent="0.35">
      <c r="I24" s="6">
        <v>45</v>
      </c>
      <c r="N24" s="7">
        <v>54.99</v>
      </c>
      <c r="O24" s="10">
        <f t="shared" si="0"/>
        <v>30</v>
      </c>
      <c r="P24" s="11">
        <f t="shared" si="1"/>
        <v>0.83299999999999996</v>
      </c>
      <c r="S24" t="s">
        <v>139</v>
      </c>
      <c r="T24">
        <v>130</v>
      </c>
      <c r="U24" t="s">
        <v>143</v>
      </c>
      <c r="V24">
        <v>20</v>
      </c>
      <c r="W24" t="s">
        <v>141</v>
      </c>
    </row>
    <row r="25" spans="9:24" x14ac:dyDescent="0.35">
      <c r="I25" s="6">
        <v>35</v>
      </c>
      <c r="N25" s="7">
        <v>35</v>
      </c>
      <c r="O25" s="10">
        <f t="shared" si="0"/>
        <v>23.333333333333336</v>
      </c>
      <c r="P25" s="11">
        <f t="shared" si="1"/>
        <v>0.49999999999999978</v>
      </c>
    </row>
    <row r="26" spans="9:24" x14ac:dyDescent="0.35">
      <c r="I26" s="6">
        <v>45</v>
      </c>
      <c r="N26" s="7">
        <v>60</v>
      </c>
      <c r="O26" s="10">
        <f t="shared" si="0"/>
        <v>30</v>
      </c>
      <c r="P26" s="11">
        <f t="shared" si="1"/>
        <v>1</v>
      </c>
      <c r="S26" t="s">
        <v>144</v>
      </c>
    </row>
    <row r="27" spans="9:24" x14ac:dyDescent="0.35">
      <c r="I27" s="6">
        <v>50</v>
      </c>
      <c r="N27" s="7">
        <v>50</v>
      </c>
      <c r="O27" s="10">
        <f t="shared" si="0"/>
        <v>33.333333333333336</v>
      </c>
      <c r="P27" s="11">
        <f t="shared" si="1"/>
        <v>0.5</v>
      </c>
      <c r="S27" t="s">
        <v>129</v>
      </c>
      <c r="T27">
        <v>90</v>
      </c>
    </row>
    <row r="28" spans="9:24" x14ac:dyDescent="0.35">
      <c r="I28" s="6">
        <v>45</v>
      </c>
      <c r="N28" s="7">
        <v>60</v>
      </c>
      <c r="O28" s="10">
        <f t="shared" si="0"/>
        <v>30</v>
      </c>
      <c r="P28" s="11">
        <f t="shared" si="1"/>
        <v>1</v>
      </c>
    </row>
    <row r="29" spans="9:24" x14ac:dyDescent="0.35">
      <c r="I29" s="6">
        <v>45</v>
      </c>
      <c r="N29" s="7">
        <v>54</v>
      </c>
      <c r="O29" s="10">
        <f t="shared" si="0"/>
        <v>30</v>
      </c>
      <c r="P29" s="11">
        <f t="shared" si="1"/>
        <v>0.8</v>
      </c>
      <c r="S29" t="s">
        <v>145</v>
      </c>
    </row>
    <row r="30" spans="9:24" x14ac:dyDescent="0.35">
      <c r="I30" s="6">
        <v>40</v>
      </c>
      <c r="N30" s="7">
        <v>60</v>
      </c>
      <c r="O30" s="10">
        <f t="shared" si="0"/>
        <v>26.666666666666664</v>
      </c>
      <c r="P30" s="11">
        <f>N30/O30-1</f>
        <v>1.25</v>
      </c>
    </row>
    <row r="31" spans="9:24" x14ac:dyDescent="0.35">
      <c r="I31" s="6">
        <v>50</v>
      </c>
      <c r="N31" s="7">
        <v>70</v>
      </c>
      <c r="O31" s="10">
        <f t="shared" si="0"/>
        <v>33.333333333333336</v>
      </c>
      <c r="P31" s="11">
        <f t="shared" si="1"/>
        <v>1.0999999999999996</v>
      </c>
    </row>
    <row r="32" spans="9:24" x14ac:dyDescent="0.35">
      <c r="I32" s="6">
        <v>45</v>
      </c>
      <c r="N32" s="7">
        <v>38</v>
      </c>
      <c r="O32" s="10">
        <f t="shared" si="0"/>
        <v>30</v>
      </c>
      <c r="P32" s="11">
        <f t="shared" si="1"/>
        <v>0.26666666666666661</v>
      </c>
    </row>
    <row r="33" spans="9:16" x14ac:dyDescent="0.35">
      <c r="I33" s="6">
        <v>50</v>
      </c>
      <c r="N33" s="7">
        <v>51</v>
      </c>
      <c r="O33" s="10">
        <f t="shared" si="0"/>
        <v>33.333333333333336</v>
      </c>
      <c r="P33" s="11">
        <f t="shared" si="1"/>
        <v>0.5299999999999998</v>
      </c>
    </row>
    <row r="34" spans="9:16" x14ac:dyDescent="0.35">
      <c r="I34" s="6">
        <v>50</v>
      </c>
      <c r="N34" s="7">
        <v>56.7</v>
      </c>
      <c r="O34" s="10">
        <f t="shared" si="0"/>
        <v>33.333333333333336</v>
      </c>
      <c r="P34" s="11">
        <f t="shared" si="1"/>
        <v>0.70100000000000007</v>
      </c>
    </row>
    <row r="35" spans="9:16" x14ac:dyDescent="0.35">
      <c r="I35" s="6">
        <v>50</v>
      </c>
      <c r="N35" s="7">
        <v>85</v>
      </c>
      <c r="O35" s="10">
        <f t="shared" si="0"/>
        <v>33.333333333333336</v>
      </c>
      <c r="P35" s="11">
        <f t="shared" si="1"/>
        <v>1.5499999999999998</v>
      </c>
    </row>
    <row r="36" spans="9:16" x14ac:dyDescent="0.35">
      <c r="I36" s="6">
        <v>50</v>
      </c>
      <c r="N36" s="7">
        <v>60</v>
      </c>
      <c r="O36" s="10">
        <f t="shared" si="0"/>
        <v>33.333333333333336</v>
      </c>
      <c r="P36" s="11">
        <f t="shared" si="1"/>
        <v>0.79999999999999982</v>
      </c>
    </row>
    <row r="37" spans="9:16" x14ac:dyDescent="0.35">
      <c r="I37" s="6">
        <v>50</v>
      </c>
      <c r="N37" s="7">
        <v>64</v>
      </c>
      <c r="O37" s="10">
        <f t="shared" si="0"/>
        <v>33.333333333333336</v>
      </c>
      <c r="P37" s="11">
        <f t="shared" si="1"/>
        <v>0.91999999999999993</v>
      </c>
    </row>
    <row r="38" spans="9:16" x14ac:dyDescent="0.35">
      <c r="P38" s="11"/>
    </row>
    <row r="39" spans="9:16" x14ac:dyDescent="0.35">
      <c r="P39" s="11"/>
    </row>
    <row r="40" spans="9:16" x14ac:dyDescent="0.35">
      <c r="P40" s="11"/>
    </row>
    <row r="41" spans="9:16" x14ac:dyDescent="0.35">
      <c r="P41" s="11"/>
    </row>
    <row r="45" spans="9:16" x14ac:dyDescent="0.35">
      <c r="O45"/>
    </row>
    <row r="46" spans="9:16" x14ac:dyDescent="0.35">
      <c r="O46"/>
    </row>
  </sheetData>
  <pageMargins left="0.7" right="0.7" top="0.75" bottom="0.75" header="0.3" footer="0.3"/>
  <pageSetup paperSize="256" orientation="portrait" horizontalDpi="203" verticalDpi="20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1116-BEE9-834A-8EE9-D7FE57E68E2D}">
  <dimension ref="A1:Q31"/>
  <sheetViews>
    <sheetView tabSelected="1" workbookViewId="0">
      <selection activeCell="E2" sqref="E2"/>
    </sheetView>
  </sheetViews>
  <sheetFormatPr defaultColWidth="8.73046875" defaultRowHeight="12.75" x14ac:dyDescent="0.35"/>
  <cols>
    <col min="9" max="9" width="21" bestFit="1" customWidth="1"/>
    <col min="10" max="10" width="5.86328125" bestFit="1" customWidth="1"/>
    <col min="11" max="11" width="6.73046875" bestFit="1" customWidth="1"/>
    <col min="12" max="12" width="15.265625" bestFit="1" customWidth="1"/>
    <col min="13" max="13" width="8.265625" bestFit="1" customWidth="1"/>
    <col min="14" max="14" width="8.59765625" bestFit="1" customWidth="1"/>
    <col min="15" max="15" width="7.73046875" bestFit="1" customWidth="1"/>
  </cols>
  <sheetData>
    <row r="1" spans="1:17" ht="13.5" thickBot="1" x14ac:dyDescent="0.4">
      <c r="A1" t="s">
        <v>146</v>
      </c>
      <c r="B1">
        <v>0.39</v>
      </c>
      <c r="C1" t="s">
        <v>185</v>
      </c>
      <c r="D1" t="s">
        <v>121</v>
      </c>
      <c r="E1" s="10">
        <f>-0.0064*(B1/10)^3+0.7895*(B1/10)^2-30.989*(B1/10)+410.5</f>
        <v>409.2926294498584</v>
      </c>
      <c r="I1" s="16" t="s">
        <v>122</v>
      </c>
      <c r="J1" s="16" t="s">
        <v>124</v>
      </c>
      <c r="K1" s="16" t="s">
        <v>123</v>
      </c>
      <c r="L1" s="16" t="s">
        <v>147</v>
      </c>
      <c r="M1" s="16" t="s">
        <v>148</v>
      </c>
      <c r="N1" s="16" t="s">
        <v>126</v>
      </c>
      <c r="O1" s="16" t="s">
        <v>57</v>
      </c>
    </row>
    <row r="2" spans="1:17" ht="13.5" thickBot="1" x14ac:dyDescent="0.4">
      <c r="D2" t="s">
        <v>52</v>
      </c>
      <c r="E2">
        <f>(B1/10)*0.1</f>
        <v>3.9000000000000003E-3</v>
      </c>
      <c r="F2" t="s">
        <v>153</v>
      </c>
      <c r="I2" s="17"/>
      <c r="J2" s="17"/>
      <c r="K2" s="17"/>
      <c r="L2" s="17"/>
      <c r="M2" s="17"/>
      <c r="N2" s="17"/>
      <c r="O2" s="18"/>
      <c r="P2" s="10"/>
      <c r="Q2" s="11"/>
    </row>
    <row r="3" spans="1:17" ht="13.5" thickBot="1" x14ac:dyDescent="0.4">
      <c r="I3" s="17">
        <v>50</v>
      </c>
      <c r="J3" s="22" t="s">
        <v>128</v>
      </c>
      <c r="K3" s="22" t="s">
        <v>127</v>
      </c>
      <c r="L3" s="23">
        <v>68</v>
      </c>
      <c r="M3" s="22" t="s">
        <v>149</v>
      </c>
      <c r="N3" s="22" t="s">
        <v>130</v>
      </c>
      <c r="O3" s="18">
        <v>45.28</v>
      </c>
      <c r="P3" s="10">
        <f t="shared" ref="P3:P31" si="0">I3/30*10</f>
        <v>16.666666666666668</v>
      </c>
      <c r="Q3" s="11">
        <f t="shared" ref="Q3:Q31" si="1">O3/P3-1</f>
        <v>1.7167999999999997</v>
      </c>
    </row>
    <row r="4" spans="1:17" ht="13.5" thickBot="1" x14ac:dyDescent="0.4">
      <c r="I4" s="17">
        <v>45</v>
      </c>
      <c r="J4" s="17" t="s">
        <v>128</v>
      </c>
      <c r="K4" s="17" t="s">
        <v>127</v>
      </c>
      <c r="L4" s="17">
        <v>64</v>
      </c>
      <c r="M4" s="17" t="s">
        <v>150</v>
      </c>
      <c r="N4" s="17" t="s">
        <v>131</v>
      </c>
      <c r="O4" s="18">
        <v>41.85</v>
      </c>
      <c r="P4" s="10">
        <f t="shared" si="0"/>
        <v>15</v>
      </c>
      <c r="Q4" s="11">
        <f t="shared" si="1"/>
        <v>1.79</v>
      </c>
    </row>
    <row r="5" spans="1:17" ht="13.5" thickBot="1" x14ac:dyDescent="0.4">
      <c r="I5" s="17">
        <v>45</v>
      </c>
      <c r="J5" s="17" t="s">
        <v>128</v>
      </c>
      <c r="K5" s="17" t="s">
        <v>127</v>
      </c>
      <c r="L5" s="17">
        <v>62</v>
      </c>
      <c r="M5" s="17" t="s">
        <v>149</v>
      </c>
      <c r="N5" s="17" t="s">
        <v>139</v>
      </c>
      <c r="O5" s="18">
        <v>39.700000000000003</v>
      </c>
      <c r="P5" s="10">
        <f t="shared" si="0"/>
        <v>15</v>
      </c>
      <c r="Q5" s="11">
        <f t="shared" si="1"/>
        <v>1.6466666666666669</v>
      </c>
    </row>
    <row r="6" spans="1:17" ht="13.5" thickBot="1" x14ac:dyDescent="0.4">
      <c r="I6" s="17">
        <v>50</v>
      </c>
      <c r="J6" s="23" t="s">
        <v>128</v>
      </c>
      <c r="K6" s="23" t="s">
        <v>127</v>
      </c>
      <c r="L6" s="23">
        <v>72</v>
      </c>
      <c r="M6" s="23" t="s">
        <v>150</v>
      </c>
      <c r="N6" s="23" t="s">
        <v>133</v>
      </c>
      <c r="O6" s="18">
        <v>33.229999999999997</v>
      </c>
      <c r="P6" s="10">
        <f t="shared" si="0"/>
        <v>16.666666666666668</v>
      </c>
      <c r="Q6" s="11">
        <f t="shared" si="1"/>
        <v>0.99379999999999957</v>
      </c>
    </row>
    <row r="7" spans="1:17" ht="13.5" thickBot="1" x14ac:dyDescent="0.4">
      <c r="I7" s="17">
        <v>45</v>
      </c>
      <c r="J7" s="17" t="s">
        <v>128</v>
      </c>
      <c r="K7" s="17" t="s">
        <v>127</v>
      </c>
      <c r="L7" s="17">
        <v>62</v>
      </c>
      <c r="M7" s="17" t="s">
        <v>149</v>
      </c>
      <c r="N7" s="17" t="s">
        <v>130</v>
      </c>
      <c r="O7" s="18">
        <v>31.39</v>
      </c>
      <c r="P7" s="10">
        <f t="shared" si="0"/>
        <v>15</v>
      </c>
      <c r="Q7" s="11">
        <f t="shared" si="1"/>
        <v>1.0926666666666667</v>
      </c>
    </row>
    <row r="8" spans="1:17" ht="13.5" thickBot="1" x14ac:dyDescent="0.4">
      <c r="I8" s="17">
        <v>50</v>
      </c>
      <c r="J8" s="23" t="s">
        <v>128</v>
      </c>
      <c r="K8" s="23" t="s">
        <v>127</v>
      </c>
      <c r="L8" s="23">
        <v>70</v>
      </c>
      <c r="M8" s="23" t="s">
        <v>150</v>
      </c>
      <c r="N8" s="23" t="s">
        <v>131</v>
      </c>
      <c r="O8" s="18">
        <v>30.84</v>
      </c>
      <c r="P8" s="10">
        <f t="shared" si="0"/>
        <v>16.666666666666668</v>
      </c>
      <c r="Q8" s="11">
        <f t="shared" si="1"/>
        <v>0.85039999999999982</v>
      </c>
    </row>
    <row r="9" spans="1:17" ht="13.5" thickBot="1" x14ac:dyDescent="0.4">
      <c r="I9" s="17">
        <v>50</v>
      </c>
      <c r="J9" s="24" t="s">
        <v>128</v>
      </c>
      <c r="K9" s="24" t="s">
        <v>127</v>
      </c>
      <c r="L9" s="24">
        <v>72</v>
      </c>
      <c r="M9" s="24" t="s">
        <v>150</v>
      </c>
      <c r="N9" s="24" t="s">
        <v>151</v>
      </c>
      <c r="O9" s="21">
        <v>28.99</v>
      </c>
      <c r="P9" s="10">
        <f t="shared" si="0"/>
        <v>16.666666666666668</v>
      </c>
      <c r="Q9" s="11">
        <f t="shared" si="1"/>
        <v>0.73939999999999984</v>
      </c>
    </row>
    <row r="10" spans="1:17" ht="13.5" thickBot="1" x14ac:dyDescent="0.4">
      <c r="I10" s="17">
        <v>40</v>
      </c>
      <c r="J10" s="17" t="s">
        <v>128</v>
      </c>
      <c r="K10" s="17" t="s">
        <v>127</v>
      </c>
      <c r="L10" s="17">
        <v>56</v>
      </c>
      <c r="M10" s="17" t="s">
        <v>149</v>
      </c>
      <c r="N10" s="17" t="s">
        <v>133</v>
      </c>
      <c r="O10" s="18">
        <v>27.51</v>
      </c>
      <c r="P10" s="10">
        <f t="shared" si="0"/>
        <v>13.333333333333332</v>
      </c>
      <c r="Q10" s="11">
        <f t="shared" si="1"/>
        <v>1.0632500000000005</v>
      </c>
    </row>
    <row r="11" spans="1:17" ht="13.5" thickBot="1" x14ac:dyDescent="0.4">
      <c r="I11" s="17">
        <v>50</v>
      </c>
      <c r="J11" s="23" t="s">
        <v>128</v>
      </c>
      <c r="K11" s="23" t="s">
        <v>127</v>
      </c>
      <c r="L11" s="23">
        <v>70</v>
      </c>
      <c r="M11" s="23" t="s">
        <v>150</v>
      </c>
      <c r="N11" s="23" t="s">
        <v>152</v>
      </c>
      <c r="O11" s="18">
        <v>26.65</v>
      </c>
      <c r="P11" s="10">
        <f t="shared" si="0"/>
        <v>16.666666666666668</v>
      </c>
      <c r="Q11" s="11">
        <f t="shared" si="1"/>
        <v>0.59899999999999975</v>
      </c>
    </row>
    <row r="12" spans="1:17" ht="13.5" thickBot="1" x14ac:dyDescent="0.4">
      <c r="I12" s="17">
        <v>35</v>
      </c>
      <c r="J12" s="17" t="s">
        <v>128</v>
      </c>
      <c r="K12" s="17" t="s">
        <v>127</v>
      </c>
      <c r="L12" s="17">
        <v>52</v>
      </c>
      <c r="M12" s="17" t="s">
        <v>149</v>
      </c>
      <c r="N12" s="17" t="s">
        <v>133</v>
      </c>
      <c r="O12" s="18">
        <v>25.66</v>
      </c>
      <c r="P12" s="10">
        <f t="shared" si="0"/>
        <v>11.666666666666668</v>
      </c>
      <c r="Q12" s="11">
        <f t="shared" si="1"/>
        <v>1.1994285714285713</v>
      </c>
    </row>
    <row r="13" spans="1:17" ht="13.5" thickBot="1" x14ac:dyDescent="0.4">
      <c r="I13" s="17">
        <v>45</v>
      </c>
      <c r="J13" s="20" t="s">
        <v>128</v>
      </c>
      <c r="K13" s="20" t="s">
        <v>127</v>
      </c>
      <c r="L13" s="20">
        <v>62</v>
      </c>
      <c r="M13" s="20" t="s">
        <v>149</v>
      </c>
      <c r="N13" s="20" t="s">
        <v>131</v>
      </c>
      <c r="O13" s="21">
        <v>25.29</v>
      </c>
      <c r="P13" s="10">
        <f t="shared" si="0"/>
        <v>15</v>
      </c>
      <c r="Q13" s="11">
        <f t="shared" si="1"/>
        <v>0.68599999999999994</v>
      </c>
    </row>
    <row r="14" spans="1:17" ht="13.5" thickBot="1" x14ac:dyDescent="0.4">
      <c r="I14" s="17">
        <v>40</v>
      </c>
      <c r="J14" s="17" t="s">
        <v>128</v>
      </c>
      <c r="K14" s="17" t="s">
        <v>127</v>
      </c>
      <c r="L14" s="17">
        <v>57</v>
      </c>
      <c r="M14" s="17" t="s">
        <v>149</v>
      </c>
      <c r="N14" s="17" t="s">
        <v>131</v>
      </c>
      <c r="O14" s="18">
        <v>24.26</v>
      </c>
      <c r="P14" s="10">
        <f t="shared" si="0"/>
        <v>13.333333333333332</v>
      </c>
      <c r="Q14" s="11">
        <f t="shared" si="1"/>
        <v>0.81950000000000034</v>
      </c>
    </row>
    <row r="15" spans="1:17" ht="13.5" thickBot="1" x14ac:dyDescent="0.4">
      <c r="I15" s="17">
        <v>50</v>
      </c>
      <c r="J15" s="23" t="s">
        <v>128</v>
      </c>
      <c r="K15" s="23" t="s">
        <v>127</v>
      </c>
      <c r="L15" s="23">
        <v>70</v>
      </c>
      <c r="M15" s="23" t="s">
        <v>150</v>
      </c>
      <c r="N15" s="23" t="s">
        <v>152</v>
      </c>
      <c r="O15" s="18">
        <v>24.2</v>
      </c>
      <c r="P15" s="10">
        <f t="shared" si="0"/>
        <v>16.666666666666668</v>
      </c>
      <c r="Q15" s="11">
        <f t="shared" si="1"/>
        <v>0.45199999999999996</v>
      </c>
    </row>
    <row r="16" spans="1:17" ht="13.5" thickBot="1" x14ac:dyDescent="0.4">
      <c r="I16" s="17">
        <v>50</v>
      </c>
      <c r="J16" s="23" t="s">
        <v>128</v>
      </c>
      <c r="K16" s="23" t="s">
        <v>127</v>
      </c>
      <c r="L16" s="23">
        <v>70</v>
      </c>
      <c r="M16" s="23" t="s">
        <v>150</v>
      </c>
      <c r="N16" s="23" t="s">
        <v>151</v>
      </c>
      <c r="O16" s="18">
        <v>23.52</v>
      </c>
      <c r="P16" s="10">
        <f t="shared" si="0"/>
        <v>16.666666666666668</v>
      </c>
      <c r="Q16" s="11">
        <f t="shared" si="1"/>
        <v>0.41119999999999979</v>
      </c>
    </row>
    <row r="17" spans="9:17" ht="13.5" thickBot="1" x14ac:dyDescent="0.4">
      <c r="I17" s="17">
        <v>40</v>
      </c>
      <c r="J17" s="17" t="s">
        <v>128</v>
      </c>
      <c r="K17" s="17" t="s">
        <v>127</v>
      </c>
      <c r="L17" s="17">
        <v>60</v>
      </c>
      <c r="M17" s="17" t="s">
        <v>150</v>
      </c>
      <c r="N17" s="17" t="s">
        <v>151</v>
      </c>
      <c r="O17" s="18">
        <v>21.3</v>
      </c>
      <c r="P17" s="10">
        <f t="shared" si="0"/>
        <v>13.333333333333332</v>
      </c>
      <c r="Q17" s="11">
        <f t="shared" si="1"/>
        <v>0.59750000000000014</v>
      </c>
    </row>
    <row r="18" spans="9:17" ht="13.5" thickBot="1" x14ac:dyDescent="0.4">
      <c r="I18" s="17">
        <v>35</v>
      </c>
      <c r="J18" s="17" t="s">
        <v>128</v>
      </c>
      <c r="K18" s="17" t="s">
        <v>127</v>
      </c>
      <c r="L18" s="17">
        <v>52</v>
      </c>
      <c r="M18" s="17" t="s">
        <v>149</v>
      </c>
      <c r="N18" s="17" t="s">
        <v>131</v>
      </c>
      <c r="O18" s="18">
        <v>20.5</v>
      </c>
      <c r="P18" s="10">
        <f t="shared" si="0"/>
        <v>11.666666666666668</v>
      </c>
      <c r="Q18" s="11">
        <f t="shared" si="1"/>
        <v>0.7571428571428569</v>
      </c>
    </row>
    <row r="19" spans="9:17" ht="13.5" thickBot="1" x14ac:dyDescent="0.4">
      <c r="I19" s="17">
        <v>45</v>
      </c>
      <c r="J19" s="17" t="s">
        <v>128</v>
      </c>
      <c r="K19" s="17" t="s">
        <v>127</v>
      </c>
      <c r="L19" s="17">
        <v>62</v>
      </c>
      <c r="M19" s="17" t="s">
        <v>149</v>
      </c>
      <c r="N19" s="17" t="s">
        <v>151</v>
      </c>
      <c r="O19" s="18">
        <v>20.420000000000002</v>
      </c>
      <c r="P19" s="10">
        <f t="shared" si="0"/>
        <v>15</v>
      </c>
      <c r="Q19" s="11">
        <f t="shared" si="1"/>
        <v>0.36133333333333351</v>
      </c>
    </row>
    <row r="20" spans="9:17" ht="13.5" thickBot="1" x14ac:dyDescent="0.4">
      <c r="I20" s="17">
        <v>30</v>
      </c>
      <c r="J20" s="17" t="s">
        <v>128</v>
      </c>
      <c r="K20" s="17" t="s">
        <v>127</v>
      </c>
      <c r="L20" s="17">
        <v>45</v>
      </c>
      <c r="M20" s="17" t="s">
        <v>149</v>
      </c>
      <c r="N20" s="17" t="s">
        <v>131</v>
      </c>
      <c r="O20" s="18">
        <v>20.27</v>
      </c>
      <c r="P20" s="10">
        <f t="shared" si="0"/>
        <v>10</v>
      </c>
      <c r="Q20" s="11">
        <f t="shared" si="1"/>
        <v>1.0270000000000001</v>
      </c>
    </row>
    <row r="21" spans="9:17" ht="13.5" thickBot="1" x14ac:dyDescent="0.4">
      <c r="I21" s="17">
        <v>30</v>
      </c>
      <c r="J21" s="17" t="s">
        <v>128</v>
      </c>
      <c r="K21" s="17" t="s">
        <v>127</v>
      </c>
      <c r="L21" s="17">
        <v>44</v>
      </c>
      <c r="M21" s="17" t="s">
        <v>149</v>
      </c>
      <c r="N21" s="17" t="s">
        <v>131</v>
      </c>
      <c r="O21" s="18">
        <v>19.489999999999998</v>
      </c>
      <c r="P21" s="10">
        <f t="shared" si="0"/>
        <v>10</v>
      </c>
      <c r="Q21" s="11">
        <f t="shared" si="1"/>
        <v>0.94899999999999984</v>
      </c>
    </row>
    <row r="22" spans="9:17" ht="13.5" thickBot="1" x14ac:dyDescent="0.4">
      <c r="I22" s="17">
        <v>40</v>
      </c>
      <c r="J22" s="17" t="s">
        <v>128</v>
      </c>
      <c r="K22" s="17" t="s">
        <v>127</v>
      </c>
      <c r="L22" s="17">
        <v>57</v>
      </c>
      <c r="M22" s="17" t="s">
        <v>149</v>
      </c>
      <c r="N22" s="17" t="s">
        <v>151</v>
      </c>
      <c r="O22" s="18">
        <v>19.149999999999999</v>
      </c>
      <c r="P22" s="10">
        <f t="shared" si="0"/>
        <v>13.333333333333332</v>
      </c>
      <c r="Q22" s="11">
        <f t="shared" si="1"/>
        <v>0.43625000000000003</v>
      </c>
    </row>
    <row r="23" spans="9:17" ht="13.5" thickBot="1" x14ac:dyDescent="0.4">
      <c r="I23" s="17">
        <v>45</v>
      </c>
      <c r="J23" s="17" t="s">
        <v>128</v>
      </c>
      <c r="K23" s="17" t="s">
        <v>127</v>
      </c>
      <c r="L23" s="17">
        <v>62</v>
      </c>
      <c r="M23" s="17" t="s">
        <v>149</v>
      </c>
      <c r="N23" s="17" t="s">
        <v>152</v>
      </c>
      <c r="O23" s="18">
        <v>18.46</v>
      </c>
      <c r="P23" s="10">
        <f t="shared" si="0"/>
        <v>15</v>
      </c>
      <c r="Q23" s="11">
        <f t="shared" si="1"/>
        <v>0.2306666666666668</v>
      </c>
    </row>
    <row r="24" spans="9:17" ht="13.5" thickBot="1" x14ac:dyDescent="0.4">
      <c r="I24" s="17">
        <v>40</v>
      </c>
      <c r="J24" s="17" t="s">
        <v>128</v>
      </c>
      <c r="K24" s="17" t="s">
        <v>127</v>
      </c>
      <c r="L24" s="17">
        <v>56</v>
      </c>
      <c r="M24" s="17" t="s">
        <v>149</v>
      </c>
      <c r="N24" s="17" t="s">
        <v>151</v>
      </c>
      <c r="O24" s="18">
        <v>17.940000000000001</v>
      </c>
      <c r="P24" s="10">
        <f t="shared" si="0"/>
        <v>13.333333333333332</v>
      </c>
      <c r="Q24" s="11">
        <f t="shared" si="1"/>
        <v>0.34550000000000014</v>
      </c>
    </row>
    <row r="25" spans="9:17" ht="13.5" thickBot="1" x14ac:dyDescent="0.4">
      <c r="I25" s="17">
        <v>35</v>
      </c>
      <c r="J25" s="17" t="s">
        <v>128</v>
      </c>
      <c r="K25" s="17" t="s">
        <v>127</v>
      </c>
      <c r="L25" s="17">
        <v>52</v>
      </c>
      <c r="M25" s="17" t="s">
        <v>149</v>
      </c>
      <c r="N25" s="17" t="s">
        <v>151</v>
      </c>
      <c r="O25" s="18">
        <v>17.89</v>
      </c>
      <c r="P25" s="10">
        <f t="shared" si="0"/>
        <v>11.666666666666668</v>
      </c>
      <c r="Q25" s="11">
        <f t="shared" si="1"/>
        <v>0.53342857142857136</v>
      </c>
    </row>
    <row r="26" spans="9:17" ht="13.5" thickBot="1" x14ac:dyDescent="0.4">
      <c r="I26" s="17">
        <v>35</v>
      </c>
      <c r="J26" s="17" t="s">
        <v>128</v>
      </c>
      <c r="K26" s="17" t="s">
        <v>127</v>
      </c>
      <c r="L26" s="17">
        <v>50</v>
      </c>
      <c r="M26" s="17" t="s">
        <v>149</v>
      </c>
      <c r="N26" s="17" t="s">
        <v>151</v>
      </c>
      <c r="O26" s="18">
        <v>17.37</v>
      </c>
      <c r="P26" s="10">
        <f t="shared" si="0"/>
        <v>11.666666666666668</v>
      </c>
      <c r="Q26" s="11">
        <f t="shared" si="1"/>
        <v>0.48885714285714288</v>
      </c>
    </row>
    <row r="27" spans="9:17" ht="13.5" thickBot="1" x14ac:dyDescent="0.4">
      <c r="I27" s="17">
        <v>30</v>
      </c>
      <c r="J27" s="17" t="s">
        <v>128</v>
      </c>
      <c r="K27" s="17" t="s">
        <v>127</v>
      </c>
      <c r="L27" s="17">
        <v>45</v>
      </c>
      <c r="M27" s="17" t="s">
        <v>149</v>
      </c>
      <c r="N27" s="17" t="s">
        <v>151</v>
      </c>
      <c r="O27" s="18">
        <v>16.13</v>
      </c>
      <c r="P27" s="10">
        <f t="shared" si="0"/>
        <v>10</v>
      </c>
      <c r="Q27" s="11">
        <f t="shared" si="1"/>
        <v>0.61299999999999999</v>
      </c>
    </row>
    <row r="28" spans="9:17" ht="13.5" thickBot="1" x14ac:dyDescent="0.4">
      <c r="I28" s="17">
        <v>35</v>
      </c>
      <c r="J28" s="17" t="s">
        <v>128</v>
      </c>
      <c r="K28" s="17" t="s">
        <v>127</v>
      </c>
      <c r="L28" s="17">
        <v>52</v>
      </c>
      <c r="M28" s="17" t="s">
        <v>149</v>
      </c>
      <c r="N28" s="17" t="s">
        <v>152</v>
      </c>
      <c r="O28" s="18">
        <v>15.37</v>
      </c>
      <c r="P28" s="10">
        <f t="shared" si="0"/>
        <v>11.666666666666668</v>
      </c>
      <c r="Q28" s="11">
        <f t="shared" si="1"/>
        <v>0.31742857142857117</v>
      </c>
    </row>
    <row r="29" spans="9:17" ht="13.5" thickBot="1" x14ac:dyDescent="0.4">
      <c r="I29" s="17">
        <v>40</v>
      </c>
      <c r="J29" s="17" t="s">
        <v>128</v>
      </c>
      <c r="K29" s="17" t="s">
        <v>127</v>
      </c>
      <c r="L29" s="17">
        <v>56</v>
      </c>
      <c r="M29" s="17" t="s">
        <v>149</v>
      </c>
      <c r="N29" s="17" t="s">
        <v>152</v>
      </c>
      <c r="O29" s="19">
        <f>29.86/2</f>
        <v>14.93</v>
      </c>
      <c r="P29" s="10">
        <f t="shared" si="0"/>
        <v>13.333333333333332</v>
      </c>
      <c r="Q29" s="11">
        <f t="shared" si="1"/>
        <v>0.11975000000000002</v>
      </c>
    </row>
    <row r="30" spans="9:17" ht="13.5" thickBot="1" x14ac:dyDescent="0.4">
      <c r="I30" s="17">
        <v>30</v>
      </c>
      <c r="J30" s="17" t="s">
        <v>128</v>
      </c>
      <c r="K30" s="17" t="s">
        <v>127</v>
      </c>
      <c r="L30" s="17">
        <v>45</v>
      </c>
      <c r="M30" s="17" t="s">
        <v>149</v>
      </c>
      <c r="N30" s="17" t="s">
        <v>152</v>
      </c>
      <c r="O30" s="18">
        <v>13.29</v>
      </c>
      <c r="P30" s="10">
        <f t="shared" si="0"/>
        <v>10</v>
      </c>
      <c r="Q30" s="11">
        <f t="shared" si="1"/>
        <v>0.32899999999999996</v>
      </c>
    </row>
    <row r="31" spans="9:17" ht="13.15" x14ac:dyDescent="0.35">
      <c r="I31" s="17">
        <v>35</v>
      </c>
      <c r="J31" s="17" t="s">
        <v>128</v>
      </c>
      <c r="K31" s="17" t="s">
        <v>127</v>
      </c>
      <c r="L31" s="17">
        <v>49</v>
      </c>
      <c r="M31" s="17" t="s">
        <v>149</v>
      </c>
      <c r="N31" s="17" t="s">
        <v>152</v>
      </c>
      <c r="O31" s="18">
        <v>12.59</v>
      </c>
      <c r="P31" s="10">
        <f t="shared" si="0"/>
        <v>11.666666666666668</v>
      </c>
      <c r="Q31" s="11">
        <f t="shared" si="1"/>
        <v>7.9142857142856959E-2</v>
      </c>
    </row>
  </sheetData>
  <sortState xmlns:xlrd2="http://schemas.microsoft.com/office/spreadsheetml/2017/richdata2" ref="I1:Q31">
    <sortCondition descending="1" ref="O2:O3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900EA-ED2B-48F0-9D89-86FA8E8492CA}">
  <dimension ref="A1:C4"/>
  <sheetViews>
    <sheetView workbookViewId="0">
      <selection activeCell="C4" sqref="C4"/>
    </sheetView>
  </sheetViews>
  <sheetFormatPr defaultRowHeight="12.75" x14ac:dyDescent="0.35"/>
  <sheetData>
    <row r="1" spans="1:3" x14ac:dyDescent="0.35">
      <c r="A1" t="s">
        <v>156</v>
      </c>
      <c r="B1">
        <f>sawCost+barCost+B3+B4</f>
        <v>733.3468749066584</v>
      </c>
    </row>
    <row r="3" spans="1:3" x14ac:dyDescent="0.35">
      <c r="A3" t="s">
        <v>157</v>
      </c>
      <c r="B3">
        <v>213.29974999999999</v>
      </c>
      <c r="C3" t="s">
        <v>184</v>
      </c>
    </row>
    <row r="4" spans="1:3" x14ac:dyDescent="0.35">
      <c r="A4" t="s">
        <v>158</v>
      </c>
      <c r="B4">
        <v>64.224958000000001</v>
      </c>
      <c r="C4" t="s">
        <v>183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7FF1A96F00B548AE8FA4D86E5C3C6B" ma:contentTypeVersion="4" ma:contentTypeDescription="Create a new document." ma:contentTypeScope="" ma:versionID="42484d4aadc485b95868b0614c9cc901">
  <xsd:schema xmlns:xsd="http://www.w3.org/2001/XMLSchema" xmlns:xs="http://www.w3.org/2001/XMLSchema" xmlns:p="http://schemas.microsoft.com/office/2006/metadata/properties" xmlns:ns2="2de6f903-a70b-4d4e-9d47-d88418a90129" targetNamespace="http://schemas.microsoft.com/office/2006/metadata/properties" ma:root="true" ma:fieldsID="2e3f4261295b63ab975c65a36ef5f926" ns2:_="">
    <xsd:import namespace="2de6f903-a70b-4d4e-9d47-d88418a901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e6f903-a70b-4d4e-9d47-d88418a901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3490E2-E40C-41B2-8038-9CAF72FFFC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e6f903-a70b-4d4e-9d47-d88418a901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26AA80-DA6A-2C4C-8189-C87652E938E8}">
  <ds:schemaRefs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2de6f903-a70b-4d4e-9d47-d88418a90129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736099F-A467-4EDF-97E1-862A5565D7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CHAINSAW</vt:lpstr>
      <vt:lpstr>Motor</vt:lpstr>
      <vt:lpstr>Bar</vt:lpstr>
      <vt:lpstr>Saw</vt:lpstr>
      <vt:lpstr>Sheet1</vt:lpstr>
      <vt:lpstr>Bar_length</vt:lpstr>
      <vt:lpstr>barCost</vt:lpstr>
      <vt:lpstr>barWeight</vt:lpstr>
      <vt:lpstr>batteryCost</vt:lpstr>
      <vt:lpstr>FactorySQFT</vt:lpstr>
      <vt:lpstr>FixedCost</vt:lpstr>
      <vt:lpstr>MachineryCost</vt:lpstr>
      <vt:lpstr>motorCost</vt:lpstr>
      <vt:lpstr>NumOfEmployees</vt:lpstr>
      <vt:lpstr>sawCost</vt:lpstr>
      <vt:lpstr>sawLength</vt:lpstr>
      <vt:lpstr>sawWeight</vt:lpstr>
      <vt:lpstr>varCost</vt:lpstr>
    </vt:vector>
  </TitlesOfParts>
  <Manager/>
  <Company>Phoenix Integration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 Arkus</dc:creator>
  <cp:keywords/>
  <dc:description/>
  <cp:lastModifiedBy>Trevor Knecht</cp:lastModifiedBy>
  <cp:revision/>
  <dcterms:created xsi:type="dcterms:W3CDTF">2001-09-18T17:25:29Z</dcterms:created>
  <dcterms:modified xsi:type="dcterms:W3CDTF">2024-11-27T02:40:14Z</dcterms:modified>
  <cp:category/>
  <cp:contentStatus/>
</cp:coreProperties>
</file>