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120" windowWidth="11685" windowHeight="558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25725"/>
</workbook>
</file>

<file path=xl/calcChain.xml><?xml version="1.0" encoding="utf-8"?>
<calcChain xmlns="http://schemas.openxmlformats.org/spreadsheetml/2006/main">
  <c r="F251" i="5"/>
  <c r="F250"/>
  <c r="F248"/>
  <c r="H245"/>
  <c r="G245"/>
  <c r="F245"/>
  <c r="G244"/>
  <c r="F244"/>
  <c r="G243"/>
  <c r="F243"/>
  <c r="G242"/>
  <c r="F242"/>
  <c r="F229"/>
  <c r="T220"/>
  <c r="U198"/>
  <c r="T198"/>
  <c r="U197"/>
  <c r="U196"/>
  <c r="U195"/>
  <c r="U194"/>
  <c r="U193"/>
  <c r="U192"/>
  <c r="U191"/>
  <c r="T190"/>
  <c r="U190" s="1"/>
  <c r="J157"/>
  <c r="J156"/>
  <c r="J155"/>
  <c r="J154"/>
  <c r="J142"/>
  <c r="J141"/>
  <c r="J140"/>
  <c r="J139"/>
  <c r="J138"/>
  <c r="J137"/>
  <c r="J136"/>
  <c r="J135"/>
  <c r="K132"/>
  <c r="K131"/>
  <c r="K130"/>
  <c r="J130"/>
  <c r="K129"/>
  <c r="K128"/>
  <c r="K127"/>
  <c r="R123"/>
  <c r="K125"/>
  <c r="R122"/>
  <c r="R121"/>
  <c r="R120"/>
  <c r="J122"/>
  <c r="R119"/>
  <c r="J121"/>
  <c r="R118"/>
  <c r="J120"/>
  <c r="R117"/>
  <c r="J119"/>
  <c r="R116"/>
  <c r="J118"/>
  <c r="J117"/>
  <c r="J116"/>
  <c r="J115"/>
  <c r="J112"/>
  <c r="J111"/>
  <c r="J110"/>
  <c r="J109"/>
  <c r="J108"/>
  <c r="J107"/>
  <c r="J106"/>
  <c r="J105"/>
  <c r="J101"/>
  <c r="J100"/>
  <c r="J99"/>
  <c r="J98"/>
  <c r="J97"/>
  <c r="J96"/>
  <c r="J95"/>
  <c r="J94"/>
  <c r="J91"/>
  <c r="K90"/>
  <c r="J90"/>
  <c r="K89"/>
  <c r="J89"/>
  <c r="K88"/>
  <c r="J88"/>
  <c r="H73"/>
  <c r="H72"/>
  <c r="H71"/>
  <c r="H70"/>
  <c r="H69"/>
  <c r="M67"/>
  <c r="T194" s="1"/>
  <c r="H66"/>
  <c r="H65"/>
  <c r="H64"/>
  <c r="H63"/>
  <c r="H62"/>
  <c r="M50"/>
  <c r="G46"/>
  <c r="J129" s="1"/>
  <c r="G25"/>
  <c r="I17"/>
  <c r="J20" s="1"/>
  <c r="F239" s="1"/>
  <c r="K14"/>
  <c r="F288" i="2"/>
  <c r="F287"/>
  <c r="F286"/>
  <c r="G46"/>
  <c r="M50" s="1"/>
  <c r="J117" s="1"/>
  <c r="R241"/>
  <c r="Q241"/>
  <c r="S241" s="1"/>
  <c r="Q240"/>
  <c r="T230"/>
  <c r="U209"/>
  <c r="U207"/>
  <c r="U206"/>
  <c r="U205"/>
  <c r="U204"/>
  <c r="U203"/>
  <c r="U201"/>
  <c r="T209"/>
  <c r="T205"/>
  <c r="T204"/>
  <c r="J116"/>
  <c r="J115"/>
  <c r="G274"/>
  <c r="G272"/>
  <c r="G268"/>
  <c r="G267"/>
  <c r="G266"/>
  <c r="G265"/>
  <c r="G264"/>
  <c r="K116"/>
  <c r="F262"/>
  <c r="F25"/>
  <c r="F257" s="1"/>
  <c r="F256"/>
  <c r="F89"/>
  <c r="K117"/>
  <c r="K115"/>
  <c r="K114"/>
  <c r="H62"/>
  <c r="H65"/>
  <c r="H63"/>
  <c r="H74"/>
  <c r="H73"/>
  <c r="R125"/>
  <c r="R124"/>
  <c r="R123"/>
  <c r="R122"/>
  <c r="R121"/>
  <c r="R120"/>
  <c r="R119"/>
  <c r="R118"/>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D91"/>
  <c r="D92" s="1"/>
  <c r="D93" s="1"/>
  <c r="D94" s="1"/>
  <c r="D95" s="1"/>
  <c r="D96" s="1"/>
  <c r="D97" s="1"/>
  <c r="D98" s="1"/>
  <c r="D99" s="1"/>
  <c r="D100" s="1"/>
  <c r="D101" s="1"/>
  <c r="D102" s="1"/>
  <c r="D103" s="1"/>
  <c r="D104" s="1"/>
  <c r="D105" s="1"/>
  <c r="D106" s="1"/>
  <c r="D107" s="1"/>
  <c r="D108" s="1"/>
  <c r="D109" s="1"/>
  <c r="D110" s="1"/>
  <c r="D111" s="1"/>
  <c r="D112" s="1"/>
  <c r="D113" s="1"/>
  <c r="D114" s="1"/>
  <c r="D115" s="1"/>
  <c r="D116" s="1"/>
  <c r="D117" s="1"/>
  <c r="D118" s="1"/>
  <c r="D119" s="1"/>
  <c r="D120" s="1"/>
  <c r="D121" s="1"/>
  <c r="D122" s="1"/>
  <c r="D123" s="1"/>
  <c r="D124" s="1"/>
  <c r="D125" s="1"/>
  <c r="D126" s="1"/>
  <c r="D127" s="1"/>
  <c r="D128" s="1"/>
  <c r="D129" s="1"/>
  <c r="D130" s="1"/>
  <c r="D131" s="1"/>
  <c r="D132" s="1"/>
  <c r="D133" s="1"/>
  <c r="D134" s="1"/>
  <c r="D135" s="1"/>
  <c r="D136" s="1"/>
  <c r="D137" s="1"/>
  <c r="D138" s="1"/>
  <c r="D139" s="1"/>
  <c r="D140" s="1"/>
  <c r="D141" s="1"/>
  <c r="D142" s="1"/>
  <c r="D143" s="1"/>
  <c r="D144" s="1"/>
  <c r="D145" s="1"/>
  <c r="D146" s="1"/>
  <c r="D147" s="1"/>
  <c r="D148" s="1"/>
  <c r="D149" s="1"/>
  <c r="D150" s="1"/>
  <c r="D151" s="1"/>
  <c r="D152" s="1"/>
  <c r="D153" s="1"/>
  <c r="D154" s="1"/>
  <c r="D155" s="1"/>
  <c r="D156" s="1"/>
  <c r="D157" s="1"/>
  <c r="D158" s="1"/>
  <c r="D159" s="1"/>
  <c r="D160" s="1"/>
  <c r="D161" s="1"/>
  <c r="D162" s="1"/>
  <c r="D163" s="1"/>
  <c r="D164" s="1"/>
  <c r="D165" s="1"/>
  <c r="D166" s="1"/>
  <c r="D167" s="1"/>
  <c r="D168" s="1"/>
  <c r="D169" s="1"/>
  <c r="D170" s="1"/>
  <c r="D171" s="1"/>
  <c r="D172" s="1"/>
  <c r="D173" s="1"/>
  <c r="D174" s="1"/>
  <c r="D175" s="1"/>
  <c r="D176" s="1"/>
  <c r="D177" s="1"/>
  <c r="D178" s="1"/>
  <c r="D179" s="1"/>
  <c r="D180" s="1"/>
  <c r="D181" s="1"/>
  <c r="D182" s="1"/>
  <c r="D183" s="1"/>
  <c r="D184" s="1"/>
  <c r="D185" s="1"/>
  <c r="D186" s="1"/>
  <c r="D187" s="1"/>
  <c r="D188" s="1"/>
  <c r="D189" s="1"/>
  <c r="D190" s="1"/>
  <c r="D191" s="1"/>
  <c r="D192" s="1"/>
  <c r="D193" s="1"/>
  <c r="D194" s="1"/>
  <c r="D195" s="1"/>
  <c r="D196" s="1"/>
  <c r="D197" s="1"/>
  <c r="D198" s="1"/>
  <c r="D199" s="1"/>
  <c r="D200" s="1"/>
  <c r="D201" s="1"/>
  <c r="D202" s="1"/>
  <c r="D203" s="1"/>
  <c r="D204" s="1"/>
  <c r="D205" s="1"/>
  <c r="D206" s="1"/>
  <c r="D207" s="1"/>
  <c r="D208" s="1"/>
  <c r="D209" s="1"/>
  <c r="D210" s="1"/>
  <c r="D211" s="1"/>
  <c r="D212" s="1"/>
  <c r="D213" s="1"/>
  <c r="D214" s="1"/>
  <c r="D215" s="1"/>
  <c r="D216" s="1"/>
  <c r="F216" s="1"/>
  <c r="F90"/>
  <c r="H69"/>
  <c r="H72"/>
  <c r="H68"/>
  <c r="H70"/>
  <c r="H71"/>
  <c r="H64"/>
  <c r="J109"/>
  <c r="J108"/>
  <c r="J105"/>
  <c r="J106"/>
  <c r="J107"/>
  <c r="J102"/>
  <c r="J101"/>
  <c r="J100"/>
  <c r="J99"/>
  <c r="J98"/>
  <c r="J97"/>
  <c r="J96"/>
  <c r="J95"/>
  <c r="G25"/>
  <c r="M52" i="5" l="1"/>
  <c r="M69"/>
  <c r="T195" s="1"/>
  <c r="H243"/>
  <c r="H244"/>
  <c r="F252"/>
  <c r="K92"/>
  <c r="F25" s="1"/>
  <c r="M42" s="1"/>
  <c r="H242"/>
  <c r="J102"/>
  <c r="M20" s="1"/>
  <c r="F238" s="1"/>
  <c r="J158"/>
  <c r="J113"/>
  <c r="J123"/>
  <c r="R124"/>
  <c r="K12" s="1"/>
  <c r="M48" s="1"/>
  <c r="U199"/>
  <c r="O69" s="1"/>
  <c r="W68" s="1"/>
  <c r="J143"/>
  <c r="R242" i="2"/>
  <c r="Q242"/>
  <c r="T206"/>
  <c r="M69"/>
  <c r="M63"/>
  <c r="M44"/>
  <c r="F138"/>
  <c r="F217" s="1"/>
  <c r="J19"/>
  <c r="F259"/>
  <c r="F258"/>
  <c r="R126"/>
  <c r="L12" s="1"/>
  <c r="J110"/>
  <c r="J103"/>
  <c r="P20" i="5" l="1"/>
  <c r="U19" s="1"/>
  <c r="H246"/>
  <c r="F237"/>
  <c r="F240" s="1"/>
  <c r="J127"/>
  <c r="M63"/>
  <c r="T192" s="1"/>
  <c r="K33"/>
  <c r="M33" s="1"/>
  <c r="F234" s="1"/>
  <c r="J132"/>
  <c r="S242" i="2"/>
  <c r="J114"/>
  <c r="T203"/>
  <c r="K112"/>
  <c r="M40"/>
  <c r="F260"/>
  <c r="M19"/>
  <c r="M61" i="5" l="1"/>
  <c r="T191" s="1"/>
  <c r="O33"/>
  <c r="Q33" s="1"/>
  <c r="R32" s="1"/>
  <c r="V31" s="1"/>
  <c r="F233"/>
  <c r="F235" s="1"/>
  <c r="M40"/>
  <c r="J128"/>
  <c r="J126"/>
  <c r="K126" s="1"/>
  <c r="K133" s="1"/>
  <c r="R49" s="1"/>
  <c r="T201" i="2"/>
  <c r="J112"/>
  <c r="F267"/>
  <c r="H267" s="1"/>
  <c r="F264"/>
  <c r="H264" s="1"/>
  <c r="F266"/>
  <c r="H266" s="1"/>
  <c r="F268"/>
  <c r="H268" s="1"/>
  <c r="F265"/>
  <c r="H265" s="1"/>
  <c r="P19"/>
  <c r="M65" i="5" l="1"/>
  <c r="T193" s="1"/>
  <c r="M73"/>
  <c r="T197" s="1"/>
  <c r="S46"/>
  <c r="M71" s="1"/>
  <c r="T196" s="1"/>
  <c r="F231"/>
  <c r="U18" i="2"/>
  <c r="F272"/>
  <c r="H272" s="1"/>
  <c r="H270"/>
  <c r="M42" l="1"/>
  <c r="M61"/>
  <c r="F274"/>
  <c r="H274" s="1"/>
  <c r="J113" l="1"/>
  <c r="K113" s="1"/>
  <c r="K118" s="1"/>
  <c r="R49" s="1"/>
  <c r="V31" s="1"/>
  <c r="F279" s="1"/>
  <c r="T202"/>
  <c r="U202" s="1"/>
  <c r="V34" l="1"/>
  <c r="F280" s="1"/>
  <c r="V37"/>
  <c r="F281" s="1"/>
  <c r="V28"/>
  <c r="M71" s="1"/>
  <c r="T207" s="1"/>
  <c r="V46"/>
  <c r="F284" s="1"/>
  <c r="F276"/>
  <c r="M73"/>
  <c r="T208" s="1"/>
  <c r="U208" s="1"/>
  <c r="U210" s="1"/>
  <c r="O69" s="1"/>
  <c r="W68" s="1"/>
  <c r="V43"/>
  <c r="F283" s="1"/>
  <c r="V40"/>
  <c r="F282" s="1"/>
  <c r="I33" l="1"/>
  <c r="F278"/>
</calcChain>
</file>

<file path=xl/comments1.xml><?xml version="1.0" encoding="utf-8"?>
<comments xmlns="http://schemas.openxmlformats.org/spreadsheetml/2006/main">
  <authors>
    <author>Robert Smith - C13193</author>
  </authors>
  <commentList>
    <comment ref="F11" authorId="0">
      <text>
        <r>
          <rPr>
            <b/>
            <sz val="9"/>
            <color indexed="81"/>
            <rFont val="Tahoma"/>
            <family val="2"/>
          </rPr>
          <t>Typical:
+/- 0.9% (-40 to 85C)</t>
        </r>
      </text>
    </comment>
    <comment ref="I17" authorId="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text>
        <r>
          <rPr>
            <b/>
            <sz val="9"/>
            <color indexed="81"/>
            <rFont val="Tahoma"/>
            <family val="2"/>
          </rPr>
          <t>Ensure this frequency does not exceed the maximum clock frequency for the device.</t>
        </r>
      </text>
    </comment>
    <comment ref="J20" authorId="0">
      <text>
        <r>
          <rPr>
            <b/>
            <sz val="9"/>
            <color indexed="81"/>
            <rFont val="Tahoma"/>
            <family val="2"/>
          </rPr>
          <t>Input to the PLL is determined by the current SYSCLK selection (COSC).  If COSC is not equal to PRIPLL or FRCPLL, the input is invalid.</t>
        </r>
      </text>
    </comment>
    <comment ref="M20" authorId="0">
      <text>
        <r>
          <rPr>
            <b/>
            <sz val="9"/>
            <color indexed="81"/>
            <rFont val="Tahoma"/>
            <family val="2"/>
          </rPr>
          <t>Must be between 4 and 5 MHz</t>
        </r>
      </text>
    </comment>
    <comment ref="E22" authorId="0">
      <text>
        <r>
          <rPr>
            <b/>
            <sz val="9"/>
            <color indexed="81"/>
            <rFont val="Tahoma"/>
            <family val="2"/>
          </rPr>
          <t>Max external clock frequency is 40 to 100 MHz depending on device (see data sheet).</t>
        </r>
      </text>
    </comment>
    <comment ref="E23" authorId="0">
      <text>
        <r>
          <rPr>
            <b/>
            <sz val="9"/>
            <color indexed="81"/>
            <rFont val="Tahoma"/>
            <family val="2"/>
          </rPr>
          <t>External oscillator frequency range:
XT:           3 - 10 MHz
XTPLL:    4 - 10 MHz
HS:        10 - 25 MHz
HSPLL: 10 - 25 MHz</t>
        </r>
      </text>
    </comment>
    <comment ref="E31" authorId="0">
      <text>
        <r>
          <rPr>
            <b/>
            <sz val="9"/>
            <color indexed="81"/>
            <rFont val="Tahoma"/>
            <family val="2"/>
          </rPr>
          <t>Can not use this pin for clock output if it is needed for oscillator input (HS mode).</t>
        </r>
      </text>
    </comment>
    <comment ref="G42" authorId="0">
      <text>
        <r>
          <rPr>
            <b/>
            <sz val="9"/>
            <color indexed="81"/>
            <rFont val="Tahoma"/>
            <family val="2"/>
          </rPr>
          <t>Typical:
31.25 KHz +/- 15% (-40 to 85)</t>
        </r>
      </text>
    </comment>
    <comment ref="E46" authorId="0">
      <text>
        <r>
          <rPr>
            <b/>
            <sz val="9"/>
            <color indexed="81"/>
            <rFont val="Tahoma"/>
            <family val="2"/>
          </rPr>
          <t>SOSC must be between 32KHz and 100KHz.</t>
        </r>
      </text>
    </comment>
    <comment ref="R49" authorId="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authors>
    <author>Robert Smith - C13193</author>
  </authors>
  <commentList>
    <comment ref="F11" authorId="0">
      <text>
        <r>
          <rPr>
            <b/>
            <sz val="9"/>
            <color indexed="81"/>
            <rFont val="Tahoma"/>
            <family val="2"/>
          </rPr>
          <t>Typical:
+/- 0.9% (0 to 70C)
+/- 3% (-40 to 85C)
+/- 5% (-40 to 125C)</t>
        </r>
      </text>
    </comment>
    <comment ref="U18" authorId="0">
      <text>
        <r>
          <rPr>
            <b/>
            <sz val="9"/>
            <color indexed="81"/>
            <rFont val="Tahoma"/>
            <family val="2"/>
          </rPr>
          <t>PLL output must be between 10 and 200 MHz unless PLL bypassed.</t>
        </r>
      </text>
    </comment>
    <comment ref="M19" authorId="0">
      <text>
        <r>
          <rPr>
            <b/>
            <sz val="9"/>
            <color indexed="81"/>
            <rFont val="Tahoma"/>
            <family val="2"/>
          </rPr>
          <t>Must be within PLL input range unless PLL bypassed (see FPLLRNG options).</t>
        </r>
      </text>
    </comment>
    <comment ref="P19" authorId="0">
      <text>
        <r>
          <rPr>
            <b/>
            <sz val="9"/>
            <color indexed="81"/>
            <rFont val="Tahoma"/>
            <family val="2"/>
          </rPr>
          <t>PLL multiplier output must be between 350 and 700 MHz unless PLL bypassed.</t>
        </r>
      </text>
    </comment>
    <comment ref="E22" authorId="0">
      <text>
        <r>
          <rPr>
            <b/>
            <sz val="9"/>
            <color indexed="81"/>
            <rFont val="Tahoma"/>
            <family val="2"/>
          </rPr>
          <t>Max external clock frequency is 64 MHz.</t>
        </r>
      </text>
    </comment>
    <comment ref="E23" authorId="0">
      <text>
        <r>
          <rPr>
            <b/>
            <sz val="9"/>
            <color indexed="81"/>
            <rFont val="Tahoma"/>
            <family val="2"/>
          </rPr>
          <t>External oscillator frequency must be between 4 and 32 MHz.</t>
        </r>
      </text>
    </comment>
    <comment ref="F25" authorId="0">
      <text>
        <r>
          <rPr>
            <b/>
            <sz val="9"/>
            <color indexed="81"/>
            <rFont val="Tahoma"/>
            <family val="2"/>
          </rPr>
          <t>If using the USB peripheral, this frequency must be 12 or 24 MHz (determined by "UPLLFSEL").</t>
        </r>
      </text>
    </comment>
    <comment ref="V28" authorId="0">
      <text>
        <r>
          <rPr>
            <b/>
            <sz val="9"/>
            <color indexed="81"/>
            <rFont val="Tahoma"/>
            <family val="2"/>
          </rPr>
          <t>Peripheral Clock 1-5, and 8 must not be more than 100 MHz.</t>
        </r>
      </text>
    </comment>
    <comment ref="E31" authorId="0">
      <text>
        <r>
          <rPr>
            <b/>
            <sz val="9"/>
            <color indexed="81"/>
            <rFont val="Tahoma"/>
            <family val="2"/>
          </rPr>
          <t>Can not use this pin for clock output if it is needed for oscillator input (HS mode).</t>
        </r>
      </text>
    </comment>
    <comment ref="V31" authorId="0">
      <text>
        <r>
          <rPr>
            <b/>
            <sz val="9"/>
            <color indexed="81"/>
            <rFont val="Tahoma"/>
            <family val="2"/>
          </rPr>
          <t>Peripheral Clock 1-5, and 8 must not be more than 100 MHz.</t>
        </r>
      </text>
    </comment>
    <comment ref="V34" authorId="0">
      <text>
        <r>
          <rPr>
            <b/>
            <sz val="9"/>
            <color indexed="81"/>
            <rFont val="Tahoma"/>
            <family val="2"/>
          </rPr>
          <t>Peripheral Clock 1-5, and 8 must not be more than 100 MHz.</t>
        </r>
      </text>
    </comment>
    <comment ref="V37" authorId="0">
      <text>
        <r>
          <rPr>
            <b/>
            <sz val="9"/>
            <color indexed="81"/>
            <rFont val="Tahoma"/>
            <family val="2"/>
          </rPr>
          <t>Peripheral Clock 1-5, and 8 must not be more than 100 MHz.</t>
        </r>
      </text>
    </comment>
    <comment ref="F38" authorId="0">
      <text>
        <r>
          <rPr>
            <b/>
            <sz val="9"/>
            <color indexed="81"/>
            <rFont val="Tahoma"/>
            <family val="2"/>
          </rPr>
          <t>Typical:
+/- 5% (-40 to 125C)</t>
        </r>
      </text>
    </comment>
    <comment ref="V40" authorId="0">
      <text>
        <r>
          <rPr>
            <b/>
            <sz val="9"/>
            <color indexed="81"/>
            <rFont val="Tahoma"/>
            <family val="2"/>
          </rPr>
          <t>Peripheral Clock 1-5, and 8 must not be more than 100 MHz.</t>
        </r>
      </text>
    </comment>
    <comment ref="F42" authorId="0">
      <text>
        <r>
          <rPr>
            <b/>
            <sz val="9"/>
            <color indexed="81"/>
            <rFont val="Tahoma"/>
            <family val="2"/>
          </rPr>
          <t>Typical:
32.768 KHz +/- 5% (-40 to 125)</t>
        </r>
      </text>
    </comment>
    <comment ref="V43" authorId="0">
      <text>
        <r>
          <rPr>
            <b/>
            <sz val="9"/>
            <color indexed="81"/>
            <rFont val="Tahoma"/>
            <family val="2"/>
          </rPr>
          <t>Peripheral Clock 7 must not be more than 200 MHz.</t>
        </r>
      </text>
    </comment>
    <comment ref="E46" authorId="0">
      <text>
        <r>
          <rPr>
            <b/>
            <sz val="9"/>
            <color indexed="81"/>
            <rFont val="Tahoma"/>
            <family val="2"/>
          </rPr>
          <t>SOSC must be between 32KHz and 100KHz.</t>
        </r>
      </text>
    </comment>
    <comment ref="V46" authorId="0">
      <text>
        <r>
          <rPr>
            <b/>
            <sz val="9"/>
            <color indexed="81"/>
            <rFont val="Tahoma"/>
            <family val="2"/>
          </rPr>
          <t>Peripheral Clock 1-5, and 8 must not be more than 100 MHz.</t>
        </r>
      </text>
    </comment>
    <comment ref="R49" authorId="0">
      <text>
        <r>
          <rPr>
            <b/>
            <sz val="9"/>
            <color indexed="81"/>
            <rFont val="Tahoma"/>
            <family val="2"/>
          </rPr>
          <t>System Clock must not be more than 200 MHz.</t>
        </r>
      </text>
    </comment>
    <comment ref="W68" authorId="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<sst xmlns="http://schemas.openxmlformats.org/spreadsheetml/2006/main" count="977" uniqueCount="461">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</sst>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numFmts count="4">
    <numFmt numFmtId="164" formatCode="0.000"/>
    <numFmt numFmtId="165" formatCode="0.000000"/>
    <numFmt numFmtId="166" formatCode="0.0000"/>
    <numFmt numFmtId="167" formatCode="0.0"/>
  </numFmts>
  <fonts count="7">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xdr:cNvGrpSpPr/>
      </xdr:nvGrpSpPr>
      <xdr:grpSpPr>
        <a:xfrm>
          <a:off x="1960245" y="4648200"/>
          <a:ext cx="156210" cy="165735"/>
          <a:chOff x="7957185" y="6433185"/>
          <a:chExt cx="156210" cy="160020"/>
        </a:xfrm>
      </xdr:grpSpPr>
      <xdr:sp macro="" textlink="">
        <xdr:nvSpPr>
          <xdr:cNvPr id="4" name="Rectangle 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xdr:cNvGrpSpPr/>
      </xdr:nvGrpSpPr>
      <xdr:grpSpPr>
        <a:xfrm>
          <a:off x="1962150" y="5562600"/>
          <a:ext cx="156210" cy="158115"/>
          <a:chOff x="7957185" y="6433185"/>
          <a:chExt cx="156210" cy="160020"/>
        </a:xfrm>
      </xdr:grpSpPr>
      <xdr:sp macro="" textlink="">
        <xdr:nvSpPr>
          <xdr:cNvPr id="8" name="Rectangle 7"/>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xdr:cNvGrpSpPr/>
      </xdr:nvGrpSpPr>
      <xdr:grpSpPr>
        <a:xfrm>
          <a:off x="2268855" y="4726305"/>
          <a:ext cx="190500" cy="920115"/>
          <a:chOff x="8985885" y="6543675"/>
          <a:chExt cx="139065" cy="923925"/>
        </a:xfrm>
      </xdr:grpSpPr>
      <xdr:cxnSp macro="">
        <xdr:nvCxnSpPr>
          <xdr:cNvPr id="13" name="Straight Connector 12"/>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xdr:cNvGrpSpPr/>
      </xdr:nvGrpSpPr>
      <xdr:grpSpPr>
        <a:xfrm>
          <a:off x="2596515" y="4739640"/>
          <a:ext cx="403860" cy="912496"/>
          <a:chOff x="9351645" y="6551295"/>
          <a:chExt cx="411480" cy="922021"/>
        </a:xfrm>
      </xdr:grpSpPr>
      <xdr:cxnSp macro="">
        <xdr:nvCxnSpPr>
          <xdr:cNvPr id="22" name="Straight Connector 2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xdr:cNvGrpSpPr/>
      </xdr:nvGrpSpPr>
      <xdr:grpSpPr>
        <a:xfrm>
          <a:off x="1960245" y="8498205"/>
          <a:ext cx="156210" cy="165735"/>
          <a:chOff x="7957185" y="6433185"/>
          <a:chExt cx="156210" cy="160020"/>
        </a:xfrm>
      </xdr:grpSpPr>
      <xdr:sp macro="" textlink="">
        <xdr:nvSpPr>
          <xdr:cNvPr id="62" name="Rectangle 61"/>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xdr:cNvGrpSpPr/>
      </xdr:nvGrpSpPr>
      <xdr:grpSpPr>
        <a:xfrm>
          <a:off x="1962150" y="9412605"/>
          <a:ext cx="156210" cy="158115"/>
          <a:chOff x="7957185" y="6433185"/>
          <a:chExt cx="156210" cy="160020"/>
        </a:xfrm>
      </xdr:grpSpPr>
      <xdr:sp macro="" textlink="">
        <xdr:nvSpPr>
          <xdr:cNvPr id="66" name="Rectangle 65"/>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xdr:cNvGrpSpPr/>
      </xdr:nvGrpSpPr>
      <xdr:grpSpPr>
        <a:xfrm>
          <a:off x="2268855" y="8582025"/>
          <a:ext cx="190500" cy="914400"/>
          <a:chOff x="8985885" y="6543675"/>
          <a:chExt cx="139065" cy="923925"/>
        </a:xfrm>
      </xdr:grpSpPr>
      <xdr:cxnSp macro="">
        <xdr:nvCxnSpPr>
          <xdr:cNvPr id="71" name="Straight Connector 70"/>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xdr:cNvGrpSpPr/>
      </xdr:nvGrpSpPr>
      <xdr:grpSpPr>
        <a:xfrm>
          <a:off x="2596515" y="8589645"/>
          <a:ext cx="403860" cy="912496"/>
          <a:chOff x="9351645" y="6551295"/>
          <a:chExt cx="411480" cy="922021"/>
        </a:xfrm>
      </xdr:grpSpPr>
      <xdr:cxnSp macro="">
        <xdr:nvCxnSpPr>
          <xdr:cNvPr id="80" name="Straight Connector 79"/>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xdr:cNvGrpSpPr/>
      </xdr:nvGrpSpPr>
      <xdr:grpSpPr>
        <a:xfrm>
          <a:off x="6280785" y="13727430"/>
          <a:ext cx="156210" cy="158115"/>
          <a:chOff x="7957185" y="6433185"/>
          <a:chExt cx="156210" cy="160020"/>
        </a:xfrm>
      </xdr:grpSpPr>
      <xdr:sp macro="" textlink="">
        <xdr:nvSpPr>
          <xdr:cNvPr id="149" name="Rectangle 14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xdr:cNvGrpSpPr/>
      </xdr:nvGrpSpPr>
      <xdr:grpSpPr>
        <a:xfrm>
          <a:off x="10355580" y="12369165"/>
          <a:ext cx="156210" cy="152400"/>
          <a:chOff x="7957185" y="6433185"/>
          <a:chExt cx="156210" cy="160020"/>
        </a:xfrm>
      </xdr:grpSpPr>
      <xdr:sp macro="" textlink="">
        <xdr:nvSpPr>
          <xdr:cNvPr id="155" name="Rectangle 154"/>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xdr:cNvGrpSpPr/>
      </xdr:nvGrpSpPr>
      <xdr:grpSpPr>
        <a:xfrm>
          <a:off x="10818495" y="11005185"/>
          <a:ext cx="2636353" cy="784860"/>
          <a:chOff x="9898380" y="10043160"/>
          <a:chExt cx="2727793" cy="762000"/>
        </a:xfrm>
      </xdr:grpSpPr>
      <xdr:sp macro="" textlink="">
        <xdr:nvSpPr>
          <xdr:cNvPr id="165" name="Rectangle 164"/>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xdr:cNvGrpSpPr/>
        </xdr:nvGrpSpPr>
        <xdr:grpSpPr>
          <a:xfrm>
            <a:off x="9915868" y="10043160"/>
            <a:ext cx="2710305" cy="751204"/>
            <a:chOff x="10159708" y="10142220"/>
            <a:chExt cx="2710305" cy="751204"/>
          </a:xfrm>
        </xdr:grpSpPr>
        <xdr:sp macro="" textlink="">
          <xdr:nvSpPr>
            <xdr:cNvPr id="167" name="TextBox 166"/>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xdr:cNvGrpSpPr/>
      </xdr:nvGrpSpPr>
      <xdr:grpSpPr>
        <a:xfrm>
          <a:off x="2287905" y="4183380"/>
          <a:ext cx="255270" cy="194310"/>
          <a:chOff x="2346960" y="4044315"/>
          <a:chExt cx="270510" cy="182880"/>
        </a:xfrm>
      </xdr:grpSpPr>
      <xdr:sp macro="" textlink="">
        <xdr:nvSpPr>
          <xdr:cNvPr id="176" name="Arc 175"/>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xdr:cNvGrpSpPr/>
      </xdr:nvGrpSpPr>
      <xdr:grpSpPr>
        <a:xfrm>
          <a:off x="2293620" y="4019550"/>
          <a:ext cx="493395" cy="142875"/>
          <a:chOff x="2358390" y="3880485"/>
          <a:chExt cx="508635" cy="142875"/>
        </a:xfrm>
      </xdr:grpSpPr>
      <xdr:grpSp>
        <xdr:nvGrpSpPr>
          <xdr:cNvPr id="180" name="Group 318"/>
          <xdr:cNvGrpSpPr/>
        </xdr:nvGrpSpPr>
        <xdr:grpSpPr>
          <a:xfrm>
            <a:off x="2358390" y="3880485"/>
            <a:ext cx="506730" cy="142875"/>
            <a:chOff x="2346960" y="3844290"/>
            <a:chExt cx="506730" cy="142875"/>
          </a:xfrm>
        </xdr:grpSpPr>
        <xdr:cxnSp macro="">
          <xdr:nvCxnSpPr>
            <xdr:cNvPr id="182" name="Straight Arrow Connector 18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xdr:cNvGrpSpPr/>
      </xdr:nvGrpSpPr>
      <xdr:grpSpPr>
        <a:xfrm>
          <a:off x="1960245" y="4638675"/>
          <a:ext cx="156210" cy="165735"/>
          <a:chOff x="7957185" y="6433185"/>
          <a:chExt cx="156210" cy="160020"/>
        </a:xfrm>
      </xdr:grpSpPr>
      <xdr:sp macro="" textlink="">
        <xdr:nvSpPr>
          <xdr:cNvPr id="11" name="Rectangle 10"/>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xdr:cNvGrpSpPr/>
      </xdr:nvGrpSpPr>
      <xdr:grpSpPr>
        <a:xfrm>
          <a:off x="1962150" y="5553075"/>
          <a:ext cx="156210" cy="158115"/>
          <a:chOff x="7957185" y="6433185"/>
          <a:chExt cx="156210" cy="160020"/>
        </a:xfrm>
      </xdr:grpSpPr>
      <xdr:sp macro="" textlink="">
        <xdr:nvSpPr>
          <xdr:cNvPr id="20" name="Rectangle 19"/>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xdr:cNvGrpSpPr/>
      </xdr:nvGrpSpPr>
      <xdr:grpSpPr>
        <a:xfrm>
          <a:off x="2268855" y="4716780"/>
          <a:ext cx="190500" cy="920115"/>
          <a:chOff x="8985885" y="6543675"/>
          <a:chExt cx="139065" cy="923925"/>
        </a:xfrm>
      </xdr:grpSpPr>
      <xdr:cxnSp macro="">
        <xdr:nvCxnSpPr>
          <xdr:cNvPr id="24" name="Straight Connector 23"/>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xdr:cNvGrpSpPr/>
      </xdr:nvGrpSpPr>
      <xdr:grpSpPr>
        <a:xfrm>
          <a:off x="2596515" y="4730115"/>
          <a:ext cx="403860" cy="912496"/>
          <a:chOff x="9351645" y="6551295"/>
          <a:chExt cx="411480" cy="922021"/>
        </a:xfrm>
      </xdr:grpSpPr>
      <xdr:cxnSp macro="">
        <xdr:nvCxnSpPr>
          <xdr:cNvPr id="52" name="Straight Connector 5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xdr:cNvGrpSpPr/>
      </xdr:nvGrpSpPr>
      <xdr:grpSpPr>
        <a:xfrm>
          <a:off x="1960245" y="8488680"/>
          <a:ext cx="156210" cy="165735"/>
          <a:chOff x="7957185" y="6433185"/>
          <a:chExt cx="156210" cy="160020"/>
        </a:xfrm>
      </xdr:grpSpPr>
      <xdr:sp macro="" textlink="">
        <xdr:nvSpPr>
          <xdr:cNvPr id="229" name="Rectangle 22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xdr:cNvGrpSpPr/>
      </xdr:nvGrpSpPr>
      <xdr:grpSpPr>
        <a:xfrm>
          <a:off x="1962150" y="9403080"/>
          <a:ext cx="156210" cy="158115"/>
          <a:chOff x="7957185" y="6433185"/>
          <a:chExt cx="156210" cy="160020"/>
        </a:xfrm>
      </xdr:grpSpPr>
      <xdr:sp macro="" textlink="">
        <xdr:nvSpPr>
          <xdr:cNvPr id="233" name="Rectangle 232"/>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xdr:cNvGrpSpPr/>
      </xdr:nvGrpSpPr>
      <xdr:grpSpPr>
        <a:xfrm>
          <a:off x="2268855" y="8572500"/>
          <a:ext cx="190500" cy="914400"/>
          <a:chOff x="8985885" y="6543675"/>
          <a:chExt cx="139065" cy="923925"/>
        </a:xfrm>
      </xdr:grpSpPr>
      <xdr:cxnSp macro="">
        <xdr:nvCxnSpPr>
          <xdr:cNvPr id="238" name="Straight Connector 237"/>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xdr:cNvGrpSpPr/>
      </xdr:nvGrpSpPr>
      <xdr:grpSpPr>
        <a:xfrm>
          <a:off x="2596515" y="8580120"/>
          <a:ext cx="403860" cy="912496"/>
          <a:chOff x="9351645" y="6551295"/>
          <a:chExt cx="411480" cy="922021"/>
        </a:xfrm>
      </xdr:grpSpPr>
      <xdr:cxnSp macro="">
        <xdr:nvCxnSpPr>
          <xdr:cNvPr id="247" name="Straight Connector 246"/>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xdr:cNvGrpSpPr/>
      </xdr:nvGrpSpPr>
      <xdr:grpSpPr>
        <a:xfrm>
          <a:off x="6280785" y="13717905"/>
          <a:ext cx="156210" cy="158115"/>
          <a:chOff x="7957185" y="6433185"/>
          <a:chExt cx="156210" cy="160020"/>
        </a:xfrm>
      </xdr:grpSpPr>
      <xdr:sp macro="" textlink="">
        <xdr:nvSpPr>
          <xdr:cNvPr id="274" name="Rectangle 27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xdr:cNvGrpSpPr/>
      </xdr:nvGrpSpPr>
      <xdr:grpSpPr>
        <a:xfrm>
          <a:off x="10355580" y="12359640"/>
          <a:ext cx="156210" cy="152400"/>
          <a:chOff x="7957185" y="6433185"/>
          <a:chExt cx="156210" cy="160020"/>
        </a:xfrm>
      </xdr:grpSpPr>
      <xdr:sp macro="" textlink="">
        <xdr:nvSpPr>
          <xdr:cNvPr id="299" name="Rectangle 29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xdr:cNvGrpSpPr/>
      </xdr:nvGrpSpPr>
      <xdr:grpSpPr>
        <a:xfrm>
          <a:off x="10818495" y="10995660"/>
          <a:ext cx="2683978" cy="784860"/>
          <a:chOff x="9898380" y="10043160"/>
          <a:chExt cx="2727793" cy="762000"/>
        </a:xfrm>
      </xdr:grpSpPr>
      <xdr:sp macro="" textlink="">
        <xdr:nvSpPr>
          <xdr:cNvPr id="402" name="Rectangle 401"/>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xdr:cNvGrpSpPr/>
        </xdr:nvGrpSpPr>
        <xdr:grpSpPr>
          <a:xfrm>
            <a:off x="9915868" y="10043160"/>
            <a:ext cx="2710305" cy="751204"/>
            <a:chOff x="10159708" y="10142220"/>
            <a:chExt cx="2710305" cy="751204"/>
          </a:xfrm>
        </xdr:grpSpPr>
        <xdr:sp macro="" textlink="">
          <xdr:nvSpPr>
            <xdr:cNvPr id="381" name="TextBox 380"/>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xdr:cNvGrpSpPr/>
      </xdr:nvGrpSpPr>
      <xdr:grpSpPr>
        <a:xfrm>
          <a:off x="2287905" y="4173855"/>
          <a:ext cx="255270" cy="194310"/>
          <a:chOff x="2346960" y="4044315"/>
          <a:chExt cx="270510" cy="182880"/>
        </a:xfrm>
      </xdr:grpSpPr>
      <xdr:sp macro="" textlink="">
        <xdr:nvSpPr>
          <xdr:cNvPr id="323" name="Arc 322"/>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xdr:cNvGrpSpPr/>
      </xdr:nvGrpSpPr>
      <xdr:grpSpPr>
        <a:xfrm>
          <a:off x="2293620" y="4010025"/>
          <a:ext cx="493395" cy="142875"/>
          <a:chOff x="2358390" y="3880485"/>
          <a:chExt cx="508635" cy="142875"/>
        </a:xfrm>
      </xdr:grpSpPr>
      <xdr:grpSp>
        <xdr:nvGrpSpPr>
          <xdr:cNvPr id="319" name="Group 318"/>
          <xdr:cNvGrpSpPr/>
        </xdr:nvGrpSpPr>
        <xdr:grpSpPr>
          <a:xfrm>
            <a:off x="2358390" y="3880485"/>
            <a:ext cx="506730" cy="142875"/>
            <a:chOff x="2346960" y="3844290"/>
            <a:chExt cx="506730" cy="142875"/>
          </a:xfrm>
        </xdr:grpSpPr>
        <xdr:cxnSp macro="">
          <xdr:nvCxnSpPr>
            <xdr:cNvPr id="262" name="Straight Arrow Connector 26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xdr:cNvGrpSpPr/>
      </xdr:nvGrpSpPr>
      <xdr:grpSpPr>
        <a:xfrm>
          <a:off x="1960245" y="8488680"/>
          <a:ext cx="156210" cy="165735"/>
          <a:chOff x="7957185" y="6433185"/>
          <a:chExt cx="156210" cy="160020"/>
        </a:xfrm>
      </xdr:grpSpPr>
      <xdr:sp macro="" textlink="">
        <xdr:nvSpPr>
          <xdr:cNvPr id="284" name="Rectangle 28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AB312"/>
  <sheetViews>
    <sheetView tabSelected="1" topLeftCell="A13" workbookViewId="0">
      <selection activeCell="Q45" sqref="Q45"/>
    </sheetView>
  </sheetViews>
  <sheetFormatPr defaultColWidth="8.85546875" defaultRowHeight="14.25"/>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16384" width="8.85546875" style="5"/>
  </cols>
  <sheetData>
    <row r="2" spans="5:16" ht="27.75">
      <c r="G2" s="12" t="s">
        <v>405</v>
      </c>
    </row>
    <row r="6" spans="5:16">
      <c r="E6" s="5" t="s">
        <v>194</v>
      </c>
    </row>
    <row r="9" spans="5:16" ht="15">
      <c r="P9" s="14" t="s">
        <v>209</v>
      </c>
    </row>
    <row r="10" spans="5:16" ht="15">
      <c r="H10" s="4" t="s">
        <v>193</v>
      </c>
      <c r="I10" s="48" t="s">
        <v>186</v>
      </c>
      <c r="J10" s="49"/>
      <c r="P10" s="14" t="s">
        <v>406</v>
      </c>
    </row>
    <row r="11" spans="5:16" ht="15">
      <c r="F11" s="4">
        <v>8</v>
      </c>
      <c r="G11" s="5" t="s">
        <v>31</v>
      </c>
      <c r="P11" s="14" t="s">
        <v>211</v>
      </c>
    </row>
    <row r="12" spans="5:16" ht="15">
      <c r="K12" s="4">
        <f>F11/R124</f>
        <v>4</v>
      </c>
      <c r="L12" s="5" t="s">
        <v>31</v>
      </c>
      <c r="P12" s="14" t="s">
        <v>404</v>
      </c>
    </row>
    <row r="13" spans="5:16">
      <c r="H13" s="10"/>
      <c r="L13" s="9"/>
    </row>
    <row r="14" spans="5:16">
      <c r="K14" s="39">
        <f>8/16</f>
        <v>0.5</v>
      </c>
      <c r="L14" s="8" t="s">
        <v>31</v>
      </c>
    </row>
    <row r="17" spans="4:23">
      <c r="H17" s="4" t="s">
        <v>407</v>
      </c>
      <c r="I17" s="40" t="str">
        <f>O56</f>
        <v>FRCPLL</v>
      </c>
      <c r="K17" s="5" t="s">
        <v>34</v>
      </c>
      <c r="L17" s="16" t="s">
        <v>42</v>
      </c>
      <c r="N17" s="4" t="s">
        <v>408</v>
      </c>
      <c r="O17" s="16" t="s">
        <v>77</v>
      </c>
      <c r="Q17" s="4" t="s">
        <v>36</v>
      </c>
      <c r="R17" s="16" t="s">
        <v>4</v>
      </c>
    </row>
    <row r="19" spans="4:23">
      <c r="U19" s="8">
        <f>P20/J123</f>
        <v>26.666666666666664</v>
      </c>
      <c r="V19" s="5" t="s">
        <v>31</v>
      </c>
    </row>
    <row r="20" spans="4:23">
      <c r="J20" s="6">
        <f>IF($I$17="FRCPLL", 8, IF($I$17="PRIPLL",$F$25,0))</f>
        <v>8</v>
      </c>
      <c r="M20" s="6">
        <f>J20/J102</f>
        <v>2.6666666666666665</v>
      </c>
      <c r="P20" s="8">
        <f>M20*J113</f>
        <v>53.333333333333329</v>
      </c>
    </row>
    <row r="22" spans="4:23">
      <c r="D22" s="4" t="s">
        <v>392</v>
      </c>
      <c r="E22" s="15">
        <v>24</v>
      </c>
      <c r="F22" s="5" t="s">
        <v>31</v>
      </c>
    </row>
    <row r="23" spans="4:23">
      <c r="D23" s="4" t="s">
        <v>393</v>
      </c>
      <c r="E23" s="16">
        <v>8</v>
      </c>
      <c r="F23" s="5" t="s">
        <v>31</v>
      </c>
    </row>
    <row r="25" spans="4:23">
      <c r="E25" s="4" t="s">
        <v>53</v>
      </c>
      <c r="F25" s="7">
        <f>K92</f>
        <v>8</v>
      </c>
      <c r="G25" s="5" t="str">
        <f>F23</f>
        <v>MHz</v>
      </c>
    </row>
    <row r="26" spans="4:23">
      <c r="E26" s="4" t="s">
        <v>54</v>
      </c>
    </row>
    <row r="27" spans="4:23">
      <c r="R27" s="41"/>
      <c r="S27" s="42"/>
      <c r="T27" s="40"/>
    </row>
    <row r="28" spans="4:23">
      <c r="K28" s="4">
        <v>8</v>
      </c>
      <c r="L28" s="4"/>
      <c r="M28" s="42"/>
      <c r="N28" s="42"/>
      <c r="R28" s="40"/>
      <c r="S28" s="40"/>
      <c r="T28" s="40"/>
    </row>
    <row r="29" spans="4:23">
      <c r="R29" s="40"/>
      <c r="S29" s="40"/>
    </row>
    <row r="30" spans="4:23">
      <c r="E30" s="4" t="s">
        <v>55</v>
      </c>
      <c r="H30" s="4" t="s">
        <v>32</v>
      </c>
      <c r="I30" s="2" t="s">
        <v>418</v>
      </c>
      <c r="R30" s="41"/>
      <c r="S30" s="42"/>
      <c r="T30" s="40"/>
    </row>
    <row r="31" spans="4:23">
      <c r="E31" s="4" t="s">
        <v>56</v>
      </c>
      <c r="R31" s="40"/>
      <c r="S31" s="40"/>
      <c r="T31" s="40"/>
      <c r="V31" s="6">
        <f>IF($T$34=$O$152, $R$32, 8)</f>
        <v>32</v>
      </c>
      <c r="W31" s="5" t="s">
        <v>31</v>
      </c>
    </row>
    <row r="32" spans="4:23">
      <c r="E32" s="4"/>
      <c r="R32" s="31">
        <f>IF($R$35="ON", $Q$33, $K$33)</f>
        <v>32</v>
      </c>
    </row>
    <row r="33" spans="4:23">
      <c r="E33" s="4"/>
      <c r="I33" s="32"/>
      <c r="K33" s="5">
        <f>F25</f>
        <v>8</v>
      </c>
      <c r="M33" s="5">
        <f>K33/J143</f>
        <v>2.6666666666666665</v>
      </c>
      <c r="O33" s="5">
        <f>M33*24</f>
        <v>64</v>
      </c>
      <c r="Q33" s="43">
        <f>O33/2</f>
        <v>32</v>
      </c>
      <c r="S33" s="42"/>
      <c r="T33" s="40"/>
    </row>
    <row r="34" spans="4:23">
      <c r="E34" s="4"/>
      <c r="R34" s="40"/>
      <c r="S34" s="4" t="s">
        <v>409</v>
      </c>
      <c r="T34" s="48" t="s">
        <v>410</v>
      </c>
      <c r="U34" s="50"/>
      <c r="V34" s="50"/>
      <c r="W34" s="49"/>
    </row>
    <row r="35" spans="4:23">
      <c r="E35" s="4"/>
      <c r="F35" s="4" t="s">
        <v>203</v>
      </c>
      <c r="G35" s="16" t="s">
        <v>0</v>
      </c>
      <c r="L35" s="4" t="s">
        <v>411</v>
      </c>
      <c r="M35" s="16" t="s">
        <v>42</v>
      </c>
      <c r="Q35" s="4" t="s">
        <v>412</v>
      </c>
      <c r="R35" s="16" t="s">
        <v>0</v>
      </c>
      <c r="S35" s="40"/>
      <c r="T35" s="40"/>
    </row>
    <row r="36" spans="4:23">
      <c r="E36" s="4"/>
      <c r="R36" s="41"/>
      <c r="S36" s="42"/>
      <c r="T36" s="40"/>
    </row>
    <row r="37" spans="4:23">
      <c r="E37" s="4"/>
      <c r="R37" s="40"/>
      <c r="S37" s="40"/>
      <c r="T37" s="40"/>
    </row>
    <row r="38" spans="4:23">
      <c r="E38" s="4"/>
      <c r="G38" s="10"/>
      <c r="R38" s="40"/>
      <c r="S38" s="40"/>
      <c r="T38" s="40"/>
    </row>
    <row r="39" spans="4:23">
      <c r="E39" s="4"/>
      <c r="R39" s="41"/>
      <c r="S39" s="42"/>
      <c r="T39" s="40"/>
    </row>
    <row r="40" spans="4:23">
      <c r="E40" s="4"/>
      <c r="M40" s="5">
        <f>U19</f>
        <v>26.666666666666664</v>
      </c>
      <c r="N40" s="5" t="s">
        <v>31</v>
      </c>
      <c r="R40" s="40"/>
      <c r="S40" s="40"/>
      <c r="T40" s="40"/>
    </row>
    <row r="41" spans="4:23">
      <c r="R41" s="40"/>
      <c r="S41" s="40"/>
      <c r="T41" s="40"/>
    </row>
    <row r="42" spans="4:23">
      <c r="E42" s="4"/>
      <c r="G42" s="44">
        <v>31.25</v>
      </c>
      <c r="H42" s="10" t="s">
        <v>57</v>
      </c>
      <c r="M42" s="5">
        <f>F25</f>
        <v>8</v>
      </c>
      <c r="N42" s="5" t="s">
        <v>31</v>
      </c>
      <c r="R42" s="41"/>
      <c r="S42" s="42"/>
      <c r="T42" s="40"/>
    </row>
    <row r="43" spans="4:23">
      <c r="E43" s="4"/>
      <c r="R43" s="40"/>
      <c r="S43" s="40"/>
      <c r="T43" s="40"/>
    </row>
    <row r="44" spans="4:23">
      <c r="E44" s="4"/>
      <c r="M44" s="5">
        <v>8</v>
      </c>
      <c r="N44" s="5" t="s">
        <v>31</v>
      </c>
    </row>
    <row r="45" spans="4:23">
      <c r="E45" s="4"/>
      <c r="P45" s="4" t="s">
        <v>413</v>
      </c>
      <c r="Q45" s="17" t="s">
        <v>4</v>
      </c>
    </row>
    <row r="46" spans="4:23">
      <c r="D46" s="4" t="s">
        <v>393</v>
      </c>
      <c r="E46" s="16">
        <v>32.768000000000001</v>
      </c>
      <c r="F46" s="5" t="s">
        <v>57</v>
      </c>
      <c r="G46" s="5">
        <f>IF($I$51="ON", $E$46, 0)</f>
        <v>32.768000000000001</v>
      </c>
      <c r="H46" s="5" t="s">
        <v>57</v>
      </c>
      <c r="M46" s="39">
        <v>0.5</v>
      </c>
      <c r="N46" s="5" t="s">
        <v>31</v>
      </c>
      <c r="S46" s="45">
        <f>$R$49/J158</f>
        <v>13.333333333333332</v>
      </c>
      <c r="T46" s="5" t="s">
        <v>31</v>
      </c>
    </row>
    <row r="47" spans="4:23">
      <c r="E47" s="4" t="s">
        <v>201</v>
      </c>
    </row>
    <row r="48" spans="4:23">
      <c r="E48" s="4"/>
      <c r="M48" s="5">
        <f>K12</f>
        <v>4</v>
      </c>
      <c r="N48" s="5" t="s">
        <v>31</v>
      </c>
    </row>
    <row r="49" spans="5:28">
      <c r="E49" s="4"/>
      <c r="R49" s="5">
        <f>K133</f>
        <v>26.666666666666664</v>
      </c>
      <c r="S49" s="5" t="s">
        <v>31</v>
      </c>
    </row>
    <row r="50" spans="5:28">
      <c r="E50" s="4"/>
      <c r="M50" s="32">
        <f>G42</f>
        <v>31.25</v>
      </c>
      <c r="N50" s="5" t="s">
        <v>57</v>
      </c>
    </row>
    <row r="51" spans="5:28">
      <c r="H51" s="4" t="s">
        <v>202</v>
      </c>
      <c r="I51" s="16" t="s">
        <v>0</v>
      </c>
    </row>
    <row r="52" spans="5:28">
      <c r="E52" s="4" t="s">
        <v>200</v>
      </c>
      <c r="M52" s="11">
        <f>$G$46</f>
        <v>32.768000000000001</v>
      </c>
      <c r="N52" s="5" t="s">
        <v>57</v>
      </c>
    </row>
    <row r="53" spans="5:28">
      <c r="E53" s="4"/>
    </row>
    <row r="55" spans="5:28">
      <c r="S55" s="8"/>
      <c r="U55" s="6"/>
    </row>
    <row r="56" spans="5:28" ht="15.75">
      <c r="H56" s="13"/>
      <c r="N56" s="4" t="s">
        <v>50</v>
      </c>
      <c r="O56" s="16" t="s">
        <v>414</v>
      </c>
      <c r="U56" s="8"/>
    </row>
    <row r="57" spans="5:28">
      <c r="U57" s="8"/>
    </row>
    <row r="59" spans="5:28">
      <c r="M59" s="5">
        <v>8</v>
      </c>
      <c r="N59" s="5" t="s">
        <v>31</v>
      </c>
    </row>
    <row r="60" spans="5:28">
      <c r="AB60" s="6"/>
    </row>
    <row r="61" spans="5:28">
      <c r="G61" s="4" t="s">
        <v>13</v>
      </c>
      <c r="M61" s="5">
        <f>$P$20</f>
        <v>53.333333333333329</v>
      </c>
      <c r="N61" s="5" t="s">
        <v>31</v>
      </c>
      <c r="T61" s="4"/>
      <c r="AB61" s="6"/>
    </row>
    <row r="62" spans="5:28">
      <c r="G62" s="4" t="s">
        <v>8</v>
      </c>
      <c r="H62" s="5" t="str">
        <f>O56</f>
        <v>FRCPLL</v>
      </c>
      <c r="AB62" s="6"/>
    </row>
    <row r="63" spans="5:28">
      <c r="G63" s="4" t="s">
        <v>9</v>
      </c>
      <c r="H63" s="5" t="str">
        <f>I51</f>
        <v>ON</v>
      </c>
      <c r="M63" s="5">
        <f>$F$25</f>
        <v>8</v>
      </c>
      <c r="N63" s="5" t="s">
        <v>31</v>
      </c>
      <c r="AB63" s="6"/>
    </row>
    <row r="64" spans="5:28">
      <c r="G64" s="4" t="s">
        <v>10</v>
      </c>
      <c r="H64" s="5" t="str">
        <f>I30</f>
        <v>XT</v>
      </c>
      <c r="AB64" s="6"/>
    </row>
    <row r="65" spans="5:28">
      <c r="G65" s="4" t="s">
        <v>11</v>
      </c>
      <c r="H65" s="5" t="str">
        <f>G35</f>
        <v>ON</v>
      </c>
      <c r="M65" s="45">
        <f>$O$33</f>
        <v>64</v>
      </c>
      <c r="N65" s="5" t="s">
        <v>57</v>
      </c>
      <c r="P65" s="7" t="s">
        <v>384</v>
      </c>
      <c r="Q65" s="17">
        <v>255</v>
      </c>
      <c r="AB65" s="6"/>
    </row>
    <row r="66" spans="5:28">
      <c r="G66" s="4" t="s">
        <v>415</v>
      </c>
      <c r="H66" s="5" t="str">
        <f>$Q$45</f>
        <v>DIV_2</v>
      </c>
      <c r="P66" s="7" t="s">
        <v>385</v>
      </c>
      <c r="Q66" s="17">
        <v>9</v>
      </c>
      <c r="R66" s="38"/>
      <c r="AB66" s="6"/>
    </row>
    <row r="67" spans="5:28">
      <c r="G67" s="4"/>
      <c r="M67" s="32">
        <f>$G$42</f>
        <v>31.25</v>
      </c>
      <c r="N67" s="5" t="s">
        <v>57</v>
      </c>
      <c r="AB67" s="6"/>
    </row>
    <row r="68" spans="5:28">
      <c r="G68" s="4" t="s">
        <v>14</v>
      </c>
      <c r="W68" s="36">
        <f>IF($Q$66=0, $O$69, ($O$69/(2*$T$220)))</f>
        <v>0.42113921447666047</v>
      </c>
      <c r="X68" s="5" t="s">
        <v>31</v>
      </c>
      <c r="AB68" s="6"/>
    </row>
    <row r="69" spans="5:28">
      <c r="G69" s="4" t="s">
        <v>18</v>
      </c>
      <c r="H69" s="5" t="str">
        <f>L17</f>
        <v>DIV_3</v>
      </c>
      <c r="M69" s="45">
        <f>$G$46</f>
        <v>32.768000000000001</v>
      </c>
      <c r="N69" s="5" t="s">
        <v>31</v>
      </c>
      <c r="O69" s="5">
        <f>$U$199</f>
        <v>8</v>
      </c>
      <c r="Q69" s="11"/>
    </row>
    <row r="70" spans="5:28">
      <c r="G70" s="4" t="s">
        <v>416</v>
      </c>
      <c r="H70" s="5" t="str">
        <f>O17</f>
        <v>MUL_20</v>
      </c>
    </row>
    <row r="71" spans="5:28">
      <c r="G71" s="4" t="s">
        <v>12</v>
      </c>
      <c r="H71" s="5" t="str">
        <f>R17</f>
        <v>DIV_2</v>
      </c>
      <c r="M71" s="5">
        <f>$S$46</f>
        <v>13.333333333333332</v>
      </c>
      <c r="N71" s="5" t="s">
        <v>31</v>
      </c>
    </row>
    <row r="72" spans="5:28">
      <c r="G72" s="4" t="s">
        <v>417</v>
      </c>
      <c r="H72" s="5" t="str">
        <f>M35</f>
        <v>DIV_3</v>
      </c>
    </row>
    <row r="73" spans="5:28">
      <c r="G73" s="4" t="s">
        <v>197</v>
      </c>
      <c r="H73" s="5" t="str">
        <f>R35</f>
        <v>ON</v>
      </c>
      <c r="M73" s="5">
        <f>$R$49</f>
        <v>26.666666666666664</v>
      </c>
      <c r="N73" s="5" t="s">
        <v>31</v>
      </c>
    </row>
    <row r="74" spans="5:28">
      <c r="E74" s="4"/>
    </row>
    <row r="75" spans="5:28">
      <c r="E75" s="4"/>
      <c r="M75" s="16">
        <v>2</v>
      </c>
      <c r="N75" s="5" t="s">
        <v>31</v>
      </c>
    </row>
    <row r="76" spans="5:28">
      <c r="E76" s="4"/>
      <c r="M76" s="11"/>
    </row>
    <row r="77" spans="5:28">
      <c r="E77" s="4"/>
    </row>
    <row r="78" spans="5:28">
      <c r="E78" s="4"/>
    </row>
    <row r="79" spans="5:28">
      <c r="E79" s="4"/>
      <c r="N79" s="34" t="s">
        <v>386</v>
      </c>
      <c r="O79" s="51" t="s">
        <v>356</v>
      </c>
      <c r="P79" s="52"/>
      <c r="Q79" s="52"/>
      <c r="R79" s="52"/>
      <c r="S79" s="53"/>
    </row>
    <row r="80" spans="5:28">
      <c r="E80" s="4"/>
    </row>
    <row r="81" spans="2:14">
      <c r="E81" s="4"/>
    </row>
    <row r="82" spans="2:14">
      <c r="E82" s="4"/>
    </row>
    <row r="83" spans="2:14">
      <c r="E83" s="4"/>
    </row>
    <row r="84" spans="2:14" ht="15" thickBot="1">
      <c r="B84" s="6"/>
      <c r="C84" s="6"/>
      <c r="D84" s="6"/>
      <c r="E84" s="7"/>
      <c r="F84" s="6"/>
    </row>
    <row r="85" spans="2:14">
      <c r="B85" s="6"/>
      <c r="C85" s="6"/>
      <c r="D85" s="6"/>
      <c r="E85" s="6"/>
      <c r="F85" s="6"/>
      <c r="G85" s="18"/>
      <c r="H85" s="19" t="s">
        <v>264</v>
      </c>
      <c r="I85" s="19"/>
      <c r="J85" s="19"/>
      <c r="K85" s="19"/>
      <c r="L85" s="20"/>
    </row>
    <row r="86" spans="2:14">
      <c r="B86" s="6"/>
      <c r="C86" s="6"/>
      <c r="D86" s="6"/>
      <c r="E86" s="6"/>
      <c r="F86" s="6"/>
      <c r="G86" s="27"/>
      <c r="H86" s="28"/>
      <c r="I86" s="28"/>
      <c r="J86" s="28"/>
      <c r="K86" s="28"/>
      <c r="L86" s="29"/>
    </row>
    <row r="87" spans="2:14" ht="15" thickBot="1">
      <c r="B87" s="6"/>
      <c r="C87" s="6"/>
      <c r="D87" s="6"/>
      <c r="E87" s="6"/>
      <c r="F87" s="6"/>
      <c r="G87" s="24"/>
      <c r="H87" s="25" t="s">
        <v>265</v>
      </c>
      <c r="I87" s="25" t="s">
        <v>266</v>
      </c>
      <c r="J87" s="25"/>
      <c r="K87" s="25"/>
      <c r="L87" s="26"/>
    </row>
    <row r="88" spans="2:14">
      <c r="B88" s="6"/>
      <c r="C88" s="6"/>
      <c r="D88" s="6"/>
      <c r="E88" s="6"/>
      <c r="F88" s="6"/>
      <c r="G88" s="18"/>
      <c r="H88" s="7" t="s">
        <v>32</v>
      </c>
      <c r="I88" s="6" t="s">
        <v>38</v>
      </c>
      <c r="J88" s="6">
        <f>IF($I$30="EC", 1, 0)</f>
        <v>0</v>
      </c>
      <c r="K88" s="6">
        <f>IF($I$30="EC", $E$22, 0)</f>
        <v>0</v>
      </c>
      <c r="L88" s="22"/>
      <c r="N88" s="10" t="s">
        <v>395</v>
      </c>
    </row>
    <row r="89" spans="2:14">
      <c r="B89" s="6"/>
      <c r="C89" s="6"/>
      <c r="D89" s="6"/>
      <c r="E89" s="6"/>
      <c r="F89" s="6"/>
      <c r="G89" s="21"/>
      <c r="H89" s="7"/>
      <c r="I89" s="6" t="s">
        <v>418</v>
      </c>
      <c r="J89" s="6">
        <f>IF($I$30="XT", 1, 0)</f>
        <v>1</v>
      </c>
      <c r="K89" s="6">
        <f>IF($I$30="XT", $E$23, 0)</f>
        <v>8</v>
      </c>
      <c r="L89" s="22"/>
      <c r="N89" s="10" t="s">
        <v>206</v>
      </c>
    </row>
    <row r="90" spans="2:14">
      <c r="B90" s="6"/>
      <c r="C90" s="6"/>
      <c r="D90" s="6"/>
      <c r="E90" s="6"/>
      <c r="F90" s="6"/>
      <c r="G90" s="21"/>
      <c r="H90" s="7"/>
      <c r="I90" s="6" t="s">
        <v>39</v>
      </c>
      <c r="J90" s="6">
        <f>IF($I$30="HS", 1, 0)</f>
        <v>0</v>
      </c>
      <c r="K90" s="6">
        <f>IF($I$30="HS", $E$23, 0)</f>
        <v>0</v>
      </c>
      <c r="L90" s="22"/>
      <c r="N90" s="10" t="s">
        <v>460</v>
      </c>
    </row>
    <row r="91" spans="2:14">
      <c r="B91" s="6"/>
      <c r="C91" s="6"/>
      <c r="D91" s="6"/>
      <c r="E91" s="6"/>
      <c r="F91" s="6"/>
      <c r="G91" s="21"/>
      <c r="H91" s="7"/>
      <c r="I91" s="6" t="s">
        <v>7</v>
      </c>
      <c r="J91" s="6">
        <f>IF($I$30="OFF", 1, 0)</f>
        <v>0</v>
      </c>
      <c r="K91" s="6">
        <v>0</v>
      </c>
      <c r="L91" s="22"/>
      <c r="N91" s="5" t="s">
        <v>344</v>
      </c>
    </row>
    <row r="92" spans="2:14">
      <c r="B92" s="6"/>
      <c r="C92" s="6"/>
      <c r="D92" s="6"/>
      <c r="E92" s="6"/>
      <c r="F92" s="6"/>
      <c r="G92" s="21"/>
      <c r="H92" s="6"/>
      <c r="I92" s="6"/>
      <c r="J92" s="6"/>
      <c r="K92" s="6">
        <f>SUM(K88:K91)</f>
        <v>8</v>
      </c>
      <c r="L92" s="22"/>
      <c r="N92" s="5" t="s">
        <v>345</v>
      </c>
    </row>
    <row r="93" spans="2:14">
      <c r="B93" s="6"/>
      <c r="C93" s="6"/>
      <c r="D93" s="6"/>
      <c r="E93" s="6"/>
      <c r="F93" s="6"/>
      <c r="G93" s="21"/>
      <c r="H93" s="7"/>
      <c r="I93" s="6"/>
      <c r="J93" s="6"/>
      <c r="K93" s="6"/>
      <c r="L93" s="22"/>
      <c r="N93" s="5" t="s">
        <v>346</v>
      </c>
    </row>
    <row r="94" spans="2:14">
      <c r="B94" s="6"/>
      <c r="C94" s="6"/>
      <c r="D94" s="6"/>
      <c r="E94" s="6"/>
      <c r="F94" s="6"/>
      <c r="G94" s="21"/>
      <c r="H94" s="7" t="s">
        <v>34</v>
      </c>
      <c r="I94" s="6" t="s">
        <v>41</v>
      </c>
      <c r="J94" s="6">
        <f>IF($L$17="DIV_1", 1, 0)</f>
        <v>0</v>
      </c>
      <c r="K94" s="6"/>
      <c r="L94" s="22"/>
      <c r="N94" s="5" t="s">
        <v>349</v>
      </c>
    </row>
    <row r="95" spans="2:14">
      <c r="B95" s="6"/>
      <c r="C95" s="6"/>
      <c r="D95" s="6"/>
      <c r="E95" s="6"/>
      <c r="F95" s="6"/>
      <c r="G95" s="21"/>
      <c r="H95" s="7"/>
      <c r="I95" s="6" t="s">
        <v>4</v>
      </c>
      <c r="J95" s="6">
        <f>IF($L$17="DIV_2", 2, 0)</f>
        <v>0</v>
      </c>
      <c r="K95" s="6"/>
      <c r="L95" s="22"/>
      <c r="N95" s="5" t="s">
        <v>343</v>
      </c>
    </row>
    <row r="96" spans="2:14">
      <c r="B96" s="6"/>
      <c r="C96" s="6"/>
      <c r="D96" s="6"/>
      <c r="E96" s="6"/>
      <c r="F96" s="6"/>
      <c r="G96" s="21"/>
      <c r="H96" s="7"/>
      <c r="I96" s="6" t="s">
        <v>42</v>
      </c>
      <c r="J96" s="6">
        <f>IF($L$17="DIV_3", 3, 0)</f>
        <v>3</v>
      </c>
      <c r="K96" s="6"/>
      <c r="L96" s="22"/>
      <c r="N96" s="5" t="s">
        <v>419</v>
      </c>
    </row>
    <row r="97" spans="2:23">
      <c r="B97" s="6"/>
      <c r="C97" s="6"/>
      <c r="D97" s="6"/>
      <c r="E97" s="6"/>
      <c r="F97" s="6"/>
      <c r="G97" s="21"/>
      <c r="H97" s="7"/>
      <c r="I97" s="6" t="s">
        <v>43</v>
      </c>
      <c r="J97" s="6">
        <f>IF($L$17="DIV_4", 4, 0)</f>
        <v>0</v>
      </c>
      <c r="K97" s="6"/>
      <c r="L97" s="22"/>
      <c r="N97" s="5" t="s">
        <v>341</v>
      </c>
    </row>
    <row r="98" spans="2:23">
      <c r="B98" s="6"/>
      <c r="C98" s="6"/>
      <c r="D98" s="6"/>
      <c r="E98" s="6"/>
      <c r="F98" s="6"/>
      <c r="G98" s="21"/>
      <c r="H98" s="7"/>
      <c r="I98" s="6" t="s">
        <v>44</v>
      </c>
      <c r="J98" s="6">
        <f>IF($L$17="DIV_5", 5, 0)</f>
        <v>0</v>
      </c>
      <c r="K98" s="6"/>
      <c r="L98" s="22"/>
      <c r="N98" s="5" t="s">
        <v>342</v>
      </c>
    </row>
    <row r="99" spans="2:23">
      <c r="B99" s="6"/>
      <c r="C99" s="6"/>
      <c r="D99" s="6"/>
      <c r="E99" s="6"/>
      <c r="F99" s="6"/>
      <c r="G99" s="21"/>
      <c r="H99" s="7"/>
      <c r="I99" s="6" t="s">
        <v>45</v>
      </c>
      <c r="J99" s="6">
        <f>IF($L$17="DIV_6", 6, 0)</f>
        <v>0</v>
      </c>
      <c r="K99" s="6"/>
      <c r="L99" s="22"/>
    </row>
    <row r="100" spans="2:23">
      <c r="B100" s="6"/>
      <c r="C100" s="6"/>
      <c r="D100" s="6"/>
      <c r="E100" s="6"/>
      <c r="F100" s="6"/>
      <c r="G100" s="21"/>
      <c r="H100" s="7"/>
      <c r="I100" s="6" t="s">
        <v>420</v>
      </c>
      <c r="J100" s="6">
        <f>IF($L$17="DIV_10", 10, 0)</f>
        <v>0</v>
      </c>
      <c r="K100" s="6"/>
      <c r="L100" s="22"/>
      <c r="N100" s="5" t="s">
        <v>350</v>
      </c>
    </row>
    <row r="101" spans="2:23">
      <c r="B101" s="6"/>
      <c r="C101" s="6"/>
      <c r="D101" s="6"/>
      <c r="E101" s="6"/>
      <c r="F101" s="6"/>
      <c r="G101" s="21"/>
      <c r="H101" s="7"/>
      <c r="I101" s="6" t="s">
        <v>421</v>
      </c>
      <c r="J101" s="6">
        <f>IF($L$17="DIV_12", 12, 0)</f>
        <v>0</v>
      </c>
      <c r="K101" s="6"/>
      <c r="L101" s="22"/>
      <c r="N101" s="5" t="s">
        <v>360</v>
      </c>
    </row>
    <row r="102" spans="2:23">
      <c r="B102" s="6"/>
      <c r="C102" s="6"/>
      <c r="D102" s="6"/>
      <c r="E102" s="6"/>
      <c r="F102" s="6"/>
      <c r="G102" s="21"/>
      <c r="H102" s="7"/>
      <c r="I102" s="6"/>
      <c r="J102" s="6">
        <f>SUM(J94:J101)</f>
        <v>3</v>
      </c>
      <c r="K102" s="6"/>
      <c r="L102" s="22"/>
      <c r="N102" s="5" t="s">
        <v>361</v>
      </c>
    </row>
    <row r="103" spans="2:23">
      <c r="B103" s="6"/>
      <c r="C103" s="6"/>
      <c r="D103" s="6"/>
      <c r="E103" s="6"/>
      <c r="F103" s="6"/>
      <c r="G103" s="21"/>
      <c r="H103" s="6"/>
      <c r="I103" s="6"/>
      <c r="J103" s="6"/>
      <c r="K103" s="6"/>
      <c r="L103" s="22"/>
      <c r="N103" s="5" t="s">
        <v>362</v>
      </c>
    </row>
    <row r="104" spans="2:23">
      <c r="B104" s="6"/>
      <c r="C104" s="6"/>
      <c r="D104" s="6"/>
      <c r="E104" s="6"/>
      <c r="F104" s="6"/>
      <c r="G104" s="21"/>
      <c r="H104" s="7" t="s">
        <v>408</v>
      </c>
      <c r="I104" s="6"/>
      <c r="J104" s="6"/>
      <c r="K104" s="6"/>
      <c r="L104" s="22"/>
      <c r="N104" s="5" t="s">
        <v>380</v>
      </c>
    </row>
    <row r="105" spans="2:23">
      <c r="B105" s="6"/>
      <c r="C105" s="6"/>
      <c r="D105" s="6"/>
      <c r="E105" s="6"/>
      <c r="F105" s="6"/>
      <c r="G105" s="21"/>
      <c r="H105" s="6"/>
      <c r="I105" s="6" t="s">
        <v>72</v>
      </c>
      <c r="J105" s="6">
        <f>IF($O$17=I105, 15, 0)</f>
        <v>0</v>
      </c>
      <c r="K105" s="6"/>
      <c r="L105" s="22"/>
      <c r="N105" s="5" t="s">
        <v>382</v>
      </c>
    </row>
    <row r="106" spans="2:23">
      <c r="B106" s="6"/>
      <c r="C106" s="6"/>
      <c r="D106" s="6"/>
      <c r="E106" s="6"/>
      <c r="F106" s="6"/>
      <c r="G106" s="21"/>
      <c r="H106" s="6"/>
      <c r="I106" s="6" t="s">
        <v>73</v>
      </c>
      <c r="J106" s="6">
        <f>IF($O$17=I106, 16, 0)</f>
        <v>0</v>
      </c>
      <c r="K106" s="6"/>
      <c r="L106" s="22"/>
      <c r="N106" s="5" t="s">
        <v>383</v>
      </c>
    </row>
    <row r="107" spans="2:23">
      <c r="B107" s="6"/>
      <c r="C107" s="6"/>
      <c r="D107" s="6"/>
      <c r="E107" s="6"/>
      <c r="F107" s="6"/>
      <c r="G107" s="21"/>
      <c r="H107" s="6"/>
      <c r="I107" s="6" t="s">
        <v>74</v>
      </c>
      <c r="J107" s="6">
        <f>IF($O$17=I107, 17, 0)</f>
        <v>0</v>
      </c>
      <c r="K107" s="6"/>
      <c r="L107" s="22"/>
    </row>
    <row r="108" spans="2:23">
      <c r="B108" s="6"/>
      <c r="C108" s="6"/>
      <c r="D108" s="6"/>
      <c r="E108" s="6"/>
      <c r="F108" s="6"/>
      <c r="G108" s="21"/>
      <c r="H108" s="6"/>
      <c r="I108" s="6" t="s">
        <v>75</v>
      </c>
      <c r="J108" s="6">
        <f>IF($O$17=I108, 18, 0)</f>
        <v>0</v>
      </c>
      <c r="K108" s="6"/>
      <c r="L108" s="22"/>
    </row>
    <row r="109" spans="2:23">
      <c r="B109" s="6"/>
      <c r="C109" s="6"/>
      <c r="D109" s="6"/>
      <c r="E109" s="6"/>
      <c r="F109" s="6"/>
      <c r="G109" s="21"/>
      <c r="H109" s="6"/>
      <c r="I109" s="6" t="s">
        <v>76</v>
      </c>
      <c r="J109" s="6">
        <f>IF($O$17=I109, 19, 0)</f>
        <v>0</v>
      </c>
      <c r="K109" s="6"/>
      <c r="L109" s="22"/>
    </row>
    <row r="110" spans="2:23">
      <c r="B110" s="6"/>
      <c r="C110" s="6"/>
      <c r="D110" s="6"/>
      <c r="E110" s="6"/>
      <c r="F110" s="6"/>
      <c r="G110" s="21"/>
      <c r="H110" s="6"/>
      <c r="I110" s="6" t="s">
        <v>77</v>
      </c>
      <c r="J110" s="6">
        <f>IF($O$17=I110, 20, 0)</f>
        <v>20</v>
      </c>
      <c r="K110" s="6"/>
      <c r="L110" s="22"/>
    </row>
    <row r="111" spans="2:23" ht="15" thickBot="1">
      <c r="B111" s="6"/>
      <c r="C111" s="6"/>
      <c r="D111" s="6"/>
      <c r="E111" s="6"/>
      <c r="F111" s="6"/>
      <c r="G111" s="21"/>
      <c r="H111" s="6"/>
      <c r="I111" s="6" t="s">
        <v>78</v>
      </c>
      <c r="J111" s="6">
        <f>IF($O$17=I111, 21, 0)</f>
        <v>0</v>
      </c>
      <c r="K111" s="6"/>
      <c r="L111" s="22"/>
    </row>
    <row r="112" spans="2:23">
      <c r="B112" s="6"/>
      <c r="C112" s="6"/>
      <c r="D112" s="6"/>
      <c r="E112" s="6"/>
      <c r="F112" s="6"/>
      <c r="G112" s="21"/>
      <c r="H112" s="6"/>
      <c r="I112" s="6" t="s">
        <v>81</v>
      </c>
      <c r="J112" s="6">
        <f>IF($O$17=I112, 24, 0)</f>
        <v>0</v>
      </c>
      <c r="K112" s="6"/>
      <c r="L112" s="22"/>
      <c r="N112" s="18"/>
      <c r="O112" s="19" t="s">
        <v>284</v>
      </c>
      <c r="P112" s="19"/>
      <c r="Q112" s="19"/>
      <c r="R112" s="19"/>
      <c r="S112" s="19"/>
      <c r="T112" s="19"/>
      <c r="U112" s="19"/>
      <c r="V112" s="19"/>
      <c r="W112" s="20"/>
    </row>
    <row r="113" spans="2:23">
      <c r="B113" s="6"/>
      <c r="C113" s="6"/>
      <c r="D113" s="6"/>
      <c r="E113" s="6"/>
      <c r="F113" s="6"/>
      <c r="G113" s="21"/>
      <c r="H113" s="6"/>
      <c r="I113" s="6"/>
      <c r="J113" s="6">
        <f>SUM(J105:J112)</f>
        <v>20</v>
      </c>
      <c r="K113" s="6"/>
      <c r="L113" s="22"/>
      <c r="N113" s="21"/>
      <c r="O113" s="6"/>
      <c r="P113" s="6"/>
      <c r="Q113" s="6"/>
      <c r="R113" s="6"/>
      <c r="S113" s="6"/>
      <c r="T113" s="6"/>
      <c r="U113" s="6"/>
      <c r="V113" s="6"/>
      <c r="W113" s="22"/>
    </row>
    <row r="114" spans="2:23" ht="15" thickBot="1">
      <c r="B114" s="6"/>
      <c r="C114" s="6"/>
      <c r="D114" s="6"/>
      <c r="E114" s="6"/>
      <c r="F114" s="6"/>
      <c r="G114" s="21"/>
      <c r="H114" s="6"/>
      <c r="I114" s="6"/>
      <c r="J114" s="6"/>
      <c r="K114" s="6"/>
      <c r="L114" s="22"/>
      <c r="N114" s="21"/>
      <c r="O114" s="6"/>
      <c r="P114" s="6"/>
      <c r="Q114" s="6"/>
      <c r="R114" s="6"/>
      <c r="S114" s="6"/>
      <c r="T114" s="6"/>
      <c r="U114" s="6"/>
      <c r="V114" s="6"/>
      <c r="W114" s="22"/>
    </row>
    <row r="115" spans="2:23">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c r="B124" s="6"/>
      <c r="C124" s="6"/>
      <c r="D124" s="6"/>
      <c r="E124" s="6"/>
      <c r="F124" s="6"/>
      <c r="G124" s="21"/>
      <c r="H124" s="6"/>
      <c r="I124" s="6"/>
      <c r="J124" s="6"/>
      <c r="L124" s="22"/>
      <c r="N124" s="21"/>
      <c r="O124" s="6"/>
      <c r="P124" s="6"/>
      <c r="Q124" s="6"/>
      <c r="R124" s="6">
        <f>SUM(R116:R123)</f>
        <v>2</v>
      </c>
      <c r="S124" s="6"/>
      <c r="T124" s="6"/>
      <c r="U124" s="6"/>
      <c r="V124" s="6"/>
      <c r="W124" s="22"/>
    </row>
    <row r="125" spans="2:23">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c r="B126" s="6"/>
      <c r="C126" s="6"/>
      <c r="D126" s="6"/>
      <c r="E126" s="6"/>
      <c r="F126" s="6"/>
      <c r="G126" s="21"/>
      <c r="H126" s="6"/>
      <c r="I126" s="6" t="s">
        <v>414</v>
      </c>
      <c r="J126" s="6">
        <f>$U$19</f>
        <v>26.666666666666664</v>
      </c>
      <c r="K126" s="6">
        <f t="shared" si="1"/>
        <v>26.666666666666664</v>
      </c>
      <c r="L126" s="22"/>
      <c r="N126" s="21"/>
      <c r="O126" s="6">
        <v>1</v>
      </c>
      <c r="P126" s="6"/>
      <c r="Q126" s="6"/>
      <c r="R126" s="6"/>
      <c r="S126" s="6"/>
      <c r="T126" s="6"/>
      <c r="U126" s="6"/>
      <c r="V126" s="6"/>
      <c r="W126" s="22"/>
    </row>
    <row r="127" spans="2:23">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c r="B128" s="6"/>
      <c r="C128" s="6"/>
      <c r="D128" s="6"/>
      <c r="E128" s="6"/>
      <c r="F128" s="6"/>
      <c r="G128" s="21"/>
      <c r="H128" s="6"/>
      <c r="I128" s="6" t="s">
        <v>426</v>
      </c>
      <c r="J128" s="6">
        <f>$U$19</f>
        <v>26.666666666666664</v>
      </c>
      <c r="K128" s="6">
        <f t="shared" si="1"/>
        <v>0</v>
      </c>
      <c r="L128" s="22"/>
      <c r="N128" s="21"/>
      <c r="O128" s="7" t="s">
        <v>326</v>
      </c>
      <c r="P128" s="6"/>
      <c r="Q128" s="6"/>
      <c r="R128" s="6"/>
      <c r="S128" s="6"/>
      <c r="T128" s="6"/>
      <c r="U128" s="6"/>
      <c r="V128" s="6"/>
      <c r="W128" s="22"/>
    </row>
    <row r="129" spans="2:23">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c r="B133" s="6"/>
      <c r="C133" s="6"/>
      <c r="D133" s="6"/>
      <c r="E133" s="6"/>
      <c r="F133" s="6"/>
      <c r="G133" s="21"/>
      <c r="H133" s="6"/>
      <c r="I133" s="6"/>
      <c r="J133" s="6"/>
      <c r="K133" s="6">
        <f>SUM(K125:K132)</f>
        <v>26.666666666666664</v>
      </c>
      <c r="L133" s="22"/>
      <c r="N133" s="21"/>
      <c r="O133" s="6">
        <v>2</v>
      </c>
      <c r="P133" s="6"/>
      <c r="Q133" s="6"/>
      <c r="R133" s="6"/>
      <c r="S133" s="6"/>
      <c r="T133" s="6"/>
      <c r="U133" s="6"/>
      <c r="V133" s="6"/>
      <c r="W133" s="22"/>
    </row>
    <row r="134" spans="2:23">
      <c r="B134" s="6"/>
      <c r="C134" s="6"/>
      <c r="D134" s="6"/>
      <c r="E134" s="6"/>
      <c r="F134" s="6"/>
      <c r="G134" s="21"/>
      <c r="L134" s="22"/>
      <c r="N134" s="21"/>
      <c r="O134" s="7">
        <v>4</v>
      </c>
      <c r="P134" s="6"/>
      <c r="Q134" s="6"/>
      <c r="R134" s="6"/>
      <c r="S134" s="6"/>
      <c r="T134" s="6"/>
      <c r="U134" s="6"/>
      <c r="V134" s="6"/>
      <c r="W134" s="22"/>
    </row>
    <row r="135" spans="2:23">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c r="B136" s="6"/>
      <c r="C136" s="6"/>
      <c r="D136" s="6"/>
      <c r="E136" s="6"/>
      <c r="F136" s="6"/>
      <c r="G136" s="21"/>
      <c r="I136" s="6" t="s">
        <v>4</v>
      </c>
      <c r="J136" s="6">
        <f>IF($M$35="DIV_2",2, 0)</f>
        <v>0</v>
      </c>
      <c r="L136" s="22"/>
      <c r="N136" s="21"/>
      <c r="O136" s="6"/>
      <c r="P136" s="6"/>
      <c r="Q136" s="6"/>
      <c r="R136" s="6"/>
      <c r="S136" s="6"/>
      <c r="T136" s="6"/>
      <c r="U136" s="6"/>
      <c r="V136" s="6"/>
      <c r="W136" s="22"/>
    </row>
    <row r="137" spans="2:23">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c r="B143" s="6"/>
      <c r="C143" s="6"/>
      <c r="D143" s="6"/>
      <c r="E143" s="6"/>
      <c r="F143" s="6"/>
      <c r="G143" s="21"/>
      <c r="J143" s="5">
        <f>SUM(J135:J142)</f>
        <v>3</v>
      </c>
      <c r="L143" s="22"/>
      <c r="N143" s="21"/>
      <c r="O143" s="6" t="s">
        <v>303</v>
      </c>
      <c r="P143" s="6"/>
      <c r="Q143" s="6"/>
      <c r="R143" s="6"/>
      <c r="S143" s="6"/>
      <c r="T143" s="6"/>
      <c r="U143" s="6"/>
      <c r="V143" s="6"/>
      <c r="W143" s="22"/>
    </row>
    <row r="144" spans="2:23">
      <c r="B144" s="6"/>
      <c r="C144" s="6"/>
      <c r="D144" s="6"/>
      <c r="E144" s="6"/>
      <c r="F144" s="6"/>
      <c r="G144" s="21"/>
      <c r="H144" s="6"/>
      <c r="I144" s="6"/>
      <c r="J144" s="6"/>
      <c r="K144" s="6"/>
      <c r="L144" s="22"/>
      <c r="N144" s="21"/>
      <c r="O144" s="6" t="s">
        <v>304</v>
      </c>
      <c r="P144" s="6"/>
      <c r="Q144" s="6"/>
      <c r="R144" s="6"/>
      <c r="S144" s="6"/>
      <c r="T144" s="6"/>
      <c r="U144" s="6"/>
      <c r="V144" s="6"/>
      <c r="W144" s="22"/>
    </row>
    <row r="145" spans="2:23">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c r="B146" s="6"/>
      <c r="C146" s="6"/>
      <c r="D146" s="6"/>
      <c r="E146" s="6"/>
      <c r="F146" s="6"/>
      <c r="G146" s="21"/>
      <c r="H146" s="6"/>
      <c r="I146" s="6" t="s">
        <v>7</v>
      </c>
      <c r="J146" s="6"/>
      <c r="K146" s="6"/>
      <c r="L146" s="22"/>
      <c r="N146" s="21"/>
      <c r="O146" s="6"/>
      <c r="P146" s="6"/>
      <c r="Q146" s="6"/>
      <c r="R146" s="6"/>
      <c r="S146" s="6"/>
      <c r="T146" s="6"/>
      <c r="U146" s="6"/>
      <c r="V146" s="6"/>
      <c r="W146" s="22"/>
    </row>
    <row r="147" spans="2:23">
      <c r="B147" s="6"/>
      <c r="C147" s="6"/>
      <c r="D147" s="6"/>
      <c r="E147" s="6"/>
      <c r="F147" s="6"/>
      <c r="G147" s="21"/>
      <c r="H147" s="6"/>
      <c r="I147" s="6"/>
      <c r="J147" s="6"/>
      <c r="K147" s="6"/>
      <c r="L147" s="22"/>
      <c r="N147" s="21" t="s">
        <v>305</v>
      </c>
      <c r="O147" s="6"/>
      <c r="P147" s="6"/>
      <c r="Q147" s="6"/>
      <c r="R147" s="6"/>
      <c r="S147" s="6"/>
      <c r="T147" s="6"/>
      <c r="U147" s="6"/>
      <c r="V147" s="6"/>
      <c r="W147" s="22"/>
    </row>
    <row r="148" spans="2:23">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c r="B149" s="6"/>
      <c r="C149" s="6"/>
      <c r="D149" s="6"/>
      <c r="E149" s="6"/>
      <c r="F149" s="6"/>
      <c r="G149" s="21"/>
      <c r="H149" s="6"/>
      <c r="I149" s="6" t="s">
        <v>7</v>
      </c>
      <c r="J149" s="6"/>
      <c r="K149" s="6"/>
      <c r="L149" s="22"/>
      <c r="N149" s="21"/>
      <c r="O149" s="6" t="s">
        <v>296</v>
      </c>
      <c r="P149" s="6"/>
      <c r="Q149" s="6"/>
      <c r="R149" s="6"/>
      <c r="S149" s="6"/>
      <c r="T149" s="6"/>
      <c r="U149" s="6"/>
      <c r="V149" s="6"/>
      <c r="W149" s="22"/>
    </row>
    <row r="150" spans="2:23">
      <c r="B150" s="6"/>
      <c r="C150" s="6"/>
      <c r="D150" s="6"/>
      <c r="E150" s="6"/>
      <c r="F150" s="6"/>
      <c r="G150" s="21"/>
      <c r="H150" s="6"/>
      <c r="I150" s="6"/>
      <c r="J150" s="6"/>
      <c r="K150" s="6"/>
      <c r="L150" s="22"/>
      <c r="N150" s="21"/>
      <c r="O150" s="6"/>
      <c r="P150" s="6"/>
      <c r="Q150" s="6"/>
      <c r="R150" s="6"/>
      <c r="S150" s="6"/>
      <c r="T150" s="6"/>
      <c r="U150" s="6"/>
      <c r="V150" s="6"/>
      <c r="W150" s="22"/>
    </row>
    <row r="151" spans="2:23">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c r="B152" s="6"/>
      <c r="C152" s="6"/>
      <c r="D152" s="6"/>
      <c r="E152" s="6"/>
      <c r="F152" s="6"/>
      <c r="G152" s="21"/>
      <c r="H152" s="6"/>
      <c r="I152" s="6" t="s">
        <v>7</v>
      </c>
      <c r="J152" s="6"/>
      <c r="K152" s="6"/>
      <c r="L152" s="22"/>
      <c r="N152" s="21"/>
      <c r="O152" s="6" t="s">
        <v>410</v>
      </c>
      <c r="P152" s="6"/>
      <c r="Q152" s="6"/>
      <c r="R152" s="6"/>
      <c r="T152" s="6"/>
      <c r="U152" s="6"/>
      <c r="V152" s="6"/>
      <c r="W152" s="22"/>
    </row>
    <row r="153" spans="2:23">
      <c r="B153" s="6"/>
      <c r="C153" s="6"/>
      <c r="D153" s="6"/>
      <c r="E153" s="6"/>
      <c r="F153" s="6"/>
      <c r="G153" s="21"/>
      <c r="H153" s="6"/>
      <c r="I153" s="6"/>
      <c r="J153" s="6"/>
      <c r="K153" s="6"/>
      <c r="L153" s="22"/>
      <c r="N153" s="21"/>
      <c r="O153" s="6" t="s">
        <v>430</v>
      </c>
      <c r="P153" s="6"/>
      <c r="Q153" s="6"/>
      <c r="R153" s="6"/>
      <c r="S153" s="6"/>
      <c r="T153" s="6"/>
      <c r="U153" s="6"/>
      <c r="V153" s="6"/>
      <c r="W153" s="22"/>
    </row>
    <row r="154" spans="2:23">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c r="B155" s="6"/>
      <c r="C155" s="6"/>
      <c r="D155" s="6"/>
      <c r="E155" s="6"/>
      <c r="F155" s="6"/>
      <c r="G155" s="21"/>
      <c r="H155" s="6"/>
      <c r="I155" s="6" t="s">
        <v>4</v>
      </c>
      <c r="J155" s="6">
        <f>IF($Q$45="DIV_2", 2, 0)</f>
        <v>2</v>
      </c>
      <c r="K155" s="6"/>
      <c r="L155" s="22"/>
      <c r="N155" s="21" t="s">
        <v>313</v>
      </c>
      <c r="O155" s="6"/>
      <c r="P155" s="6"/>
      <c r="Q155" s="6"/>
      <c r="R155" s="6"/>
      <c r="S155" s="6"/>
      <c r="T155" s="6"/>
      <c r="U155" s="6"/>
      <c r="V155" s="6"/>
      <c r="W155" s="22"/>
    </row>
    <row r="156" spans="2:23">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5" thickBot="1">
      <c r="B158" s="6"/>
      <c r="C158" s="6"/>
      <c r="D158" s="6"/>
      <c r="E158" s="6"/>
      <c r="F158" s="6"/>
      <c r="G158" s="24"/>
      <c r="H158" s="25"/>
      <c r="I158" s="25"/>
      <c r="J158" s="25">
        <f>SUM(J154:J157)</f>
        <v>2</v>
      </c>
      <c r="K158" s="25"/>
      <c r="L158" s="26"/>
      <c r="N158" s="21"/>
      <c r="O158" s="6"/>
      <c r="P158" s="6"/>
      <c r="Q158" s="6"/>
      <c r="R158" s="6"/>
      <c r="S158" s="6"/>
      <c r="T158" s="6"/>
      <c r="U158" s="6"/>
      <c r="V158" s="6"/>
      <c r="W158" s="22"/>
    </row>
    <row r="159" spans="2:23">
      <c r="B159" s="6"/>
      <c r="C159" s="6"/>
      <c r="D159" s="6"/>
      <c r="E159" s="6"/>
      <c r="F159" s="6"/>
      <c r="G159" s="6"/>
      <c r="H159" s="6"/>
      <c r="I159" s="6"/>
      <c r="J159" s="6"/>
      <c r="K159" s="6"/>
      <c r="L159" s="6"/>
      <c r="N159" s="21" t="s">
        <v>316</v>
      </c>
      <c r="O159" s="6"/>
      <c r="P159" s="6"/>
      <c r="Q159" s="6"/>
      <c r="R159" s="6"/>
      <c r="S159" s="6"/>
      <c r="T159" s="6"/>
      <c r="U159" s="6"/>
      <c r="V159" s="6"/>
      <c r="W159" s="22"/>
    </row>
    <row r="160" spans="2:23">
      <c r="B160" s="6"/>
      <c r="C160" s="6"/>
      <c r="D160" s="6"/>
      <c r="E160" s="6"/>
      <c r="F160" s="6"/>
      <c r="G160" s="6"/>
      <c r="H160" s="6"/>
      <c r="I160" s="6"/>
      <c r="J160" s="6"/>
      <c r="K160" s="6"/>
      <c r="L160" s="6"/>
      <c r="N160" s="21"/>
      <c r="O160" s="6" t="s">
        <v>318</v>
      </c>
      <c r="P160" s="6"/>
      <c r="Q160" s="6"/>
      <c r="R160" s="6"/>
      <c r="S160" s="6"/>
      <c r="T160" s="6"/>
      <c r="U160" s="6"/>
      <c r="V160" s="6"/>
      <c r="W160" s="22"/>
    </row>
    <row r="161" spans="2:23">
      <c r="B161" s="6"/>
      <c r="C161" s="6"/>
      <c r="D161" s="6"/>
      <c r="E161" s="6"/>
      <c r="F161" s="6"/>
      <c r="G161" s="6"/>
      <c r="H161" s="6"/>
      <c r="I161" s="6"/>
      <c r="J161" s="6"/>
      <c r="K161" s="6"/>
      <c r="L161" s="6"/>
      <c r="N161" s="21"/>
      <c r="O161" s="6" t="s">
        <v>319</v>
      </c>
      <c r="P161" s="6"/>
      <c r="Q161" s="6"/>
      <c r="R161" s="6"/>
      <c r="S161" s="6"/>
      <c r="T161" s="6"/>
      <c r="U161" s="6"/>
      <c r="V161" s="6"/>
      <c r="W161" s="22"/>
    </row>
    <row r="162" spans="2:23">
      <c r="B162" s="6"/>
      <c r="C162" s="6"/>
      <c r="D162" s="6"/>
      <c r="E162" s="6"/>
      <c r="F162" s="6"/>
      <c r="G162" s="6"/>
      <c r="H162" s="6"/>
      <c r="I162" s="6"/>
      <c r="J162" s="6"/>
      <c r="K162" s="6"/>
      <c r="L162" s="6"/>
      <c r="N162" s="21"/>
      <c r="O162" s="6" t="s">
        <v>320</v>
      </c>
      <c r="P162" s="6"/>
      <c r="Q162" s="6"/>
      <c r="R162" s="6"/>
      <c r="S162" s="6"/>
      <c r="T162" s="6"/>
      <c r="U162" s="6"/>
      <c r="V162" s="6"/>
      <c r="W162" s="22"/>
    </row>
    <row r="163" spans="2:23">
      <c r="B163" s="6"/>
      <c r="C163" s="6"/>
      <c r="D163" s="6"/>
      <c r="E163" s="6"/>
      <c r="F163" s="6"/>
      <c r="G163" s="6"/>
      <c r="H163" s="6"/>
      <c r="I163" s="6"/>
      <c r="J163" s="6"/>
      <c r="K163" s="6"/>
      <c r="L163" s="6"/>
      <c r="N163" s="21"/>
      <c r="O163" s="6" t="s">
        <v>321</v>
      </c>
      <c r="P163" s="6"/>
      <c r="Q163" s="6"/>
      <c r="R163" s="6"/>
      <c r="S163" s="6"/>
      <c r="T163" s="6"/>
      <c r="U163" s="6"/>
      <c r="V163" s="6"/>
      <c r="W163" s="22"/>
    </row>
    <row r="164" spans="2:23">
      <c r="B164" s="6"/>
      <c r="C164" s="6"/>
      <c r="D164" s="6"/>
      <c r="E164" s="6"/>
      <c r="F164" s="6"/>
      <c r="G164" s="6"/>
      <c r="H164" s="7"/>
      <c r="I164" s="6"/>
      <c r="J164" s="6"/>
      <c r="K164" s="6"/>
      <c r="L164" s="6"/>
      <c r="N164" s="21"/>
      <c r="O164" s="6" t="s">
        <v>322</v>
      </c>
      <c r="P164" s="6"/>
      <c r="Q164" s="6"/>
      <c r="R164" s="6"/>
      <c r="S164" s="6"/>
      <c r="T164" s="6"/>
      <c r="U164" s="6"/>
      <c r="V164" s="6"/>
      <c r="W164" s="22"/>
    </row>
    <row r="165" spans="2:23">
      <c r="B165" s="6"/>
      <c r="C165" s="6"/>
      <c r="D165" s="6"/>
      <c r="E165" s="6"/>
      <c r="F165" s="6"/>
      <c r="G165" s="6"/>
      <c r="H165" s="6"/>
      <c r="I165" s="6"/>
      <c r="J165" s="6"/>
      <c r="K165" s="6"/>
      <c r="L165" s="6"/>
      <c r="N165" s="21"/>
      <c r="O165" s="6" t="s">
        <v>323</v>
      </c>
      <c r="P165" s="6"/>
      <c r="Q165" s="6"/>
      <c r="R165" s="6"/>
      <c r="S165" s="6"/>
      <c r="T165" s="6"/>
      <c r="U165" s="6"/>
      <c r="V165" s="6"/>
      <c r="W165" s="22"/>
    </row>
    <row r="166" spans="2:23">
      <c r="B166" s="6"/>
      <c r="C166" s="6"/>
      <c r="D166" s="6"/>
      <c r="E166" s="6"/>
      <c r="F166" s="6"/>
      <c r="G166" s="6"/>
      <c r="H166" s="6"/>
      <c r="I166" s="6"/>
      <c r="J166" s="6"/>
      <c r="K166" s="6"/>
      <c r="L166" s="6"/>
      <c r="N166" s="21"/>
      <c r="O166" s="6" t="s">
        <v>324</v>
      </c>
      <c r="P166" s="6"/>
      <c r="Q166" s="6"/>
      <c r="R166" s="6"/>
      <c r="S166" s="6"/>
      <c r="T166" s="6"/>
      <c r="U166" s="6"/>
      <c r="V166" s="6"/>
      <c r="W166" s="22"/>
    </row>
    <row r="167" spans="2:23">
      <c r="B167" s="6"/>
      <c r="C167" s="6"/>
      <c r="D167" s="6"/>
      <c r="E167" s="6"/>
      <c r="F167" s="6"/>
      <c r="G167" s="6"/>
      <c r="H167" s="6"/>
      <c r="I167" s="6"/>
      <c r="J167" s="6"/>
      <c r="K167" s="6"/>
      <c r="L167" s="6"/>
      <c r="N167" s="21"/>
      <c r="O167" s="6" t="s">
        <v>317</v>
      </c>
      <c r="P167" s="6"/>
      <c r="Q167" s="6"/>
      <c r="R167" s="6"/>
      <c r="S167" s="6"/>
      <c r="T167" s="6"/>
      <c r="U167" s="6"/>
      <c r="V167" s="6"/>
      <c r="W167" s="22"/>
    </row>
    <row r="168" spans="2:23">
      <c r="B168" s="6"/>
      <c r="C168" s="6"/>
      <c r="D168" s="6"/>
      <c r="E168" s="6"/>
      <c r="F168" s="6"/>
      <c r="G168" s="6"/>
      <c r="H168" s="6"/>
      <c r="I168" s="6"/>
      <c r="J168" s="6"/>
      <c r="K168" s="6"/>
      <c r="L168" s="6"/>
      <c r="N168" s="21"/>
      <c r="O168" s="6"/>
      <c r="P168" s="6"/>
      <c r="Q168" s="6"/>
      <c r="R168" s="6"/>
      <c r="S168" s="6"/>
      <c r="T168" s="6"/>
      <c r="U168" s="6"/>
      <c r="V168" s="6"/>
      <c r="W168" s="22"/>
    </row>
    <row r="169" spans="2:23">
      <c r="B169" s="6"/>
      <c r="C169" s="6"/>
      <c r="D169" s="6"/>
      <c r="E169" s="6"/>
      <c r="F169" s="6"/>
      <c r="G169" s="6"/>
      <c r="H169" s="6"/>
      <c r="I169" s="6"/>
      <c r="J169" s="6"/>
      <c r="K169" s="6"/>
      <c r="L169" s="6"/>
      <c r="N169" s="21" t="s">
        <v>325</v>
      </c>
      <c r="O169" s="6"/>
      <c r="P169" s="6"/>
      <c r="Q169" s="6"/>
      <c r="R169" s="6"/>
      <c r="S169" s="6"/>
      <c r="T169" s="6"/>
      <c r="U169" s="6"/>
      <c r="V169" s="6"/>
      <c r="W169" s="22"/>
    </row>
    <row r="170" spans="2:23">
      <c r="B170" s="6"/>
      <c r="C170" s="6"/>
      <c r="D170" s="6"/>
      <c r="E170" s="6"/>
      <c r="F170" s="6"/>
      <c r="G170" s="6"/>
      <c r="H170" s="6"/>
      <c r="I170" s="6"/>
      <c r="J170" s="6"/>
      <c r="K170" s="6"/>
      <c r="L170" s="6"/>
      <c r="N170" s="21"/>
      <c r="O170" s="6">
        <v>15</v>
      </c>
      <c r="P170" s="6"/>
      <c r="Q170" s="6"/>
      <c r="R170" s="6"/>
      <c r="S170" s="6"/>
      <c r="T170" s="6"/>
      <c r="U170" s="6"/>
      <c r="V170" s="6"/>
      <c r="W170" s="22"/>
    </row>
    <row r="171" spans="2:23">
      <c r="B171" s="6"/>
      <c r="C171" s="6"/>
      <c r="D171" s="6"/>
      <c r="E171" s="6"/>
      <c r="F171" s="6"/>
      <c r="G171" s="6"/>
      <c r="H171" s="6"/>
      <c r="I171" s="6"/>
      <c r="J171" s="6"/>
      <c r="K171" s="6"/>
      <c r="L171" s="6"/>
      <c r="N171" s="21"/>
      <c r="O171" s="6">
        <v>16</v>
      </c>
      <c r="P171" s="6"/>
      <c r="Q171" s="6"/>
      <c r="R171" s="6"/>
      <c r="S171" s="6"/>
      <c r="T171" s="6"/>
      <c r="U171" s="6"/>
      <c r="V171" s="6"/>
      <c r="W171" s="22"/>
    </row>
    <row r="172" spans="2:23">
      <c r="B172" s="6"/>
      <c r="C172" s="6"/>
      <c r="D172" s="6"/>
      <c r="E172" s="6"/>
      <c r="F172" s="6"/>
      <c r="G172" s="6"/>
      <c r="H172" s="6"/>
      <c r="I172" s="6"/>
      <c r="J172" s="6"/>
      <c r="K172" s="6"/>
      <c r="L172" s="6"/>
      <c r="N172" s="21"/>
      <c r="O172" s="7">
        <v>17</v>
      </c>
      <c r="P172" s="6"/>
      <c r="Q172" s="6"/>
      <c r="R172" s="6"/>
      <c r="S172" s="6"/>
      <c r="T172" s="6"/>
      <c r="U172" s="6"/>
      <c r="V172" s="6"/>
      <c r="W172" s="22"/>
    </row>
    <row r="173" spans="2:23">
      <c r="B173" s="6"/>
      <c r="C173" s="6"/>
      <c r="D173" s="6"/>
      <c r="E173" s="6"/>
      <c r="F173" s="6"/>
      <c r="G173" s="6"/>
      <c r="H173" s="6"/>
      <c r="I173" s="6"/>
      <c r="J173" s="6"/>
      <c r="K173" s="6"/>
      <c r="L173" s="6"/>
      <c r="N173" s="21"/>
      <c r="O173" s="6">
        <v>18</v>
      </c>
      <c r="P173" s="6"/>
      <c r="Q173" s="6"/>
      <c r="R173" s="6"/>
      <c r="S173" s="6"/>
      <c r="T173" s="6"/>
      <c r="U173" s="6"/>
      <c r="V173" s="6"/>
      <c r="W173" s="22"/>
    </row>
    <row r="174" spans="2:23">
      <c r="B174" s="6"/>
      <c r="C174" s="6"/>
      <c r="D174" s="6"/>
      <c r="E174" s="6"/>
      <c r="F174" s="6"/>
      <c r="G174" s="6"/>
      <c r="H174" s="6"/>
      <c r="I174" s="6"/>
      <c r="J174" s="6"/>
      <c r="K174" s="6"/>
      <c r="L174" s="6"/>
      <c r="N174" s="21"/>
      <c r="O174" s="6">
        <v>19</v>
      </c>
      <c r="P174" s="6"/>
      <c r="Q174" s="6"/>
      <c r="R174" s="6"/>
      <c r="S174" s="6"/>
      <c r="T174" s="6"/>
      <c r="U174" s="6"/>
      <c r="V174" s="6"/>
      <c r="W174" s="22"/>
    </row>
    <row r="175" spans="2:23">
      <c r="B175" s="6"/>
      <c r="C175" s="6"/>
      <c r="D175" s="6"/>
      <c r="E175" s="6"/>
      <c r="F175" s="6"/>
      <c r="G175" s="6"/>
      <c r="H175" s="6"/>
      <c r="I175" s="6"/>
      <c r="J175" s="6"/>
      <c r="K175" s="6"/>
      <c r="L175" s="6"/>
      <c r="N175" s="21"/>
      <c r="O175" s="6">
        <v>20</v>
      </c>
      <c r="P175" s="6"/>
      <c r="Q175" s="6"/>
      <c r="R175" s="6"/>
      <c r="S175" s="6"/>
      <c r="T175" s="6"/>
      <c r="U175" s="6"/>
      <c r="V175" s="6"/>
      <c r="W175" s="22"/>
    </row>
    <row r="176" spans="2:23">
      <c r="B176" s="6"/>
      <c r="C176" s="6"/>
      <c r="D176" s="6"/>
      <c r="E176" s="6"/>
      <c r="F176" s="6"/>
      <c r="G176" s="6"/>
      <c r="H176" s="6"/>
      <c r="I176" s="6"/>
      <c r="J176" s="6"/>
      <c r="K176" s="6"/>
      <c r="L176" s="6"/>
      <c r="N176" s="21"/>
      <c r="O176" s="6">
        <v>21</v>
      </c>
      <c r="P176" s="6"/>
      <c r="Q176" s="6"/>
      <c r="R176" s="6"/>
      <c r="S176" s="6"/>
      <c r="T176" s="6"/>
      <c r="U176" s="6"/>
      <c r="V176" s="6"/>
      <c r="W176" s="22"/>
    </row>
    <row r="177" spans="2:23">
      <c r="B177" s="6"/>
      <c r="C177" s="6"/>
      <c r="D177" s="6"/>
      <c r="E177" s="6"/>
      <c r="F177" s="6"/>
      <c r="G177" s="6"/>
      <c r="H177" s="6"/>
      <c r="I177" s="6"/>
      <c r="J177" s="6"/>
      <c r="K177" s="6"/>
      <c r="L177" s="6"/>
      <c r="N177" s="21"/>
      <c r="O177" s="6">
        <v>24</v>
      </c>
      <c r="P177" s="6"/>
      <c r="Q177" s="6"/>
      <c r="R177" s="6"/>
      <c r="S177" s="6"/>
      <c r="T177" s="6"/>
      <c r="U177" s="6"/>
      <c r="V177" s="6"/>
      <c r="W177" s="22"/>
    </row>
    <row r="178" spans="2:23">
      <c r="B178" s="6"/>
      <c r="C178" s="6"/>
      <c r="D178" s="6"/>
      <c r="E178" s="6"/>
      <c r="F178" s="6"/>
      <c r="G178" s="6"/>
      <c r="H178" s="6"/>
      <c r="I178" s="6"/>
      <c r="J178" s="6"/>
      <c r="K178" s="6"/>
      <c r="L178" s="6"/>
      <c r="N178" s="21"/>
      <c r="O178" s="6"/>
      <c r="P178" s="6"/>
      <c r="Q178" s="6"/>
      <c r="R178" s="6"/>
      <c r="S178" s="6"/>
      <c r="T178" s="6"/>
      <c r="U178" s="6"/>
      <c r="V178" s="6"/>
      <c r="W178" s="22"/>
    </row>
    <row r="179" spans="2:23">
      <c r="B179" s="6"/>
      <c r="C179" s="6"/>
      <c r="D179" s="6"/>
      <c r="E179" s="6"/>
      <c r="F179" s="6"/>
      <c r="G179" s="6"/>
      <c r="H179" s="6"/>
      <c r="I179" s="6"/>
      <c r="J179" s="6"/>
      <c r="K179" s="6"/>
      <c r="L179" s="6"/>
      <c r="N179" s="21" t="s">
        <v>328</v>
      </c>
      <c r="O179" s="6"/>
      <c r="P179" s="6"/>
      <c r="Q179" s="6"/>
      <c r="R179" s="6"/>
      <c r="S179" s="6"/>
      <c r="T179" s="6"/>
      <c r="U179" s="6"/>
      <c r="V179" s="6"/>
      <c r="W179" s="22"/>
    </row>
    <row r="180" spans="2:23">
      <c r="B180" s="6"/>
      <c r="C180" s="6"/>
      <c r="D180" s="6"/>
      <c r="E180" s="6"/>
      <c r="F180" s="6"/>
      <c r="G180" s="6"/>
      <c r="H180" s="6"/>
      <c r="I180" s="6"/>
      <c r="J180" s="6"/>
      <c r="K180" s="6"/>
      <c r="L180" s="6"/>
      <c r="N180" s="21"/>
      <c r="O180" s="6" t="s">
        <v>329</v>
      </c>
      <c r="P180" s="6"/>
      <c r="Q180" s="6"/>
      <c r="R180" s="6"/>
      <c r="S180" s="6"/>
      <c r="T180" s="6"/>
      <c r="U180" s="6"/>
      <c r="V180" s="6"/>
      <c r="W180" s="22"/>
    </row>
    <row r="181" spans="2:23">
      <c r="B181" s="6"/>
      <c r="C181" s="6"/>
      <c r="D181" s="6"/>
      <c r="E181" s="6"/>
      <c r="F181" s="6"/>
      <c r="G181" s="6"/>
      <c r="H181" s="6"/>
      <c r="I181" s="6"/>
      <c r="J181" s="6"/>
      <c r="K181" s="6"/>
      <c r="L181" s="6"/>
      <c r="N181" s="21"/>
      <c r="O181" s="6" t="s">
        <v>330</v>
      </c>
      <c r="P181" s="6"/>
      <c r="Q181" s="6"/>
      <c r="R181" s="6"/>
      <c r="S181" s="6"/>
      <c r="T181" s="6"/>
      <c r="U181" s="6"/>
      <c r="V181" s="6"/>
      <c r="W181" s="22"/>
    </row>
    <row r="182" spans="2:23">
      <c r="B182" s="6"/>
      <c r="C182" s="6"/>
      <c r="D182" s="6"/>
      <c r="E182" s="6"/>
      <c r="F182" s="6"/>
      <c r="G182" s="6"/>
      <c r="H182" s="6"/>
      <c r="I182" s="6"/>
      <c r="J182" s="6"/>
      <c r="K182" s="6"/>
      <c r="L182" s="6"/>
      <c r="N182" s="21"/>
      <c r="O182" s="6" t="s">
        <v>331</v>
      </c>
      <c r="P182" s="6"/>
      <c r="Q182" s="6"/>
      <c r="R182" s="6"/>
      <c r="S182" s="6"/>
      <c r="T182" s="6"/>
      <c r="U182" s="6"/>
      <c r="V182" s="6"/>
      <c r="W182" s="22"/>
    </row>
    <row r="183" spans="2:23">
      <c r="B183" s="6"/>
      <c r="C183" s="6"/>
      <c r="D183" s="6"/>
      <c r="E183" s="6"/>
      <c r="F183" s="6"/>
      <c r="G183" s="6"/>
      <c r="H183" s="6"/>
      <c r="I183" s="6"/>
      <c r="J183" s="6"/>
      <c r="K183" s="6"/>
      <c r="L183" s="6"/>
      <c r="N183" s="21"/>
      <c r="O183" s="6" t="s">
        <v>332</v>
      </c>
      <c r="P183" s="6"/>
      <c r="Q183" s="6"/>
      <c r="R183" s="6"/>
      <c r="S183" s="6"/>
      <c r="T183" s="6"/>
      <c r="U183" s="6"/>
      <c r="V183" s="6"/>
      <c r="W183" s="22"/>
    </row>
    <row r="184" spans="2:23">
      <c r="B184" s="6"/>
      <c r="C184" s="6"/>
      <c r="D184" s="6"/>
      <c r="E184" s="6"/>
      <c r="F184" s="6"/>
      <c r="G184" s="6"/>
      <c r="H184" s="6"/>
      <c r="I184" s="6"/>
      <c r="J184" s="6"/>
      <c r="K184" s="6"/>
      <c r="L184" s="6"/>
      <c r="N184" s="21"/>
      <c r="O184" s="6" t="s">
        <v>333</v>
      </c>
      <c r="P184" s="6"/>
      <c r="Q184" s="6"/>
      <c r="R184" s="6"/>
      <c r="S184" s="6"/>
      <c r="T184" s="6"/>
      <c r="U184" s="6"/>
      <c r="V184" s="6"/>
      <c r="W184" s="22"/>
    </row>
    <row r="185" spans="2:23">
      <c r="B185" s="6"/>
      <c r="C185" s="6"/>
      <c r="D185" s="6"/>
      <c r="E185" s="6"/>
      <c r="F185" s="6"/>
      <c r="G185" s="6"/>
      <c r="H185" s="6"/>
      <c r="I185" s="6"/>
      <c r="J185" s="6"/>
      <c r="K185" s="6"/>
      <c r="L185" s="6"/>
      <c r="N185" s="21"/>
      <c r="O185" s="6" t="s">
        <v>334</v>
      </c>
      <c r="P185" s="6"/>
      <c r="Q185" s="6"/>
      <c r="R185" s="6"/>
      <c r="S185" s="6"/>
      <c r="T185" s="6"/>
      <c r="U185" s="6"/>
      <c r="V185" s="6"/>
      <c r="W185" s="22"/>
    </row>
    <row r="186" spans="2:23">
      <c r="B186" s="6"/>
      <c r="C186" s="6"/>
      <c r="D186" s="6"/>
      <c r="E186" s="6"/>
      <c r="F186" s="6"/>
      <c r="G186" s="6"/>
      <c r="H186" s="6"/>
      <c r="I186" s="6"/>
      <c r="J186" s="6"/>
      <c r="K186" s="6"/>
      <c r="L186" s="6"/>
      <c r="N186" s="21"/>
      <c r="O186" s="6" t="s">
        <v>335</v>
      </c>
      <c r="P186" s="6"/>
      <c r="Q186" s="6"/>
      <c r="R186" s="6"/>
      <c r="S186" s="6"/>
      <c r="T186" s="6"/>
      <c r="U186" s="6"/>
      <c r="V186" s="6"/>
      <c r="W186" s="22"/>
    </row>
    <row r="187" spans="2:23">
      <c r="B187" s="6"/>
      <c r="C187" s="6"/>
      <c r="D187" s="6"/>
      <c r="E187" s="6"/>
      <c r="F187" s="6"/>
      <c r="G187" s="6"/>
      <c r="H187" s="6"/>
      <c r="I187" s="6"/>
      <c r="J187" s="6"/>
      <c r="K187" s="6"/>
      <c r="L187" s="6"/>
      <c r="N187" s="21"/>
      <c r="O187" s="6" t="s">
        <v>327</v>
      </c>
      <c r="P187" s="6"/>
      <c r="Q187" s="6"/>
      <c r="R187" s="6"/>
      <c r="S187" s="6"/>
      <c r="T187" s="6"/>
      <c r="U187" s="6"/>
      <c r="V187" s="6"/>
      <c r="W187" s="22"/>
    </row>
    <row r="188" spans="2:23">
      <c r="B188" s="6"/>
      <c r="C188" s="6"/>
      <c r="D188" s="6"/>
      <c r="E188" s="6"/>
      <c r="F188" s="6"/>
      <c r="G188" s="6"/>
      <c r="H188" s="6"/>
      <c r="I188" s="6"/>
      <c r="J188" s="6"/>
      <c r="K188" s="6"/>
      <c r="L188" s="6"/>
      <c r="N188" s="21"/>
      <c r="O188" s="6"/>
      <c r="P188" s="6"/>
      <c r="Q188" s="6"/>
      <c r="R188" s="6"/>
      <c r="S188" s="6"/>
      <c r="T188" s="6"/>
      <c r="U188" s="6"/>
      <c r="V188" s="6"/>
      <c r="W188" s="22"/>
    </row>
    <row r="189" spans="2:23">
      <c r="B189" s="6"/>
      <c r="C189" s="6"/>
      <c r="D189" s="6"/>
      <c r="E189" s="6"/>
      <c r="F189" s="6"/>
      <c r="G189" s="6"/>
      <c r="H189" s="6"/>
      <c r="I189" s="6"/>
      <c r="J189" s="6"/>
      <c r="K189" s="6"/>
      <c r="L189" s="6"/>
      <c r="N189" s="21" t="s">
        <v>351</v>
      </c>
      <c r="O189" s="6"/>
      <c r="P189" s="6"/>
      <c r="Q189" s="6"/>
      <c r="R189" s="6"/>
      <c r="S189" s="6"/>
      <c r="T189" s="6"/>
      <c r="U189" s="6"/>
      <c r="V189" s="6"/>
      <c r="W189" s="22"/>
    </row>
    <row r="190" spans="2:23">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c r="B191" s="6"/>
      <c r="C191" s="6"/>
      <c r="D191" s="6"/>
      <c r="E191" s="6"/>
      <c r="F191" s="6"/>
      <c r="G191" s="6"/>
      <c r="H191" s="6"/>
      <c r="I191" s="6"/>
      <c r="J191" s="6"/>
      <c r="K191" s="6"/>
      <c r="L191" s="6"/>
      <c r="N191" s="21"/>
      <c r="O191" s="6" t="s">
        <v>359</v>
      </c>
      <c r="P191" s="6"/>
      <c r="Q191" s="6"/>
      <c r="R191" s="6"/>
      <c r="S191" s="6"/>
      <c r="T191" s="6">
        <f>$M$61</f>
        <v>53.333333333333329</v>
      </c>
      <c r="U191" s="6">
        <f t="shared" ref="U191:U198" si="2">IF($O$79=O191, T191, 0)</f>
        <v>0</v>
      </c>
      <c r="V191" s="6"/>
      <c r="W191" s="22"/>
    </row>
    <row r="192" spans="2:23">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c r="B193" s="6"/>
      <c r="C193" s="6"/>
      <c r="D193" s="6"/>
      <c r="E193" s="6"/>
      <c r="F193" s="6"/>
      <c r="G193" s="6"/>
      <c r="H193" s="6"/>
      <c r="I193" s="6"/>
      <c r="J193" s="6"/>
      <c r="K193" s="6"/>
      <c r="L193" s="6"/>
      <c r="N193" s="21"/>
      <c r="O193" s="6" t="s">
        <v>431</v>
      </c>
      <c r="P193" s="6"/>
      <c r="Q193" s="6"/>
      <c r="R193" s="6"/>
      <c r="S193" s="6"/>
      <c r="T193" s="6">
        <f>$M$65</f>
        <v>64</v>
      </c>
      <c r="U193" s="6">
        <f t="shared" si="2"/>
        <v>0</v>
      </c>
      <c r="V193" s="6"/>
      <c r="W193" s="22"/>
    </row>
    <row r="194" spans="2:23">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c r="B196" s="6"/>
      <c r="C196" s="6"/>
      <c r="D196" s="6"/>
      <c r="E196" s="6"/>
      <c r="F196" s="6"/>
      <c r="G196" s="6"/>
      <c r="H196" s="6"/>
      <c r="I196" s="6"/>
      <c r="J196" s="6"/>
      <c r="K196" s="6"/>
      <c r="L196" s="6"/>
      <c r="N196" s="21"/>
      <c r="O196" s="6" t="s">
        <v>354</v>
      </c>
      <c r="P196" s="6"/>
      <c r="Q196" s="6"/>
      <c r="R196" s="6"/>
      <c r="S196" s="6"/>
      <c r="T196" s="6">
        <f>$M$71</f>
        <v>13.333333333333332</v>
      </c>
      <c r="U196" s="6">
        <f t="shared" si="2"/>
        <v>0</v>
      </c>
      <c r="V196" s="6"/>
      <c r="W196" s="22"/>
    </row>
    <row r="197" spans="2:23">
      <c r="B197" s="6"/>
      <c r="C197" s="6"/>
      <c r="D197" s="6"/>
      <c r="E197" s="6"/>
      <c r="F197" s="6"/>
      <c r="G197" s="6"/>
      <c r="H197" s="6"/>
      <c r="I197" s="6"/>
      <c r="J197" s="6"/>
      <c r="K197" s="6"/>
      <c r="L197" s="6"/>
      <c r="N197" s="21"/>
      <c r="O197" s="6" t="s">
        <v>353</v>
      </c>
      <c r="P197" s="6"/>
      <c r="Q197" s="6"/>
      <c r="R197" s="6"/>
      <c r="S197" s="6"/>
      <c r="T197" s="6">
        <f>$M$73</f>
        <v>26.666666666666664</v>
      </c>
      <c r="U197" s="6">
        <f t="shared" si="2"/>
        <v>0</v>
      </c>
      <c r="V197" s="6"/>
      <c r="W197" s="22"/>
    </row>
    <row r="198" spans="2:23">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c r="B199" s="6"/>
      <c r="C199" s="6"/>
      <c r="D199" s="6"/>
      <c r="E199" s="6"/>
      <c r="F199" s="6"/>
      <c r="G199" s="6"/>
      <c r="H199" s="6"/>
      <c r="I199" s="6"/>
      <c r="J199" s="6"/>
      <c r="K199" s="6"/>
      <c r="L199" s="6"/>
      <c r="N199" s="21"/>
      <c r="O199" s="6"/>
      <c r="P199" s="6"/>
      <c r="Q199" s="6"/>
      <c r="R199" s="6"/>
      <c r="S199" s="6"/>
      <c r="T199" s="6"/>
      <c r="U199" s="6">
        <f>SUM(U190:U198)</f>
        <v>8</v>
      </c>
      <c r="V199" s="6"/>
      <c r="W199" s="22"/>
    </row>
    <row r="200" spans="2:23">
      <c r="B200" s="6"/>
      <c r="C200" s="6"/>
      <c r="D200" s="6"/>
      <c r="E200" s="6"/>
      <c r="F200" s="6"/>
      <c r="G200" s="6"/>
      <c r="H200" s="6"/>
      <c r="I200" s="6"/>
      <c r="J200" s="6"/>
      <c r="K200" s="6"/>
      <c r="L200" s="6"/>
      <c r="N200" s="21"/>
      <c r="O200" s="6"/>
      <c r="P200" s="6"/>
      <c r="Q200" s="6"/>
      <c r="R200" s="6"/>
      <c r="S200" s="6"/>
      <c r="T200" s="6"/>
      <c r="U200" s="6"/>
      <c r="V200" s="6"/>
      <c r="W200" s="22"/>
    </row>
    <row r="201" spans="2:23">
      <c r="B201" s="6"/>
      <c r="C201" s="6"/>
      <c r="D201" s="6"/>
      <c r="E201" s="6"/>
      <c r="F201" s="6"/>
      <c r="G201" s="6"/>
      <c r="H201" s="6"/>
      <c r="I201" s="6"/>
      <c r="J201" s="6"/>
      <c r="K201" s="6"/>
      <c r="L201" s="6"/>
      <c r="N201" s="21" t="s">
        <v>363</v>
      </c>
      <c r="O201" s="6" t="s">
        <v>389</v>
      </c>
      <c r="P201" s="6"/>
      <c r="Q201" s="6"/>
      <c r="R201" s="6"/>
      <c r="S201" s="6"/>
      <c r="T201" s="6"/>
      <c r="U201" s="6"/>
      <c r="V201" s="6"/>
      <c r="W201" s="22"/>
    </row>
    <row r="202" spans="2:23">
      <c r="B202" s="6"/>
      <c r="C202" s="6"/>
      <c r="D202" s="6"/>
      <c r="E202" s="6"/>
      <c r="F202" s="6"/>
      <c r="G202" s="6"/>
      <c r="H202" s="6"/>
      <c r="I202" s="6"/>
      <c r="J202" s="6"/>
      <c r="K202" s="6"/>
      <c r="L202" s="6"/>
      <c r="N202" s="21"/>
      <c r="O202" s="6" t="s">
        <v>365</v>
      </c>
      <c r="P202" s="6"/>
      <c r="Q202" s="6"/>
      <c r="R202" s="6"/>
      <c r="S202" s="6"/>
      <c r="T202" s="6">
        <v>1</v>
      </c>
      <c r="U202" s="6"/>
      <c r="V202" s="6"/>
      <c r="W202" s="22"/>
    </row>
    <row r="203" spans="2:23">
      <c r="B203" s="6"/>
      <c r="C203" s="6"/>
      <c r="D203" s="6"/>
      <c r="E203" s="6"/>
      <c r="F203" s="6"/>
      <c r="G203" s="6"/>
      <c r="H203" s="6"/>
      <c r="I203" s="6"/>
      <c r="J203" s="6"/>
      <c r="K203" s="6"/>
      <c r="L203" s="6"/>
      <c r="N203" s="21"/>
      <c r="O203" s="6" t="s">
        <v>366</v>
      </c>
      <c r="P203" s="6"/>
      <c r="Q203" s="6"/>
      <c r="R203" s="6"/>
      <c r="S203" s="6"/>
      <c r="T203" s="6">
        <v>2</v>
      </c>
      <c r="U203" s="6"/>
      <c r="V203" s="6"/>
      <c r="W203" s="22"/>
    </row>
    <row r="204" spans="2:23">
      <c r="B204" s="6"/>
      <c r="C204" s="6"/>
      <c r="D204" s="6"/>
      <c r="E204" s="6"/>
      <c r="F204" s="6"/>
      <c r="G204" s="6"/>
      <c r="H204" s="6"/>
      <c r="I204" s="6"/>
      <c r="J204" s="6"/>
      <c r="K204" s="6"/>
      <c r="L204" s="6"/>
      <c r="N204" s="21"/>
      <c r="O204" s="6" t="s">
        <v>367</v>
      </c>
      <c r="P204" s="6"/>
      <c r="Q204" s="6"/>
      <c r="R204" s="6"/>
      <c r="S204" s="6"/>
      <c r="T204" s="6">
        <v>4</v>
      </c>
      <c r="U204" s="6"/>
      <c r="V204" s="6"/>
      <c r="W204" s="22"/>
    </row>
    <row r="205" spans="2:23">
      <c r="B205" s="6"/>
      <c r="C205" s="6"/>
      <c r="D205" s="6"/>
      <c r="E205" s="6"/>
      <c r="F205" s="6"/>
      <c r="G205" s="6"/>
      <c r="H205" s="6"/>
      <c r="I205" s="6"/>
      <c r="J205" s="6"/>
      <c r="K205" s="6"/>
      <c r="L205" s="6"/>
      <c r="N205" s="21"/>
      <c r="O205" s="6" t="s">
        <v>368</v>
      </c>
      <c r="P205" s="6"/>
      <c r="Q205" s="6"/>
      <c r="R205" s="6"/>
      <c r="S205" s="6"/>
      <c r="T205" s="6">
        <v>8</v>
      </c>
      <c r="U205" s="6"/>
      <c r="V205" s="6"/>
      <c r="W205" s="22"/>
    </row>
    <row r="206" spans="2:23">
      <c r="B206" s="6"/>
      <c r="C206" s="6"/>
      <c r="D206" s="6"/>
      <c r="E206" s="6"/>
      <c r="F206" s="6"/>
      <c r="G206" s="6"/>
      <c r="H206" s="6"/>
      <c r="I206" s="6"/>
      <c r="J206" s="6"/>
      <c r="K206" s="6"/>
      <c r="L206" s="6"/>
      <c r="N206" s="21"/>
      <c r="O206" s="6" t="s">
        <v>369</v>
      </c>
      <c r="P206" s="6"/>
      <c r="Q206" s="6"/>
      <c r="R206" s="6"/>
      <c r="S206" s="6"/>
      <c r="T206" s="6">
        <v>16</v>
      </c>
      <c r="U206" s="6"/>
      <c r="V206" s="6"/>
      <c r="W206" s="22"/>
    </row>
    <row r="207" spans="2:23">
      <c r="B207" s="6"/>
      <c r="C207" s="6"/>
      <c r="D207" s="6"/>
      <c r="E207" s="6"/>
      <c r="F207" s="6"/>
      <c r="G207" s="6"/>
      <c r="H207" s="6"/>
      <c r="I207" s="6"/>
      <c r="J207" s="6"/>
      <c r="K207" s="6"/>
      <c r="L207" s="6"/>
      <c r="N207" s="21"/>
      <c r="O207" s="6" t="s">
        <v>370</v>
      </c>
      <c r="P207" s="6"/>
      <c r="Q207" s="6"/>
      <c r="R207" s="6"/>
      <c r="S207" s="6"/>
      <c r="T207" s="6">
        <v>32</v>
      </c>
      <c r="U207" s="6"/>
      <c r="V207" s="6"/>
      <c r="W207" s="22"/>
    </row>
    <row r="208" spans="2:23">
      <c r="B208" s="6"/>
      <c r="C208" s="6"/>
      <c r="D208" s="6"/>
      <c r="E208" s="6"/>
      <c r="F208" s="6"/>
      <c r="G208" s="6"/>
      <c r="H208" s="6"/>
      <c r="I208" s="6"/>
      <c r="J208" s="6"/>
      <c r="K208" s="6"/>
      <c r="L208" s="6"/>
      <c r="N208" s="21"/>
      <c r="O208" s="6" t="s">
        <v>371</v>
      </c>
      <c r="P208" s="6"/>
      <c r="Q208" s="6"/>
      <c r="R208" s="6"/>
      <c r="S208" s="6"/>
      <c r="T208" s="6">
        <v>64</v>
      </c>
      <c r="U208" s="6"/>
      <c r="V208" s="6"/>
      <c r="W208" s="22"/>
    </row>
    <row r="209" spans="2:23">
      <c r="B209" s="6"/>
      <c r="C209" s="6"/>
      <c r="D209" s="6"/>
      <c r="E209" s="6"/>
      <c r="F209" s="6"/>
      <c r="G209" s="6"/>
      <c r="H209" s="6"/>
      <c r="I209" s="6"/>
      <c r="J209" s="6"/>
      <c r="K209" s="6"/>
      <c r="L209" s="6"/>
      <c r="N209" s="21"/>
      <c r="O209" s="6" t="s">
        <v>372</v>
      </c>
      <c r="P209" s="6"/>
      <c r="Q209" s="6"/>
      <c r="R209" s="6"/>
      <c r="S209" s="6"/>
      <c r="T209" s="6">
        <v>128</v>
      </c>
      <c r="U209" s="6"/>
      <c r="V209" s="6"/>
      <c r="W209" s="22"/>
    </row>
    <row r="210" spans="2:23">
      <c r="B210" s="6"/>
      <c r="C210" s="6"/>
      <c r="D210" s="6"/>
      <c r="E210" s="6"/>
      <c r="F210" s="6"/>
      <c r="G210" s="6"/>
      <c r="H210" s="6"/>
      <c r="I210" s="6"/>
      <c r="J210" s="6"/>
      <c r="K210" s="6"/>
      <c r="L210" s="6"/>
      <c r="N210" s="21"/>
      <c r="O210" s="6" t="s">
        <v>373</v>
      </c>
      <c r="P210" s="6"/>
      <c r="Q210" s="6"/>
      <c r="R210" s="6"/>
      <c r="S210" s="6"/>
      <c r="T210" s="6">
        <v>256</v>
      </c>
      <c r="U210" s="6"/>
      <c r="V210" s="6"/>
      <c r="W210" s="22"/>
    </row>
    <row r="211" spans="2:23">
      <c r="B211" s="6"/>
      <c r="C211" s="6"/>
      <c r="D211" s="6"/>
      <c r="E211" s="6"/>
      <c r="F211" s="6"/>
      <c r="G211" s="6"/>
      <c r="H211" s="6"/>
      <c r="I211" s="6"/>
      <c r="J211" s="6"/>
      <c r="K211" s="6"/>
      <c r="L211" s="6"/>
      <c r="N211" s="21"/>
      <c r="O211" s="6" t="s">
        <v>374</v>
      </c>
      <c r="P211" s="6"/>
      <c r="Q211" s="6"/>
      <c r="R211" s="6"/>
      <c r="S211" s="6"/>
      <c r="T211" s="6">
        <v>512</v>
      </c>
      <c r="U211" s="6"/>
      <c r="V211" s="6"/>
      <c r="W211" s="22"/>
    </row>
    <row r="212" spans="2:23">
      <c r="B212" s="6"/>
      <c r="C212" s="6"/>
      <c r="D212" s="6"/>
      <c r="E212" s="6"/>
      <c r="F212" s="6"/>
      <c r="G212" s="6"/>
      <c r="H212" s="6"/>
      <c r="I212" s="6"/>
      <c r="J212" s="6"/>
      <c r="K212" s="6"/>
      <c r="L212" s="6"/>
      <c r="N212" s="21"/>
      <c r="O212" s="6" t="s">
        <v>375</v>
      </c>
      <c r="P212" s="6"/>
      <c r="Q212" s="6"/>
      <c r="R212" s="6"/>
      <c r="S212" s="6"/>
      <c r="T212" s="6">
        <v>1024</v>
      </c>
      <c r="U212" s="6"/>
      <c r="V212" s="6"/>
      <c r="W212" s="22"/>
    </row>
    <row r="213" spans="2:23">
      <c r="B213" s="6"/>
      <c r="C213" s="6"/>
      <c r="D213" s="6"/>
      <c r="E213" s="6"/>
      <c r="F213" s="6"/>
      <c r="G213" s="6"/>
      <c r="H213" s="6"/>
      <c r="I213" s="6"/>
      <c r="J213" s="6"/>
      <c r="K213" s="6"/>
      <c r="L213" s="6"/>
      <c r="N213" s="21"/>
      <c r="O213" s="6" t="s">
        <v>376</v>
      </c>
      <c r="P213" s="6"/>
      <c r="Q213" s="6"/>
      <c r="R213" s="6"/>
      <c r="S213" s="6"/>
      <c r="T213" s="6">
        <v>2048</v>
      </c>
      <c r="U213" s="6"/>
      <c r="V213" s="6"/>
      <c r="W213" s="22"/>
    </row>
    <row r="214" spans="2:23">
      <c r="B214" s="6"/>
      <c r="C214" s="6"/>
      <c r="D214" s="6"/>
      <c r="E214" s="6"/>
      <c r="F214" s="6"/>
      <c r="G214" s="6"/>
      <c r="H214" s="6"/>
      <c r="I214" s="6"/>
      <c r="J214" s="6"/>
      <c r="K214" s="6"/>
      <c r="L214" s="6"/>
      <c r="N214" s="21"/>
      <c r="O214" s="6" t="s">
        <v>377</v>
      </c>
      <c r="P214" s="6"/>
      <c r="Q214" s="6"/>
      <c r="R214" s="6"/>
      <c r="S214" s="6"/>
      <c r="T214" s="6">
        <v>4096</v>
      </c>
      <c r="U214" s="6"/>
      <c r="V214" s="6"/>
      <c r="W214" s="22"/>
    </row>
    <row r="215" spans="2:23">
      <c r="B215" s="6"/>
      <c r="C215" s="6"/>
      <c r="D215" s="6"/>
      <c r="E215" s="6"/>
      <c r="F215" s="6"/>
      <c r="G215" s="6"/>
      <c r="H215" s="6"/>
      <c r="I215" s="6"/>
      <c r="J215" s="6"/>
      <c r="K215" s="6"/>
      <c r="L215" s="6"/>
      <c r="N215" s="21"/>
      <c r="O215" s="6" t="s">
        <v>378</v>
      </c>
      <c r="P215" s="6"/>
      <c r="Q215" s="6"/>
      <c r="R215" s="6"/>
      <c r="S215" s="6"/>
      <c r="T215" s="6">
        <v>8192</v>
      </c>
      <c r="U215" s="6"/>
      <c r="V215" s="6"/>
      <c r="W215" s="22"/>
    </row>
    <row r="216" spans="2:23">
      <c r="B216" s="6"/>
      <c r="C216" s="6"/>
      <c r="D216" s="6"/>
      <c r="E216" s="6"/>
      <c r="F216" s="6"/>
      <c r="G216" s="6"/>
      <c r="H216" s="6"/>
      <c r="I216" s="6"/>
      <c r="J216" s="6"/>
      <c r="K216" s="6"/>
      <c r="L216" s="6"/>
      <c r="N216" s="21"/>
      <c r="O216" s="6" t="s">
        <v>379</v>
      </c>
      <c r="P216" s="6"/>
      <c r="Q216" s="6"/>
      <c r="R216" s="6"/>
      <c r="S216" s="6"/>
      <c r="T216" s="6">
        <v>16384</v>
      </c>
      <c r="U216" s="6"/>
      <c r="V216" s="6"/>
      <c r="W216" s="22"/>
    </row>
    <row r="217" spans="2:23">
      <c r="B217" s="6"/>
      <c r="C217" s="6"/>
      <c r="D217" s="6"/>
      <c r="E217" s="6"/>
      <c r="F217" s="6"/>
      <c r="G217" s="6"/>
      <c r="H217" s="6"/>
      <c r="I217" s="6"/>
      <c r="J217" s="6"/>
      <c r="K217" s="6"/>
      <c r="L217" s="6"/>
      <c r="N217" s="21"/>
      <c r="O217" s="6" t="s">
        <v>364</v>
      </c>
      <c r="P217" s="6"/>
      <c r="Q217" s="6"/>
      <c r="R217" s="6"/>
      <c r="S217" s="6"/>
      <c r="T217" s="6">
        <v>32768</v>
      </c>
      <c r="U217" s="6"/>
      <c r="V217" s="6"/>
      <c r="W217" s="22"/>
    </row>
    <row r="218" spans="2:23">
      <c r="B218" s="6"/>
      <c r="C218" s="6"/>
      <c r="D218" s="6"/>
      <c r="E218" s="6"/>
      <c r="F218" s="6"/>
      <c r="G218" s="6"/>
      <c r="H218" s="6"/>
      <c r="I218" s="6"/>
      <c r="J218" s="6"/>
      <c r="K218" s="6"/>
      <c r="L218" s="6"/>
      <c r="N218" s="21"/>
      <c r="O218" s="6"/>
      <c r="P218" s="6"/>
      <c r="Q218" s="6"/>
      <c r="R218" s="6"/>
      <c r="S218" s="6"/>
      <c r="T218" s="6"/>
      <c r="U218" s="6"/>
      <c r="V218" s="6"/>
      <c r="W218" s="22"/>
    </row>
    <row r="219" spans="2:23">
      <c r="B219" s="6"/>
      <c r="C219" s="6"/>
      <c r="D219" s="6"/>
      <c r="E219" s="6"/>
      <c r="F219" s="6"/>
      <c r="G219" s="6"/>
      <c r="H219" s="6"/>
      <c r="I219" s="6"/>
      <c r="J219" s="6"/>
      <c r="K219" s="6"/>
      <c r="L219" s="6"/>
      <c r="N219" s="21" t="s">
        <v>381</v>
      </c>
      <c r="O219" s="6"/>
      <c r="P219" s="6"/>
      <c r="Q219" s="6"/>
      <c r="R219" s="6"/>
      <c r="S219" s="6"/>
      <c r="T219" s="6"/>
      <c r="U219" s="6"/>
      <c r="V219" s="6"/>
      <c r="W219" s="22"/>
    </row>
    <row r="220" spans="2:23">
      <c r="B220" s="6"/>
      <c r="C220" s="6"/>
      <c r="D220" s="6"/>
      <c r="E220" s="6"/>
      <c r="F220" s="6"/>
      <c r="G220" s="6"/>
      <c r="H220" s="6"/>
      <c r="I220" s="6"/>
      <c r="J220" s="6"/>
      <c r="K220" s="6"/>
      <c r="L220" s="6"/>
      <c r="N220" s="21"/>
      <c r="O220" s="6">
        <v>1</v>
      </c>
      <c r="P220" s="6"/>
      <c r="S220" s="7" t="s">
        <v>388</v>
      </c>
      <c r="T220" s="37">
        <f>Q66+($Q$65/512)</f>
        <v>9.498046875</v>
      </c>
      <c r="V220" s="6"/>
      <c r="W220" s="22"/>
    </row>
    <row r="221" spans="2:23">
      <c r="B221" s="6"/>
      <c r="C221" s="6"/>
      <c r="D221" s="6"/>
      <c r="E221" s="6"/>
      <c r="F221" s="6"/>
      <c r="G221" s="6"/>
      <c r="H221" s="6"/>
      <c r="I221" s="6"/>
      <c r="J221" s="6"/>
      <c r="K221" s="6"/>
      <c r="L221" s="6"/>
      <c r="N221" s="21"/>
      <c r="O221" s="6">
        <v>2</v>
      </c>
      <c r="P221" s="6"/>
      <c r="Q221" s="6"/>
      <c r="R221" s="6"/>
      <c r="S221" s="6"/>
      <c r="T221" s="6"/>
      <c r="U221" s="6"/>
      <c r="V221" s="6"/>
      <c r="W221" s="22"/>
    </row>
    <row r="222" spans="2:23">
      <c r="B222" s="6"/>
      <c r="C222" s="6"/>
      <c r="D222" s="6"/>
      <c r="E222" s="6"/>
      <c r="F222" s="6"/>
      <c r="G222" s="6"/>
      <c r="H222" s="6"/>
      <c r="I222" s="6"/>
      <c r="J222" s="6"/>
      <c r="K222" s="6"/>
      <c r="L222" s="6"/>
      <c r="N222" s="21"/>
      <c r="O222" s="7" t="s">
        <v>326</v>
      </c>
      <c r="P222" s="6"/>
      <c r="Q222" s="6"/>
      <c r="R222" s="6"/>
      <c r="S222" s="6"/>
      <c r="U222" s="6"/>
      <c r="V222" s="6"/>
      <c r="W222" s="22"/>
    </row>
    <row r="223" spans="2:23" ht="15" thickBot="1">
      <c r="B223" s="6"/>
      <c r="C223" s="6"/>
      <c r="D223" s="6"/>
      <c r="E223" s="6"/>
      <c r="F223" s="6"/>
      <c r="G223" s="6"/>
      <c r="H223" s="6"/>
      <c r="I223" s="6"/>
      <c r="J223" s="6"/>
      <c r="K223" s="6"/>
      <c r="L223" s="6"/>
      <c r="N223" s="24"/>
      <c r="O223" s="25">
        <v>512</v>
      </c>
      <c r="P223" s="25"/>
      <c r="Q223" s="25"/>
      <c r="R223" s="25"/>
      <c r="S223" s="25"/>
      <c r="T223" s="25"/>
      <c r="U223" s="25"/>
      <c r="V223" s="25"/>
      <c r="W223" s="26"/>
    </row>
    <row r="224" spans="2:23">
      <c r="B224" s="6"/>
      <c r="C224" s="6"/>
      <c r="D224" s="6"/>
      <c r="E224" s="6"/>
      <c r="F224" s="6"/>
      <c r="G224" s="6"/>
      <c r="H224" s="6"/>
      <c r="I224" s="6"/>
      <c r="J224" s="6"/>
      <c r="K224" s="6"/>
      <c r="L224" s="6"/>
      <c r="N224" s="6"/>
      <c r="O224" s="6"/>
      <c r="P224" s="6"/>
      <c r="Q224" s="6"/>
      <c r="R224" s="6"/>
      <c r="S224" s="6"/>
      <c r="T224" s="6"/>
      <c r="U224" s="6"/>
      <c r="V224" s="6"/>
      <c r="W224" s="6"/>
    </row>
    <row r="226" spans="4:14" ht="15" thickBot="1"/>
    <row r="227" spans="4:14">
      <c r="D227" s="18" t="s">
        <v>251</v>
      </c>
      <c r="E227" s="19"/>
      <c r="F227" s="19"/>
      <c r="G227" s="19"/>
      <c r="H227" s="19"/>
      <c r="I227" s="19"/>
      <c r="J227" s="19"/>
      <c r="K227" s="19"/>
      <c r="L227" s="19"/>
      <c r="M227" s="19"/>
      <c r="N227" s="20"/>
    </row>
    <row r="228" spans="4:14">
      <c r="D228" s="27"/>
      <c r="E228" s="28" t="s">
        <v>250</v>
      </c>
      <c r="F228" s="28"/>
      <c r="G228" s="28"/>
      <c r="H228" s="28"/>
      <c r="I228" s="28"/>
      <c r="J228" s="28"/>
      <c r="K228" s="28"/>
      <c r="L228" s="28"/>
      <c r="M228" s="28"/>
      <c r="N228" s="29"/>
    </row>
    <row r="229" spans="4:14">
      <c r="D229" s="21"/>
      <c r="E229" s="6" t="s">
        <v>252</v>
      </c>
      <c r="F229" s="6" t="b">
        <f>OR(AND(G35="ON", $I$30="HS"), AND(G35="ON", $I$30="XT"))</f>
        <v>1</v>
      </c>
      <c r="G229" s="6"/>
      <c r="H229" s="6" t="s">
        <v>259</v>
      </c>
      <c r="I229" s="6"/>
      <c r="J229" s="6"/>
      <c r="K229" s="6"/>
      <c r="L229" s="6"/>
      <c r="M229" s="6"/>
      <c r="N229" s="22"/>
    </row>
    <row r="230" spans="4:14">
      <c r="D230" s="21"/>
      <c r="E230" s="6"/>
      <c r="F230" s="6"/>
      <c r="G230" s="6"/>
      <c r="H230" s="6"/>
      <c r="I230" s="6"/>
      <c r="J230" s="6"/>
      <c r="K230" s="6"/>
      <c r="L230" s="6"/>
      <c r="M230" s="6"/>
      <c r="N230" s="22"/>
    </row>
    <row r="231" spans="4:14">
      <c r="D231" s="21"/>
      <c r="E231" s="6" t="s">
        <v>282</v>
      </c>
      <c r="F231" s="6">
        <f>IF($R$49&gt;100,1,0)</f>
        <v>0</v>
      </c>
      <c r="G231" s="6"/>
      <c r="H231" s="6" t="s">
        <v>432</v>
      </c>
      <c r="I231" s="6"/>
      <c r="J231" s="6"/>
      <c r="K231" s="6"/>
      <c r="L231" s="6"/>
      <c r="M231" s="6"/>
      <c r="N231" s="22"/>
    </row>
    <row r="232" spans="4:14">
      <c r="D232" s="21"/>
      <c r="E232" s="6"/>
      <c r="F232" s="6"/>
      <c r="G232" s="6"/>
      <c r="H232" s="6"/>
      <c r="I232" s="6"/>
      <c r="J232" s="6"/>
      <c r="K232" s="6"/>
      <c r="L232" s="6"/>
      <c r="M232" s="6"/>
      <c r="N232" s="22"/>
    </row>
    <row r="233" spans="4:14">
      <c r="D233" s="21"/>
      <c r="E233" s="6" t="s">
        <v>433</v>
      </c>
      <c r="F233" s="6">
        <f>IF($M$33&gt;4,1,0)</f>
        <v>0</v>
      </c>
      <c r="G233" s="6"/>
      <c r="H233" s="6" t="s">
        <v>434</v>
      </c>
      <c r="I233" s="6"/>
      <c r="J233" s="6"/>
      <c r="K233" s="6"/>
      <c r="L233" s="6"/>
      <c r="M233" s="6"/>
      <c r="N233" s="22"/>
    </row>
    <row r="234" spans="4:14">
      <c r="D234" s="21"/>
      <c r="E234" s="6" t="s">
        <v>433</v>
      </c>
      <c r="F234" s="6">
        <f>IF($M$33&lt;4,1,0)</f>
        <v>1</v>
      </c>
      <c r="G234" s="6"/>
      <c r="H234" s="6" t="s">
        <v>435</v>
      </c>
      <c r="I234" s="6"/>
      <c r="J234" s="6"/>
      <c r="K234" s="6"/>
      <c r="L234" s="6"/>
      <c r="M234" s="6"/>
      <c r="N234" s="22"/>
    </row>
    <row r="235" spans="4:14">
      <c r="D235" s="21"/>
      <c r="E235" s="6" t="s">
        <v>433</v>
      </c>
      <c r="F235" s="5">
        <f>SUM(F233:F234)</f>
        <v>1</v>
      </c>
      <c r="G235" s="6"/>
      <c r="H235" s="6" t="s">
        <v>258</v>
      </c>
      <c r="I235" s="6"/>
      <c r="J235" s="6"/>
      <c r="K235" s="6"/>
      <c r="L235" s="6"/>
      <c r="M235" s="6"/>
      <c r="N235" s="22"/>
    </row>
    <row r="236" spans="4:14">
      <c r="D236" s="21"/>
      <c r="E236" s="6"/>
      <c r="G236" s="6"/>
      <c r="H236" s="6"/>
      <c r="I236" s="6"/>
      <c r="J236" s="6"/>
      <c r="K236" s="6"/>
      <c r="L236" s="6"/>
      <c r="M236" s="6"/>
      <c r="N236" s="22"/>
    </row>
    <row r="237" spans="4:14">
      <c r="D237" s="21"/>
      <c r="E237" s="6" t="s">
        <v>436</v>
      </c>
      <c r="F237" s="5">
        <f>IF($M$20&lt;4,1,0)</f>
        <v>1</v>
      </c>
      <c r="G237" s="6"/>
      <c r="H237" s="6" t="s">
        <v>437</v>
      </c>
      <c r="I237" s="6"/>
      <c r="J237" s="6"/>
      <c r="K237" s="6"/>
      <c r="L237" s="6"/>
      <c r="M237" s="6"/>
      <c r="N237" s="22"/>
    </row>
    <row r="238" spans="4:14">
      <c r="D238" s="21"/>
      <c r="E238" s="6" t="s">
        <v>436</v>
      </c>
      <c r="F238" s="5">
        <f>IF($M$20&gt;5,1,0)</f>
        <v>0</v>
      </c>
      <c r="G238" s="6"/>
      <c r="H238" s="6" t="s">
        <v>438</v>
      </c>
      <c r="I238" s="6"/>
      <c r="J238" s="6"/>
      <c r="K238" s="6"/>
      <c r="L238" s="6"/>
      <c r="M238" s="6"/>
      <c r="N238" s="22"/>
    </row>
    <row r="239" spans="4:14">
      <c r="D239" s="21"/>
      <c r="E239" s="6" t="s">
        <v>436</v>
      </c>
      <c r="F239" s="5">
        <f>IF(J20=0,0,1)</f>
        <v>1</v>
      </c>
      <c r="G239" s="6"/>
      <c r="H239" s="6" t="s">
        <v>439</v>
      </c>
      <c r="I239" s="6"/>
      <c r="J239" s="6"/>
      <c r="K239" s="6"/>
      <c r="L239" s="6"/>
      <c r="M239" s="6"/>
      <c r="N239" s="22"/>
    </row>
    <row r="240" spans="4:14">
      <c r="D240" s="21"/>
      <c r="E240" s="6" t="s">
        <v>436</v>
      </c>
      <c r="F240" s="5" t="b">
        <f>IF(F239=0,0,OR(F238,F237))</f>
        <v>1</v>
      </c>
      <c r="G240" s="6"/>
      <c r="H240" s="6" t="s">
        <v>258</v>
      </c>
      <c r="I240" s="6"/>
      <c r="J240" s="6"/>
      <c r="K240" s="6"/>
      <c r="L240" s="6"/>
      <c r="M240" s="6"/>
      <c r="N240" s="22"/>
    </row>
    <row r="241" spans="4:16">
      <c r="D241" s="21"/>
      <c r="E241" s="6"/>
      <c r="G241" s="6"/>
      <c r="H241" s="6"/>
      <c r="I241" s="6"/>
      <c r="J241" s="6"/>
      <c r="K241" s="6"/>
      <c r="L241" s="6"/>
      <c r="M241" s="6"/>
      <c r="N241" s="22"/>
    </row>
    <row r="242" spans="4:16">
      <c r="D242" s="21"/>
      <c r="E242" s="6" t="s">
        <v>440</v>
      </c>
      <c r="F242" s="5">
        <f>IF($E$23&lt;4,1,0)</f>
        <v>0</v>
      </c>
      <c r="G242" s="6">
        <f>IF($I$30="XT",1,0)</f>
        <v>1</v>
      </c>
      <c r="H242" s="5" t="b">
        <f>AND($G242,$F242)</f>
        <v>0</v>
      </c>
      <c r="I242" s="10" t="s">
        <v>441</v>
      </c>
      <c r="J242" s="6"/>
      <c r="K242" s="6" t="s">
        <v>442</v>
      </c>
      <c r="L242" s="6"/>
      <c r="M242" s="6"/>
      <c r="N242" s="22"/>
    </row>
    <row r="243" spans="4:16">
      <c r="D243" s="21"/>
      <c r="E243" s="6" t="s">
        <v>440</v>
      </c>
      <c r="F243" s="5">
        <f>IF($E$23&gt;10,1,0)</f>
        <v>0</v>
      </c>
      <c r="G243" s="6">
        <f t="shared" ref="G243" si="3">IF($I$30="XT",1,0)</f>
        <v>1</v>
      </c>
      <c r="H243" s="5" t="b">
        <f t="shared" ref="H243:H245" si="4">AND($G243,$F243)</f>
        <v>0</v>
      </c>
      <c r="I243" s="10" t="s">
        <v>441</v>
      </c>
      <c r="J243" s="6"/>
      <c r="K243" s="6" t="s">
        <v>443</v>
      </c>
      <c r="L243" s="6"/>
      <c r="M243" s="6"/>
      <c r="N243" s="22"/>
    </row>
    <row r="244" spans="4:16">
      <c r="D244" s="21"/>
      <c r="E244" s="6" t="s">
        <v>440</v>
      </c>
      <c r="F244" s="5">
        <f>IF($E$23&lt;10,1,0)</f>
        <v>1</v>
      </c>
      <c r="G244" s="6">
        <f>IF($I$30="HS",1,0)</f>
        <v>0</v>
      </c>
      <c r="H244" s="5" t="b">
        <f t="shared" si="4"/>
        <v>0</v>
      </c>
      <c r="I244" s="10" t="s">
        <v>444</v>
      </c>
      <c r="J244" s="6"/>
      <c r="K244" s="6" t="s">
        <v>445</v>
      </c>
      <c r="L244" s="6"/>
      <c r="M244" s="6"/>
      <c r="N244" s="22"/>
    </row>
    <row r="245" spans="4:16">
      <c r="D245" s="21"/>
      <c r="E245" s="6" t="s">
        <v>440</v>
      </c>
      <c r="F245" s="5">
        <f>IF($E$23&gt;25,1,0)</f>
        <v>0</v>
      </c>
      <c r="G245" s="6">
        <f>IF($I$30="HS",1,0)</f>
        <v>0</v>
      </c>
      <c r="H245" s="5" t="b">
        <f t="shared" si="4"/>
        <v>0</v>
      </c>
      <c r="I245" s="10" t="s">
        <v>444</v>
      </c>
      <c r="J245" s="6"/>
      <c r="K245" s="6" t="s">
        <v>446</v>
      </c>
      <c r="L245" s="6"/>
      <c r="M245" s="6"/>
      <c r="N245" s="22"/>
    </row>
    <row r="246" spans="4:16">
      <c r="D246" s="21"/>
      <c r="E246" s="6" t="s">
        <v>440</v>
      </c>
      <c r="G246" s="6"/>
      <c r="H246" s="6" t="b">
        <f>OR(H242:H245)</f>
        <v>0</v>
      </c>
      <c r="I246" s="6" t="s">
        <v>258</v>
      </c>
      <c r="J246" s="6"/>
      <c r="K246" s="6"/>
      <c r="L246" s="6"/>
      <c r="M246" s="6"/>
      <c r="N246" s="22"/>
    </row>
    <row r="247" spans="4:16">
      <c r="D247" s="21"/>
      <c r="E247" s="6"/>
      <c r="G247" s="6"/>
      <c r="H247" s="6"/>
      <c r="I247" s="6"/>
      <c r="J247" s="6"/>
      <c r="K247" s="6"/>
      <c r="L247" s="6"/>
      <c r="M247" s="6"/>
      <c r="N247" s="22"/>
    </row>
    <row r="248" spans="4:16">
      <c r="D248" s="21"/>
      <c r="E248" s="6" t="s">
        <v>447</v>
      </c>
      <c r="F248" s="5">
        <f>IF($E$22&gt;40,1,0)</f>
        <v>0</v>
      </c>
      <c r="G248" s="6"/>
      <c r="H248" s="6" t="s">
        <v>448</v>
      </c>
      <c r="I248" s="6"/>
      <c r="J248" s="6"/>
      <c r="K248" s="6"/>
      <c r="L248" s="6"/>
      <c r="M248" s="6"/>
      <c r="N248" s="22"/>
    </row>
    <row r="249" spans="4:16">
      <c r="D249" s="21"/>
      <c r="E249" s="6"/>
      <c r="G249" s="6"/>
      <c r="H249" s="6"/>
      <c r="I249" s="6"/>
      <c r="J249" s="6"/>
      <c r="K249" s="6"/>
      <c r="L249" s="6"/>
      <c r="M249" s="6"/>
      <c r="N249" s="22"/>
    </row>
    <row r="250" spans="4:16">
      <c r="D250" s="21"/>
      <c r="E250" s="6" t="s">
        <v>400</v>
      </c>
      <c r="F250" s="5">
        <f>IF($E$46&lt;32,1,0)</f>
        <v>0</v>
      </c>
      <c r="G250" s="6"/>
      <c r="H250" s="6" t="s">
        <v>401</v>
      </c>
      <c r="I250" s="6"/>
      <c r="J250" s="6"/>
      <c r="K250" s="6"/>
      <c r="L250" s="6"/>
      <c r="M250" s="6"/>
      <c r="N250" s="22"/>
    </row>
    <row r="251" spans="4:16">
      <c r="D251" s="21"/>
      <c r="E251" s="6" t="s">
        <v>400</v>
      </c>
      <c r="F251" s="5">
        <f>IF($E$46&gt;100,1,0)</f>
        <v>0</v>
      </c>
      <c r="G251" s="6"/>
      <c r="H251" s="6" t="s">
        <v>402</v>
      </c>
      <c r="I251" s="6"/>
      <c r="J251" s="6"/>
      <c r="K251" s="6"/>
      <c r="L251" s="6"/>
      <c r="M251" s="6"/>
      <c r="N251" s="22"/>
    </row>
    <row r="252" spans="4:16">
      <c r="D252" s="21"/>
      <c r="E252" s="6" t="s">
        <v>400</v>
      </c>
      <c r="F252" s="5">
        <f>SUM(F250:F251)</f>
        <v>0</v>
      </c>
      <c r="G252" s="6"/>
      <c r="H252" s="6" t="s">
        <v>403</v>
      </c>
      <c r="I252" s="6"/>
      <c r="J252" s="6"/>
      <c r="K252" s="6"/>
      <c r="L252" s="6"/>
      <c r="M252" s="6"/>
      <c r="N252" s="22"/>
    </row>
    <row r="253" spans="4:16" ht="15" thickBot="1">
      <c r="D253" s="24"/>
      <c r="E253" s="25"/>
      <c r="F253" s="25"/>
      <c r="G253" s="25"/>
      <c r="H253" s="25"/>
      <c r="I253" s="25"/>
      <c r="J253" s="25"/>
      <c r="K253" s="25"/>
      <c r="L253" s="25"/>
      <c r="M253" s="25"/>
      <c r="N253" s="26"/>
    </row>
    <row r="255" spans="4:16" ht="15" thickBot="1"/>
    <row r="256" spans="4:16">
      <c r="D256" s="18" t="s">
        <v>449</v>
      </c>
      <c r="E256" s="19"/>
      <c r="F256" s="19"/>
      <c r="G256" s="19"/>
      <c r="H256" s="19"/>
      <c r="I256" s="19"/>
      <c r="J256" s="19"/>
      <c r="K256" s="19"/>
      <c r="L256" s="19"/>
      <c r="M256" s="19"/>
      <c r="N256" s="19"/>
      <c r="O256" s="19"/>
      <c r="P256" s="20"/>
    </row>
    <row r="257" spans="4:16">
      <c r="D257" s="27" t="s">
        <v>217</v>
      </c>
      <c r="E257" s="28"/>
      <c r="F257" s="28" t="s">
        <v>213</v>
      </c>
      <c r="G257" s="28" t="s">
        <v>214</v>
      </c>
      <c r="H257" s="28" t="s">
        <v>215</v>
      </c>
      <c r="I257" s="28" t="s">
        <v>216</v>
      </c>
      <c r="J257" s="28" t="s">
        <v>221</v>
      </c>
      <c r="K257" s="28"/>
      <c r="L257" s="28"/>
      <c r="M257" s="28" t="s">
        <v>267</v>
      </c>
      <c r="N257" s="28"/>
      <c r="O257" s="28"/>
      <c r="P257" s="29"/>
    </row>
    <row r="258" spans="4:16">
      <c r="D258" s="21"/>
      <c r="E258" s="6"/>
      <c r="F258" s="6"/>
      <c r="G258" s="6"/>
      <c r="H258" s="6"/>
      <c r="I258" s="6"/>
      <c r="J258" s="6"/>
      <c r="K258" s="6"/>
      <c r="L258" s="6"/>
      <c r="M258" s="6"/>
      <c r="N258" s="6"/>
      <c r="O258" s="6"/>
      <c r="P258" s="22"/>
    </row>
    <row r="259" spans="4:16">
      <c r="D259" s="21" t="s">
        <v>218</v>
      </c>
      <c r="E259" s="6"/>
      <c r="F259" s="6" t="s">
        <v>219</v>
      </c>
      <c r="G259" s="6">
        <v>0</v>
      </c>
      <c r="H259" s="6">
        <v>40</v>
      </c>
      <c r="I259" s="31" t="s">
        <v>31</v>
      </c>
      <c r="J259" s="6" t="s">
        <v>38</v>
      </c>
      <c r="K259" s="6"/>
      <c r="L259" s="6"/>
      <c r="M259" s="6" t="s">
        <v>220</v>
      </c>
      <c r="N259" s="6"/>
      <c r="O259" s="6"/>
      <c r="P259" s="22"/>
    </row>
    <row r="260" spans="4:16">
      <c r="D260" s="21" t="s">
        <v>218</v>
      </c>
      <c r="E260" s="6"/>
      <c r="F260" s="6"/>
      <c r="G260" s="6">
        <v>4</v>
      </c>
      <c r="H260" s="6">
        <v>40</v>
      </c>
      <c r="I260" s="31"/>
      <c r="J260" s="6" t="s">
        <v>450</v>
      </c>
      <c r="K260" s="6"/>
      <c r="L260" s="6"/>
      <c r="M260" s="6" t="s">
        <v>220</v>
      </c>
      <c r="N260" s="6"/>
      <c r="O260" s="6"/>
      <c r="P260" s="22"/>
    </row>
    <row r="261" spans="4:16">
      <c r="D261" s="21" t="s">
        <v>451</v>
      </c>
      <c r="E261" s="6"/>
      <c r="F261" s="6"/>
      <c r="G261" s="6">
        <v>3</v>
      </c>
      <c r="H261" s="6">
        <v>10</v>
      </c>
      <c r="I261" s="31"/>
      <c r="J261" s="6" t="s">
        <v>418</v>
      </c>
      <c r="K261" s="6"/>
      <c r="L261" s="6"/>
      <c r="M261" s="6" t="s">
        <v>220</v>
      </c>
      <c r="N261" s="6"/>
      <c r="O261" s="6"/>
      <c r="P261" s="22"/>
    </row>
    <row r="262" spans="4:16">
      <c r="D262" s="21" t="s">
        <v>452</v>
      </c>
      <c r="E262" s="6"/>
      <c r="F262" s="6"/>
      <c r="G262" s="6">
        <v>4</v>
      </c>
      <c r="H262" s="6">
        <v>10</v>
      </c>
      <c r="I262" s="31"/>
      <c r="J262" s="6" t="s">
        <v>453</v>
      </c>
      <c r="K262" s="6"/>
      <c r="L262" s="6"/>
      <c r="M262" s="6" t="s">
        <v>220</v>
      </c>
      <c r="N262" s="6"/>
      <c r="O262" s="6"/>
      <c r="P262" s="22"/>
    </row>
    <row r="263" spans="4:16">
      <c r="D263" s="21" t="s">
        <v>222</v>
      </c>
      <c r="E263" s="6"/>
      <c r="F263" s="6"/>
      <c r="G263" s="6">
        <v>10</v>
      </c>
      <c r="H263" s="6">
        <v>25</v>
      </c>
      <c r="I263" s="31"/>
      <c r="J263" s="6" t="s">
        <v>454</v>
      </c>
      <c r="K263" s="6"/>
      <c r="L263" s="6"/>
      <c r="M263" s="6" t="s">
        <v>238</v>
      </c>
      <c r="N263" s="6"/>
      <c r="O263" s="6"/>
      <c r="P263" s="22"/>
    </row>
    <row r="264" spans="4:16">
      <c r="D264" s="21" t="s">
        <v>223</v>
      </c>
      <c r="E264" s="6"/>
      <c r="F264" s="6" t="s">
        <v>219</v>
      </c>
      <c r="G264" s="6">
        <v>32</v>
      </c>
      <c r="H264" s="6">
        <v>100</v>
      </c>
      <c r="I264" s="31" t="s">
        <v>57</v>
      </c>
      <c r="J264" s="6" t="s">
        <v>224</v>
      </c>
      <c r="K264" s="6"/>
      <c r="L264" s="6"/>
      <c r="M264" s="6" t="s">
        <v>238</v>
      </c>
      <c r="N264" s="6"/>
      <c r="O264" s="6"/>
      <c r="P264" s="22"/>
    </row>
    <row r="265" spans="4:16">
      <c r="D265" s="21"/>
      <c r="E265" s="6"/>
      <c r="F265" s="6"/>
      <c r="G265" s="6"/>
      <c r="H265" s="6"/>
      <c r="I265" s="31"/>
      <c r="J265" s="6"/>
      <c r="K265" s="6"/>
      <c r="L265" s="6"/>
      <c r="M265" s="6"/>
      <c r="N265" s="6"/>
      <c r="O265" s="6"/>
      <c r="P265" s="22"/>
    </row>
    <row r="266" spans="4:16">
      <c r="D266" s="21" t="s">
        <v>239</v>
      </c>
      <c r="E266" s="6"/>
      <c r="F266" s="6" t="s">
        <v>240</v>
      </c>
      <c r="G266" s="6">
        <v>4</v>
      </c>
      <c r="H266" s="6">
        <v>5</v>
      </c>
      <c r="I266" s="31" t="s">
        <v>31</v>
      </c>
      <c r="J266" s="6" t="s">
        <v>242</v>
      </c>
      <c r="K266" s="6"/>
      <c r="L266" s="6"/>
      <c r="M266" s="6" t="s">
        <v>241</v>
      </c>
      <c r="N266" s="6"/>
      <c r="O266" s="6"/>
      <c r="P266" s="22"/>
    </row>
    <row r="267" spans="4:16" ht="15" thickBot="1">
      <c r="D267" s="24"/>
      <c r="E267" s="25"/>
      <c r="F267" s="25"/>
      <c r="G267" s="25"/>
      <c r="H267" s="25"/>
      <c r="I267" s="25"/>
      <c r="J267" s="25"/>
      <c r="K267" s="25"/>
      <c r="L267" s="25"/>
      <c r="M267" s="25"/>
      <c r="N267" s="25"/>
      <c r="O267" s="25"/>
      <c r="P267" s="26"/>
    </row>
    <row r="268" spans="4:16">
      <c r="D268" s="6"/>
      <c r="E268" s="6"/>
      <c r="F268" s="6"/>
      <c r="G268" s="6"/>
      <c r="H268" s="6"/>
      <c r="I268" s="6"/>
      <c r="J268" s="6"/>
      <c r="K268" s="6"/>
      <c r="L268" s="6"/>
      <c r="M268" s="6"/>
      <c r="N268" s="6"/>
      <c r="O268" s="6"/>
      <c r="P268" s="6"/>
    </row>
    <row r="269" spans="4:16" ht="15" thickBot="1"/>
    <row r="270" spans="4:16">
      <c r="D270" s="18" t="s">
        <v>455</v>
      </c>
      <c r="E270" s="19"/>
      <c r="F270" s="19"/>
      <c r="G270" s="19"/>
      <c r="H270" s="19"/>
      <c r="I270" s="19"/>
      <c r="J270" s="19"/>
      <c r="K270" s="19"/>
      <c r="L270" s="19"/>
      <c r="M270" s="19"/>
      <c r="N270" s="19"/>
      <c r="O270" s="19"/>
      <c r="P270" s="20"/>
    </row>
    <row r="271" spans="4:16">
      <c r="D271" s="27" t="s">
        <v>217</v>
      </c>
      <c r="E271" s="28"/>
      <c r="F271" s="28" t="s">
        <v>213</v>
      </c>
      <c r="G271" s="28" t="s">
        <v>214</v>
      </c>
      <c r="H271" s="28" t="s">
        <v>215</v>
      </c>
      <c r="I271" s="28" t="s">
        <v>216</v>
      </c>
      <c r="J271" s="28" t="s">
        <v>221</v>
      </c>
      <c r="K271" s="28"/>
      <c r="L271" s="28"/>
      <c r="M271" s="28" t="s">
        <v>267</v>
      </c>
      <c r="N271" s="28"/>
      <c r="O271" s="28"/>
      <c r="P271" s="29"/>
    </row>
    <row r="272" spans="4:16">
      <c r="D272" s="21"/>
      <c r="E272" s="6"/>
      <c r="F272" s="6"/>
      <c r="G272" s="6"/>
      <c r="H272" s="6"/>
      <c r="I272" s="6"/>
      <c r="J272" s="6"/>
      <c r="K272" s="6"/>
      <c r="L272" s="6"/>
      <c r="M272" s="6"/>
      <c r="N272" s="6"/>
      <c r="O272" s="6"/>
      <c r="P272" s="22"/>
    </row>
    <row r="273" spans="4:16">
      <c r="D273" s="21" t="s">
        <v>218</v>
      </c>
      <c r="E273" s="6"/>
      <c r="F273" s="6" t="s">
        <v>219</v>
      </c>
      <c r="G273" s="6">
        <v>0</v>
      </c>
      <c r="H273" s="6">
        <v>50</v>
      </c>
      <c r="I273" s="31" t="s">
        <v>31</v>
      </c>
      <c r="J273" s="6" t="s">
        <v>38</v>
      </c>
      <c r="K273" s="6"/>
      <c r="L273" s="6"/>
      <c r="M273" s="6" t="s">
        <v>220</v>
      </c>
      <c r="N273" s="6"/>
      <c r="O273" s="6"/>
      <c r="P273" s="22"/>
    </row>
    <row r="274" spans="4:16">
      <c r="D274" s="21" t="s">
        <v>218</v>
      </c>
      <c r="E274" s="6"/>
      <c r="F274" s="6"/>
      <c r="G274" s="6">
        <v>4</v>
      </c>
      <c r="H274" s="6">
        <v>50</v>
      </c>
      <c r="I274" s="31"/>
      <c r="J274" s="6" t="s">
        <v>450</v>
      </c>
      <c r="K274" s="6"/>
      <c r="L274" s="6"/>
      <c r="M274" s="6" t="s">
        <v>220</v>
      </c>
      <c r="N274" s="6"/>
      <c r="O274" s="6"/>
      <c r="P274" s="22"/>
    </row>
    <row r="275" spans="4:16">
      <c r="D275" s="21" t="s">
        <v>451</v>
      </c>
      <c r="E275" s="6"/>
      <c r="F275" s="6"/>
      <c r="G275" s="6">
        <v>3</v>
      </c>
      <c r="H275" s="6">
        <v>10</v>
      </c>
      <c r="I275" s="31"/>
      <c r="J275" s="6" t="s">
        <v>418</v>
      </c>
      <c r="K275" s="6"/>
      <c r="L275" s="6"/>
      <c r="M275" s="6" t="s">
        <v>220</v>
      </c>
      <c r="N275" s="6"/>
      <c r="O275" s="6"/>
      <c r="P275" s="22"/>
    </row>
    <row r="276" spans="4:16">
      <c r="D276" s="21" t="s">
        <v>452</v>
      </c>
      <c r="E276" s="6"/>
      <c r="F276" s="6"/>
      <c r="G276" s="6">
        <v>4</v>
      </c>
      <c r="H276" s="6">
        <v>10</v>
      </c>
      <c r="I276" s="31"/>
      <c r="J276" s="6" t="s">
        <v>453</v>
      </c>
      <c r="K276" s="6"/>
      <c r="L276" s="6"/>
      <c r="M276" s="6" t="s">
        <v>220</v>
      </c>
      <c r="N276" s="6"/>
      <c r="O276" s="6"/>
      <c r="P276" s="22"/>
    </row>
    <row r="277" spans="4:16">
      <c r="D277" s="21" t="s">
        <v>222</v>
      </c>
      <c r="E277" s="6"/>
      <c r="F277" s="6"/>
      <c r="G277" s="6">
        <v>10</v>
      </c>
      <c r="H277" s="6">
        <v>25</v>
      </c>
      <c r="I277" s="31"/>
      <c r="J277" s="6" t="s">
        <v>454</v>
      </c>
      <c r="K277" s="6"/>
      <c r="L277" s="6"/>
      <c r="M277" s="6" t="s">
        <v>238</v>
      </c>
      <c r="N277" s="6"/>
      <c r="O277" s="6"/>
      <c r="P277" s="22"/>
    </row>
    <row r="278" spans="4:16">
      <c r="D278" s="21" t="s">
        <v>223</v>
      </c>
      <c r="E278" s="6"/>
      <c r="F278" s="6" t="s">
        <v>219</v>
      </c>
      <c r="G278" s="6">
        <v>32</v>
      </c>
      <c r="H278" s="6">
        <v>100</v>
      </c>
      <c r="I278" s="31" t="s">
        <v>57</v>
      </c>
      <c r="J278" s="6" t="s">
        <v>224</v>
      </c>
      <c r="K278" s="6"/>
      <c r="L278" s="6"/>
      <c r="M278" s="6" t="s">
        <v>238</v>
      </c>
      <c r="N278" s="6"/>
      <c r="O278" s="6"/>
      <c r="P278" s="22"/>
    </row>
    <row r="279" spans="4:16">
      <c r="D279" s="21"/>
      <c r="E279" s="6"/>
      <c r="F279" s="6"/>
      <c r="G279" s="6"/>
      <c r="H279" s="6"/>
      <c r="I279" s="31"/>
      <c r="J279" s="6"/>
      <c r="K279" s="6"/>
      <c r="L279" s="6"/>
      <c r="M279" s="6"/>
      <c r="N279" s="6"/>
      <c r="O279" s="6"/>
      <c r="P279" s="22"/>
    </row>
    <row r="280" spans="4:16">
      <c r="D280" s="21" t="s">
        <v>239</v>
      </c>
      <c r="E280" s="6"/>
      <c r="F280" s="6" t="s">
        <v>240</v>
      </c>
      <c r="G280" s="6">
        <v>4</v>
      </c>
      <c r="H280" s="6">
        <v>5</v>
      </c>
      <c r="I280" s="31" t="s">
        <v>31</v>
      </c>
      <c r="J280" s="6" t="s">
        <v>242</v>
      </c>
      <c r="K280" s="6"/>
      <c r="L280" s="6"/>
      <c r="M280" s="6" t="s">
        <v>241</v>
      </c>
      <c r="N280" s="6"/>
      <c r="O280" s="6"/>
      <c r="P280" s="22"/>
    </row>
    <row r="281" spans="4:16" ht="15" thickBot="1">
      <c r="D281" s="24"/>
      <c r="E281" s="25"/>
      <c r="F281" s="25"/>
      <c r="G281" s="25"/>
      <c r="H281" s="25"/>
      <c r="I281" s="25"/>
      <c r="J281" s="25"/>
      <c r="K281" s="25"/>
      <c r="L281" s="25"/>
      <c r="M281" s="25"/>
      <c r="N281" s="25"/>
      <c r="O281" s="25"/>
      <c r="P281" s="26"/>
    </row>
    <row r="282" spans="4:16">
      <c r="D282" s="6"/>
      <c r="E282" s="6"/>
      <c r="F282" s="6"/>
      <c r="G282" s="6"/>
      <c r="H282" s="6"/>
      <c r="I282" s="6"/>
      <c r="J282" s="6"/>
      <c r="K282" s="6"/>
      <c r="L282" s="6"/>
      <c r="M282" s="6"/>
      <c r="N282" s="6"/>
      <c r="O282" s="6"/>
      <c r="P282" s="6"/>
    </row>
    <row r="283" spans="4:16" ht="15" thickBot="1"/>
    <row r="284" spans="4:16">
      <c r="D284" s="18" t="s">
        <v>456</v>
      </c>
      <c r="E284" s="19"/>
      <c r="F284" s="19"/>
      <c r="G284" s="19"/>
      <c r="H284" s="19"/>
      <c r="I284" s="19"/>
      <c r="J284" s="19"/>
      <c r="K284" s="19"/>
      <c r="L284" s="19"/>
      <c r="M284" s="19"/>
      <c r="N284" s="19"/>
      <c r="O284" s="19"/>
      <c r="P284" s="20"/>
    </row>
    <row r="285" spans="4:16">
      <c r="D285" s="27" t="s">
        <v>217</v>
      </c>
      <c r="E285" s="28"/>
      <c r="F285" s="28" t="s">
        <v>213</v>
      </c>
      <c r="G285" s="28" t="s">
        <v>214</v>
      </c>
      <c r="H285" s="28" t="s">
        <v>215</v>
      </c>
      <c r="I285" s="28" t="s">
        <v>216</v>
      </c>
      <c r="J285" s="28" t="s">
        <v>221</v>
      </c>
      <c r="K285" s="28"/>
      <c r="L285" s="28"/>
      <c r="M285" s="28" t="s">
        <v>267</v>
      </c>
      <c r="N285" s="28"/>
      <c r="O285" s="28"/>
      <c r="P285" s="29"/>
    </row>
    <row r="286" spans="4:16">
      <c r="D286" s="21"/>
      <c r="E286" s="6"/>
      <c r="F286" s="6"/>
      <c r="G286" s="6"/>
      <c r="H286" s="6"/>
      <c r="I286" s="6"/>
      <c r="J286" s="6"/>
      <c r="K286" s="6"/>
      <c r="L286" s="6"/>
      <c r="M286" s="6"/>
      <c r="N286" s="6"/>
      <c r="O286" s="6"/>
      <c r="P286" s="22"/>
    </row>
    <row r="287" spans="4:16">
      <c r="D287" s="21" t="s">
        <v>218</v>
      </c>
      <c r="E287" s="6"/>
      <c r="F287" s="6" t="s">
        <v>219</v>
      </c>
      <c r="G287" s="6">
        <v>0</v>
      </c>
      <c r="H287" s="6">
        <v>100</v>
      </c>
      <c r="I287" s="31" t="s">
        <v>31</v>
      </c>
      <c r="J287" s="6" t="s">
        <v>38</v>
      </c>
      <c r="K287" s="6"/>
      <c r="L287" s="6"/>
      <c r="M287" s="6" t="s">
        <v>457</v>
      </c>
      <c r="N287" s="6"/>
      <c r="O287" s="6"/>
      <c r="P287" s="22"/>
    </row>
    <row r="288" spans="4:16">
      <c r="D288" s="21" t="s">
        <v>218</v>
      </c>
      <c r="E288" s="6"/>
      <c r="F288" s="6" t="s">
        <v>219</v>
      </c>
      <c r="G288" s="6">
        <v>0</v>
      </c>
      <c r="H288" s="6">
        <v>80</v>
      </c>
      <c r="I288" s="31" t="s">
        <v>31</v>
      </c>
      <c r="J288" s="6" t="s">
        <v>38</v>
      </c>
      <c r="K288" s="6"/>
      <c r="L288" s="6"/>
      <c r="M288" s="6" t="s">
        <v>458</v>
      </c>
      <c r="N288" s="6"/>
      <c r="O288" s="6"/>
      <c r="P288" s="22"/>
    </row>
    <row r="289" spans="4:16">
      <c r="D289" s="21" t="s">
        <v>218</v>
      </c>
      <c r="E289" s="6"/>
      <c r="F289" s="6"/>
      <c r="G289" s="6">
        <v>4</v>
      </c>
      <c r="H289" s="6">
        <v>100</v>
      </c>
      <c r="I289" s="31"/>
      <c r="J289" s="6" t="s">
        <v>450</v>
      </c>
      <c r="K289" s="6"/>
      <c r="L289" s="6"/>
      <c r="M289" s="6" t="s">
        <v>457</v>
      </c>
      <c r="N289" s="6"/>
      <c r="O289" s="6"/>
      <c r="P289" s="22"/>
    </row>
    <row r="290" spans="4:16">
      <c r="D290" s="21" t="s">
        <v>218</v>
      </c>
      <c r="E290" s="6"/>
      <c r="F290" s="6"/>
      <c r="G290" s="6">
        <v>4</v>
      </c>
      <c r="H290" s="6">
        <v>80</v>
      </c>
      <c r="I290" s="31"/>
      <c r="J290" s="6" t="s">
        <v>450</v>
      </c>
      <c r="K290" s="6"/>
      <c r="L290" s="6"/>
      <c r="M290" s="6" t="s">
        <v>458</v>
      </c>
      <c r="N290" s="6"/>
      <c r="O290" s="6"/>
      <c r="P290" s="22"/>
    </row>
    <row r="291" spans="4:16">
      <c r="D291" s="21" t="s">
        <v>451</v>
      </c>
      <c r="E291" s="6"/>
      <c r="F291" s="6"/>
      <c r="G291" s="6">
        <v>3</v>
      </c>
      <c r="H291" s="6">
        <v>10</v>
      </c>
      <c r="I291" s="31"/>
      <c r="J291" s="6" t="s">
        <v>418</v>
      </c>
      <c r="K291" s="6"/>
      <c r="L291" s="6"/>
      <c r="M291" s="6" t="s">
        <v>220</v>
      </c>
      <c r="N291" s="6"/>
      <c r="O291" s="6"/>
      <c r="P291" s="22"/>
    </row>
    <row r="292" spans="4:16">
      <c r="D292" s="21" t="s">
        <v>452</v>
      </c>
      <c r="E292" s="6"/>
      <c r="F292" s="6"/>
      <c r="G292" s="6">
        <v>4</v>
      </c>
      <c r="H292" s="6">
        <v>10</v>
      </c>
      <c r="I292" s="31"/>
      <c r="J292" s="6" t="s">
        <v>453</v>
      </c>
      <c r="K292" s="6"/>
      <c r="L292" s="6"/>
      <c r="M292" s="6" t="s">
        <v>220</v>
      </c>
      <c r="N292" s="6"/>
      <c r="O292" s="6"/>
      <c r="P292" s="22"/>
    </row>
    <row r="293" spans="4:16">
      <c r="D293" s="21" t="s">
        <v>222</v>
      </c>
      <c r="E293" s="6"/>
      <c r="F293" s="6"/>
      <c r="G293" s="6">
        <v>10</v>
      </c>
      <c r="H293" s="6">
        <v>25</v>
      </c>
      <c r="I293" s="31"/>
      <c r="J293" s="6" t="s">
        <v>454</v>
      </c>
      <c r="K293" s="6"/>
      <c r="L293" s="6"/>
      <c r="M293" s="6" t="s">
        <v>238</v>
      </c>
      <c r="N293" s="6"/>
      <c r="O293" s="6"/>
      <c r="P293" s="22"/>
    </row>
    <row r="294" spans="4:16">
      <c r="D294" s="21" t="s">
        <v>223</v>
      </c>
      <c r="E294" s="6"/>
      <c r="F294" s="6" t="s">
        <v>219</v>
      </c>
      <c r="G294" s="6">
        <v>32</v>
      </c>
      <c r="H294" s="6">
        <v>100</v>
      </c>
      <c r="I294" s="31" t="s">
        <v>57</v>
      </c>
      <c r="J294" s="6" t="s">
        <v>224</v>
      </c>
      <c r="K294" s="6"/>
      <c r="L294" s="6"/>
      <c r="M294" s="6" t="s">
        <v>238</v>
      </c>
      <c r="N294" s="6"/>
      <c r="O294" s="6"/>
      <c r="P294" s="22"/>
    </row>
    <row r="295" spans="4:16">
      <c r="D295" s="21"/>
      <c r="E295" s="6"/>
      <c r="F295" s="6"/>
      <c r="G295" s="6"/>
      <c r="H295" s="6"/>
      <c r="I295" s="31"/>
      <c r="J295" s="6"/>
      <c r="K295" s="6"/>
      <c r="L295" s="6"/>
      <c r="M295" s="6"/>
      <c r="N295" s="6"/>
      <c r="O295" s="6"/>
      <c r="P295" s="22"/>
    </row>
    <row r="296" spans="4:16">
      <c r="D296" s="21" t="s">
        <v>239</v>
      </c>
      <c r="E296" s="6"/>
      <c r="F296" s="6" t="s">
        <v>240</v>
      </c>
      <c r="G296" s="6">
        <v>4</v>
      </c>
      <c r="H296" s="6">
        <v>5</v>
      </c>
      <c r="I296" s="31" t="s">
        <v>31</v>
      </c>
      <c r="J296" s="6" t="s">
        <v>242</v>
      </c>
      <c r="K296" s="6"/>
      <c r="L296" s="6"/>
      <c r="M296" s="6" t="s">
        <v>241</v>
      </c>
      <c r="N296" s="6"/>
      <c r="O296" s="6"/>
      <c r="P296" s="22"/>
    </row>
    <row r="297" spans="4:16" ht="15" thickBot="1">
      <c r="D297" s="24"/>
      <c r="E297" s="25"/>
      <c r="F297" s="25"/>
      <c r="G297" s="25"/>
      <c r="H297" s="25"/>
      <c r="I297" s="25"/>
      <c r="J297" s="25"/>
      <c r="K297" s="25"/>
      <c r="L297" s="25"/>
      <c r="M297" s="25"/>
      <c r="N297" s="25"/>
      <c r="O297" s="25"/>
      <c r="P297" s="26"/>
    </row>
    <row r="299" spans="4:16" ht="15" thickBot="1"/>
    <row r="300" spans="4:16">
      <c r="D300" s="18" t="s">
        <v>459</v>
      </c>
      <c r="E300" s="19"/>
      <c r="F300" s="19"/>
      <c r="G300" s="19"/>
      <c r="H300" s="19"/>
      <c r="I300" s="19"/>
      <c r="J300" s="19"/>
      <c r="K300" s="19"/>
      <c r="L300" s="19"/>
      <c r="M300" s="19"/>
      <c r="N300" s="19"/>
      <c r="O300" s="19"/>
      <c r="P300" s="20"/>
    </row>
    <row r="301" spans="4:16">
      <c r="D301" s="27" t="s">
        <v>217</v>
      </c>
      <c r="E301" s="28"/>
      <c r="F301" s="28" t="s">
        <v>213</v>
      </c>
      <c r="G301" s="28" t="s">
        <v>214</v>
      </c>
      <c r="H301" s="28" t="s">
        <v>215</v>
      </c>
      <c r="I301" s="28" t="s">
        <v>216</v>
      </c>
      <c r="J301" s="28" t="s">
        <v>221</v>
      </c>
      <c r="K301" s="28"/>
      <c r="L301" s="28"/>
      <c r="M301" s="28" t="s">
        <v>267</v>
      </c>
      <c r="N301" s="28"/>
      <c r="O301" s="28"/>
      <c r="P301" s="29"/>
    </row>
    <row r="302" spans="4:16">
      <c r="D302" s="21"/>
      <c r="E302" s="6"/>
      <c r="F302" s="6"/>
      <c r="G302" s="6"/>
      <c r="H302" s="6"/>
      <c r="I302" s="6"/>
      <c r="J302" s="6"/>
      <c r="K302" s="6"/>
      <c r="L302" s="6"/>
      <c r="M302" s="6"/>
      <c r="N302" s="6"/>
      <c r="O302" s="6"/>
      <c r="P302" s="22"/>
    </row>
    <row r="303" spans="4:16">
      <c r="D303" s="21" t="s">
        <v>218</v>
      </c>
      <c r="E303" s="6"/>
      <c r="F303" s="6" t="s">
        <v>219</v>
      </c>
      <c r="G303" s="6">
        <v>0</v>
      </c>
      <c r="H303" s="6">
        <v>50</v>
      </c>
      <c r="I303" s="31" t="s">
        <v>31</v>
      </c>
      <c r="J303" s="6" t="s">
        <v>38</v>
      </c>
      <c r="K303" s="6"/>
      <c r="L303" s="6"/>
      <c r="M303" s="6" t="s">
        <v>220</v>
      </c>
      <c r="N303" s="6"/>
      <c r="O303" s="6"/>
      <c r="P303" s="22"/>
    </row>
    <row r="304" spans="4:16">
      <c r="D304" s="21" t="s">
        <v>218</v>
      </c>
      <c r="E304" s="6"/>
      <c r="F304" s="6"/>
      <c r="G304" s="6">
        <v>4</v>
      </c>
      <c r="H304" s="6">
        <v>50</v>
      </c>
      <c r="I304" s="31"/>
      <c r="J304" s="6" t="s">
        <v>450</v>
      </c>
      <c r="K304" s="6"/>
      <c r="L304" s="6"/>
      <c r="M304" s="6" t="s">
        <v>220</v>
      </c>
      <c r="N304" s="6"/>
      <c r="O304" s="6"/>
      <c r="P304" s="22"/>
    </row>
    <row r="305" spans="4:16">
      <c r="D305" s="21" t="s">
        <v>451</v>
      </c>
      <c r="E305" s="6"/>
      <c r="F305" s="6"/>
      <c r="G305" s="6">
        <v>3</v>
      </c>
      <c r="H305" s="6">
        <v>10</v>
      </c>
      <c r="I305" s="31"/>
      <c r="J305" s="6" t="s">
        <v>418</v>
      </c>
      <c r="K305" s="6"/>
      <c r="L305" s="6"/>
      <c r="M305" s="6" t="s">
        <v>220</v>
      </c>
      <c r="N305" s="6"/>
      <c r="O305" s="6"/>
      <c r="P305" s="22"/>
    </row>
    <row r="306" spans="4:16">
      <c r="D306" s="21" t="s">
        <v>452</v>
      </c>
      <c r="E306" s="6"/>
      <c r="F306" s="6"/>
      <c r="G306" s="6">
        <v>4</v>
      </c>
      <c r="H306" s="6">
        <v>10</v>
      </c>
      <c r="I306" s="31"/>
      <c r="J306" s="6" t="s">
        <v>453</v>
      </c>
      <c r="K306" s="6"/>
      <c r="L306" s="6"/>
      <c r="M306" s="6" t="s">
        <v>220</v>
      </c>
      <c r="N306" s="6"/>
      <c r="O306" s="6"/>
      <c r="P306" s="22"/>
    </row>
    <row r="307" spans="4:16">
      <c r="D307" s="21" t="s">
        <v>222</v>
      </c>
      <c r="E307" s="6"/>
      <c r="F307" s="6"/>
      <c r="G307" s="6">
        <v>10</v>
      </c>
      <c r="H307" s="6">
        <v>25</v>
      </c>
      <c r="I307" s="31"/>
      <c r="J307" s="6" t="s">
        <v>454</v>
      </c>
      <c r="K307" s="6"/>
      <c r="L307" s="6"/>
      <c r="M307" s="6" t="s">
        <v>238</v>
      </c>
      <c r="N307" s="6"/>
      <c r="O307" s="6"/>
      <c r="P307" s="22"/>
    </row>
    <row r="308" spans="4:16">
      <c r="D308" s="21" t="s">
        <v>223</v>
      </c>
      <c r="E308" s="6"/>
      <c r="F308" s="6" t="s">
        <v>219</v>
      </c>
      <c r="G308" s="6">
        <v>32</v>
      </c>
      <c r="H308" s="6">
        <v>100</v>
      </c>
      <c r="I308" s="31" t="s">
        <v>57</v>
      </c>
      <c r="J308" s="6" t="s">
        <v>224</v>
      </c>
      <c r="K308" s="6"/>
      <c r="L308" s="6"/>
      <c r="M308" s="6" t="s">
        <v>238</v>
      </c>
      <c r="N308" s="6"/>
      <c r="O308" s="6"/>
      <c r="P308" s="22"/>
    </row>
    <row r="309" spans="4:16">
      <c r="D309" s="21"/>
      <c r="E309" s="6"/>
      <c r="F309" s="6"/>
      <c r="G309" s="6"/>
      <c r="H309" s="6"/>
      <c r="I309" s="31"/>
      <c r="J309" s="6"/>
      <c r="K309" s="6"/>
      <c r="L309" s="6"/>
      <c r="M309" s="6"/>
      <c r="N309" s="6"/>
      <c r="O309" s="6"/>
      <c r="P309" s="22"/>
    </row>
    <row r="310" spans="4:16">
      <c r="D310" s="21" t="s">
        <v>239</v>
      </c>
      <c r="E310" s="6"/>
      <c r="F310" s="6" t="s">
        <v>240</v>
      </c>
      <c r="G310" s="6">
        <v>4</v>
      </c>
      <c r="H310" s="6">
        <v>5</v>
      </c>
      <c r="I310" s="31" t="s">
        <v>31</v>
      </c>
      <c r="J310" s="6" t="s">
        <v>242</v>
      </c>
      <c r="K310" s="6"/>
      <c r="L310" s="6"/>
      <c r="M310" s="6" t="s">
        <v>241</v>
      </c>
      <c r="N310" s="6"/>
      <c r="O310" s="6"/>
      <c r="P310" s="22"/>
    </row>
    <row r="311" spans="4:16" ht="15" thickBot="1">
      <c r="D311" s="24"/>
      <c r="E311" s="25"/>
      <c r="F311" s="25"/>
      <c r="G311" s="25"/>
      <c r="H311" s="25"/>
      <c r="I311" s="25"/>
      <c r="J311" s="25"/>
      <c r="K311" s="25"/>
      <c r="L311" s="25"/>
      <c r="M311" s="25"/>
      <c r="N311" s="25"/>
      <c r="O311" s="25"/>
      <c r="P311" s="26"/>
    </row>
    <row r="312" spans="4:16">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formula1>$O$152:$O$153</formula1>
    </dataValidation>
    <dataValidation type="list" allowBlank="1" showInputMessage="1" showErrorMessage="1" sqref="M35">
      <formula1>$I$135:$I$142</formula1>
    </dataValidation>
    <dataValidation type="list" allowBlank="1" showInputMessage="1" showErrorMessage="1" sqref="O79:S79">
      <formula1>$O$190:$O$198</formula1>
    </dataValidation>
    <dataValidation type="list" allowBlank="1" showInputMessage="1" showErrorMessage="1" sqref="G35">
      <formula1>$I$151:$I$152</formula1>
    </dataValidation>
    <dataValidation type="list" allowBlank="1" showInputMessage="1" showErrorMessage="1" sqref="I30">
      <formula1>$I$88:$I$91</formula1>
    </dataValidation>
    <dataValidation type="list" allowBlank="1" showInputMessage="1" showErrorMessage="1" sqref="I10">
      <formula1>$O$116:$O$123</formula1>
    </dataValidation>
    <dataValidation type="list" allowBlank="1" showInputMessage="1" showErrorMessage="1" sqref="I51">
      <formula1>$I$148:$I$149</formula1>
    </dataValidation>
    <dataValidation type="list" allowBlank="1" showInputMessage="1" showErrorMessage="1" sqref="R35">
      <formula1>$I$145:$I$146</formula1>
    </dataValidation>
    <dataValidation type="list" allowBlank="1" showInputMessage="1" showErrorMessage="1" sqref="O56">
      <formula1>$I$125:$I$132</formula1>
    </dataValidation>
    <dataValidation type="list" allowBlank="1" showInputMessage="1" showErrorMessage="1" sqref="R17">
      <formula1>$I$115:$I$122</formula1>
    </dataValidation>
    <dataValidation type="list" allowBlank="1" showInputMessage="1" showErrorMessage="1" sqref="O17">
      <formula1>$I$105:$I$112</formula1>
    </dataValidation>
    <dataValidation type="list" allowBlank="1" showInputMessage="1" showErrorMessage="1" sqref="L17">
      <formula1>$I$94:$I$101</formula1>
    </dataValidation>
    <dataValidation type="list" allowBlank="1" showInputMessage="1" showErrorMessage="1" sqref="Q45">
      <formula1>$I$154:$I$157</formula1>
    </dataValidation>
    <dataValidation type="list" allowBlank="1" showInputMessage="1" showErrorMessage="1" sqref="S27 S30 S33 S36 S39 S42">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C2:X289"/>
  <sheetViews>
    <sheetView topLeftCell="A37" zoomScaleNormal="100" workbookViewId="0">
      <selection activeCell="W21" sqref="W21"/>
    </sheetView>
  </sheetViews>
  <sheetFormatPr defaultColWidth="8.85546875" defaultRowHeight="14.25"/>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23" width="9.5703125" style="5" customWidth="1"/>
    <col min="24" max="16384" width="8.85546875" style="5"/>
  </cols>
  <sheetData>
    <row r="2" spans="5:18" ht="27.75">
      <c r="G2" s="12" t="s">
        <v>208</v>
      </c>
    </row>
    <row r="6" spans="5:18">
      <c r="E6" s="5" t="s">
        <v>194</v>
      </c>
    </row>
    <row r="9" spans="5:18" ht="15">
      <c r="P9" s="14" t="s">
        <v>209</v>
      </c>
    </row>
    <row r="10" spans="5:18" ht="15">
      <c r="H10" s="4" t="s">
        <v>193</v>
      </c>
      <c r="I10" s="48" t="s">
        <v>186</v>
      </c>
      <c r="J10" s="49"/>
      <c r="P10" s="14" t="s">
        <v>210</v>
      </c>
    </row>
    <row r="11" spans="5:18" ht="14.45" customHeight="1">
      <c r="F11" s="4">
        <v>8</v>
      </c>
      <c r="G11" s="5" t="s">
        <v>31</v>
      </c>
      <c r="P11" s="14" t="s">
        <v>211</v>
      </c>
    </row>
    <row r="12" spans="5:18" ht="15">
      <c r="L12" s="4">
        <f>F11/R126</f>
        <v>4</v>
      </c>
      <c r="M12" s="5" t="s">
        <v>31</v>
      </c>
      <c r="P12" s="14" t="s">
        <v>404</v>
      </c>
    </row>
    <row r="13" spans="5:18">
      <c r="H13" s="10"/>
      <c r="L13" s="9"/>
    </row>
    <row r="14" spans="5:18">
      <c r="L14" s="8"/>
    </row>
    <row r="16" spans="5:18">
      <c r="H16" s="4" t="s">
        <v>33</v>
      </c>
      <c r="I16" s="16" t="s">
        <v>40</v>
      </c>
      <c r="K16" s="5" t="s">
        <v>34</v>
      </c>
      <c r="L16" s="16" t="s">
        <v>42</v>
      </c>
      <c r="N16" s="4" t="s">
        <v>35</v>
      </c>
      <c r="O16" s="16" t="s">
        <v>107</v>
      </c>
      <c r="Q16" s="4" t="s">
        <v>36</v>
      </c>
      <c r="R16" s="16" t="s">
        <v>4</v>
      </c>
    </row>
    <row r="18" spans="4:23">
      <c r="U18" s="8">
        <f>P19/J110</f>
        <v>200</v>
      </c>
      <c r="V18" s="5" t="s">
        <v>31</v>
      </c>
    </row>
    <row r="19" spans="4:23">
      <c r="J19" s="6">
        <f>IF(I16="PLL_FRC", F11, F25)</f>
        <v>24</v>
      </c>
      <c r="M19" s="6">
        <f>J19/J103</f>
        <v>8</v>
      </c>
      <c r="P19" s="8">
        <f>IF(O23="Bypass",M19,M19*F217)</f>
        <v>400</v>
      </c>
    </row>
    <row r="22" spans="4:23">
      <c r="D22" s="4" t="s">
        <v>392</v>
      </c>
      <c r="E22" s="15">
        <v>24</v>
      </c>
      <c r="F22" s="5" t="s">
        <v>31</v>
      </c>
    </row>
    <row r="23" spans="4:23">
      <c r="D23" s="4" t="s">
        <v>393</v>
      </c>
      <c r="E23" s="16">
        <v>22</v>
      </c>
      <c r="F23" s="5" t="s">
        <v>31</v>
      </c>
      <c r="N23" s="4" t="s">
        <v>58</v>
      </c>
      <c r="O23" s="48" t="s">
        <v>396</v>
      </c>
      <c r="P23" s="50"/>
      <c r="Q23" s="49"/>
    </row>
    <row r="25" spans="4:23">
      <c r="E25" s="4" t="s">
        <v>53</v>
      </c>
      <c r="F25" s="7">
        <f>IF(I30="HS",E23,IF(I30="EC",E22,0))</f>
        <v>24</v>
      </c>
      <c r="G25" s="5" t="str">
        <f>F23</f>
        <v>MHz</v>
      </c>
    </row>
    <row r="26" spans="4:23">
      <c r="E26" s="4" t="s">
        <v>54</v>
      </c>
    </row>
    <row r="27" spans="4:23">
      <c r="R27" s="4" t="s">
        <v>207</v>
      </c>
      <c r="S27" s="17">
        <v>2</v>
      </c>
    </row>
    <row r="28" spans="4:23">
      <c r="K28" s="4"/>
      <c r="L28" s="4" t="s">
        <v>195</v>
      </c>
      <c r="M28" s="51" t="s">
        <v>199</v>
      </c>
      <c r="N28" s="53"/>
      <c r="V28" s="5">
        <f>$R$49/S27</f>
        <v>100</v>
      </c>
      <c r="W28" s="5" t="s">
        <v>31</v>
      </c>
    </row>
    <row r="30" spans="4:23">
      <c r="E30" s="4" t="s">
        <v>55</v>
      </c>
      <c r="H30" s="4" t="s">
        <v>32</v>
      </c>
      <c r="I30" s="2" t="s">
        <v>38</v>
      </c>
      <c r="R30" s="4" t="s">
        <v>207</v>
      </c>
      <c r="S30" s="17">
        <v>2</v>
      </c>
    </row>
    <row r="31" spans="4:23">
      <c r="E31" s="4" t="s">
        <v>56</v>
      </c>
      <c r="V31" s="5">
        <f>$R$49/S30</f>
        <v>100</v>
      </c>
      <c r="W31" s="5" t="s">
        <v>31</v>
      </c>
    </row>
    <row r="32" spans="4:23">
      <c r="E32" s="4"/>
    </row>
    <row r="33" spans="4:23">
      <c r="E33" s="4"/>
      <c r="I33" s="32">
        <f>V28/2</f>
        <v>50</v>
      </c>
      <c r="J33" s="5" t="s">
        <v>31</v>
      </c>
      <c r="R33" s="4" t="s">
        <v>207</v>
      </c>
      <c r="S33" s="17">
        <v>2</v>
      </c>
    </row>
    <row r="34" spans="4:23">
      <c r="E34" s="4"/>
      <c r="V34" s="5">
        <f>$R$49/S33</f>
        <v>100</v>
      </c>
      <c r="W34" s="5" t="s">
        <v>31</v>
      </c>
    </row>
    <row r="35" spans="4:23">
      <c r="E35" s="4"/>
      <c r="F35" s="4" t="s">
        <v>203</v>
      </c>
      <c r="G35" s="16" t="s">
        <v>0</v>
      </c>
      <c r="L35" s="4" t="s">
        <v>196</v>
      </c>
      <c r="M35" s="16" t="s">
        <v>7</v>
      </c>
    </row>
    <row r="36" spans="4:23">
      <c r="E36" s="4"/>
      <c r="R36" s="4" t="s">
        <v>207</v>
      </c>
      <c r="S36" s="17">
        <v>2</v>
      </c>
    </row>
    <row r="37" spans="4:23">
      <c r="E37" s="4"/>
      <c r="V37" s="5">
        <f>$R$49/S36</f>
        <v>100</v>
      </c>
      <c r="W37" s="5" t="s">
        <v>31</v>
      </c>
    </row>
    <row r="38" spans="4:23">
      <c r="E38" s="4"/>
      <c r="F38" s="5">
        <v>8</v>
      </c>
      <c r="G38" s="10" t="s">
        <v>31</v>
      </c>
    </row>
    <row r="39" spans="4:23">
      <c r="E39" s="4"/>
      <c r="R39" s="4" t="s">
        <v>207</v>
      </c>
      <c r="S39" s="17">
        <v>2</v>
      </c>
    </row>
    <row r="40" spans="4:23">
      <c r="E40" s="4"/>
      <c r="M40" s="5">
        <f>$L$12</f>
        <v>4</v>
      </c>
      <c r="N40" s="5" t="s">
        <v>31</v>
      </c>
      <c r="V40" s="5">
        <f>$R$49/S39</f>
        <v>100</v>
      </c>
      <c r="W40" s="5" t="s">
        <v>31</v>
      </c>
    </row>
    <row r="42" spans="4:23">
      <c r="E42" s="4"/>
      <c r="F42" s="5">
        <v>32</v>
      </c>
      <c r="G42" s="10" t="s">
        <v>57</v>
      </c>
      <c r="M42" s="5">
        <f>$U$18</f>
        <v>200</v>
      </c>
      <c r="N42" s="5" t="s">
        <v>31</v>
      </c>
      <c r="R42" s="4" t="s">
        <v>207</v>
      </c>
      <c r="S42" s="17">
        <v>1</v>
      </c>
    </row>
    <row r="43" spans="4:23">
      <c r="E43" s="4"/>
      <c r="V43" s="5">
        <f>$R$49/S42</f>
        <v>200</v>
      </c>
      <c r="W43" s="5" t="s">
        <v>31</v>
      </c>
    </row>
    <row r="44" spans="4:23">
      <c r="E44" s="4"/>
      <c r="M44" s="5">
        <f>$F$25</f>
        <v>24</v>
      </c>
      <c r="N44" s="5" t="s">
        <v>31</v>
      </c>
    </row>
    <row r="45" spans="4:23">
      <c r="E45" s="4"/>
      <c r="R45" s="4" t="s">
        <v>207</v>
      </c>
      <c r="S45" s="17">
        <v>2</v>
      </c>
    </row>
    <row r="46" spans="4:23">
      <c r="D46" s="4" t="s">
        <v>393</v>
      </c>
      <c r="E46" s="16">
        <v>32.768000000000001</v>
      </c>
      <c r="F46" s="5" t="s">
        <v>57</v>
      </c>
      <c r="G46" s="5">
        <f>IF($I$51="ON", $E$46, 0)</f>
        <v>32.768000000000001</v>
      </c>
      <c r="H46" s="5" t="s">
        <v>57</v>
      </c>
      <c r="M46" s="5">
        <v>8</v>
      </c>
      <c r="N46" s="5" t="s">
        <v>31</v>
      </c>
      <c r="V46" s="5">
        <f>$R$49/S45</f>
        <v>100</v>
      </c>
      <c r="W46" s="5" t="s">
        <v>31</v>
      </c>
    </row>
    <row r="47" spans="4:23">
      <c r="E47" s="4" t="s">
        <v>201</v>
      </c>
    </row>
    <row r="48" spans="4:23">
      <c r="E48" s="4"/>
      <c r="M48" s="5">
        <v>32</v>
      </c>
      <c r="N48" s="5" t="s">
        <v>57</v>
      </c>
    </row>
    <row r="49" spans="5:21">
      <c r="E49" s="4"/>
      <c r="R49" s="5">
        <f>K118</f>
        <v>200</v>
      </c>
      <c r="S49" s="5" t="s">
        <v>31</v>
      </c>
    </row>
    <row r="50" spans="5:21">
      <c r="E50" s="4"/>
      <c r="M50" s="11">
        <f>$G$46</f>
        <v>32.768000000000001</v>
      </c>
      <c r="N50" s="5" t="s">
        <v>57</v>
      </c>
    </row>
    <row r="51" spans="5:21">
      <c r="H51" s="4" t="s">
        <v>202</v>
      </c>
      <c r="I51" s="16" t="s">
        <v>0</v>
      </c>
    </row>
    <row r="52" spans="5:21">
      <c r="E52" s="4" t="s">
        <v>200</v>
      </c>
    </row>
    <row r="53" spans="5:21">
      <c r="E53" s="4"/>
    </row>
    <row r="54" spans="5:21">
      <c r="N54" s="4" t="s">
        <v>50</v>
      </c>
      <c r="O54" s="16" t="s">
        <v>37</v>
      </c>
    </row>
    <row r="55" spans="5:21">
      <c r="S55" s="8"/>
      <c r="U55" s="6"/>
    </row>
    <row r="56" spans="5:21" ht="15.75">
      <c r="H56" s="13"/>
      <c r="U56" s="8"/>
    </row>
    <row r="57" spans="5:21">
      <c r="U57" s="8"/>
    </row>
    <row r="59" spans="5:21">
      <c r="M59" s="5">
        <v>8</v>
      </c>
      <c r="N59" s="5" t="s">
        <v>31</v>
      </c>
    </row>
    <row r="61" spans="5:21">
      <c r="G61" s="4" t="s">
        <v>13</v>
      </c>
      <c r="M61" s="5">
        <f>$U$18</f>
        <v>200</v>
      </c>
      <c r="N61" s="5" t="s">
        <v>31</v>
      </c>
      <c r="T61" s="4"/>
    </row>
    <row r="62" spans="5:21">
      <c r="G62" s="4" t="s">
        <v>8</v>
      </c>
      <c r="H62" s="5" t="str">
        <f>O54</f>
        <v>SPLL</v>
      </c>
    </row>
    <row r="63" spans="5:21">
      <c r="G63" s="4" t="s">
        <v>9</v>
      </c>
      <c r="H63" s="5" t="str">
        <f>I51</f>
        <v>ON</v>
      </c>
      <c r="M63" s="5">
        <f>$F$25</f>
        <v>24</v>
      </c>
      <c r="N63" s="5" t="s">
        <v>31</v>
      </c>
    </row>
    <row r="64" spans="5:21">
      <c r="G64" s="4" t="s">
        <v>10</v>
      </c>
      <c r="H64" s="5" t="str">
        <f>I30</f>
        <v>EC</v>
      </c>
    </row>
    <row r="65" spans="5:24">
      <c r="G65" s="4" t="s">
        <v>11</v>
      </c>
      <c r="H65" s="5" t="str">
        <f>G35</f>
        <v>ON</v>
      </c>
      <c r="M65" s="5">
        <v>8</v>
      </c>
      <c r="N65" s="5" t="s">
        <v>31</v>
      </c>
      <c r="P65" s="7" t="s">
        <v>384</v>
      </c>
      <c r="Q65" s="17">
        <v>218</v>
      </c>
    </row>
    <row r="66" spans="5:24">
      <c r="G66" s="4"/>
      <c r="P66" s="7" t="s">
        <v>385</v>
      </c>
      <c r="Q66" s="17">
        <v>5</v>
      </c>
      <c r="R66" s="38"/>
    </row>
    <row r="67" spans="5:24">
      <c r="G67" s="4" t="s">
        <v>14</v>
      </c>
      <c r="M67" s="5">
        <v>32</v>
      </c>
      <c r="N67" s="5" t="s">
        <v>57</v>
      </c>
    </row>
    <row r="68" spans="5:24">
      <c r="G68" s="4" t="s">
        <v>16</v>
      </c>
      <c r="H68" s="5" t="str">
        <f>I16</f>
        <v>PLL_POSC</v>
      </c>
      <c r="W68" s="36">
        <f>IF($Q$66=0, $O$69, ($O$69/(2*$T$230)))</f>
        <v>18.430525557955363</v>
      </c>
      <c r="X68" s="5" t="s">
        <v>31</v>
      </c>
    </row>
    <row r="69" spans="5:24">
      <c r="G69" s="4" t="s">
        <v>18</v>
      </c>
      <c r="H69" s="5" t="str">
        <f>L16</f>
        <v>DIV_3</v>
      </c>
      <c r="M69" s="11">
        <f>$G$46</f>
        <v>32.768000000000001</v>
      </c>
      <c r="N69" s="5" t="s">
        <v>57</v>
      </c>
      <c r="O69" s="5">
        <f>U210</f>
        <v>200</v>
      </c>
      <c r="Q69" s="11"/>
    </row>
    <row r="70" spans="5:24">
      <c r="G70" s="4" t="s">
        <v>15</v>
      </c>
      <c r="H70" s="5" t="str">
        <f>O16</f>
        <v>MUL_50</v>
      </c>
    </row>
    <row r="71" spans="5:24">
      <c r="G71" s="4" t="s">
        <v>12</v>
      </c>
      <c r="H71" s="5" t="str">
        <f>R16</f>
        <v>DIV_2</v>
      </c>
      <c r="M71" s="5">
        <f>V28</f>
        <v>100</v>
      </c>
      <c r="N71" s="5" t="s">
        <v>31</v>
      </c>
    </row>
    <row r="72" spans="5:24">
      <c r="G72" s="4" t="s">
        <v>17</v>
      </c>
      <c r="H72" s="5" t="str">
        <f>O23</f>
        <v>RANGE_5_10_MHZ</v>
      </c>
    </row>
    <row r="73" spans="5:24">
      <c r="G73" s="4" t="s">
        <v>197</v>
      </c>
      <c r="H73" s="5" t="str">
        <f>M35</f>
        <v>OFF</v>
      </c>
      <c r="M73" s="5">
        <f>R49</f>
        <v>200</v>
      </c>
      <c r="N73" s="5" t="s">
        <v>31</v>
      </c>
    </row>
    <row r="74" spans="5:24">
      <c r="G74" s="4" t="s">
        <v>198</v>
      </c>
      <c r="H74" s="5" t="str">
        <f>M28</f>
        <v>FREQ_12MHZ</v>
      </c>
    </row>
    <row r="75" spans="5:24">
      <c r="E75" s="4"/>
      <c r="M75" s="16">
        <v>2</v>
      </c>
      <c r="N75" s="5" t="s">
        <v>31</v>
      </c>
    </row>
    <row r="76" spans="5:24">
      <c r="E76" s="4"/>
      <c r="M76" s="11"/>
      <c r="U76" s="5" t="s">
        <v>390</v>
      </c>
    </row>
    <row r="77" spans="5:24">
      <c r="E77" s="4"/>
    </row>
    <row r="78" spans="5:24">
      <c r="E78" s="4"/>
    </row>
    <row r="79" spans="5:24">
      <c r="E79" s="4"/>
      <c r="N79" s="34" t="s">
        <v>386</v>
      </c>
      <c r="O79" s="51" t="s">
        <v>359</v>
      </c>
      <c r="P79" s="52"/>
      <c r="Q79" s="52"/>
      <c r="R79" s="52"/>
      <c r="S79" s="53"/>
    </row>
    <row r="80" spans="5:24">
      <c r="E80" s="4"/>
    </row>
    <row r="81" spans="3:14">
      <c r="E81" s="4"/>
    </row>
    <row r="82" spans="3:14">
      <c r="E82" s="4"/>
    </row>
    <row r="83" spans="3:14">
      <c r="E83" s="4"/>
    </row>
    <row r="84" spans="3:14" ht="15" thickBot="1">
      <c r="E84" s="4"/>
    </row>
    <row r="85" spans="3:14">
      <c r="C85" s="18"/>
      <c r="D85" s="19"/>
      <c r="E85" s="19"/>
      <c r="F85" s="19" t="s">
        <v>264</v>
      </c>
      <c r="G85" s="19"/>
      <c r="H85" s="19"/>
      <c r="I85" s="19"/>
      <c r="J85" s="19"/>
      <c r="K85" s="19"/>
      <c r="L85" s="20"/>
    </row>
    <row r="86" spans="3:14">
      <c r="C86" s="27"/>
      <c r="D86" s="28"/>
      <c r="E86" s="28"/>
      <c r="F86" s="28"/>
      <c r="G86" s="28"/>
      <c r="H86" s="28"/>
      <c r="I86" s="28"/>
      <c r="J86" s="28"/>
      <c r="K86" s="28"/>
      <c r="L86" s="29"/>
    </row>
    <row r="87" spans="3:14" ht="15" thickBot="1">
      <c r="C87" s="24" t="s">
        <v>265</v>
      </c>
      <c r="D87" s="25"/>
      <c r="E87" s="25" t="s">
        <v>266</v>
      </c>
      <c r="F87" s="25"/>
      <c r="G87" s="24"/>
      <c r="H87" s="25" t="s">
        <v>265</v>
      </c>
      <c r="I87" s="25" t="s">
        <v>266</v>
      </c>
      <c r="J87" s="25"/>
      <c r="K87" s="25"/>
      <c r="L87" s="26"/>
    </row>
    <row r="88" spans="3:14">
      <c r="C88" s="21"/>
      <c r="D88" s="7" t="s">
        <v>35</v>
      </c>
      <c r="E88" s="6"/>
      <c r="F88" s="22"/>
      <c r="G88" s="6"/>
      <c r="H88" s="7" t="s">
        <v>32</v>
      </c>
      <c r="I88" s="6" t="s">
        <v>38</v>
      </c>
      <c r="J88" s="6"/>
      <c r="K88" s="6"/>
      <c r="L88" s="22"/>
      <c r="N88" s="10" t="s">
        <v>395</v>
      </c>
    </row>
    <row r="89" spans="3:14">
      <c r="C89" s="21"/>
      <c r="D89" s="6">
        <v>1</v>
      </c>
      <c r="E89" s="6" t="s">
        <v>47</v>
      </c>
      <c r="F89" s="22">
        <f>IF($O$16=E89, D89, 0)</f>
        <v>0</v>
      </c>
      <c r="G89" s="6"/>
      <c r="H89" s="7"/>
      <c r="I89" s="6" t="s">
        <v>39</v>
      </c>
      <c r="J89" s="6"/>
      <c r="K89" s="6"/>
      <c r="L89" s="22"/>
      <c r="N89" s="10" t="s">
        <v>206</v>
      </c>
    </row>
    <row r="90" spans="3:14">
      <c r="C90" s="21"/>
      <c r="D90" s="6">
        <v>2</v>
      </c>
      <c r="E90" s="6" t="s">
        <v>48</v>
      </c>
      <c r="F90" s="22">
        <f>IF($O$16=E90, D90, 0)</f>
        <v>0</v>
      </c>
      <c r="G90" s="6"/>
      <c r="H90" s="7"/>
      <c r="I90" s="6" t="s">
        <v>7</v>
      </c>
      <c r="J90" s="6"/>
      <c r="K90" s="6"/>
      <c r="L90" s="22"/>
      <c r="N90" s="10" t="s">
        <v>205</v>
      </c>
    </row>
    <row r="91" spans="3:14">
      <c r="C91" s="21"/>
      <c r="D91" s="6">
        <f>D90+1</f>
        <v>3</v>
      </c>
      <c r="E91" s="6" t="s">
        <v>60</v>
      </c>
      <c r="F91" s="22">
        <f t="shared" ref="F91:F154" si="0">IF($O$16=E91, D91, 0)</f>
        <v>0</v>
      </c>
      <c r="G91" s="6"/>
      <c r="H91" s="7"/>
      <c r="I91" s="6"/>
      <c r="J91" s="6"/>
      <c r="K91" s="6"/>
      <c r="L91" s="22"/>
      <c r="N91" s="5" t="s">
        <v>344</v>
      </c>
    </row>
    <row r="92" spans="3:14">
      <c r="C92" s="21"/>
      <c r="D92" s="6">
        <f>D91+1</f>
        <v>4</v>
      </c>
      <c r="E92" s="6" t="s">
        <v>61</v>
      </c>
      <c r="F92" s="22">
        <f t="shared" si="0"/>
        <v>0</v>
      </c>
      <c r="G92" s="6"/>
      <c r="H92" s="7" t="s">
        <v>33</v>
      </c>
      <c r="I92" s="6" t="s">
        <v>2</v>
      </c>
      <c r="J92" s="6"/>
      <c r="K92" s="6"/>
      <c r="L92" s="22"/>
      <c r="N92" s="5" t="s">
        <v>345</v>
      </c>
    </row>
    <row r="93" spans="3:14">
      <c r="C93" s="21"/>
      <c r="D93" s="6">
        <f t="shared" ref="D93:D156" si="1">D92+1</f>
        <v>5</v>
      </c>
      <c r="E93" s="6" t="s">
        <v>62</v>
      </c>
      <c r="F93" s="22">
        <f t="shared" si="0"/>
        <v>0</v>
      </c>
      <c r="G93" s="6"/>
      <c r="H93" s="7"/>
      <c r="I93" s="6" t="s">
        <v>40</v>
      </c>
      <c r="J93" s="6"/>
      <c r="K93" s="6"/>
      <c r="L93" s="22"/>
      <c r="N93" s="5" t="s">
        <v>346</v>
      </c>
    </row>
    <row r="94" spans="3:14">
      <c r="C94" s="21"/>
      <c r="D94" s="6">
        <f t="shared" si="1"/>
        <v>6</v>
      </c>
      <c r="E94" s="6" t="s">
        <v>63</v>
      </c>
      <c r="F94" s="22">
        <f t="shared" si="0"/>
        <v>0</v>
      </c>
      <c r="G94" s="6"/>
      <c r="H94" s="7"/>
      <c r="I94" s="6"/>
      <c r="J94" s="6"/>
      <c r="K94" s="6"/>
      <c r="L94" s="22"/>
      <c r="N94" s="5" t="s">
        <v>347</v>
      </c>
    </row>
    <row r="95" spans="3:14">
      <c r="C95" s="21"/>
      <c r="D95" s="6">
        <f t="shared" si="1"/>
        <v>7</v>
      </c>
      <c r="E95" s="6" t="s">
        <v>64</v>
      </c>
      <c r="F95" s="22">
        <f t="shared" si="0"/>
        <v>0</v>
      </c>
      <c r="G95" s="6"/>
      <c r="H95" s="7" t="s">
        <v>34</v>
      </c>
      <c r="I95" s="6" t="s">
        <v>41</v>
      </c>
      <c r="J95" s="6">
        <f>IF($L$16="DIV_1", 1, 0)</f>
        <v>0</v>
      </c>
      <c r="K95" s="6"/>
      <c r="L95" s="22"/>
      <c r="N95" s="5" t="s">
        <v>348</v>
      </c>
    </row>
    <row r="96" spans="3:14">
      <c r="C96" s="21"/>
      <c r="D96" s="6">
        <f t="shared" si="1"/>
        <v>8</v>
      </c>
      <c r="E96" s="6" t="s">
        <v>65</v>
      </c>
      <c r="F96" s="22">
        <f t="shared" si="0"/>
        <v>0</v>
      </c>
      <c r="G96" s="6"/>
      <c r="H96" s="7"/>
      <c r="I96" s="6" t="s">
        <v>4</v>
      </c>
      <c r="J96" s="6">
        <f>IF($L$16="DIV_2", 2, 0)</f>
        <v>0</v>
      </c>
      <c r="K96" s="6"/>
      <c r="L96" s="22"/>
      <c r="N96" s="5" t="s">
        <v>349</v>
      </c>
    </row>
    <row r="97" spans="3:14">
      <c r="C97" s="21"/>
      <c r="D97" s="6">
        <f t="shared" si="1"/>
        <v>9</v>
      </c>
      <c r="E97" s="6" t="s">
        <v>66</v>
      </c>
      <c r="F97" s="22">
        <f t="shared" si="0"/>
        <v>0</v>
      </c>
      <c r="G97" s="6"/>
      <c r="H97" s="7"/>
      <c r="I97" s="6" t="s">
        <v>42</v>
      </c>
      <c r="J97" s="6">
        <f>IF($L$16="DIV_3", 3, 0)</f>
        <v>3</v>
      </c>
      <c r="K97" s="6"/>
      <c r="L97" s="22"/>
      <c r="N97" s="5" t="s">
        <v>343</v>
      </c>
    </row>
    <row r="98" spans="3:14">
      <c r="C98" s="21"/>
      <c r="D98" s="6">
        <f t="shared" si="1"/>
        <v>10</v>
      </c>
      <c r="E98" s="6" t="s">
        <v>67</v>
      </c>
      <c r="F98" s="22">
        <f t="shared" si="0"/>
        <v>0</v>
      </c>
      <c r="G98" s="6"/>
      <c r="H98" s="7"/>
      <c r="I98" s="6" t="s">
        <v>43</v>
      </c>
      <c r="J98" s="6">
        <f>IF($L$16="DIV_4", 4, 0)</f>
        <v>0</v>
      </c>
      <c r="K98" s="6"/>
      <c r="L98" s="22"/>
      <c r="N98" s="5" t="s">
        <v>338</v>
      </c>
    </row>
    <row r="99" spans="3:14">
      <c r="C99" s="21"/>
      <c r="D99" s="6">
        <f t="shared" si="1"/>
        <v>11</v>
      </c>
      <c r="E99" s="6" t="s">
        <v>68</v>
      </c>
      <c r="F99" s="22">
        <f t="shared" si="0"/>
        <v>0</v>
      </c>
      <c r="G99" s="6"/>
      <c r="H99" s="7"/>
      <c r="I99" s="6" t="s">
        <v>44</v>
      </c>
      <c r="J99" s="6">
        <f>IF($L$16="DIV_5", 5, 0)</f>
        <v>0</v>
      </c>
      <c r="K99" s="6"/>
      <c r="L99" s="22"/>
      <c r="N99" s="5" t="s">
        <v>339</v>
      </c>
    </row>
    <row r="100" spans="3:14">
      <c r="C100" s="21"/>
      <c r="D100" s="6">
        <f t="shared" si="1"/>
        <v>12</v>
      </c>
      <c r="E100" s="6" t="s">
        <v>69</v>
      </c>
      <c r="F100" s="22">
        <f t="shared" si="0"/>
        <v>0</v>
      </c>
      <c r="G100" s="6"/>
      <c r="H100" s="7"/>
      <c r="I100" s="6" t="s">
        <v>45</v>
      </c>
      <c r="J100" s="6">
        <f>IF($L$16="DIV_6", 6, 0)</f>
        <v>0</v>
      </c>
      <c r="K100" s="6"/>
      <c r="L100" s="22"/>
      <c r="N100" s="5" t="s">
        <v>340</v>
      </c>
    </row>
    <row r="101" spans="3:14">
      <c r="C101" s="21"/>
      <c r="D101" s="6">
        <f t="shared" si="1"/>
        <v>13</v>
      </c>
      <c r="E101" s="6" t="s">
        <v>70</v>
      </c>
      <c r="F101" s="22">
        <f t="shared" si="0"/>
        <v>0</v>
      </c>
      <c r="G101" s="6"/>
      <c r="H101" s="7"/>
      <c r="I101" s="6" t="s">
        <v>46</v>
      </c>
      <c r="J101" s="6">
        <f>IF($L$16="DIV_7", 7, 0)</f>
        <v>0</v>
      </c>
      <c r="K101" s="6"/>
      <c r="L101" s="22"/>
      <c r="N101" s="5" t="s">
        <v>341</v>
      </c>
    </row>
    <row r="102" spans="3:14">
      <c r="C102" s="21"/>
      <c r="D102" s="6">
        <f t="shared" si="1"/>
        <v>14</v>
      </c>
      <c r="E102" s="6" t="s">
        <v>71</v>
      </c>
      <c r="F102" s="22">
        <f t="shared" si="0"/>
        <v>0</v>
      </c>
      <c r="G102" s="6"/>
      <c r="H102" s="7"/>
      <c r="I102" s="6" t="s">
        <v>1</v>
      </c>
      <c r="J102" s="6">
        <f>IF($L$16="DIV_8", 8, 0)</f>
        <v>0</v>
      </c>
      <c r="K102" s="6"/>
      <c r="L102" s="22"/>
      <c r="N102" s="5" t="s">
        <v>342</v>
      </c>
    </row>
    <row r="103" spans="3:14">
      <c r="C103" s="21"/>
      <c r="D103" s="6">
        <f t="shared" si="1"/>
        <v>15</v>
      </c>
      <c r="E103" s="6" t="s">
        <v>72</v>
      </c>
      <c r="F103" s="22">
        <f t="shared" si="0"/>
        <v>0</v>
      </c>
      <c r="G103" s="6"/>
      <c r="H103" s="7"/>
      <c r="I103" s="6"/>
      <c r="J103" s="6">
        <f>SUM(J95:J102)</f>
        <v>3</v>
      </c>
      <c r="K103" s="6"/>
      <c r="L103" s="22"/>
    </row>
    <row r="104" spans="3:14">
      <c r="C104" s="21"/>
      <c r="D104" s="6">
        <f t="shared" si="1"/>
        <v>16</v>
      </c>
      <c r="E104" s="6" t="s">
        <v>73</v>
      </c>
      <c r="F104" s="22">
        <f t="shared" si="0"/>
        <v>0</v>
      </c>
      <c r="G104" s="6"/>
      <c r="H104" s="6"/>
      <c r="I104" s="6"/>
      <c r="J104" s="6"/>
      <c r="K104" s="6"/>
      <c r="L104" s="22"/>
      <c r="N104" s="5" t="s">
        <v>350</v>
      </c>
    </row>
    <row r="105" spans="3:14">
      <c r="C105" s="21"/>
      <c r="D105" s="6">
        <f t="shared" si="1"/>
        <v>17</v>
      </c>
      <c r="E105" s="6" t="s">
        <v>74</v>
      </c>
      <c r="F105" s="22">
        <f t="shared" si="0"/>
        <v>0</v>
      </c>
      <c r="G105" s="6"/>
      <c r="H105" s="7" t="s">
        <v>36</v>
      </c>
      <c r="I105" s="6" t="s">
        <v>4</v>
      </c>
      <c r="J105" s="6">
        <f>IF($R$16="DIV_2", 2, 0)</f>
        <v>2</v>
      </c>
      <c r="K105" s="6"/>
      <c r="L105" s="22"/>
      <c r="N105" s="5" t="s">
        <v>360</v>
      </c>
    </row>
    <row r="106" spans="3:14">
      <c r="C106" s="21"/>
      <c r="D106" s="6">
        <f t="shared" si="1"/>
        <v>18</v>
      </c>
      <c r="E106" s="6" t="s">
        <v>75</v>
      </c>
      <c r="F106" s="22">
        <f t="shared" si="0"/>
        <v>0</v>
      </c>
      <c r="G106" s="6"/>
      <c r="H106" s="6"/>
      <c r="I106" s="6" t="s">
        <v>43</v>
      </c>
      <c r="J106" s="6">
        <f>IF($R$16="DIV_4", 4, 0)</f>
        <v>0</v>
      </c>
      <c r="K106" s="6"/>
      <c r="L106" s="22"/>
      <c r="N106" s="5" t="s">
        <v>361</v>
      </c>
    </row>
    <row r="107" spans="3:14">
      <c r="C107" s="21"/>
      <c r="D107" s="6">
        <f t="shared" si="1"/>
        <v>19</v>
      </c>
      <c r="E107" s="6" t="s">
        <v>76</v>
      </c>
      <c r="F107" s="22">
        <f t="shared" si="0"/>
        <v>0</v>
      </c>
      <c r="G107" s="6"/>
      <c r="H107" s="6"/>
      <c r="I107" s="6" t="s">
        <v>1</v>
      </c>
      <c r="J107" s="6">
        <f>IF($R$16="DIV_8", 8, 0)</f>
        <v>0</v>
      </c>
      <c r="K107" s="6"/>
      <c r="L107" s="22"/>
      <c r="N107" s="5" t="s">
        <v>362</v>
      </c>
    </row>
    <row r="108" spans="3:14">
      <c r="C108" s="21"/>
      <c r="D108" s="6">
        <f t="shared" si="1"/>
        <v>20</v>
      </c>
      <c r="E108" s="6" t="s">
        <v>77</v>
      </c>
      <c r="F108" s="22">
        <f t="shared" si="0"/>
        <v>0</v>
      </c>
      <c r="G108" s="6"/>
      <c r="H108" s="6"/>
      <c r="I108" s="6" t="s">
        <v>49</v>
      </c>
      <c r="J108" s="6">
        <f>IF($R$16="DIV_16", 16, 0)</f>
        <v>0</v>
      </c>
      <c r="K108" s="6"/>
      <c r="L108" s="22"/>
      <c r="N108" s="5" t="s">
        <v>380</v>
      </c>
    </row>
    <row r="109" spans="3:14">
      <c r="C109" s="21"/>
      <c r="D109" s="6">
        <f t="shared" si="1"/>
        <v>21</v>
      </c>
      <c r="E109" s="6" t="s">
        <v>78</v>
      </c>
      <c r="F109" s="22">
        <f t="shared" si="0"/>
        <v>0</v>
      </c>
      <c r="G109" s="6"/>
      <c r="H109" s="6"/>
      <c r="I109" s="6" t="s">
        <v>19</v>
      </c>
      <c r="J109" s="6">
        <f>IF($R$16="DIV_32", 32, 0)</f>
        <v>0</v>
      </c>
      <c r="K109" s="6"/>
      <c r="L109" s="22"/>
      <c r="N109" s="5" t="s">
        <v>382</v>
      </c>
    </row>
    <row r="110" spans="3:14">
      <c r="C110" s="21"/>
      <c r="D110" s="6">
        <f t="shared" si="1"/>
        <v>22</v>
      </c>
      <c r="E110" s="6" t="s">
        <v>79</v>
      </c>
      <c r="F110" s="22">
        <f t="shared" si="0"/>
        <v>0</v>
      </c>
      <c r="G110" s="6"/>
      <c r="H110" s="6"/>
      <c r="I110" s="6"/>
      <c r="J110" s="6">
        <f>SUM(J105:J109)</f>
        <v>2</v>
      </c>
      <c r="K110" s="6"/>
      <c r="L110" s="22"/>
      <c r="N110" s="5" t="s">
        <v>383</v>
      </c>
    </row>
    <row r="111" spans="3:14">
      <c r="C111" s="21"/>
      <c r="D111" s="6">
        <f t="shared" si="1"/>
        <v>23</v>
      </c>
      <c r="E111" s="6" t="s">
        <v>80</v>
      </c>
      <c r="F111" s="22">
        <f t="shared" si="0"/>
        <v>0</v>
      </c>
      <c r="G111" s="6"/>
      <c r="H111" s="6"/>
      <c r="I111" s="6"/>
      <c r="J111" s="6"/>
      <c r="K111" s="6"/>
      <c r="L111" s="22"/>
    </row>
    <row r="112" spans="3:14">
      <c r="C112" s="21"/>
      <c r="D112" s="6">
        <f t="shared" si="1"/>
        <v>24</v>
      </c>
      <c r="E112" s="6" t="s">
        <v>81</v>
      </c>
      <c r="F112" s="22">
        <f t="shared" si="0"/>
        <v>0</v>
      </c>
      <c r="G112" s="6"/>
      <c r="H112" s="7" t="s">
        <v>50</v>
      </c>
      <c r="I112" s="6" t="s">
        <v>6</v>
      </c>
      <c r="J112" s="6">
        <f>$M$40</f>
        <v>4</v>
      </c>
      <c r="K112" s="6">
        <f>IF($O$54=I112, J112, 0)</f>
        <v>0</v>
      </c>
      <c r="L112" s="22"/>
    </row>
    <row r="113" spans="3:23" ht="15" thickBot="1">
      <c r="C113" s="21"/>
      <c r="D113" s="6">
        <f t="shared" si="1"/>
        <v>25</v>
      </c>
      <c r="E113" s="6" t="s">
        <v>82</v>
      </c>
      <c r="F113" s="22">
        <f t="shared" si="0"/>
        <v>0</v>
      </c>
      <c r="G113" s="6"/>
      <c r="H113" s="6"/>
      <c r="I113" s="6" t="s">
        <v>37</v>
      </c>
      <c r="J113" s="6">
        <f>$M$42</f>
        <v>200</v>
      </c>
      <c r="K113" s="6">
        <f t="shared" ref="K113:K117" si="2">IF($O$54=I113, J113, 0)</f>
        <v>200</v>
      </c>
      <c r="L113" s="22"/>
    </row>
    <row r="114" spans="3:23">
      <c r="C114" s="21"/>
      <c r="D114" s="6">
        <f t="shared" si="1"/>
        <v>26</v>
      </c>
      <c r="E114" s="6" t="s">
        <v>83</v>
      </c>
      <c r="F114" s="22">
        <f t="shared" si="0"/>
        <v>0</v>
      </c>
      <c r="G114" s="6"/>
      <c r="H114" s="6"/>
      <c r="I114" s="6" t="s">
        <v>30</v>
      </c>
      <c r="J114" s="6">
        <f>$M$44</f>
        <v>24</v>
      </c>
      <c r="K114" s="6">
        <f t="shared" si="2"/>
        <v>0</v>
      </c>
      <c r="L114" s="22"/>
      <c r="N114" s="18"/>
      <c r="O114" s="19" t="s">
        <v>284</v>
      </c>
      <c r="P114" s="19"/>
      <c r="Q114" s="19"/>
      <c r="R114" s="19"/>
      <c r="S114" s="19"/>
      <c r="T114" s="19"/>
      <c r="U114" s="19"/>
      <c r="V114" s="19"/>
      <c r="W114" s="20"/>
    </row>
    <row r="115" spans="3:23">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5" thickBot="1">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c r="C148" s="21"/>
      <c r="D148" s="6">
        <f t="shared" si="1"/>
        <v>60</v>
      </c>
      <c r="E148" s="6" t="s">
        <v>117</v>
      </c>
      <c r="F148" s="22">
        <f t="shared" si="0"/>
        <v>0</v>
      </c>
      <c r="G148" s="6"/>
      <c r="H148" s="6"/>
      <c r="I148" s="6"/>
      <c r="L148" s="22"/>
      <c r="N148" s="21"/>
      <c r="O148" s="6"/>
      <c r="P148" s="6"/>
      <c r="Q148" s="6"/>
      <c r="R148" s="6"/>
      <c r="S148" s="6"/>
      <c r="T148" s="6"/>
      <c r="U148" s="6"/>
      <c r="V148" s="6"/>
      <c r="W148" s="22"/>
    </row>
    <row r="149" spans="3:23">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c r="C203" s="21"/>
      <c r="D203" s="6">
        <f t="shared" si="5"/>
        <v>115</v>
      </c>
      <c r="E203" s="6" t="s">
        <v>172</v>
      </c>
      <c r="F203" s="22">
        <f t="shared" si="4"/>
        <v>0</v>
      </c>
      <c r="G203" s="6"/>
      <c r="H203" s="6"/>
      <c r="I203" s="6"/>
      <c r="J203" s="6"/>
      <c r="K203" s="6"/>
      <c r="L203" s="22"/>
      <c r="N203" s="21"/>
      <c r="O203" s="6" t="s">
        <v>355</v>
      </c>
      <c r="P203" s="6"/>
      <c r="Q203" s="6"/>
      <c r="R203" s="6"/>
      <c r="S203" s="6"/>
      <c r="T203" s="6">
        <f>$M$44</f>
        <v>24</v>
      </c>
      <c r="U203" s="6">
        <f t="shared" si="6"/>
        <v>0</v>
      </c>
      <c r="V203" s="6"/>
      <c r="W203" s="22"/>
    </row>
    <row r="204" spans="3:23">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5" thickBot="1">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c r="N218" s="21"/>
      <c r="O218" s="6" t="s">
        <v>371</v>
      </c>
      <c r="P218" s="6"/>
      <c r="Q218" s="6"/>
      <c r="R218" s="6"/>
      <c r="S218" s="6"/>
      <c r="T218" s="6">
        <v>64</v>
      </c>
      <c r="U218" s="6"/>
      <c r="V218" s="6"/>
      <c r="W218" s="22"/>
    </row>
    <row r="219" spans="3:23">
      <c r="N219" s="21"/>
      <c r="O219" s="6" t="s">
        <v>372</v>
      </c>
      <c r="P219" s="6"/>
      <c r="Q219" s="6"/>
      <c r="R219" s="6"/>
      <c r="S219" s="6"/>
      <c r="T219" s="6">
        <v>128</v>
      </c>
      <c r="U219" s="6"/>
      <c r="V219" s="6"/>
      <c r="W219" s="22"/>
    </row>
    <row r="220" spans="3:23">
      <c r="N220" s="21"/>
      <c r="O220" s="6" t="s">
        <v>373</v>
      </c>
      <c r="P220" s="6"/>
      <c r="Q220" s="6"/>
      <c r="R220" s="6"/>
      <c r="S220" s="6"/>
      <c r="T220" s="6">
        <v>256</v>
      </c>
      <c r="U220" s="6"/>
      <c r="V220" s="6"/>
      <c r="W220" s="22"/>
    </row>
    <row r="221" spans="3:23">
      <c r="N221" s="21"/>
      <c r="O221" s="6" t="s">
        <v>374</v>
      </c>
      <c r="P221" s="6"/>
      <c r="Q221" s="6"/>
      <c r="R221" s="6"/>
      <c r="S221" s="6"/>
      <c r="T221" s="6">
        <v>512</v>
      </c>
      <c r="U221" s="6"/>
      <c r="V221" s="6"/>
      <c r="W221" s="22"/>
    </row>
    <row r="222" spans="3:23">
      <c r="N222" s="21"/>
      <c r="O222" s="6" t="s">
        <v>375</v>
      </c>
      <c r="P222" s="6"/>
      <c r="Q222" s="6"/>
      <c r="R222" s="6"/>
      <c r="S222" s="6"/>
      <c r="T222" s="6">
        <v>1024</v>
      </c>
      <c r="U222" s="6"/>
      <c r="V222" s="6"/>
      <c r="W222" s="22"/>
    </row>
    <row r="223" spans="3:23">
      <c r="N223" s="21"/>
      <c r="O223" s="6" t="s">
        <v>376</v>
      </c>
      <c r="P223" s="6"/>
      <c r="Q223" s="6"/>
      <c r="R223" s="6"/>
      <c r="S223" s="6"/>
      <c r="T223" s="6">
        <v>2048</v>
      </c>
      <c r="U223" s="6"/>
      <c r="V223" s="6"/>
      <c r="W223" s="22"/>
    </row>
    <row r="224" spans="3:23">
      <c r="N224" s="21"/>
      <c r="O224" s="6" t="s">
        <v>377</v>
      </c>
      <c r="P224" s="6"/>
      <c r="Q224" s="6"/>
      <c r="R224" s="6"/>
      <c r="S224" s="6"/>
      <c r="T224" s="6">
        <v>4096</v>
      </c>
      <c r="U224" s="6"/>
      <c r="V224" s="6"/>
      <c r="W224" s="22"/>
    </row>
    <row r="225" spans="4:23">
      <c r="N225" s="21"/>
      <c r="O225" s="6" t="s">
        <v>378</v>
      </c>
      <c r="P225" s="6"/>
      <c r="Q225" s="6"/>
      <c r="R225" s="6"/>
      <c r="S225" s="6"/>
      <c r="T225" s="6">
        <v>8192</v>
      </c>
      <c r="U225" s="6"/>
      <c r="V225" s="6"/>
      <c r="W225" s="22"/>
    </row>
    <row r="226" spans="4:23">
      <c r="N226" s="21"/>
      <c r="O226" s="6" t="s">
        <v>379</v>
      </c>
      <c r="P226" s="6"/>
      <c r="Q226" s="6"/>
      <c r="R226" s="6"/>
      <c r="S226" s="6"/>
      <c r="T226" s="6">
        <v>16384</v>
      </c>
      <c r="U226" s="6"/>
      <c r="V226" s="6"/>
      <c r="W226" s="22"/>
    </row>
    <row r="227" spans="4:23">
      <c r="N227" s="21"/>
      <c r="O227" s="6" t="s">
        <v>364</v>
      </c>
      <c r="P227" s="6"/>
      <c r="Q227" s="6"/>
      <c r="R227" s="6"/>
      <c r="S227" s="6"/>
      <c r="T227" s="6">
        <v>32768</v>
      </c>
      <c r="U227" s="6"/>
      <c r="V227" s="6"/>
      <c r="W227" s="22"/>
    </row>
    <row r="228" spans="4:23">
      <c r="N228" s="21"/>
      <c r="O228" s="6"/>
      <c r="P228" s="6"/>
      <c r="Q228" s="6"/>
      <c r="R228" s="6"/>
      <c r="S228" s="6"/>
      <c r="T228" s="6"/>
      <c r="U228" s="6"/>
      <c r="V228" s="6"/>
      <c r="W228" s="22"/>
    </row>
    <row r="229" spans="4:23">
      <c r="N229" s="21" t="s">
        <v>381</v>
      </c>
      <c r="O229" s="6"/>
      <c r="P229" s="6"/>
      <c r="Q229" s="6"/>
      <c r="R229" s="6"/>
      <c r="S229" s="6"/>
      <c r="T229" s="6"/>
      <c r="U229" s="6"/>
      <c r="V229" s="6"/>
      <c r="W229" s="22"/>
    </row>
    <row r="230" spans="4:23">
      <c r="N230" s="21"/>
      <c r="O230" s="6">
        <v>1</v>
      </c>
      <c r="P230" s="6"/>
      <c r="S230" s="7" t="s">
        <v>388</v>
      </c>
      <c r="T230" s="37">
        <f>Q66+($Q$65/512)</f>
        <v>5.42578125</v>
      </c>
      <c r="V230" s="6"/>
      <c r="W230" s="22"/>
    </row>
    <row r="231" spans="4:23">
      <c r="N231" s="21"/>
      <c r="O231" s="6">
        <v>2</v>
      </c>
      <c r="P231" s="6"/>
      <c r="Q231" s="6"/>
      <c r="R231" s="6"/>
      <c r="S231" s="6"/>
      <c r="T231" s="6"/>
      <c r="U231" s="6"/>
      <c r="V231" s="6"/>
      <c r="W231" s="22"/>
    </row>
    <row r="232" spans="4:23">
      <c r="N232" s="21"/>
      <c r="O232" s="7" t="s">
        <v>326</v>
      </c>
      <c r="P232" s="6"/>
      <c r="Q232" s="6"/>
      <c r="R232" s="6"/>
      <c r="S232" s="6"/>
      <c r="U232" s="6"/>
      <c r="V232" s="6"/>
      <c r="W232" s="22"/>
    </row>
    <row r="233" spans="4:23" ht="15" thickBot="1">
      <c r="N233" s="24"/>
      <c r="O233" s="25">
        <v>512</v>
      </c>
      <c r="P233" s="25"/>
      <c r="Q233" s="25"/>
      <c r="R233" s="25"/>
      <c r="S233" s="25"/>
      <c r="T233" s="25"/>
      <c r="U233" s="25"/>
      <c r="V233" s="25"/>
      <c r="W233" s="26"/>
    </row>
    <row r="236" spans="4:23" ht="15" thickBot="1"/>
    <row r="237" spans="4:23">
      <c r="D237" s="18" t="s">
        <v>212</v>
      </c>
      <c r="E237" s="19"/>
      <c r="F237" s="19"/>
      <c r="G237" s="19"/>
      <c r="H237" s="19"/>
      <c r="I237" s="19"/>
      <c r="J237" s="19"/>
      <c r="K237" s="19"/>
      <c r="L237" s="19"/>
      <c r="M237" s="19"/>
      <c r="N237" s="19"/>
      <c r="O237" s="19"/>
      <c r="P237" s="20"/>
    </row>
    <row r="238" spans="4:23">
      <c r="D238" s="27" t="s">
        <v>217</v>
      </c>
      <c r="E238" s="28"/>
      <c r="F238" s="28" t="s">
        <v>213</v>
      </c>
      <c r="G238" s="28" t="s">
        <v>214</v>
      </c>
      <c r="H238" s="28" t="s">
        <v>215</v>
      </c>
      <c r="I238" s="28" t="s">
        <v>216</v>
      </c>
      <c r="J238" s="28" t="s">
        <v>221</v>
      </c>
      <c r="K238" s="28"/>
      <c r="L238" s="28"/>
      <c r="M238" s="28" t="s">
        <v>267</v>
      </c>
      <c r="N238" s="28"/>
      <c r="O238" s="28"/>
      <c r="P238" s="29"/>
    </row>
    <row r="239" spans="4:23">
      <c r="D239" s="21"/>
      <c r="E239" s="6"/>
      <c r="F239" s="6"/>
      <c r="G239" s="6"/>
      <c r="H239" s="6"/>
      <c r="I239" s="6"/>
      <c r="J239" s="6"/>
      <c r="K239" s="6"/>
      <c r="L239" s="6"/>
      <c r="M239" s="6"/>
      <c r="N239" s="6"/>
      <c r="O239" s="6"/>
      <c r="P239" s="22"/>
    </row>
    <row r="240" spans="4:23">
      <c r="D240" s="21" t="s">
        <v>218</v>
      </c>
      <c r="E240" s="6"/>
      <c r="F240" s="6" t="s">
        <v>219</v>
      </c>
      <c r="G240" s="6">
        <v>0</v>
      </c>
      <c r="H240" s="6">
        <v>64</v>
      </c>
      <c r="I240" s="31" t="s">
        <v>31</v>
      </c>
      <c r="J240" s="6" t="s">
        <v>38</v>
      </c>
      <c r="K240" s="6"/>
      <c r="L240" s="6"/>
      <c r="M240" s="6" t="s">
        <v>220</v>
      </c>
      <c r="N240" s="6"/>
      <c r="O240" s="6"/>
      <c r="P240" s="22"/>
      <c r="Q240" s="5">
        <f>IF(E22&gt;H240,1,0)</f>
        <v>0</v>
      </c>
    </row>
    <row r="241" spans="4:19">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c r="D243" s="21" t="s">
        <v>225</v>
      </c>
      <c r="E243" s="6"/>
      <c r="F243" s="6" t="s">
        <v>226</v>
      </c>
      <c r="G243" s="6">
        <v>0</v>
      </c>
      <c r="H243" s="6">
        <v>200</v>
      </c>
      <c r="I243" s="31" t="s">
        <v>31</v>
      </c>
      <c r="J243" s="6"/>
      <c r="K243" s="6"/>
      <c r="L243" s="6"/>
      <c r="M243" s="6" t="s">
        <v>227</v>
      </c>
      <c r="N243" s="6"/>
      <c r="O243" s="6"/>
      <c r="P243" s="22"/>
    </row>
    <row r="244" spans="4:19">
      <c r="D244" s="21" t="s">
        <v>228</v>
      </c>
      <c r="E244" s="6"/>
      <c r="F244" s="6" t="s">
        <v>229</v>
      </c>
      <c r="G244" s="6">
        <v>0</v>
      </c>
      <c r="H244" s="6">
        <v>100</v>
      </c>
      <c r="I244" s="31" t="s">
        <v>31</v>
      </c>
      <c r="J244" s="6" t="s">
        <v>236</v>
      </c>
      <c r="K244" s="6"/>
      <c r="L244" s="6"/>
      <c r="M244" s="6" t="s">
        <v>230</v>
      </c>
      <c r="N244" s="6"/>
      <c r="O244" s="6"/>
      <c r="P244" s="22"/>
    </row>
    <row r="245" spans="4:19">
      <c r="D245" s="21" t="s">
        <v>231</v>
      </c>
      <c r="E245" s="6"/>
      <c r="F245" s="6" t="s">
        <v>229</v>
      </c>
      <c r="G245" s="6">
        <v>0</v>
      </c>
      <c r="H245" s="6">
        <v>200</v>
      </c>
      <c r="I245" s="31" t="s">
        <v>31</v>
      </c>
      <c r="J245" s="6" t="s">
        <v>232</v>
      </c>
      <c r="K245" s="6"/>
      <c r="L245" s="6"/>
      <c r="M245" s="6"/>
      <c r="N245" s="6"/>
      <c r="O245" s="6"/>
      <c r="P245" s="22"/>
    </row>
    <row r="246" spans="4:19">
      <c r="D246" s="21" t="s">
        <v>233</v>
      </c>
      <c r="E246" s="6"/>
      <c r="F246" s="6" t="s">
        <v>234</v>
      </c>
      <c r="G246" s="23" t="s">
        <v>237</v>
      </c>
      <c r="H246" s="6">
        <v>50</v>
      </c>
      <c r="I246" s="31" t="s">
        <v>31</v>
      </c>
      <c r="J246" s="6"/>
      <c r="K246" s="6"/>
      <c r="L246" s="6"/>
      <c r="M246" s="6" t="s">
        <v>235</v>
      </c>
      <c r="N246" s="6"/>
      <c r="O246" s="6"/>
      <c r="P246" s="22"/>
    </row>
    <row r="247" spans="4:19">
      <c r="D247" s="21"/>
      <c r="E247" s="6"/>
      <c r="F247" s="6"/>
      <c r="G247" s="6"/>
      <c r="H247" s="6"/>
      <c r="I247" s="31"/>
      <c r="J247" s="6"/>
      <c r="K247" s="6"/>
      <c r="L247" s="6"/>
      <c r="M247" s="6"/>
      <c r="N247" s="6"/>
      <c r="O247" s="6"/>
      <c r="P247" s="22"/>
    </row>
    <row r="248" spans="4:19">
      <c r="D248" s="21" t="s">
        <v>239</v>
      </c>
      <c r="E248" s="6"/>
      <c r="F248" s="6" t="s">
        <v>240</v>
      </c>
      <c r="G248" s="6">
        <v>5</v>
      </c>
      <c r="H248" s="6">
        <v>64</v>
      </c>
      <c r="I248" s="31" t="s">
        <v>31</v>
      </c>
      <c r="J248" s="6" t="s">
        <v>242</v>
      </c>
      <c r="K248" s="6"/>
      <c r="L248" s="6"/>
      <c r="M248" s="6" t="s">
        <v>241</v>
      </c>
      <c r="N248" s="6"/>
      <c r="O248" s="6"/>
      <c r="P248" s="22"/>
    </row>
    <row r="249" spans="4:19">
      <c r="D249" s="21" t="s">
        <v>243</v>
      </c>
      <c r="E249" s="6"/>
      <c r="F249" s="6" t="s">
        <v>244</v>
      </c>
      <c r="G249" s="6">
        <v>350</v>
      </c>
      <c r="H249" s="6">
        <v>700</v>
      </c>
      <c r="I249" s="31" t="s">
        <v>31</v>
      </c>
      <c r="J249" s="6"/>
      <c r="K249" s="6"/>
      <c r="L249" s="6"/>
      <c r="M249" s="6" t="s">
        <v>245</v>
      </c>
      <c r="N249" s="6"/>
      <c r="O249" s="6"/>
      <c r="P249" s="22"/>
    </row>
    <row r="250" spans="4:19">
      <c r="D250" s="21" t="s">
        <v>246</v>
      </c>
      <c r="E250" s="6"/>
      <c r="F250" s="6" t="s">
        <v>247</v>
      </c>
      <c r="G250" s="6">
        <v>10</v>
      </c>
      <c r="H250" s="6">
        <v>200</v>
      </c>
      <c r="I250" s="31" t="s">
        <v>31</v>
      </c>
      <c r="J250" s="6"/>
      <c r="K250" s="6"/>
      <c r="L250" s="6"/>
      <c r="M250" s="6" t="s">
        <v>248</v>
      </c>
      <c r="N250" s="6"/>
      <c r="O250" s="6"/>
      <c r="P250" s="22"/>
    </row>
    <row r="251" spans="4:19" ht="15" thickBot="1">
      <c r="D251" s="24"/>
      <c r="E251" s="25"/>
      <c r="F251" s="25"/>
      <c r="G251" s="25"/>
      <c r="H251" s="25"/>
      <c r="I251" s="25"/>
      <c r="J251" s="25"/>
      <c r="K251" s="25"/>
      <c r="L251" s="25"/>
      <c r="M251" s="25"/>
      <c r="N251" s="25"/>
      <c r="O251" s="25"/>
      <c r="P251" s="26"/>
    </row>
    <row r="252" spans="4:19">
      <c r="D252" s="6"/>
      <c r="E252" s="6"/>
      <c r="F252" s="6"/>
      <c r="G252" s="6"/>
      <c r="H252" s="6"/>
      <c r="I252" s="6"/>
      <c r="J252" s="6"/>
      <c r="K252" s="6"/>
      <c r="L252" s="6"/>
      <c r="M252" s="6"/>
      <c r="N252" s="6"/>
      <c r="O252" s="6"/>
      <c r="P252" s="6"/>
    </row>
    <row r="253" spans="4:19" ht="15" thickBot="1"/>
    <row r="254" spans="4:19">
      <c r="D254" s="18" t="s">
        <v>251</v>
      </c>
      <c r="E254" s="19"/>
      <c r="F254" s="19"/>
      <c r="G254" s="19"/>
      <c r="H254" s="19"/>
      <c r="I254" s="19"/>
      <c r="J254" s="19"/>
      <c r="K254" s="19"/>
      <c r="L254" s="19"/>
      <c r="M254" s="19"/>
      <c r="N254" s="20"/>
    </row>
    <row r="255" spans="4:19">
      <c r="D255" s="27"/>
      <c r="E255" s="28" t="s">
        <v>250</v>
      </c>
      <c r="F255" s="28"/>
      <c r="G255" s="28"/>
      <c r="H255" s="28"/>
      <c r="I255" s="28"/>
      <c r="J255" s="28"/>
      <c r="K255" s="28"/>
      <c r="L255" s="28"/>
      <c r="M255" s="28"/>
      <c r="N255" s="29"/>
    </row>
    <row r="256" spans="4:19">
      <c r="D256" s="21"/>
      <c r="E256" s="6" t="s">
        <v>249</v>
      </c>
      <c r="F256" s="6" t="b">
        <f>(M35="ON")</f>
        <v>0</v>
      </c>
      <c r="G256" s="6"/>
      <c r="H256" s="6" t="s">
        <v>254</v>
      </c>
      <c r="I256" s="6"/>
      <c r="J256" s="6"/>
      <c r="K256" s="6"/>
      <c r="L256" s="6"/>
      <c r="M256" s="6"/>
      <c r="N256" s="22"/>
    </row>
    <row r="257" spans="4:14">
      <c r="D257" s="21"/>
      <c r="E257" s="6" t="s">
        <v>249</v>
      </c>
      <c r="F257" s="6" t="b">
        <f>AND(M35="ON", AND(F25&lt;&gt;24, F25&lt;&gt;12))</f>
        <v>0</v>
      </c>
      <c r="G257" s="6"/>
      <c r="H257" s="6" t="s">
        <v>255</v>
      </c>
      <c r="I257" s="6"/>
      <c r="J257" s="6"/>
      <c r="K257" s="6"/>
      <c r="L257" s="6"/>
      <c r="M257" s="6"/>
      <c r="N257" s="22"/>
    </row>
    <row r="258" spans="4:14">
      <c r="D258" s="21"/>
      <c r="E258" s="6" t="s">
        <v>249</v>
      </c>
      <c r="F258" s="6" t="b">
        <f>AND(M28="FREQ_12MHz", F25=24)</f>
        <v>1</v>
      </c>
      <c r="G258" s="6"/>
      <c r="H258" s="6" t="s">
        <v>256</v>
      </c>
      <c r="I258" s="6"/>
      <c r="J258" s="6"/>
      <c r="K258" s="6"/>
      <c r="L258" s="6"/>
      <c r="M258" s="6"/>
      <c r="N258" s="22"/>
    </row>
    <row r="259" spans="4:14">
      <c r="D259" s="21"/>
      <c r="E259" s="6" t="s">
        <v>249</v>
      </c>
      <c r="F259" s="6" t="b">
        <f>AND(M28="FREQ_24MHz", F25=12)</f>
        <v>0</v>
      </c>
      <c r="G259" s="6"/>
      <c r="H259" s="6" t="s">
        <v>257</v>
      </c>
      <c r="I259" s="6"/>
      <c r="J259" s="6"/>
      <c r="K259" s="6"/>
      <c r="L259" s="6"/>
      <c r="M259" s="6"/>
      <c r="N259" s="22"/>
    </row>
    <row r="260" spans="4:14">
      <c r="D260" s="21"/>
      <c r="E260" s="6" t="s">
        <v>249</v>
      </c>
      <c r="F260" s="6" t="b">
        <f>AND(F256, OR(F257:F259))</f>
        <v>0</v>
      </c>
      <c r="G260" s="6"/>
      <c r="H260" s="6" t="s">
        <v>258</v>
      </c>
      <c r="I260" s="6"/>
      <c r="J260" s="6"/>
      <c r="K260" s="6"/>
      <c r="L260" s="6"/>
      <c r="M260" s="6"/>
      <c r="N260" s="22"/>
    </row>
    <row r="261" spans="4:14">
      <c r="D261" s="21"/>
      <c r="E261" s="6"/>
      <c r="F261" s="6"/>
      <c r="G261" s="6"/>
      <c r="H261" s="6"/>
      <c r="I261" s="6"/>
      <c r="J261" s="6"/>
      <c r="K261" s="6"/>
      <c r="L261" s="6"/>
      <c r="M261" s="6"/>
      <c r="N261" s="22"/>
    </row>
    <row r="262" spans="4:14">
      <c r="D262" s="21"/>
      <c r="E262" s="6" t="s">
        <v>252</v>
      </c>
      <c r="F262" s="6" t="b">
        <f>AND(G35="ON", I30="HS")</f>
        <v>0</v>
      </c>
      <c r="G262" s="6"/>
      <c r="H262" s="6" t="s">
        <v>259</v>
      </c>
      <c r="I262" s="6"/>
      <c r="J262" s="6"/>
      <c r="K262" s="6"/>
      <c r="L262" s="6"/>
      <c r="M262" s="6"/>
      <c r="N262" s="22"/>
    </row>
    <row r="263" spans="4:14">
      <c r="D263" s="21"/>
      <c r="E263" s="6"/>
      <c r="F263" s="6"/>
      <c r="G263" s="6"/>
      <c r="H263" s="6"/>
      <c r="I263" s="6" t="s">
        <v>394</v>
      </c>
      <c r="J263" s="6"/>
      <c r="K263" s="6"/>
      <c r="L263" s="6"/>
      <c r="M263" s="6"/>
      <c r="N263" s="22"/>
    </row>
    <row r="264" spans="4:14">
      <c r="D264" s="21"/>
      <c r="E264" s="6" t="s">
        <v>253</v>
      </c>
      <c r="F264" s="6">
        <f t="shared" ref="F264:F267" si="7">IF(OR($M$19&lt;K120,$M$19&gt;L120),1,0)</f>
        <v>1</v>
      </c>
      <c r="G264" s="6">
        <f>IF($O$23=I264,1,0)</f>
        <v>0</v>
      </c>
      <c r="H264" s="6">
        <f>IF(AND(F264,G264),1,0)</f>
        <v>0</v>
      </c>
      <c r="I264" s="6" t="s">
        <v>397</v>
      </c>
      <c r="J264" s="6"/>
      <c r="K264" s="6"/>
      <c r="L264" s="6"/>
      <c r="M264" s="6"/>
      <c r="N264" s="22"/>
    </row>
    <row r="265" spans="4:14">
      <c r="D265" s="21"/>
      <c r="E265" s="6" t="s">
        <v>253</v>
      </c>
      <c r="F265" s="6">
        <f t="shared" si="7"/>
        <v>1</v>
      </c>
      <c r="G265" s="6">
        <f>IF($O$23=I265,1,0)</f>
        <v>0</v>
      </c>
      <c r="H265" s="6">
        <f t="shared" ref="H265:H268" si="8">IF(AND(F265,G265),1,0)</f>
        <v>0</v>
      </c>
      <c r="I265" s="6" t="s">
        <v>398</v>
      </c>
      <c r="J265" s="6"/>
      <c r="K265" s="6"/>
      <c r="L265" s="6"/>
      <c r="M265" s="6"/>
      <c r="N265" s="22"/>
    </row>
    <row r="266" spans="4:14">
      <c r="D266" s="21"/>
      <c r="E266" s="6" t="s">
        <v>253</v>
      </c>
      <c r="F266" s="6">
        <f t="shared" si="7"/>
        <v>1</v>
      </c>
      <c r="G266" s="6">
        <f>IF($O$23=I266,1,0)</f>
        <v>0</v>
      </c>
      <c r="H266" s="6">
        <f t="shared" si="8"/>
        <v>0</v>
      </c>
      <c r="I266" s="6" t="s">
        <v>399</v>
      </c>
      <c r="J266" s="6"/>
      <c r="K266" s="6"/>
      <c r="L266" s="6"/>
      <c r="M266" s="6"/>
      <c r="N266" s="22"/>
    </row>
    <row r="267" spans="4:14">
      <c r="D267" s="21"/>
      <c r="E267" s="6" t="s">
        <v>253</v>
      </c>
      <c r="F267" s="6">
        <f t="shared" si="7"/>
        <v>0</v>
      </c>
      <c r="G267" s="6">
        <f>IF($O$23=I267,1,0)</f>
        <v>0</v>
      </c>
      <c r="H267" s="6">
        <f t="shared" si="8"/>
        <v>0</v>
      </c>
      <c r="I267" s="6" t="s">
        <v>20</v>
      </c>
      <c r="J267" s="6"/>
      <c r="K267" s="6"/>
      <c r="L267" s="6"/>
      <c r="M267" s="6"/>
      <c r="N267" s="22"/>
    </row>
    <row r="268" spans="4:14">
      <c r="D268" s="21"/>
      <c r="E268" s="6" t="s">
        <v>253</v>
      </c>
      <c r="F268" s="6">
        <f>IF(OR($M$19&lt;K124,$M$19&gt;L124),1,0)</f>
        <v>0</v>
      </c>
      <c r="G268" s="6">
        <f>IF($O$23=I268,1,0)</f>
        <v>1</v>
      </c>
      <c r="H268" s="6">
        <f t="shared" si="8"/>
        <v>0</v>
      </c>
      <c r="I268" s="6" t="s">
        <v>396</v>
      </c>
      <c r="J268" s="6"/>
      <c r="K268" s="6"/>
      <c r="L268" s="6"/>
      <c r="M268" s="6"/>
      <c r="N268" s="22"/>
    </row>
    <row r="269" spans="4:14">
      <c r="D269" s="21"/>
      <c r="E269" s="6" t="s">
        <v>253</v>
      </c>
      <c r="F269" s="6"/>
      <c r="G269" s="6"/>
      <c r="H269" s="6">
        <v>0</v>
      </c>
      <c r="I269" s="6" t="s">
        <v>59</v>
      </c>
      <c r="J269" s="6"/>
      <c r="K269" s="6"/>
      <c r="L269" s="6"/>
      <c r="M269" s="6"/>
      <c r="N269" s="22"/>
    </row>
    <row r="270" spans="4:14">
      <c r="D270" s="21"/>
      <c r="E270" s="6" t="s">
        <v>253</v>
      </c>
      <c r="F270" s="6"/>
      <c r="G270" s="6"/>
      <c r="H270" s="6">
        <f>SUM(H264:H269)</f>
        <v>0</v>
      </c>
      <c r="I270" s="6" t="s">
        <v>258</v>
      </c>
      <c r="J270" s="6"/>
      <c r="K270" s="6"/>
      <c r="L270" s="6"/>
      <c r="M270" s="6"/>
      <c r="N270" s="22"/>
    </row>
    <row r="271" spans="4:14">
      <c r="D271" s="21"/>
      <c r="E271" s="6"/>
      <c r="F271" s="6"/>
      <c r="G271" s="6"/>
      <c r="H271" s="6"/>
      <c r="I271" s="6"/>
      <c r="J271" s="6"/>
      <c r="K271" s="6"/>
      <c r="L271" s="6"/>
      <c r="M271" s="6"/>
      <c r="N271" s="22"/>
    </row>
    <row r="272" spans="4:14">
      <c r="D272" s="21"/>
      <c r="E272" s="6" t="s">
        <v>260</v>
      </c>
      <c r="F272" s="6">
        <f>IF(OR(P19&lt;G249,P19&gt;H249),1,0)</f>
        <v>0</v>
      </c>
      <c r="G272" s="6">
        <f>IF($O$23="Bypass",0,1)</f>
        <v>1</v>
      </c>
      <c r="H272" s="6" t="b">
        <f>AND(F272,G272)</f>
        <v>0</v>
      </c>
      <c r="I272" s="6" t="s">
        <v>262</v>
      </c>
      <c r="J272" s="6"/>
      <c r="K272" s="6"/>
      <c r="L272" s="6"/>
      <c r="M272" s="6"/>
      <c r="N272" s="22"/>
    </row>
    <row r="273" spans="4:18">
      <c r="D273" s="21"/>
      <c r="E273" s="6"/>
      <c r="F273" s="6"/>
      <c r="G273" s="6"/>
      <c r="H273" s="6"/>
      <c r="I273" s="6"/>
      <c r="J273" s="6"/>
      <c r="K273" s="6"/>
      <c r="L273" s="6"/>
      <c r="M273" s="6"/>
      <c r="N273" s="22"/>
    </row>
    <row r="274" spans="4:18">
      <c r="D274" s="21"/>
      <c r="E274" s="6" t="s">
        <v>261</v>
      </c>
      <c r="F274" s="6">
        <f>IF(OR(U18&lt;G250,U18&gt;H250),1,0)</f>
        <v>0</v>
      </c>
      <c r="G274" s="6">
        <f>IF($O$23="Bypass",0,1)</f>
        <v>1</v>
      </c>
      <c r="H274" s="6" t="b">
        <f>AND(F274,G274)</f>
        <v>0</v>
      </c>
      <c r="I274" s="6" t="s">
        <v>263</v>
      </c>
      <c r="J274" s="6"/>
      <c r="K274" s="6"/>
      <c r="L274" s="6"/>
      <c r="M274" s="6"/>
      <c r="N274" s="22"/>
    </row>
    <row r="275" spans="4:18">
      <c r="D275" s="21"/>
      <c r="E275" s="6"/>
      <c r="F275" s="6"/>
      <c r="G275" s="6"/>
      <c r="H275" s="6"/>
      <c r="I275" s="6"/>
      <c r="J275" s="6"/>
      <c r="K275" s="6"/>
      <c r="L275" s="6"/>
      <c r="M275" s="6"/>
      <c r="N275" s="22"/>
    </row>
    <row r="276" spans="4:18">
      <c r="D276" s="21"/>
      <c r="E276" s="6" t="s">
        <v>282</v>
      </c>
      <c r="F276" s="6">
        <f>IF(R49&gt;H243,1,0)</f>
        <v>0</v>
      </c>
      <c r="G276" s="6"/>
      <c r="H276" s="6" t="s">
        <v>283</v>
      </c>
      <c r="I276" s="6"/>
      <c r="J276" s="6"/>
      <c r="K276" s="6"/>
      <c r="L276" s="6"/>
      <c r="M276" s="6"/>
      <c r="N276" s="22"/>
    </row>
    <row r="277" spans="4:18">
      <c r="D277" s="21"/>
      <c r="E277" s="6"/>
      <c r="F277" s="6"/>
      <c r="G277" s="6"/>
      <c r="H277" s="6"/>
      <c r="I277" s="6"/>
      <c r="J277" s="6"/>
      <c r="K277" s="6"/>
      <c r="L277" s="6"/>
      <c r="M277" s="6"/>
      <c r="N277" s="22"/>
    </row>
    <row r="278" spans="4:18">
      <c r="D278" s="21"/>
      <c r="E278" s="6" t="s">
        <v>268</v>
      </c>
      <c r="F278" s="5">
        <f>IF(V28&gt;$H$244,1,0)</f>
        <v>0</v>
      </c>
      <c r="G278" s="6"/>
      <c r="H278" s="6" t="s">
        <v>271</v>
      </c>
      <c r="I278" s="6"/>
      <c r="J278" s="6"/>
      <c r="K278" s="6"/>
      <c r="L278" s="6"/>
      <c r="M278" s="6"/>
      <c r="N278" s="22"/>
    </row>
    <row r="279" spans="4:18">
      <c r="D279" s="21"/>
      <c r="E279" s="6" t="s">
        <v>278</v>
      </c>
      <c r="F279" s="5">
        <f>IF(V31&gt;$H$244,1,0)</f>
        <v>0</v>
      </c>
      <c r="G279" s="6"/>
      <c r="H279" s="6" t="s">
        <v>272</v>
      </c>
      <c r="I279" s="6"/>
      <c r="J279" s="6"/>
      <c r="K279" s="6"/>
      <c r="L279" s="6"/>
      <c r="M279" s="6"/>
      <c r="N279" s="22"/>
    </row>
    <row r="280" spans="4:18">
      <c r="D280" s="21"/>
      <c r="E280" s="6" t="s">
        <v>269</v>
      </c>
      <c r="F280" s="5">
        <f>IF(V34&gt;$H$244,1,0)</f>
        <v>0</v>
      </c>
      <c r="G280" s="6"/>
      <c r="H280" s="6" t="s">
        <v>273</v>
      </c>
      <c r="I280" s="6"/>
      <c r="J280" s="6"/>
      <c r="K280" s="6"/>
      <c r="L280" s="6"/>
      <c r="M280" s="6"/>
      <c r="N280" s="22"/>
    </row>
    <row r="281" spans="4:18">
      <c r="D281" s="21"/>
      <c r="E281" s="6" t="s">
        <v>279</v>
      </c>
      <c r="F281" s="5">
        <f>IF(V37&gt;$H$244,1,0)</f>
        <v>0</v>
      </c>
      <c r="G281" s="6"/>
      <c r="H281" s="6" t="s">
        <v>274</v>
      </c>
      <c r="I281" s="6"/>
      <c r="J281" s="6"/>
      <c r="K281" s="6"/>
      <c r="L281" s="6"/>
      <c r="M281" s="6"/>
      <c r="N281" s="22"/>
    </row>
    <row r="282" spans="4:18">
      <c r="D282" s="21"/>
      <c r="E282" s="6" t="s">
        <v>270</v>
      </c>
      <c r="F282" s="5">
        <f>IF(V40&gt;$H$244,1,0)</f>
        <v>0</v>
      </c>
      <c r="G282" s="6"/>
      <c r="H282" s="6" t="s">
        <v>275</v>
      </c>
      <c r="I282" s="6"/>
      <c r="J282" s="6"/>
      <c r="K282" s="6"/>
      <c r="L282" s="6"/>
      <c r="M282" s="6"/>
      <c r="N282" s="22"/>
      <c r="Q282" s="6"/>
      <c r="R282" s="6"/>
    </row>
    <row r="283" spans="4:18">
      <c r="D283" s="21"/>
      <c r="E283" s="6" t="s">
        <v>280</v>
      </c>
      <c r="F283" s="5">
        <f>IF(V43&gt;$H$245,1,0)</f>
        <v>0</v>
      </c>
      <c r="G283" s="6"/>
      <c r="H283" s="6" t="s">
        <v>276</v>
      </c>
      <c r="I283" s="6"/>
      <c r="J283" s="6"/>
      <c r="K283" s="6"/>
      <c r="L283" s="6"/>
      <c r="M283" s="6"/>
      <c r="N283" s="22"/>
    </row>
    <row r="284" spans="4:18">
      <c r="D284" s="21"/>
      <c r="E284" s="6" t="s">
        <v>281</v>
      </c>
      <c r="F284" s="5">
        <f>IF(V46&gt;$H$244,1,0)</f>
        <v>0</v>
      </c>
      <c r="G284" s="6"/>
      <c r="H284" s="6" t="s">
        <v>277</v>
      </c>
      <c r="I284" s="6"/>
      <c r="J284" s="6"/>
      <c r="K284" s="6"/>
      <c r="L284" s="6"/>
      <c r="M284" s="6"/>
      <c r="N284" s="22"/>
    </row>
    <row r="285" spans="4:18">
      <c r="D285" s="21"/>
      <c r="E285" s="6"/>
      <c r="G285" s="6"/>
      <c r="H285" s="6"/>
      <c r="I285" s="6"/>
      <c r="J285" s="6"/>
      <c r="K285" s="6"/>
      <c r="L285" s="6"/>
      <c r="M285" s="6"/>
      <c r="N285" s="22"/>
    </row>
    <row r="286" spans="4:18">
      <c r="D286" s="21"/>
      <c r="E286" s="6" t="s">
        <v>400</v>
      </c>
      <c r="F286" s="5">
        <f>IF($E$46&lt;32,1,0)</f>
        <v>0</v>
      </c>
      <c r="G286" s="6"/>
      <c r="H286" s="6" t="s">
        <v>401</v>
      </c>
      <c r="I286" s="6"/>
      <c r="J286" s="6"/>
      <c r="K286" s="6"/>
      <c r="L286" s="6"/>
      <c r="M286" s="6"/>
      <c r="N286" s="22"/>
    </row>
    <row r="287" spans="4:18">
      <c r="D287" s="21"/>
      <c r="E287" s="6" t="s">
        <v>400</v>
      </c>
      <c r="F287" s="5">
        <f>IF($E$46&gt;100,1,0)</f>
        <v>0</v>
      </c>
      <c r="G287" s="6"/>
      <c r="H287" s="6" t="s">
        <v>402</v>
      </c>
      <c r="I287" s="6"/>
      <c r="J287" s="6"/>
      <c r="K287" s="6"/>
      <c r="L287" s="6"/>
      <c r="M287" s="6"/>
      <c r="N287" s="22"/>
    </row>
    <row r="288" spans="4:18">
      <c r="D288" s="21"/>
      <c r="E288" s="6" t="s">
        <v>400</v>
      </c>
      <c r="F288" s="5">
        <f>SUM(F286:F287)</f>
        <v>0</v>
      </c>
      <c r="G288" s="6"/>
      <c r="H288" s="6" t="s">
        <v>403</v>
      </c>
      <c r="I288" s="6"/>
      <c r="J288" s="6"/>
      <c r="K288" s="6"/>
      <c r="L288" s="6"/>
      <c r="M288" s="6"/>
      <c r="N288" s="22"/>
    </row>
    <row r="289" spans="4:14" ht="15" thickBot="1">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formula1>$D$89:$D$216</formula1>
    </dataValidation>
    <dataValidation type="list" allowBlank="1" showInputMessage="1" showErrorMessage="1" sqref="O54">
      <formula1>$I$112:$I$117</formula1>
    </dataValidation>
    <dataValidation type="list" allowBlank="1" showInputMessage="1" showErrorMessage="1" sqref="I51">
      <formula1>$I$133:$I$134</formula1>
    </dataValidation>
    <dataValidation type="list" allowBlank="1" showInputMessage="1" showErrorMessage="1" sqref="M28">
      <formula1>$I$130:$I$131</formula1>
    </dataValidation>
    <dataValidation type="list" allowBlank="1" showInputMessage="1" showErrorMessage="1" sqref="M35">
      <formula1>$I$127:$I$128</formula1>
    </dataValidation>
    <dataValidation type="list" allowBlank="1" showInputMessage="1" showErrorMessage="1" sqref="I10">
      <formula1>$O$118:$O$125</formula1>
    </dataValidation>
    <dataValidation type="list" allowBlank="1" showInputMessage="1" showErrorMessage="1" sqref="I30">
      <formula1>$I$88:$I$90</formula1>
    </dataValidation>
    <dataValidation type="list" allowBlank="1" showInputMessage="1" showErrorMessage="1" sqref="I16">
      <formula1>$I$92:$I$93</formula1>
    </dataValidation>
    <dataValidation type="list" allowBlank="1" showInputMessage="1" showErrorMessage="1" sqref="L16">
      <formula1>$I$95:$I$102</formula1>
    </dataValidation>
    <dataValidation type="list" allowBlank="1" showInputMessage="1" showErrorMessage="1" sqref="O16">
      <formula1>$E$89:$E$216</formula1>
    </dataValidation>
    <dataValidation type="list" allowBlank="1" showInputMessage="1" showErrorMessage="1" sqref="R16">
      <formula1>$I$105:$I$109</formula1>
    </dataValidation>
    <dataValidation type="list" allowBlank="1" showInputMessage="1" showErrorMessage="1" sqref="O23">
      <formula1>$I$120:$I$125</formula1>
    </dataValidation>
    <dataValidation type="list" allowBlank="1" showInputMessage="1" showErrorMessage="1" sqref="G35">
      <formula1>$I$136:$I$137</formula1>
    </dataValidation>
    <dataValidation type="list" allowBlank="1" showInputMessage="1" showErrorMessage="1" sqref="O79:S79">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K27" sqref="K27"/>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B1:AH17"/>
  <sheetViews>
    <sheetView workbookViewId="0">
      <selection activeCell="C27" sqref="C27"/>
    </sheetView>
  </sheetViews>
  <sheetFormatPr defaultRowHeight="15"/>
  <cols>
    <col min="1" max="1" width="10.7109375" customWidth="1"/>
    <col min="2" max="2" width="16.28515625" customWidth="1"/>
    <col min="3" max="3" width="16.42578125" customWidth="1"/>
    <col min="4" max="4" width="21.7109375" customWidth="1"/>
    <col min="5" max="5" width="13.140625" style="1" customWidth="1"/>
    <col min="6" max="6" width="8.85546875" customWidth="1"/>
    <col min="7" max="7" width="26.7109375" customWidth="1"/>
    <col min="8" max="9" width="9.7109375" customWidth="1"/>
    <col min="10" max="10" width="11.7109375" customWidth="1"/>
    <col min="13" max="13" width="10.42578125" customWidth="1"/>
    <col min="15" max="15" width="12.28515625" customWidth="1"/>
    <col min="16" max="16" width="11.5703125" bestFit="1" customWidth="1"/>
    <col min="17" max="17" width="11.7109375" customWidth="1"/>
    <col min="257" max="257" width="4.140625" customWidth="1"/>
    <col min="261" max="261" width="13.140625" customWidth="1"/>
    <col min="262" max="262" width="8.85546875" customWidth="1"/>
    <col min="263" max="263" width="26.7109375" customWidth="1"/>
    <col min="264" max="265" width="9.7109375" customWidth="1"/>
    <col min="266" max="266" width="11.7109375" customWidth="1"/>
    <col min="269" max="269" width="10.42578125" customWidth="1"/>
    <col min="271" max="271" width="12.28515625" customWidth="1"/>
    <col min="272" max="272" width="11.5703125" bestFit="1" customWidth="1"/>
    <col min="273" max="273" width="11.7109375" customWidth="1"/>
    <col min="513" max="513" width="4.140625" customWidth="1"/>
    <col min="517" max="517" width="13.140625" customWidth="1"/>
    <col min="518" max="518" width="8.85546875" customWidth="1"/>
    <col min="519" max="519" width="26.7109375" customWidth="1"/>
    <col min="520" max="521" width="9.7109375" customWidth="1"/>
    <col min="522" max="522" width="11.7109375" customWidth="1"/>
    <col min="525" max="525" width="10.42578125" customWidth="1"/>
    <col min="527" max="527" width="12.28515625" customWidth="1"/>
    <col min="528" max="528" width="11.5703125" bestFit="1" customWidth="1"/>
    <col min="529" max="529" width="11.7109375" customWidth="1"/>
    <col min="769" max="769" width="4.140625" customWidth="1"/>
    <col min="773" max="773" width="13.140625" customWidth="1"/>
    <col min="774" max="774" width="8.85546875" customWidth="1"/>
    <col min="775" max="775" width="26.7109375" customWidth="1"/>
    <col min="776" max="777" width="9.7109375" customWidth="1"/>
    <col min="778" max="778" width="11.7109375" customWidth="1"/>
    <col min="781" max="781" width="10.42578125" customWidth="1"/>
    <col min="783" max="783" width="12.28515625" customWidth="1"/>
    <col min="784" max="784" width="11.5703125" bestFit="1" customWidth="1"/>
    <col min="785" max="785" width="11.7109375" customWidth="1"/>
    <col min="1025" max="1025" width="4.140625" customWidth="1"/>
    <col min="1029" max="1029" width="13.140625" customWidth="1"/>
    <col min="1030" max="1030" width="8.85546875" customWidth="1"/>
    <col min="1031" max="1031" width="26.7109375" customWidth="1"/>
    <col min="1032" max="1033" width="9.7109375" customWidth="1"/>
    <col min="1034" max="1034" width="11.7109375" customWidth="1"/>
    <col min="1037" max="1037" width="10.42578125" customWidth="1"/>
    <col min="1039" max="1039" width="12.28515625" customWidth="1"/>
    <col min="1040" max="1040" width="11.5703125" bestFit="1" customWidth="1"/>
    <col min="1041" max="1041" width="11.7109375" customWidth="1"/>
    <col min="1281" max="1281" width="4.140625" customWidth="1"/>
    <col min="1285" max="1285" width="13.140625" customWidth="1"/>
    <col min="1286" max="1286" width="8.85546875" customWidth="1"/>
    <col min="1287" max="1287" width="26.7109375" customWidth="1"/>
    <col min="1288" max="1289" width="9.7109375" customWidth="1"/>
    <col min="1290" max="1290" width="11.7109375" customWidth="1"/>
    <col min="1293" max="1293" width="10.42578125" customWidth="1"/>
    <col min="1295" max="1295" width="12.28515625" customWidth="1"/>
    <col min="1296" max="1296" width="11.5703125" bestFit="1" customWidth="1"/>
    <col min="1297" max="1297" width="11.7109375" customWidth="1"/>
    <col min="1537" max="1537" width="4.140625" customWidth="1"/>
    <col min="1541" max="1541" width="13.140625" customWidth="1"/>
    <col min="1542" max="1542" width="8.85546875" customWidth="1"/>
    <col min="1543" max="1543" width="26.7109375" customWidth="1"/>
    <col min="1544" max="1545" width="9.7109375" customWidth="1"/>
    <col min="1546" max="1546" width="11.7109375" customWidth="1"/>
    <col min="1549" max="1549" width="10.42578125" customWidth="1"/>
    <col min="1551" max="1551" width="12.28515625" customWidth="1"/>
    <col min="1552" max="1552" width="11.5703125" bestFit="1" customWidth="1"/>
    <col min="1553" max="1553" width="11.7109375" customWidth="1"/>
    <col min="1793" max="1793" width="4.140625" customWidth="1"/>
    <col min="1797" max="1797" width="13.140625" customWidth="1"/>
    <col min="1798" max="1798" width="8.85546875" customWidth="1"/>
    <col min="1799" max="1799" width="26.7109375" customWidth="1"/>
    <col min="1800" max="1801" width="9.7109375" customWidth="1"/>
    <col min="1802" max="1802" width="11.7109375" customWidth="1"/>
    <col min="1805" max="1805" width="10.42578125" customWidth="1"/>
    <col min="1807" max="1807" width="12.28515625" customWidth="1"/>
    <col min="1808" max="1808" width="11.5703125" bestFit="1" customWidth="1"/>
    <col min="1809" max="1809" width="11.7109375" customWidth="1"/>
    <col min="2049" max="2049" width="4.140625" customWidth="1"/>
    <col min="2053" max="2053" width="13.140625" customWidth="1"/>
    <col min="2054" max="2054" width="8.85546875" customWidth="1"/>
    <col min="2055" max="2055" width="26.7109375" customWidth="1"/>
    <col min="2056" max="2057" width="9.7109375" customWidth="1"/>
    <col min="2058" max="2058" width="11.7109375" customWidth="1"/>
    <col min="2061" max="2061" width="10.42578125" customWidth="1"/>
    <col min="2063" max="2063" width="12.28515625" customWidth="1"/>
    <col min="2064" max="2064" width="11.5703125" bestFit="1" customWidth="1"/>
    <col min="2065" max="2065" width="11.7109375" customWidth="1"/>
    <col min="2305" max="2305" width="4.140625" customWidth="1"/>
    <col min="2309" max="2309" width="13.140625" customWidth="1"/>
    <col min="2310" max="2310" width="8.85546875" customWidth="1"/>
    <col min="2311" max="2311" width="26.7109375" customWidth="1"/>
    <col min="2312" max="2313" width="9.7109375" customWidth="1"/>
    <col min="2314" max="2314" width="11.7109375" customWidth="1"/>
    <col min="2317" max="2317" width="10.42578125" customWidth="1"/>
    <col min="2319" max="2319" width="12.28515625" customWidth="1"/>
    <col min="2320" max="2320" width="11.5703125" bestFit="1" customWidth="1"/>
    <col min="2321" max="2321" width="11.7109375" customWidth="1"/>
    <col min="2561" max="2561" width="4.140625" customWidth="1"/>
    <col min="2565" max="2565" width="13.140625" customWidth="1"/>
    <col min="2566" max="2566" width="8.85546875" customWidth="1"/>
    <col min="2567" max="2567" width="26.7109375" customWidth="1"/>
    <col min="2568" max="2569" width="9.7109375" customWidth="1"/>
    <col min="2570" max="2570" width="11.7109375" customWidth="1"/>
    <col min="2573" max="2573" width="10.42578125" customWidth="1"/>
    <col min="2575" max="2575" width="12.28515625" customWidth="1"/>
    <col min="2576" max="2576" width="11.5703125" bestFit="1" customWidth="1"/>
    <col min="2577" max="2577" width="11.7109375" customWidth="1"/>
    <col min="2817" max="2817" width="4.140625" customWidth="1"/>
    <col min="2821" max="2821" width="13.140625" customWidth="1"/>
    <col min="2822" max="2822" width="8.85546875" customWidth="1"/>
    <col min="2823" max="2823" width="26.7109375" customWidth="1"/>
    <col min="2824" max="2825" width="9.7109375" customWidth="1"/>
    <col min="2826" max="2826" width="11.7109375" customWidth="1"/>
    <col min="2829" max="2829" width="10.42578125" customWidth="1"/>
    <col min="2831" max="2831" width="12.28515625" customWidth="1"/>
    <col min="2832" max="2832" width="11.5703125" bestFit="1" customWidth="1"/>
    <col min="2833" max="2833" width="11.7109375" customWidth="1"/>
    <col min="3073" max="3073" width="4.140625" customWidth="1"/>
    <col min="3077" max="3077" width="13.140625" customWidth="1"/>
    <col min="3078" max="3078" width="8.85546875" customWidth="1"/>
    <col min="3079" max="3079" width="26.7109375" customWidth="1"/>
    <col min="3080" max="3081" width="9.7109375" customWidth="1"/>
    <col min="3082" max="3082" width="11.7109375" customWidth="1"/>
    <col min="3085" max="3085" width="10.42578125" customWidth="1"/>
    <col min="3087" max="3087" width="12.28515625" customWidth="1"/>
    <col min="3088" max="3088" width="11.5703125" bestFit="1" customWidth="1"/>
    <col min="3089" max="3089" width="11.7109375" customWidth="1"/>
    <col min="3329" max="3329" width="4.140625" customWidth="1"/>
    <col min="3333" max="3333" width="13.140625" customWidth="1"/>
    <col min="3334" max="3334" width="8.85546875" customWidth="1"/>
    <col min="3335" max="3335" width="26.7109375" customWidth="1"/>
    <col min="3336" max="3337" width="9.7109375" customWidth="1"/>
    <col min="3338" max="3338" width="11.7109375" customWidth="1"/>
    <col min="3341" max="3341" width="10.42578125" customWidth="1"/>
    <col min="3343" max="3343" width="12.28515625" customWidth="1"/>
    <col min="3344" max="3344" width="11.5703125" bestFit="1" customWidth="1"/>
    <col min="3345" max="3345" width="11.7109375" customWidth="1"/>
    <col min="3585" max="3585" width="4.140625" customWidth="1"/>
    <col min="3589" max="3589" width="13.140625" customWidth="1"/>
    <col min="3590" max="3590" width="8.85546875" customWidth="1"/>
    <col min="3591" max="3591" width="26.7109375" customWidth="1"/>
    <col min="3592" max="3593" width="9.7109375" customWidth="1"/>
    <col min="3594" max="3594" width="11.7109375" customWidth="1"/>
    <col min="3597" max="3597" width="10.42578125" customWidth="1"/>
    <col min="3599" max="3599" width="12.28515625" customWidth="1"/>
    <col min="3600" max="3600" width="11.5703125" bestFit="1" customWidth="1"/>
    <col min="3601" max="3601" width="11.7109375" customWidth="1"/>
    <col min="3841" max="3841" width="4.140625" customWidth="1"/>
    <col min="3845" max="3845" width="13.140625" customWidth="1"/>
    <col min="3846" max="3846" width="8.85546875" customWidth="1"/>
    <col min="3847" max="3847" width="26.7109375" customWidth="1"/>
    <col min="3848" max="3849" width="9.7109375" customWidth="1"/>
    <col min="3850" max="3850" width="11.7109375" customWidth="1"/>
    <col min="3853" max="3853" width="10.42578125" customWidth="1"/>
    <col min="3855" max="3855" width="12.28515625" customWidth="1"/>
    <col min="3856" max="3856" width="11.5703125" bestFit="1" customWidth="1"/>
    <col min="3857" max="3857" width="11.7109375" customWidth="1"/>
    <col min="4097" max="4097" width="4.140625" customWidth="1"/>
    <col min="4101" max="4101" width="13.140625" customWidth="1"/>
    <col min="4102" max="4102" width="8.85546875" customWidth="1"/>
    <col min="4103" max="4103" width="26.7109375" customWidth="1"/>
    <col min="4104" max="4105" width="9.7109375" customWidth="1"/>
    <col min="4106" max="4106" width="11.7109375" customWidth="1"/>
    <col min="4109" max="4109" width="10.42578125" customWidth="1"/>
    <col min="4111" max="4111" width="12.28515625" customWidth="1"/>
    <col min="4112" max="4112" width="11.5703125" bestFit="1" customWidth="1"/>
    <col min="4113" max="4113" width="11.7109375" customWidth="1"/>
    <col min="4353" max="4353" width="4.140625" customWidth="1"/>
    <col min="4357" max="4357" width="13.140625" customWidth="1"/>
    <col min="4358" max="4358" width="8.85546875" customWidth="1"/>
    <col min="4359" max="4359" width="26.7109375" customWidth="1"/>
    <col min="4360" max="4361" width="9.7109375" customWidth="1"/>
    <col min="4362" max="4362" width="11.7109375" customWidth="1"/>
    <col min="4365" max="4365" width="10.42578125" customWidth="1"/>
    <col min="4367" max="4367" width="12.28515625" customWidth="1"/>
    <col min="4368" max="4368" width="11.5703125" bestFit="1" customWidth="1"/>
    <col min="4369" max="4369" width="11.7109375" customWidth="1"/>
    <col min="4609" max="4609" width="4.140625" customWidth="1"/>
    <col min="4613" max="4613" width="13.140625" customWidth="1"/>
    <col min="4614" max="4614" width="8.85546875" customWidth="1"/>
    <col min="4615" max="4615" width="26.7109375" customWidth="1"/>
    <col min="4616" max="4617" width="9.7109375" customWidth="1"/>
    <col min="4618" max="4618" width="11.7109375" customWidth="1"/>
    <col min="4621" max="4621" width="10.42578125" customWidth="1"/>
    <col min="4623" max="4623" width="12.28515625" customWidth="1"/>
    <col min="4624" max="4624" width="11.5703125" bestFit="1" customWidth="1"/>
    <col min="4625" max="4625" width="11.7109375" customWidth="1"/>
    <col min="4865" max="4865" width="4.140625" customWidth="1"/>
    <col min="4869" max="4869" width="13.140625" customWidth="1"/>
    <col min="4870" max="4870" width="8.85546875" customWidth="1"/>
    <col min="4871" max="4871" width="26.7109375" customWidth="1"/>
    <col min="4872" max="4873" width="9.7109375" customWidth="1"/>
    <col min="4874" max="4874" width="11.7109375" customWidth="1"/>
    <col min="4877" max="4877" width="10.42578125" customWidth="1"/>
    <col min="4879" max="4879" width="12.28515625" customWidth="1"/>
    <col min="4880" max="4880" width="11.5703125" bestFit="1" customWidth="1"/>
    <col min="4881" max="4881" width="11.7109375" customWidth="1"/>
    <col min="5121" max="5121" width="4.140625" customWidth="1"/>
    <col min="5125" max="5125" width="13.140625" customWidth="1"/>
    <col min="5126" max="5126" width="8.85546875" customWidth="1"/>
    <col min="5127" max="5127" width="26.7109375" customWidth="1"/>
    <col min="5128" max="5129" width="9.7109375" customWidth="1"/>
    <col min="5130" max="5130" width="11.7109375" customWidth="1"/>
    <col min="5133" max="5133" width="10.42578125" customWidth="1"/>
    <col min="5135" max="5135" width="12.28515625" customWidth="1"/>
    <col min="5136" max="5136" width="11.5703125" bestFit="1" customWidth="1"/>
    <col min="5137" max="5137" width="11.7109375" customWidth="1"/>
    <col min="5377" max="5377" width="4.140625" customWidth="1"/>
    <col min="5381" max="5381" width="13.140625" customWidth="1"/>
    <col min="5382" max="5382" width="8.85546875" customWidth="1"/>
    <col min="5383" max="5383" width="26.7109375" customWidth="1"/>
    <col min="5384" max="5385" width="9.7109375" customWidth="1"/>
    <col min="5386" max="5386" width="11.7109375" customWidth="1"/>
    <col min="5389" max="5389" width="10.42578125" customWidth="1"/>
    <col min="5391" max="5391" width="12.28515625" customWidth="1"/>
    <col min="5392" max="5392" width="11.5703125" bestFit="1" customWidth="1"/>
    <col min="5393" max="5393" width="11.7109375" customWidth="1"/>
    <col min="5633" max="5633" width="4.140625" customWidth="1"/>
    <col min="5637" max="5637" width="13.140625" customWidth="1"/>
    <col min="5638" max="5638" width="8.85546875" customWidth="1"/>
    <col min="5639" max="5639" width="26.7109375" customWidth="1"/>
    <col min="5640" max="5641" width="9.7109375" customWidth="1"/>
    <col min="5642" max="5642" width="11.7109375" customWidth="1"/>
    <col min="5645" max="5645" width="10.42578125" customWidth="1"/>
    <col min="5647" max="5647" width="12.28515625" customWidth="1"/>
    <col min="5648" max="5648" width="11.5703125" bestFit="1" customWidth="1"/>
    <col min="5649" max="5649" width="11.7109375" customWidth="1"/>
    <col min="5889" max="5889" width="4.140625" customWidth="1"/>
    <col min="5893" max="5893" width="13.140625" customWidth="1"/>
    <col min="5894" max="5894" width="8.85546875" customWidth="1"/>
    <col min="5895" max="5895" width="26.7109375" customWidth="1"/>
    <col min="5896" max="5897" width="9.7109375" customWidth="1"/>
    <col min="5898" max="5898" width="11.7109375" customWidth="1"/>
    <col min="5901" max="5901" width="10.42578125" customWidth="1"/>
    <col min="5903" max="5903" width="12.28515625" customWidth="1"/>
    <col min="5904" max="5904" width="11.5703125" bestFit="1" customWidth="1"/>
    <col min="5905" max="5905" width="11.7109375" customWidth="1"/>
    <col min="6145" max="6145" width="4.140625" customWidth="1"/>
    <col min="6149" max="6149" width="13.140625" customWidth="1"/>
    <col min="6150" max="6150" width="8.85546875" customWidth="1"/>
    <col min="6151" max="6151" width="26.7109375" customWidth="1"/>
    <col min="6152" max="6153" width="9.7109375" customWidth="1"/>
    <col min="6154" max="6154" width="11.7109375" customWidth="1"/>
    <col min="6157" max="6157" width="10.42578125" customWidth="1"/>
    <col min="6159" max="6159" width="12.28515625" customWidth="1"/>
    <col min="6160" max="6160" width="11.5703125" bestFit="1" customWidth="1"/>
    <col min="6161" max="6161" width="11.7109375" customWidth="1"/>
    <col min="6401" max="6401" width="4.140625" customWidth="1"/>
    <col min="6405" max="6405" width="13.140625" customWidth="1"/>
    <col min="6406" max="6406" width="8.85546875" customWidth="1"/>
    <col min="6407" max="6407" width="26.7109375" customWidth="1"/>
    <col min="6408" max="6409" width="9.7109375" customWidth="1"/>
    <col min="6410" max="6410" width="11.7109375" customWidth="1"/>
    <col min="6413" max="6413" width="10.42578125" customWidth="1"/>
    <col min="6415" max="6415" width="12.28515625" customWidth="1"/>
    <col min="6416" max="6416" width="11.5703125" bestFit="1" customWidth="1"/>
    <col min="6417" max="6417" width="11.7109375" customWidth="1"/>
    <col min="6657" max="6657" width="4.140625" customWidth="1"/>
    <col min="6661" max="6661" width="13.140625" customWidth="1"/>
    <col min="6662" max="6662" width="8.85546875" customWidth="1"/>
    <col min="6663" max="6663" width="26.7109375" customWidth="1"/>
    <col min="6664" max="6665" width="9.7109375" customWidth="1"/>
    <col min="6666" max="6666" width="11.7109375" customWidth="1"/>
    <col min="6669" max="6669" width="10.42578125" customWidth="1"/>
    <col min="6671" max="6671" width="12.28515625" customWidth="1"/>
    <col min="6672" max="6672" width="11.5703125" bestFit="1" customWidth="1"/>
    <col min="6673" max="6673" width="11.7109375" customWidth="1"/>
    <col min="6913" max="6913" width="4.140625" customWidth="1"/>
    <col min="6917" max="6917" width="13.140625" customWidth="1"/>
    <col min="6918" max="6918" width="8.85546875" customWidth="1"/>
    <col min="6919" max="6919" width="26.7109375" customWidth="1"/>
    <col min="6920" max="6921" width="9.7109375" customWidth="1"/>
    <col min="6922" max="6922" width="11.7109375" customWidth="1"/>
    <col min="6925" max="6925" width="10.42578125" customWidth="1"/>
    <col min="6927" max="6927" width="12.28515625" customWidth="1"/>
    <col min="6928" max="6928" width="11.5703125" bestFit="1" customWidth="1"/>
    <col min="6929" max="6929" width="11.7109375" customWidth="1"/>
    <col min="7169" max="7169" width="4.140625" customWidth="1"/>
    <col min="7173" max="7173" width="13.140625" customWidth="1"/>
    <col min="7174" max="7174" width="8.85546875" customWidth="1"/>
    <col min="7175" max="7175" width="26.7109375" customWidth="1"/>
    <col min="7176" max="7177" width="9.7109375" customWidth="1"/>
    <col min="7178" max="7178" width="11.7109375" customWidth="1"/>
    <col min="7181" max="7181" width="10.42578125" customWidth="1"/>
    <col min="7183" max="7183" width="12.28515625" customWidth="1"/>
    <col min="7184" max="7184" width="11.5703125" bestFit="1" customWidth="1"/>
    <col min="7185" max="7185" width="11.7109375" customWidth="1"/>
    <col min="7425" max="7425" width="4.140625" customWidth="1"/>
    <col min="7429" max="7429" width="13.140625" customWidth="1"/>
    <col min="7430" max="7430" width="8.85546875" customWidth="1"/>
    <col min="7431" max="7431" width="26.7109375" customWidth="1"/>
    <col min="7432" max="7433" width="9.7109375" customWidth="1"/>
    <col min="7434" max="7434" width="11.7109375" customWidth="1"/>
    <col min="7437" max="7437" width="10.42578125" customWidth="1"/>
    <col min="7439" max="7439" width="12.28515625" customWidth="1"/>
    <col min="7440" max="7440" width="11.5703125" bestFit="1" customWidth="1"/>
    <col min="7441" max="7441" width="11.7109375" customWidth="1"/>
    <col min="7681" max="7681" width="4.140625" customWidth="1"/>
    <col min="7685" max="7685" width="13.140625" customWidth="1"/>
    <col min="7686" max="7686" width="8.85546875" customWidth="1"/>
    <col min="7687" max="7687" width="26.7109375" customWidth="1"/>
    <col min="7688" max="7689" width="9.7109375" customWidth="1"/>
    <col min="7690" max="7690" width="11.7109375" customWidth="1"/>
    <col min="7693" max="7693" width="10.42578125" customWidth="1"/>
    <col min="7695" max="7695" width="12.28515625" customWidth="1"/>
    <col min="7696" max="7696" width="11.5703125" bestFit="1" customWidth="1"/>
    <col min="7697" max="7697" width="11.7109375" customWidth="1"/>
    <col min="7937" max="7937" width="4.140625" customWidth="1"/>
    <col min="7941" max="7941" width="13.140625" customWidth="1"/>
    <col min="7942" max="7942" width="8.85546875" customWidth="1"/>
    <col min="7943" max="7943" width="26.7109375" customWidth="1"/>
    <col min="7944" max="7945" width="9.7109375" customWidth="1"/>
    <col min="7946" max="7946" width="11.7109375" customWidth="1"/>
    <col min="7949" max="7949" width="10.42578125" customWidth="1"/>
    <col min="7951" max="7951" width="12.28515625" customWidth="1"/>
    <col min="7952" max="7952" width="11.5703125" bestFit="1" customWidth="1"/>
    <col min="7953" max="7953" width="11.7109375" customWidth="1"/>
    <col min="8193" max="8193" width="4.140625" customWidth="1"/>
    <col min="8197" max="8197" width="13.140625" customWidth="1"/>
    <col min="8198" max="8198" width="8.85546875" customWidth="1"/>
    <col min="8199" max="8199" width="26.7109375" customWidth="1"/>
    <col min="8200" max="8201" width="9.7109375" customWidth="1"/>
    <col min="8202" max="8202" width="11.7109375" customWidth="1"/>
    <col min="8205" max="8205" width="10.42578125" customWidth="1"/>
    <col min="8207" max="8207" width="12.28515625" customWidth="1"/>
    <col min="8208" max="8208" width="11.5703125" bestFit="1" customWidth="1"/>
    <col min="8209" max="8209" width="11.7109375" customWidth="1"/>
    <col min="8449" max="8449" width="4.140625" customWidth="1"/>
    <col min="8453" max="8453" width="13.140625" customWidth="1"/>
    <col min="8454" max="8454" width="8.85546875" customWidth="1"/>
    <col min="8455" max="8455" width="26.7109375" customWidth="1"/>
    <col min="8456" max="8457" width="9.7109375" customWidth="1"/>
    <col min="8458" max="8458" width="11.7109375" customWidth="1"/>
    <col min="8461" max="8461" width="10.42578125" customWidth="1"/>
    <col min="8463" max="8463" width="12.28515625" customWidth="1"/>
    <col min="8464" max="8464" width="11.5703125" bestFit="1" customWidth="1"/>
    <col min="8465" max="8465" width="11.7109375" customWidth="1"/>
    <col min="8705" max="8705" width="4.140625" customWidth="1"/>
    <col min="8709" max="8709" width="13.140625" customWidth="1"/>
    <col min="8710" max="8710" width="8.85546875" customWidth="1"/>
    <col min="8711" max="8711" width="26.7109375" customWidth="1"/>
    <col min="8712" max="8713" width="9.7109375" customWidth="1"/>
    <col min="8714" max="8714" width="11.7109375" customWidth="1"/>
    <col min="8717" max="8717" width="10.42578125" customWidth="1"/>
    <col min="8719" max="8719" width="12.28515625" customWidth="1"/>
    <col min="8720" max="8720" width="11.5703125" bestFit="1" customWidth="1"/>
    <col min="8721" max="8721" width="11.7109375" customWidth="1"/>
    <col min="8961" max="8961" width="4.140625" customWidth="1"/>
    <col min="8965" max="8965" width="13.140625" customWidth="1"/>
    <col min="8966" max="8966" width="8.85546875" customWidth="1"/>
    <col min="8967" max="8967" width="26.7109375" customWidth="1"/>
    <col min="8968" max="8969" width="9.7109375" customWidth="1"/>
    <col min="8970" max="8970" width="11.7109375" customWidth="1"/>
    <col min="8973" max="8973" width="10.42578125" customWidth="1"/>
    <col min="8975" max="8975" width="12.28515625" customWidth="1"/>
    <col min="8976" max="8976" width="11.5703125" bestFit="1" customWidth="1"/>
    <col min="8977" max="8977" width="11.7109375" customWidth="1"/>
    <col min="9217" max="9217" width="4.140625" customWidth="1"/>
    <col min="9221" max="9221" width="13.140625" customWidth="1"/>
    <col min="9222" max="9222" width="8.85546875" customWidth="1"/>
    <col min="9223" max="9223" width="26.7109375" customWidth="1"/>
    <col min="9224" max="9225" width="9.7109375" customWidth="1"/>
    <col min="9226" max="9226" width="11.7109375" customWidth="1"/>
    <col min="9229" max="9229" width="10.42578125" customWidth="1"/>
    <col min="9231" max="9231" width="12.28515625" customWidth="1"/>
    <col min="9232" max="9232" width="11.5703125" bestFit="1" customWidth="1"/>
    <col min="9233" max="9233" width="11.7109375" customWidth="1"/>
    <col min="9473" max="9473" width="4.140625" customWidth="1"/>
    <col min="9477" max="9477" width="13.140625" customWidth="1"/>
    <col min="9478" max="9478" width="8.85546875" customWidth="1"/>
    <col min="9479" max="9479" width="26.7109375" customWidth="1"/>
    <col min="9480" max="9481" width="9.7109375" customWidth="1"/>
    <col min="9482" max="9482" width="11.7109375" customWidth="1"/>
    <col min="9485" max="9485" width="10.42578125" customWidth="1"/>
    <col min="9487" max="9487" width="12.28515625" customWidth="1"/>
    <col min="9488" max="9488" width="11.5703125" bestFit="1" customWidth="1"/>
    <col min="9489" max="9489" width="11.7109375" customWidth="1"/>
    <col min="9729" max="9729" width="4.140625" customWidth="1"/>
    <col min="9733" max="9733" width="13.140625" customWidth="1"/>
    <col min="9734" max="9734" width="8.85546875" customWidth="1"/>
    <col min="9735" max="9735" width="26.7109375" customWidth="1"/>
    <col min="9736" max="9737" width="9.7109375" customWidth="1"/>
    <col min="9738" max="9738" width="11.7109375" customWidth="1"/>
    <col min="9741" max="9741" width="10.42578125" customWidth="1"/>
    <col min="9743" max="9743" width="12.28515625" customWidth="1"/>
    <col min="9744" max="9744" width="11.5703125" bestFit="1" customWidth="1"/>
    <col min="9745" max="9745" width="11.7109375" customWidth="1"/>
    <col min="9985" max="9985" width="4.140625" customWidth="1"/>
    <col min="9989" max="9989" width="13.140625" customWidth="1"/>
    <col min="9990" max="9990" width="8.85546875" customWidth="1"/>
    <col min="9991" max="9991" width="26.7109375" customWidth="1"/>
    <col min="9992" max="9993" width="9.7109375" customWidth="1"/>
    <col min="9994" max="9994" width="11.7109375" customWidth="1"/>
    <col min="9997" max="9997" width="10.42578125" customWidth="1"/>
    <col min="9999" max="9999" width="12.28515625" customWidth="1"/>
    <col min="10000" max="10000" width="11.5703125" bestFit="1" customWidth="1"/>
    <col min="10001" max="10001" width="11.7109375" customWidth="1"/>
    <col min="10241" max="10241" width="4.140625" customWidth="1"/>
    <col min="10245" max="10245" width="13.140625" customWidth="1"/>
    <col min="10246" max="10246" width="8.85546875" customWidth="1"/>
    <col min="10247" max="10247" width="26.7109375" customWidth="1"/>
    <col min="10248" max="10249" width="9.7109375" customWidth="1"/>
    <col min="10250" max="10250" width="11.7109375" customWidth="1"/>
    <col min="10253" max="10253" width="10.42578125" customWidth="1"/>
    <col min="10255" max="10255" width="12.28515625" customWidth="1"/>
    <col min="10256" max="10256" width="11.5703125" bestFit="1" customWidth="1"/>
    <col min="10257" max="10257" width="11.7109375" customWidth="1"/>
    <col min="10497" max="10497" width="4.140625" customWidth="1"/>
    <col min="10501" max="10501" width="13.140625" customWidth="1"/>
    <col min="10502" max="10502" width="8.85546875" customWidth="1"/>
    <col min="10503" max="10503" width="26.7109375" customWidth="1"/>
    <col min="10504" max="10505" width="9.7109375" customWidth="1"/>
    <col min="10506" max="10506" width="11.7109375" customWidth="1"/>
    <col min="10509" max="10509" width="10.42578125" customWidth="1"/>
    <col min="10511" max="10511" width="12.28515625" customWidth="1"/>
    <col min="10512" max="10512" width="11.5703125" bestFit="1" customWidth="1"/>
    <col min="10513" max="10513" width="11.7109375" customWidth="1"/>
    <col min="10753" max="10753" width="4.140625" customWidth="1"/>
    <col min="10757" max="10757" width="13.140625" customWidth="1"/>
    <col min="10758" max="10758" width="8.85546875" customWidth="1"/>
    <col min="10759" max="10759" width="26.7109375" customWidth="1"/>
    <col min="10760" max="10761" width="9.7109375" customWidth="1"/>
    <col min="10762" max="10762" width="11.7109375" customWidth="1"/>
    <col min="10765" max="10765" width="10.42578125" customWidth="1"/>
    <col min="10767" max="10767" width="12.28515625" customWidth="1"/>
    <col min="10768" max="10768" width="11.5703125" bestFit="1" customWidth="1"/>
    <col min="10769" max="10769" width="11.7109375" customWidth="1"/>
    <col min="11009" max="11009" width="4.140625" customWidth="1"/>
    <col min="11013" max="11013" width="13.140625" customWidth="1"/>
    <col min="11014" max="11014" width="8.85546875" customWidth="1"/>
    <col min="11015" max="11015" width="26.7109375" customWidth="1"/>
    <col min="11016" max="11017" width="9.7109375" customWidth="1"/>
    <col min="11018" max="11018" width="11.7109375" customWidth="1"/>
    <col min="11021" max="11021" width="10.42578125" customWidth="1"/>
    <col min="11023" max="11023" width="12.28515625" customWidth="1"/>
    <col min="11024" max="11024" width="11.5703125" bestFit="1" customWidth="1"/>
    <col min="11025" max="11025" width="11.7109375" customWidth="1"/>
    <col min="11265" max="11265" width="4.140625" customWidth="1"/>
    <col min="11269" max="11269" width="13.140625" customWidth="1"/>
    <col min="11270" max="11270" width="8.85546875" customWidth="1"/>
    <col min="11271" max="11271" width="26.7109375" customWidth="1"/>
    <col min="11272" max="11273" width="9.7109375" customWidth="1"/>
    <col min="11274" max="11274" width="11.7109375" customWidth="1"/>
    <col min="11277" max="11277" width="10.42578125" customWidth="1"/>
    <col min="11279" max="11279" width="12.28515625" customWidth="1"/>
    <col min="11280" max="11280" width="11.5703125" bestFit="1" customWidth="1"/>
    <col min="11281" max="11281" width="11.7109375" customWidth="1"/>
    <col min="11521" max="11521" width="4.140625" customWidth="1"/>
    <col min="11525" max="11525" width="13.140625" customWidth="1"/>
    <col min="11526" max="11526" width="8.85546875" customWidth="1"/>
    <col min="11527" max="11527" width="26.7109375" customWidth="1"/>
    <col min="11528" max="11529" width="9.7109375" customWidth="1"/>
    <col min="11530" max="11530" width="11.7109375" customWidth="1"/>
    <col min="11533" max="11533" width="10.42578125" customWidth="1"/>
    <col min="11535" max="11535" width="12.28515625" customWidth="1"/>
    <col min="11536" max="11536" width="11.5703125" bestFit="1" customWidth="1"/>
    <col min="11537" max="11537" width="11.7109375" customWidth="1"/>
    <col min="11777" max="11777" width="4.140625" customWidth="1"/>
    <col min="11781" max="11781" width="13.140625" customWidth="1"/>
    <col min="11782" max="11782" width="8.85546875" customWidth="1"/>
    <col min="11783" max="11783" width="26.7109375" customWidth="1"/>
    <col min="11784" max="11785" width="9.7109375" customWidth="1"/>
    <col min="11786" max="11786" width="11.7109375" customWidth="1"/>
    <col min="11789" max="11789" width="10.42578125" customWidth="1"/>
    <col min="11791" max="11791" width="12.28515625" customWidth="1"/>
    <col min="11792" max="11792" width="11.5703125" bestFit="1" customWidth="1"/>
    <col min="11793" max="11793" width="11.7109375" customWidth="1"/>
    <col min="12033" max="12033" width="4.140625" customWidth="1"/>
    <col min="12037" max="12037" width="13.140625" customWidth="1"/>
    <col min="12038" max="12038" width="8.85546875" customWidth="1"/>
    <col min="12039" max="12039" width="26.7109375" customWidth="1"/>
    <col min="12040" max="12041" width="9.7109375" customWidth="1"/>
    <col min="12042" max="12042" width="11.7109375" customWidth="1"/>
    <col min="12045" max="12045" width="10.42578125" customWidth="1"/>
    <col min="12047" max="12047" width="12.28515625" customWidth="1"/>
    <col min="12048" max="12048" width="11.5703125" bestFit="1" customWidth="1"/>
    <col min="12049" max="12049" width="11.7109375" customWidth="1"/>
    <col min="12289" max="12289" width="4.140625" customWidth="1"/>
    <col min="12293" max="12293" width="13.140625" customWidth="1"/>
    <col min="12294" max="12294" width="8.85546875" customWidth="1"/>
    <col min="12295" max="12295" width="26.7109375" customWidth="1"/>
    <col min="12296" max="12297" width="9.7109375" customWidth="1"/>
    <col min="12298" max="12298" width="11.7109375" customWidth="1"/>
    <col min="12301" max="12301" width="10.42578125" customWidth="1"/>
    <col min="12303" max="12303" width="12.28515625" customWidth="1"/>
    <col min="12304" max="12304" width="11.5703125" bestFit="1" customWidth="1"/>
    <col min="12305" max="12305" width="11.7109375" customWidth="1"/>
    <col min="12545" max="12545" width="4.140625" customWidth="1"/>
    <col min="12549" max="12549" width="13.140625" customWidth="1"/>
    <col min="12550" max="12550" width="8.85546875" customWidth="1"/>
    <col min="12551" max="12551" width="26.7109375" customWidth="1"/>
    <col min="12552" max="12553" width="9.7109375" customWidth="1"/>
    <col min="12554" max="12554" width="11.7109375" customWidth="1"/>
    <col min="12557" max="12557" width="10.42578125" customWidth="1"/>
    <col min="12559" max="12559" width="12.28515625" customWidth="1"/>
    <col min="12560" max="12560" width="11.5703125" bestFit="1" customWidth="1"/>
    <col min="12561" max="12561" width="11.7109375" customWidth="1"/>
    <col min="12801" max="12801" width="4.140625" customWidth="1"/>
    <col min="12805" max="12805" width="13.140625" customWidth="1"/>
    <col min="12806" max="12806" width="8.85546875" customWidth="1"/>
    <col min="12807" max="12807" width="26.7109375" customWidth="1"/>
    <col min="12808" max="12809" width="9.7109375" customWidth="1"/>
    <col min="12810" max="12810" width="11.7109375" customWidth="1"/>
    <col min="12813" max="12813" width="10.42578125" customWidth="1"/>
    <col min="12815" max="12815" width="12.28515625" customWidth="1"/>
    <col min="12816" max="12816" width="11.5703125" bestFit="1" customWidth="1"/>
    <col min="12817" max="12817" width="11.7109375" customWidth="1"/>
    <col min="13057" max="13057" width="4.140625" customWidth="1"/>
    <col min="13061" max="13061" width="13.140625" customWidth="1"/>
    <col min="13062" max="13062" width="8.85546875" customWidth="1"/>
    <col min="13063" max="13063" width="26.7109375" customWidth="1"/>
    <col min="13064" max="13065" width="9.7109375" customWidth="1"/>
    <col min="13066" max="13066" width="11.7109375" customWidth="1"/>
    <col min="13069" max="13069" width="10.42578125" customWidth="1"/>
    <col min="13071" max="13071" width="12.28515625" customWidth="1"/>
    <col min="13072" max="13072" width="11.5703125" bestFit="1" customWidth="1"/>
    <col min="13073" max="13073" width="11.7109375" customWidth="1"/>
    <col min="13313" max="13313" width="4.140625" customWidth="1"/>
    <col min="13317" max="13317" width="13.140625" customWidth="1"/>
    <col min="13318" max="13318" width="8.85546875" customWidth="1"/>
    <col min="13319" max="13319" width="26.7109375" customWidth="1"/>
    <col min="13320" max="13321" width="9.7109375" customWidth="1"/>
    <col min="13322" max="13322" width="11.7109375" customWidth="1"/>
    <col min="13325" max="13325" width="10.42578125" customWidth="1"/>
    <col min="13327" max="13327" width="12.28515625" customWidth="1"/>
    <col min="13328" max="13328" width="11.5703125" bestFit="1" customWidth="1"/>
    <col min="13329" max="13329" width="11.7109375" customWidth="1"/>
    <col min="13569" max="13569" width="4.140625" customWidth="1"/>
    <col min="13573" max="13573" width="13.140625" customWidth="1"/>
    <col min="13574" max="13574" width="8.85546875" customWidth="1"/>
    <col min="13575" max="13575" width="26.7109375" customWidth="1"/>
    <col min="13576" max="13577" width="9.7109375" customWidth="1"/>
    <col min="13578" max="13578" width="11.7109375" customWidth="1"/>
    <col min="13581" max="13581" width="10.42578125" customWidth="1"/>
    <col min="13583" max="13583" width="12.28515625" customWidth="1"/>
    <col min="13584" max="13584" width="11.5703125" bestFit="1" customWidth="1"/>
    <col min="13585" max="13585" width="11.7109375" customWidth="1"/>
    <col min="13825" max="13825" width="4.140625" customWidth="1"/>
    <col min="13829" max="13829" width="13.140625" customWidth="1"/>
    <col min="13830" max="13830" width="8.85546875" customWidth="1"/>
    <col min="13831" max="13831" width="26.7109375" customWidth="1"/>
    <col min="13832" max="13833" width="9.7109375" customWidth="1"/>
    <col min="13834" max="13834" width="11.7109375" customWidth="1"/>
    <col min="13837" max="13837" width="10.42578125" customWidth="1"/>
    <col min="13839" max="13839" width="12.28515625" customWidth="1"/>
    <col min="13840" max="13840" width="11.5703125" bestFit="1" customWidth="1"/>
    <col min="13841" max="13841" width="11.7109375" customWidth="1"/>
    <col min="14081" max="14081" width="4.140625" customWidth="1"/>
    <col min="14085" max="14085" width="13.140625" customWidth="1"/>
    <col min="14086" max="14086" width="8.85546875" customWidth="1"/>
    <col min="14087" max="14087" width="26.7109375" customWidth="1"/>
    <col min="14088" max="14089" width="9.7109375" customWidth="1"/>
    <col min="14090" max="14090" width="11.7109375" customWidth="1"/>
    <col min="14093" max="14093" width="10.42578125" customWidth="1"/>
    <col min="14095" max="14095" width="12.28515625" customWidth="1"/>
    <col min="14096" max="14096" width="11.5703125" bestFit="1" customWidth="1"/>
    <col min="14097" max="14097" width="11.7109375" customWidth="1"/>
    <col min="14337" max="14337" width="4.140625" customWidth="1"/>
    <col min="14341" max="14341" width="13.140625" customWidth="1"/>
    <col min="14342" max="14342" width="8.85546875" customWidth="1"/>
    <col min="14343" max="14343" width="26.7109375" customWidth="1"/>
    <col min="14344" max="14345" width="9.7109375" customWidth="1"/>
    <col min="14346" max="14346" width="11.7109375" customWidth="1"/>
    <col min="14349" max="14349" width="10.42578125" customWidth="1"/>
    <col min="14351" max="14351" width="12.28515625" customWidth="1"/>
    <col min="14352" max="14352" width="11.5703125" bestFit="1" customWidth="1"/>
    <col min="14353" max="14353" width="11.7109375" customWidth="1"/>
    <col min="14593" max="14593" width="4.140625" customWidth="1"/>
    <col min="14597" max="14597" width="13.140625" customWidth="1"/>
    <col min="14598" max="14598" width="8.85546875" customWidth="1"/>
    <col min="14599" max="14599" width="26.7109375" customWidth="1"/>
    <col min="14600" max="14601" width="9.7109375" customWidth="1"/>
    <col min="14602" max="14602" width="11.7109375" customWidth="1"/>
    <col min="14605" max="14605" width="10.42578125" customWidth="1"/>
    <col min="14607" max="14607" width="12.28515625" customWidth="1"/>
    <col min="14608" max="14608" width="11.5703125" bestFit="1" customWidth="1"/>
    <col min="14609" max="14609" width="11.7109375" customWidth="1"/>
    <col min="14849" max="14849" width="4.140625" customWidth="1"/>
    <col min="14853" max="14853" width="13.140625" customWidth="1"/>
    <col min="14854" max="14854" width="8.85546875" customWidth="1"/>
    <col min="14855" max="14855" width="26.7109375" customWidth="1"/>
    <col min="14856" max="14857" width="9.7109375" customWidth="1"/>
    <col min="14858" max="14858" width="11.7109375" customWidth="1"/>
    <col min="14861" max="14861" width="10.42578125" customWidth="1"/>
    <col min="14863" max="14863" width="12.28515625" customWidth="1"/>
    <col min="14864" max="14864" width="11.5703125" bestFit="1" customWidth="1"/>
    <col min="14865" max="14865" width="11.7109375" customWidth="1"/>
    <col min="15105" max="15105" width="4.140625" customWidth="1"/>
    <col min="15109" max="15109" width="13.140625" customWidth="1"/>
    <col min="15110" max="15110" width="8.85546875" customWidth="1"/>
    <col min="15111" max="15111" width="26.7109375" customWidth="1"/>
    <col min="15112" max="15113" width="9.7109375" customWidth="1"/>
    <col min="15114" max="15114" width="11.7109375" customWidth="1"/>
    <col min="15117" max="15117" width="10.42578125" customWidth="1"/>
    <col min="15119" max="15119" width="12.28515625" customWidth="1"/>
    <col min="15120" max="15120" width="11.5703125" bestFit="1" customWidth="1"/>
    <col min="15121" max="15121" width="11.7109375" customWidth="1"/>
    <col min="15361" max="15361" width="4.140625" customWidth="1"/>
    <col min="15365" max="15365" width="13.140625" customWidth="1"/>
    <col min="15366" max="15366" width="8.85546875" customWidth="1"/>
    <col min="15367" max="15367" width="26.7109375" customWidth="1"/>
    <col min="15368" max="15369" width="9.7109375" customWidth="1"/>
    <col min="15370" max="15370" width="11.7109375" customWidth="1"/>
    <col min="15373" max="15373" width="10.42578125" customWidth="1"/>
    <col min="15375" max="15375" width="12.28515625" customWidth="1"/>
    <col min="15376" max="15376" width="11.5703125" bestFit="1" customWidth="1"/>
    <col min="15377" max="15377" width="11.7109375" customWidth="1"/>
    <col min="15617" max="15617" width="4.140625" customWidth="1"/>
    <col min="15621" max="15621" width="13.140625" customWidth="1"/>
    <col min="15622" max="15622" width="8.85546875" customWidth="1"/>
    <col min="15623" max="15623" width="26.7109375" customWidth="1"/>
    <col min="15624" max="15625" width="9.7109375" customWidth="1"/>
    <col min="15626" max="15626" width="11.7109375" customWidth="1"/>
    <col min="15629" max="15629" width="10.42578125" customWidth="1"/>
    <col min="15631" max="15631" width="12.28515625" customWidth="1"/>
    <col min="15632" max="15632" width="11.5703125" bestFit="1" customWidth="1"/>
    <col min="15633" max="15633" width="11.7109375" customWidth="1"/>
    <col min="15873" max="15873" width="4.140625" customWidth="1"/>
    <col min="15877" max="15877" width="13.140625" customWidth="1"/>
    <col min="15878" max="15878" width="8.85546875" customWidth="1"/>
    <col min="15879" max="15879" width="26.7109375" customWidth="1"/>
    <col min="15880" max="15881" width="9.7109375" customWidth="1"/>
    <col min="15882" max="15882" width="11.7109375" customWidth="1"/>
    <col min="15885" max="15885" width="10.42578125" customWidth="1"/>
    <col min="15887" max="15887" width="12.28515625" customWidth="1"/>
    <col min="15888" max="15888" width="11.5703125" bestFit="1" customWidth="1"/>
    <col min="15889" max="15889" width="11.7109375" customWidth="1"/>
    <col min="16129" max="16129" width="4.140625" customWidth="1"/>
    <col min="16133" max="16133" width="13.140625" customWidth="1"/>
    <col min="16134" max="16134" width="8.85546875" customWidth="1"/>
    <col min="16135" max="16135" width="26.7109375" customWidth="1"/>
    <col min="16136" max="16137" width="9.7109375" customWidth="1"/>
    <col min="16138" max="16138" width="11.7109375" customWidth="1"/>
    <col min="16141" max="16141" width="10.42578125" customWidth="1"/>
    <col min="16143" max="16143" width="12.28515625" customWidth="1"/>
    <col min="16144" max="16144" width="11.5703125" bestFit="1" customWidth="1"/>
    <col min="16145" max="16145" width="11.7109375" customWidth="1"/>
  </cols>
  <sheetData>
    <row r="1" spans="2:34">
      <c r="I1" s="3"/>
    </row>
    <row r="2" spans="2:34">
      <c r="I2" s="3"/>
    </row>
    <row r="3" spans="2:34">
      <c r="B3" s="5" t="s">
        <v>391</v>
      </c>
      <c r="I3" s="3"/>
    </row>
    <row r="4" spans="2:34">
      <c r="I4" s="3"/>
    </row>
    <row r="5" spans="2:34">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Dennis Cecic</cp:lastModifiedBy>
  <dcterms:created xsi:type="dcterms:W3CDTF">2014-01-15T14:00:47Z</dcterms:created>
  <dcterms:modified xsi:type="dcterms:W3CDTF">2015-02-20T16:30:05Z</dcterms:modified>
</cp:coreProperties>
</file>