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M calced" sheetId="1" state="visible" r:id="rId3"/>
    <sheet name="10M" sheetId="2" state="visible" r:id="rId4"/>
    <sheet name="12M" sheetId="3" state="visible" r:id="rId5"/>
    <sheet name="15M" sheetId="4" state="visible" r:id="rId6"/>
    <sheet name="17M" sheetId="5" state="visible" r:id="rId7"/>
    <sheet name="20M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<sst xmlns="http://schemas.openxmlformats.org/spreadsheetml/2006/main" count="394" uniqueCount="82">
  <si>
    <t xml:space="preserve">adjust for band/channel</t>
  </si>
  <si>
    <t xml:space="preserve">wspr shift spec</t>
  </si>
  <si>
    <t xml:space="preserve">shift from center?</t>
  </si>
  <si>
    <t xml:space="preserve">Target center-of-bin freq</t>
  </si>
  <si>
    <t xml:space="preserve">Target symbol freqs</t>
  </si>
  <si>
    <t xml:space="preserve">center of wspr passband</t>
  </si>
  <si>
    <t xml:space="preserve">Denom optimization cell</t>
  </si>
  <si>
    <t xml:space="preserve">tcxo freq</t>
  </si>
  <si>
    <t xml:space="preserve">Mult. Allow real for 2M?</t>
  </si>
  <si>
    <t xml:space="preserve">Num</t>
  </si>
  <si>
    <t xml:space="preserve">Den</t>
  </si>
  <si>
    <t xml:space="preserve">PLL frequency</t>
  </si>
  <si>
    <t xml:space="preserve">output freq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</si>
  <si>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</si>
  <si>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</si>
  <si>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</si>
  <si>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</si>
  <si>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</si>
  <si>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`</t>
  </si>
  <si>
    <t xml:space="preserve">fixed numerator for 2M</t>
  </si>
  <si>
    <t xml:space="preserve">change the denom for shift</t>
  </si>
  <si>
    <t xml:space="preserve">Mult is created from </t>
  </si>
  <si>
    <t xml:space="preserve">num incrementer is 0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</si>
  <si>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</si>
  <si>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</si>
  <si>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</si>
  <si>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</si>
  <si>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</si>
  <si>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</si>
  <si>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</si>
  <si>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hans had 505514, 505513, 505512, 505511 for ref</t>
  </si>
  <si>
    <t xml:space="preserve">red above is the target optiimization</t>
  </si>
  <si>
    <t xml:space="preserve">Blue on left is the variable to change</t>
  </si>
  <si>
    <t xml:space="preserve">the variable to change is unconstrained?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</si>
  <si>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</si>
  <si>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</si>
  <si>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</si>
  <si>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</si>
  <si>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</si>
  <si>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</si>
  <si>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</si>
  <si>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</si>
  <si>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</si>
  <si>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</si>
  <si>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</si>
  <si>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</si>
  <si>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</si>
  <si>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</si>
  <si>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</si>
  <si>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</si>
  <si>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</si>
  <si>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</si>
  <si>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</si>
  <si>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</si>
  <si>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</si>
  <si>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</si>
  <si>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</si>
  <si>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</si>
  <si>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</si>
  <si>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</si>
  <si>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</si>
  <si>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</si>
  <si>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</si>
  <si>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</si>
  <si>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</si>
  <si>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</si>
  <si>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</si>
  <si>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</si>
  <si>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</si>
  <si>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Div 32 for 10M</t>
  </si>
  <si>
    <t xml:space="preserve">estimate from approximation algo</t>
  </si>
  <si>
    <t xml:space="preserve">Mult</t>
  </si>
  <si>
    <t xml:space="preserve">incremental shifts</t>
  </si>
  <si>
    <t xml:space="preserve">Num incrementer:1 on 20M, 10M, 3 on 17M, 2 on 12M, 2 on 15M</t>
  </si>
  <si>
    <t xml:space="preserve">start at 342139 for 4th freq bin on 10M</t>
  </si>
  <si>
    <t xml:space="preserve">Hans had 342028, 342029, 342030, 342031 as the Num when freq bin 1</t>
  </si>
  <si>
    <t xml:space="preserve">plugging the new pll_denom into my code, I got slightly different pll_nums</t>
  </si>
  <si>
    <t xml:space="preserve">342030, 342031, 342032, 342033 when freq bin 1 on 10M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</si>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</sst>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20.31"/>
    <col collapsed="false" customWidth="true" hidden="false" outlineLevel="0" max="5" min="5" style="1" width="22.12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505514</v>
      </c>
      <c r="G9" s="8"/>
      <c r="H9" s="3" t="n">
        <v>4</v>
      </c>
    </row>
    <row r="10" customFormat="false" ht="12.8" hidden="false" customHeight="false" outlineLevel="0" collapsed="false">
      <c r="B10" s="1" t="s">
        <v>7</v>
      </c>
      <c r="C10" s="1" t="s">
        <v>8</v>
      </c>
      <c r="D10" s="1" t="s">
        <v>9</v>
      </c>
      <c r="E10" s="1" t="s">
        <v>10</v>
      </c>
      <c r="F10" s="2" t="s">
        <v>11</v>
      </c>
      <c r="G10" s="8" t="s">
        <v>12</v>
      </c>
      <c r="H10" s="1" t="s">
        <v>13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264731.626748512</v>
      </c>
      <c r="E11" s="9" t="n">
        <v>1048570</v>
      </c>
      <c r="F11" s="10" t="n">
        <f aca="false">B11*(C11+D11/E11)</f>
        <v>581311729.945271</v>
      </c>
      <c r="G11" s="11" t="n">
        <f aca="false">F11/H9</f>
        <v>145327932.486318</v>
      </c>
      <c r="H11" s="1" t="s">
        <v>18</v>
      </c>
      <c r="J11" s="6"/>
      <c r="K11" s="12" t="n">
        <f aca="false">G11-C3</f>
        <v>837434.683583379</v>
      </c>
    </row>
    <row r="12" customFormat="false" ht="12.8" hidden="false" customHeight="false" outlineLevel="0" collapsed="false">
      <c r="D12" s="1" t="n">
        <f aca="false">$D11 + D17</f>
        <v>264731.626748512</v>
      </c>
      <c r="E12" s="13" t="n">
        <f aca="false">E11-1</f>
        <v>1048569</v>
      </c>
      <c r="F12" s="10" t="n">
        <f aca="false">B11*(C11+D12/E12)</f>
        <v>581311735.964646</v>
      </c>
      <c r="G12" s="11" t="n">
        <f aca="false">F12/H9</f>
        <v>145327933.991162</v>
      </c>
      <c r="H12" s="14" t="n">
        <f aca="false">G12-G11</f>
        <v>1.50484374165535</v>
      </c>
      <c r="I12" s="15" t="n">
        <f aca="false">H12-$D$2</f>
        <v>0.0399999916553497</v>
      </c>
      <c r="J12" s="10" t="n">
        <f aca="false">I12*1000000</f>
        <v>39999.9916553497</v>
      </c>
      <c r="K12" s="12" t="n">
        <f aca="false">G12-C4</f>
        <v>837434.72358337</v>
      </c>
      <c r="L12" s="16" t="n">
        <f aca="false">ABS(1000000*J12/G12)</f>
        <v>275.239525924744</v>
      </c>
    </row>
    <row r="13" customFormat="false" ht="12.8" hidden="false" customHeight="false" outlineLevel="0" collapsed="false">
      <c r="D13" s="1" t="n">
        <f aca="false">D12+D17</f>
        <v>264731.626748512</v>
      </c>
      <c r="E13" s="13" t="n">
        <f aca="false">E11-2</f>
        <v>1048568</v>
      </c>
      <c r="F13" s="10" t="n">
        <f aca="false">B11*(C11+D13/E13)</f>
        <v>581311741.984032</v>
      </c>
      <c r="G13" s="11" t="n">
        <f aca="false">F13/H9</f>
        <v>145327935.496008</v>
      </c>
      <c r="H13" s="14" t="n">
        <f aca="false">G13-G12</f>
        <v>1.5048466026783</v>
      </c>
      <c r="I13" s="14" t="n">
        <f aca="false">H13-$D$2</f>
        <v>0.040002852678299</v>
      </c>
      <c r="J13" s="10" t="n">
        <f aca="false">I13*1000000</f>
        <v>40002.852678299</v>
      </c>
      <c r="K13" s="12" t="n">
        <f aca="false">G13-C5</f>
        <v>837434.763586223</v>
      </c>
    </row>
    <row r="14" customFormat="false" ht="12.8" hidden="false" customHeight="false" outlineLevel="0" collapsed="false">
      <c r="D14" s="1" t="n">
        <f aca="false">D13+D17</f>
        <v>264731.626748512</v>
      </c>
      <c r="E14" s="13" t="n">
        <f aca="false">E11-3</f>
        <v>1048567</v>
      </c>
      <c r="F14" s="10" t="n">
        <f aca="false">B11*(C11+D14/E14)</f>
        <v>581311748.00343</v>
      </c>
      <c r="G14" s="11" t="n">
        <f aca="false">F14/H9</f>
        <v>145327937.000858</v>
      </c>
      <c r="H14" s="14" t="n">
        <f aca="false">G14-G13</f>
        <v>1.50484946370125</v>
      </c>
      <c r="I14" s="14" t="n">
        <f aca="false">H14-$D$2</f>
        <v>0.0400057137012482</v>
      </c>
      <c r="J14" s="10" t="n">
        <f aca="false">I14*1000000</f>
        <v>40005.7137012482</v>
      </c>
      <c r="K14" s="12" t="n">
        <f aca="false">G14-C6</f>
        <v>837434.803591937</v>
      </c>
    </row>
    <row r="15" customFormat="false" ht="12.8" hidden="false" customHeight="false" outlineLevel="0" collapsed="false">
      <c r="D15" s="1" t="s">
        <v>19</v>
      </c>
      <c r="E15" s="1" t="s">
        <v>20</v>
      </c>
    </row>
    <row r="16" customFormat="false" ht="12.8" hidden="false" customHeight="false" outlineLevel="0" collapsed="false">
      <c r="C16" s="1" t="s">
        <v>21</v>
      </c>
      <c r="D16" s="5" t="s">
        <v>22</v>
      </c>
      <c r="E16" s="5"/>
      <c r="F16" s="1" t="n">
        <f aca="false">B3*H9</f>
        <v>577962000</v>
      </c>
      <c r="G16" s="1" t="n">
        <f aca="false">B3</f>
        <v>144490500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0</v>
      </c>
      <c r="E17" s="8" t="s">
        <v>25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0.118480000000002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124234.573600002</v>
      </c>
      <c r="I19" s="5" t="s">
        <v>29</v>
      </c>
      <c r="J19" s="5"/>
      <c r="K19" s="5"/>
    </row>
    <row r="22" customFormat="false" ht="12.8" hidden="false" customHeight="false" outlineLevel="0" collapsed="false">
      <c r="G22" s="1" t="s">
        <v>30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57</v>
      </c>
      <c r="C4" s="4" t="n">
        <f aca="false">C3+$D$2</f>
        <v>28126179.2675781</v>
      </c>
      <c r="G4" s="1" t="s">
        <v>58</v>
      </c>
      <c r="H4" s="1" t="s">
        <v>59</v>
      </c>
      <c r="K4" s="1" t="s">
        <v>60</v>
      </c>
      <c r="L4" s="1" t="s">
        <v>61</v>
      </c>
    </row>
    <row r="5" customFormat="false" ht="12.8" hidden="false" customHeight="false" outlineLevel="0" collapsed="false">
      <c r="B5" s="1" t="s">
        <v>62</v>
      </c>
      <c r="C5" s="4" t="n">
        <f aca="false">C4+$D$2</f>
        <v>28126180.7324219</v>
      </c>
      <c r="E5" s="1" t="s">
        <v>63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64</v>
      </c>
      <c r="H6" s="1" t="s">
        <v>65</v>
      </c>
    </row>
    <row r="7" customFormat="false" ht="12.8" hidden="false" customHeight="false" outlineLevel="0" collapsed="false">
      <c r="E7" s="1" t="s">
        <v>66</v>
      </c>
      <c r="H7" s="1" t="s">
        <v>67</v>
      </c>
    </row>
    <row r="8" customFormat="false" ht="12.8" hidden="false" customHeight="false" outlineLevel="0" collapsed="false">
      <c r="D8" s="5" t="s">
        <v>68</v>
      </c>
      <c r="E8" s="5"/>
      <c r="F8" s="1" t="s">
        <v>6</v>
      </c>
      <c r="G8" s="6"/>
      <c r="H8" s="6" t="s">
        <v>69</v>
      </c>
    </row>
    <row r="9" customFormat="false" ht="12.8" hidden="false" customHeight="false" outlineLevel="0" collapsed="false">
      <c r="D9" s="5" t="s">
        <v>70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7</v>
      </c>
      <c r="C10" s="1" t="s">
        <v>71</v>
      </c>
      <c r="D10" s="1" t="s">
        <v>9</v>
      </c>
      <c r="E10" s="1" t="s">
        <v>10</v>
      </c>
      <c r="F10" s="2" t="s">
        <v>11</v>
      </c>
      <c r="G10" s="8"/>
      <c r="H10" s="2" t="s">
        <v>72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21</v>
      </c>
      <c r="D16" s="5" t="s">
        <v>73</v>
      </c>
      <c r="E16" s="5"/>
      <c r="F16" s="1" t="n">
        <f aca="false">B3*H9</f>
        <v>900037760</v>
      </c>
      <c r="G16" s="1" t="n">
        <f aca="false">B3</f>
        <v>28126180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1</v>
      </c>
      <c r="E17" s="8" t="s">
        <v>25</v>
      </c>
      <c r="F17" s="1" t="n">
        <f aca="false">F16/B11</f>
        <v>34.6168369230769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0.616836923076924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342139.085612308</v>
      </c>
      <c r="I19" s="5" t="s">
        <v>29</v>
      </c>
      <c r="J19" s="5"/>
      <c r="K19" s="5"/>
    </row>
    <row r="21" customFormat="false" ht="12.8" hidden="false" customHeight="false" outlineLevel="0" collapsed="false">
      <c r="D21" s="1" t="s">
        <v>74</v>
      </c>
    </row>
    <row r="22" customFormat="false" ht="12.8" hidden="false" customHeight="false" outlineLevel="0" collapsed="false">
      <c r="D22" s="1" t="s">
        <v>75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76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77</v>
      </c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57</v>
      </c>
      <c r="C4" s="4" t="n">
        <f aca="false">C3+$D$2</f>
        <v>24926179.2675781</v>
      </c>
      <c r="G4" s="1" t="s">
        <v>58</v>
      </c>
      <c r="H4" s="1" t="s">
        <v>59</v>
      </c>
      <c r="K4" s="1" t="s">
        <v>60</v>
      </c>
      <c r="L4" s="1" t="s">
        <v>61</v>
      </c>
    </row>
    <row r="5" customFormat="false" ht="12.8" hidden="false" customHeight="false" outlineLevel="0" collapsed="false">
      <c r="B5" s="1" t="s">
        <v>62</v>
      </c>
      <c r="C5" s="4" t="n">
        <f aca="false">C4+$D$2</f>
        <v>24926180.7324219</v>
      </c>
      <c r="E5" s="1" t="s">
        <v>63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64</v>
      </c>
      <c r="H6" s="1" t="s">
        <v>65</v>
      </c>
    </row>
    <row r="7" customFormat="false" ht="12.8" hidden="false" customHeight="false" outlineLevel="0" collapsed="false">
      <c r="E7" s="1" t="s">
        <v>66</v>
      </c>
      <c r="H7" s="1" t="s">
        <v>67</v>
      </c>
    </row>
    <row r="8" customFormat="false" ht="12.8" hidden="false" customHeight="false" outlineLevel="0" collapsed="false">
      <c r="D8" s="5" t="s">
        <v>68</v>
      </c>
      <c r="E8" s="5"/>
      <c r="F8" s="1" t="s">
        <v>6</v>
      </c>
      <c r="G8" s="6"/>
      <c r="H8" s="6" t="s">
        <v>69</v>
      </c>
      <c r="I8" s="1" t="s">
        <v>78</v>
      </c>
    </row>
    <row r="9" customFormat="false" ht="12.8" hidden="false" customHeight="false" outlineLevel="0" collapsed="false">
      <c r="D9" s="5" t="s">
        <v>70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7</v>
      </c>
      <c r="C10" s="1" t="s">
        <v>71</v>
      </c>
      <c r="D10" s="1" t="s">
        <v>9</v>
      </c>
      <c r="E10" s="1" t="s">
        <v>10</v>
      </c>
      <c r="F10" s="2" t="s">
        <v>11</v>
      </c>
      <c r="G10" s="8"/>
      <c r="H10" s="2" t="s">
        <v>72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21</v>
      </c>
      <c r="D16" s="5" t="s">
        <v>73</v>
      </c>
      <c r="E16" s="5"/>
      <c r="F16" s="1" t="n">
        <f aca="false">B3*H9</f>
        <v>897342480</v>
      </c>
      <c r="G16" s="1" t="n">
        <f aca="false">B3</f>
        <v>24926180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2</v>
      </c>
      <c r="E17" s="8" t="s">
        <v>25</v>
      </c>
      <c r="F17" s="1" t="n">
        <f aca="false">F16/B11</f>
        <v>34.5131723076923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0.513172307692308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506025.870135385</v>
      </c>
      <c r="I19" s="5" t="s">
        <v>29</v>
      </c>
      <c r="J19" s="5"/>
      <c r="K19" s="5"/>
    </row>
    <row r="21" customFormat="false" ht="12.8" hidden="false" customHeight="false" outlineLevel="0" collapsed="false">
      <c r="D21" s="1" t="s">
        <v>79</v>
      </c>
    </row>
    <row r="22" customFormat="false" ht="12.8" hidden="false" customHeight="false" outlineLevel="0" collapsed="false">
      <c r="D22" s="1" t="s">
        <v>75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76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77</v>
      </c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57</v>
      </c>
      <c r="C4" s="4" t="n">
        <f aca="false">C3+$D$2</f>
        <v>21096179.2675781</v>
      </c>
      <c r="G4" s="1" t="s">
        <v>58</v>
      </c>
      <c r="H4" s="1" t="s">
        <v>59</v>
      </c>
      <c r="K4" s="1" t="s">
        <v>60</v>
      </c>
      <c r="L4" s="1" t="s">
        <v>61</v>
      </c>
    </row>
    <row r="5" customFormat="false" ht="12.8" hidden="false" customHeight="false" outlineLevel="0" collapsed="false">
      <c r="B5" s="1" t="s">
        <v>62</v>
      </c>
      <c r="C5" s="4" t="n">
        <f aca="false">C4+$D$2</f>
        <v>21096180.7324219</v>
      </c>
      <c r="E5" s="1" t="s">
        <v>80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64</v>
      </c>
      <c r="H6" s="1" t="s">
        <v>65</v>
      </c>
    </row>
    <row r="7" customFormat="false" ht="12.8" hidden="false" customHeight="false" outlineLevel="0" collapsed="false">
      <c r="E7" s="1" t="s">
        <v>66</v>
      </c>
      <c r="H7" s="1" t="s">
        <v>67</v>
      </c>
      <c r="I7" s="1" t="s">
        <v>81</v>
      </c>
    </row>
    <row r="8" customFormat="false" ht="12.8" hidden="false" customHeight="false" outlineLevel="0" collapsed="false">
      <c r="D8" s="5" t="s">
        <v>68</v>
      </c>
      <c r="E8" s="5"/>
      <c r="F8" s="1" t="s">
        <v>6</v>
      </c>
      <c r="G8" s="6"/>
      <c r="H8" s="6" t="s">
        <v>69</v>
      </c>
      <c r="I8" s="1" t="s">
        <v>78</v>
      </c>
    </row>
    <row r="9" customFormat="false" ht="12.8" hidden="false" customHeight="false" outlineLevel="0" collapsed="false">
      <c r="D9" s="5" t="s">
        <v>70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7</v>
      </c>
      <c r="C10" s="1" t="s">
        <v>71</v>
      </c>
      <c r="D10" s="1" t="s">
        <v>9</v>
      </c>
      <c r="E10" s="1" t="s">
        <v>10</v>
      </c>
      <c r="F10" s="2" t="s">
        <v>11</v>
      </c>
      <c r="G10" s="8"/>
      <c r="H10" s="2" t="s">
        <v>72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21</v>
      </c>
      <c r="D16" s="5" t="s">
        <v>73</v>
      </c>
      <c r="E16" s="5"/>
      <c r="F16" s="1" t="n">
        <f aca="false">B3*H9</f>
        <v>886039560</v>
      </c>
      <c r="G16" s="1" t="n">
        <f aca="false">B3</f>
        <v>21096180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2</v>
      </c>
      <c r="E17" s="8" t="s">
        <v>25</v>
      </c>
      <c r="F17" s="1" t="n">
        <f aca="false">F16/B11</f>
        <v>34.0784446153846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0.0784446153846119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66301.8595907663</v>
      </c>
      <c r="I19" s="5" t="s">
        <v>29</v>
      </c>
      <c r="J19" s="5"/>
      <c r="K19" s="5"/>
    </row>
    <row r="21" customFormat="false" ht="12.8" hidden="false" customHeight="false" outlineLevel="0" collapsed="false">
      <c r="D21" s="1" t="s">
        <v>79</v>
      </c>
    </row>
    <row r="22" customFormat="false" ht="12.8" hidden="false" customHeight="false" outlineLevel="0" collapsed="false">
      <c r="D22" s="1" t="s">
        <v>75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76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77</v>
      </c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58</v>
      </c>
      <c r="H4" s="1" t="s">
        <v>59</v>
      </c>
      <c r="K4" s="1" t="s">
        <v>60</v>
      </c>
      <c r="L4" s="1" t="s">
        <v>61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63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64</v>
      </c>
      <c r="H6" s="1" t="s">
        <v>65</v>
      </c>
    </row>
    <row r="7" customFormat="false" ht="12.8" hidden="false" customHeight="false" outlineLevel="0" collapsed="false">
      <c r="H7" s="1" t="s">
        <v>67</v>
      </c>
    </row>
    <row r="8" customFormat="false" ht="12.8" hidden="false" customHeight="false" outlineLevel="0" collapsed="false">
      <c r="D8" s="5" t="s">
        <v>68</v>
      </c>
      <c r="E8" s="5"/>
      <c r="F8" s="1" t="s">
        <v>6</v>
      </c>
      <c r="G8" s="6"/>
      <c r="H8" s="6" t="s">
        <v>69</v>
      </c>
    </row>
    <row r="9" customFormat="false" ht="12.8" hidden="false" customHeight="false" outlineLevel="0" collapsed="false">
      <c r="D9" s="5" t="s">
        <v>70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7</v>
      </c>
      <c r="C10" s="1" t="s">
        <v>71</v>
      </c>
      <c r="D10" s="1" t="s">
        <v>9</v>
      </c>
      <c r="E10" s="1" t="s">
        <v>10</v>
      </c>
      <c r="F10" s="2" t="s">
        <v>11</v>
      </c>
      <c r="G10" s="8"/>
      <c r="H10" s="2" t="s">
        <v>72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21</v>
      </c>
      <c r="D16" s="5" t="s">
        <v>73</v>
      </c>
      <c r="E16" s="5"/>
      <c r="F16" s="1" t="n">
        <f aca="false">B3*H9</f>
        <v>905301000</v>
      </c>
      <c r="G16" s="1" t="n">
        <f aca="false">B3</f>
        <v>18106020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3</v>
      </c>
      <c r="E17" s="8" t="s">
        <v>25</v>
      </c>
      <c r="F17" s="1" t="n">
        <f aca="false">F16/B11</f>
        <v>34.8192692307692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0.81926923076923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859065.233653845</v>
      </c>
      <c r="I19" s="5" t="s">
        <v>29</v>
      </c>
      <c r="J19" s="5"/>
      <c r="K19" s="5"/>
    </row>
    <row r="21" customFormat="false" ht="12.8" hidden="false" customHeight="false" outlineLevel="0" collapsed="false">
      <c r="D21" s="1" t="s">
        <v>79</v>
      </c>
    </row>
    <row r="22" customFormat="false" ht="12.8" hidden="false" customHeight="false" outlineLevel="0" collapsed="false">
      <c r="D22" s="1" t="s">
        <v>75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76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77</v>
      </c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58</v>
      </c>
      <c r="H4" s="1" t="s">
        <v>59</v>
      </c>
      <c r="K4" s="1" t="s">
        <v>60</v>
      </c>
      <c r="L4" s="1" t="s">
        <v>61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63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64</v>
      </c>
      <c r="H6" s="1" t="s">
        <v>65</v>
      </c>
    </row>
    <row r="7" customFormat="false" ht="12.8" hidden="false" customHeight="false" outlineLevel="0" collapsed="false">
      <c r="E7" s="1" t="s">
        <v>66</v>
      </c>
      <c r="H7" s="1" t="s">
        <v>67</v>
      </c>
    </row>
    <row r="8" customFormat="false" ht="12.8" hidden="false" customHeight="false" outlineLevel="0" collapsed="false">
      <c r="D8" s="5" t="s">
        <v>68</v>
      </c>
      <c r="E8" s="5"/>
      <c r="F8" s="1" t="s">
        <v>6</v>
      </c>
      <c r="G8" s="6"/>
      <c r="H8" s="6" t="s">
        <v>69</v>
      </c>
    </row>
    <row r="9" customFormat="false" ht="12.8" hidden="false" customHeight="false" outlineLevel="0" collapsed="false">
      <c r="D9" s="5" t="s">
        <v>70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7</v>
      </c>
      <c r="C10" s="1" t="s">
        <v>71</v>
      </c>
      <c r="D10" s="1" t="s">
        <v>9</v>
      </c>
      <c r="E10" s="1" t="s">
        <v>10</v>
      </c>
      <c r="F10" s="2" t="s">
        <v>11</v>
      </c>
      <c r="G10" s="8"/>
      <c r="H10" s="2" t="s">
        <v>72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21</v>
      </c>
      <c r="D16" s="5" t="s">
        <v>73</v>
      </c>
      <c r="E16" s="5"/>
      <c r="F16" s="1" t="n">
        <f aca="false">B3*H9</f>
        <v>902219520</v>
      </c>
      <c r="G16" s="1" t="n">
        <f aca="false">B3</f>
        <v>14097180</v>
      </c>
      <c r="H16" s="5" t="s">
        <v>23</v>
      </c>
      <c r="I16" s="5"/>
      <c r="J16" s="5"/>
    </row>
    <row r="17" customFormat="false" ht="12.8" hidden="false" customHeight="false" outlineLevel="0" collapsed="false">
      <c r="C17" s="1" t="s">
        <v>24</v>
      </c>
      <c r="D17" s="3" t="n">
        <v>1</v>
      </c>
      <c r="E17" s="8" t="s">
        <v>25</v>
      </c>
      <c r="F17" s="1" t="n">
        <f aca="false">F16/B11</f>
        <v>34.7007507692308</v>
      </c>
    </row>
    <row r="18" customFormat="false" ht="12.8" hidden="false" customHeight="false" outlineLevel="0" collapsed="false">
      <c r="E18" s="8" t="s">
        <v>26</v>
      </c>
      <c r="F18" s="1" t="n">
        <f aca="false">F17-C11</f>
        <v>0.700750769230773</v>
      </c>
    </row>
    <row r="19" customFormat="false" ht="12.8" hidden="false" customHeight="false" outlineLevel="0" collapsed="false">
      <c r="C19" s="17" t="s">
        <v>27</v>
      </c>
      <c r="D19" s="17" t="n">
        <v>4</v>
      </c>
      <c r="E19" s="8" t="s">
        <v>28</v>
      </c>
      <c r="F19" s="1" t="n">
        <f aca="false">F18*E11</f>
        <v>194341.313083078</v>
      </c>
      <c r="I19" s="5" t="s">
        <v>29</v>
      </c>
      <c r="J19" s="5"/>
      <c r="K19" s="5"/>
    </row>
    <row r="21" customFormat="false" ht="12.8" hidden="false" customHeight="false" outlineLevel="0" collapsed="false">
      <c r="D21" s="1" t="s">
        <v>79</v>
      </c>
    </row>
    <row r="22" customFormat="false" ht="12.8" hidden="false" customHeight="false" outlineLevel="0" collapsed="false">
      <c r="D22" s="1" t="s">
        <v>75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76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77</v>
      </c>
      <c r="L25" s="1" t="s">
        <v>34</v>
      </c>
    </row>
    <row r="26" customFormat="false" ht="12.8" hidden="false" customHeight="false" outlineLevel="0" collapsed="false">
      <c r="A26" s="18" t="s">
        <v>35</v>
      </c>
      <c r="B26" s="18"/>
      <c r="C26" s="18"/>
    </row>
    <row r="27" customFormat="false" ht="12.8" hidden="false" customHeight="false" outlineLevel="0" collapsed="false">
      <c r="A27" s="18" t="s">
        <v>36</v>
      </c>
      <c r="B27" s="18"/>
      <c r="C27" s="18"/>
      <c r="L27" s="5" t="s">
        <v>37</v>
      </c>
      <c r="M27" s="5"/>
      <c r="N27" s="5"/>
    </row>
    <row r="29" customFormat="false" ht="44.75" hidden="false" customHeight="true" outlineLevel="0" collapsed="false">
      <c r="B29" s="19" t="s">
        <v>38</v>
      </c>
      <c r="C29" s="19"/>
      <c r="D29" s="19"/>
      <c r="E29" s="19"/>
      <c r="F29" s="19"/>
      <c r="L29" s="20" t="s">
        <v>39</v>
      </c>
      <c r="M29" s="20"/>
      <c r="N29" s="20"/>
      <c r="O29" s="20"/>
      <c r="P29" s="20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1" t="s">
        <v>46</v>
      </c>
      <c r="D35" s="21"/>
      <c r="E35" s="21"/>
      <c r="F35" s="21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1" t="s">
        <v>50</v>
      </c>
      <c r="D37" s="21"/>
      <c r="E37" s="21"/>
      <c r="F37" s="21"/>
      <c r="G37" s="21"/>
      <c r="H37" s="21"/>
      <c r="I37" s="21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2024-12-26T02:23:03Z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