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defaultThemeVersion="124226"/>
  <mc:AlternateContent xmlns:mc="http://schemas.openxmlformats.org/markup-compatibility/2006">
    <mc:Choice Requires="x15">
      <x15ac:absPath xmlns:x15ac="http://schemas.microsoft.com/office/spreadsheetml/2010/11/ac" url="https://conocophillips-my.sharepoint.com/personal/dan_j_golden_conocophillips_com/Documents/ADM170 Current Open Projects E+1Y/2022 Projects/Ansible/"/>
    </mc:Choice>
  </mc:AlternateContent>
  <xr:revisionPtr revIDLastSave="61" documentId="8_{02D388F8-4D3E-461E-9E0B-CFF4F8D1E851}" xr6:coauthVersionLast="47" xr6:coauthVersionMax="47" xr10:uidLastSave="{D5149D16-429A-403D-8957-0AFA726CB9B1}"/>
  <bookViews>
    <workbookView xWindow="-120" yWindow="-120" windowWidth="29040" windowHeight="15840" tabRatio="778" activeTab="4" xr2:uid="{00000000-000D-0000-FFFF-FFFF00000000}"/>
  </bookViews>
  <sheets>
    <sheet name="Change Log" sheetId="8" r:id="rId1"/>
    <sheet name="Parameters" sheetId="2" r:id="rId2"/>
    <sheet name="SNMP reference" sheetId="12" r:id="rId3"/>
    <sheet name="Switch (L2) Config" sheetId="5" r:id="rId4"/>
    <sheet name="Router (L3) Config" sheetId="1" r:id="rId5"/>
    <sheet name="NxOS Config" sheetId="7" r:id="rId6"/>
    <sheet name="Interfaces" sheetId="6" r:id="rId7"/>
    <sheet name="Lookup Table" sheetId="4" r:id="rId8"/>
  </sheets>
  <definedNames>
    <definedName name="_CER1">Parameters!$C$38</definedName>
    <definedName name="_CER2">Parameters!$C$39</definedName>
    <definedName name="_CER3">Parameters!$C$40</definedName>
    <definedName name="_CER4">Parameters!$C$41</definedName>
    <definedName name="_xlnm._FilterDatabase" localSheetId="1" hidden="1">Parameters!$E$23:$E$23</definedName>
    <definedName name="_NTP1">Parameters!$C$30</definedName>
    <definedName name="_NTP2">Parameters!$C$31</definedName>
    <definedName name="_NTP3">Parameters!$C$32</definedName>
    <definedName name="_NTP4">Parameters!$C$33</definedName>
    <definedName name="APHubs">'Lookup Table'!$I$27:$I$30</definedName>
    <definedName name="BannerModel">Parameters!$C$11</definedName>
    <definedName name="Beijing">'Lookup Table'!$I$29</definedName>
    <definedName name="DeviceType">Parameters!$C$2</definedName>
    <definedName name="DMZ_PRIME_IP">Parameters!$C$96</definedName>
    <definedName name="Enable_Secret">'Lookup Table'!$B$91</definedName>
    <definedName name="Enable_Secret_NEXUS">'Lookup Table'!$B$92</definedName>
    <definedName name="FENCE_TACACS1">Parameters!$C$101</definedName>
    <definedName name="FENCE_TACACS1_NAME">Parameters!$C$100</definedName>
    <definedName name="FENCE_TACACS2">Parameters!$C$103</definedName>
    <definedName name="FENCE_TACACS2_NAME">Parameters!$C$102</definedName>
    <definedName name="FENCE_TACACS3">Parameters!$C$105</definedName>
    <definedName name="FENCE_TACACS3_NAME">Parameters!$C$104</definedName>
    <definedName name="Hostname">Parameters!$C$7</definedName>
    <definedName name="IS_DMZ">Parameters!$C$4</definedName>
    <definedName name="IS_FENCE">Parameters!$C$5</definedName>
    <definedName name="IS_MULTICAST_REQ">Parameters!$C$9</definedName>
    <definedName name="ISE_SERVER1">Parameters!$C$97</definedName>
    <definedName name="ISE_SERVER2">Parameters!$C$98</definedName>
    <definedName name="ISE_SERVER3">Parameters!$C$99</definedName>
    <definedName name="Jakarta">'Lookup Table'!$I$30</definedName>
    <definedName name="Location">Parameters!$C$8</definedName>
    <definedName name="LoggingServer1">Parameters!$C$21</definedName>
    <definedName name="LoggingServer2">Parameters!$C$22</definedName>
    <definedName name="LoggingServer3">Parameters!$C$23</definedName>
    <definedName name="LookupTableReference">'Lookup Table'!$B$2:$K$86</definedName>
    <definedName name="McastRP">Parameters!$C$45</definedName>
    <definedName name="NACkey">Parameters!$C$14</definedName>
    <definedName name="NameServer1">Parameters!$C$18</definedName>
    <definedName name="NameServer2">Parameters!$C$19</definedName>
    <definedName name="NameServer3">Parameters!$C$20</definedName>
    <definedName name="netflowgatewayip">#REF!</definedName>
    <definedName name="NetflowServer">Parameters!$C$42</definedName>
    <definedName name="netflowsource">#REF!</definedName>
    <definedName name="NetflowSourceIP">#REF!</definedName>
    <definedName name="NEXUSSNMPRO1">Parameters!$C$70</definedName>
    <definedName name="NEXUSSNMPRO10">Parameters!$C$79</definedName>
    <definedName name="NEXUSSNMPRO11">Parameters!$C$80</definedName>
    <definedName name="NEXUSSNMPRO12">Parameters!$C$81</definedName>
    <definedName name="NEXUSSNMPRO13">Parameters!$C$82</definedName>
    <definedName name="NEXUSSNMPRO14">Parameters!$C$83</definedName>
    <definedName name="NEXUSSNMPRO15">Parameters!$C$84</definedName>
    <definedName name="NEXUSSNMPRO16">Parameters!$C$85</definedName>
    <definedName name="NEXUSSNMPRO17">Parameters!$C$86</definedName>
    <definedName name="NEXUSSNMPRO18">Parameters!$C$87</definedName>
    <definedName name="NEXUSSNMPRO19">Parameters!$C$88</definedName>
    <definedName name="NEXUSSNMPRO2">Parameters!$C$71</definedName>
    <definedName name="NEXUSSNMPRO20">Parameters!$C$89</definedName>
    <definedName name="NEXUSSNMPRO3">Parameters!$C$72</definedName>
    <definedName name="NEXUSSNMPRO4">Parameters!$C$73</definedName>
    <definedName name="NEXUSSNMPRO5">Parameters!$C$74</definedName>
    <definedName name="NEXUSSNMPRO6">Parameters!$C$75</definedName>
    <definedName name="NEXUSSNMPRO7">Parameters!$C$76</definedName>
    <definedName name="NEXUSSNMPRO8">Parameters!$C$77</definedName>
    <definedName name="NEXUSSNMPRO9">Parameters!$C$78</definedName>
    <definedName name="NEXUSSNMPRW1">Parameters!$C$90</definedName>
    <definedName name="NEXUSSNMPRW2">Parameters!$C$91</definedName>
    <definedName name="NEXUSSNMPRW3">Parameters!$C$92</definedName>
    <definedName name="NEXUSSNMPRW4">Parameters!$C$93</definedName>
    <definedName name="Offset">Parameters!$C$67</definedName>
    <definedName name="Perth">'Lookup Table'!$I$27</definedName>
    <definedName name="PRIME">Parameters!$C$94</definedName>
    <definedName name="PRIME_SECONDARY">Parameters!$C$95</definedName>
    <definedName name="Region">'Lookup Table'!$B$2:$G$2</definedName>
    <definedName name="RegionChoice">Parameters!$C$3</definedName>
    <definedName name="SerialNumber">Parameters!$C$12</definedName>
    <definedName name="Singapore">'Lookup Table'!$I$28</definedName>
    <definedName name="SNMPLOC">Parameters!$C$106</definedName>
    <definedName name="SNMPRO1">Parameters!$C$46</definedName>
    <definedName name="SNMPRO10">Parameters!$C$55</definedName>
    <definedName name="SNMPRO11">Parameters!$C$56</definedName>
    <definedName name="SNMPRO12">Parameters!$C$57</definedName>
    <definedName name="SNMPRO13">Parameters!$C$58</definedName>
    <definedName name="SNMPRO14">Parameters!$C$59</definedName>
    <definedName name="SNMPRO15">Parameters!$C$60</definedName>
    <definedName name="SNMPRO16">Parameters!$C$61</definedName>
    <definedName name="SNMPRO17">Parameters!$C$62</definedName>
    <definedName name="SNMPRO18">Parameters!$C$63</definedName>
    <definedName name="SNMPRO19">Parameters!$C$64</definedName>
    <definedName name="SNMPRO2">Parameters!$C$47</definedName>
    <definedName name="SNMPRO20">Parameters!$C$65</definedName>
    <definedName name="SNMPRO3">Parameters!$C$48</definedName>
    <definedName name="SNMPRO4">Parameters!$C$49</definedName>
    <definedName name="SNMPRO5">Parameters!$C$50</definedName>
    <definedName name="SNMPRO6">Parameters!$C$51</definedName>
    <definedName name="SNMPRO7">Parameters!$C$52</definedName>
    <definedName name="SNMPRO8">Parameters!$C$53</definedName>
    <definedName name="SNMPRO9">Parameters!$C$54</definedName>
    <definedName name="SNMPRW1">Parameters!$C$34</definedName>
    <definedName name="SNMPRW2">Parameters!$C$35</definedName>
    <definedName name="SNMPRW3">Parameters!$C$36</definedName>
    <definedName name="SNMPRW4">Parameters!$C$37</definedName>
    <definedName name="SourceInt">Parameters!$C$6</definedName>
    <definedName name="SummerTimezone">Parameters!$C$68</definedName>
    <definedName name="TACACS_key_plaintext">'Lookup Table'!$B$95</definedName>
    <definedName name="TACACS1">Parameters!$C$25</definedName>
    <definedName name="TACACS1_Name">Parameters!$C$24</definedName>
    <definedName name="TACACS2">Parameters!$C$27</definedName>
    <definedName name="TACACS2_Name">Parameters!$C$26</definedName>
    <definedName name="TACACS3">Parameters!$C$29</definedName>
    <definedName name="TACACS3_Name">Parameters!$C$28</definedName>
    <definedName name="TACACSkey">Parameters!$C$43</definedName>
    <definedName name="TACACSkeyNexus">Parameters!$C$44</definedName>
    <definedName name="TimeLookupTable2">'Lookup Table'!$A$100:$E$121</definedName>
    <definedName name="TimeLookupTableList2">'Lookup Table'!$A$100:$A$121</definedName>
    <definedName name="TimeRecurrence">Parameters!$C$69</definedName>
    <definedName name="Timezone">Parameters!$C$66</definedName>
    <definedName name="TimezonePick">Parameters!$C$10</definedName>
    <definedName name="VTPmode">Parameters!$C$15</definedName>
    <definedName name="VTYExtended">Parameters!$C$16</definedName>
    <definedName name="VTYPassword">Parameters!$C$13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2" i="5" l="1"/>
  <c r="B171" i="5"/>
  <c r="B170" i="5"/>
  <c r="B169" i="5"/>
  <c r="B159" i="5"/>
  <c r="B158" i="5"/>
  <c r="B157" i="1"/>
  <c r="B156" i="1"/>
  <c r="B155" i="1"/>
  <c r="B154" i="1"/>
  <c r="A30" i="7"/>
  <c r="B82" i="1"/>
  <c r="B88" i="5"/>
  <c r="B47" i="5"/>
  <c r="B259" i="1"/>
  <c r="B45" i="1"/>
  <c r="B102" i="5"/>
  <c r="A27" i="7"/>
  <c r="A26" i="7"/>
  <c r="B36" i="1"/>
  <c r="B35" i="1"/>
  <c r="B45" i="5"/>
  <c r="B44" i="5"/>
  <c r="B164" i="1"/>
  <c r="B177" i="5"/>
  <c r="B158" i="1"/>
  <c r="B173" i="5"/>
  <c r="B96" i="1"/>
  <c r="B95" i="1"/>
  <c r="B101" i="5"/>
  <c r="B270" i="1" l="1"/>
  <c r="B261" i="1"/>
  <c r="B252" i="1"/>
  <c r="B195" i="1"/>
  <c r="B194" i="1"/>
  <c r="B192" i="1"/>
  <c r="B191" i="1"/>
  <c r="B142" i="1"/>
  <c r="B94" i="1"/>
  <c r="B88" i="1"/>
  <c r="B77" i="1"/>
  <c r="B66" i="1"/>
  <c r="B65" i="1"/>
  <c r="B62" i="1"/>
  <c r="B19" i="1"/>
  <c r="B272" i="5"/>
  <c r="B265" i="5"/>
  <c r="B204" i="5"/>
  <c r="B100" i="5"/>
  <c r="B94" i="5"/>
  <c r="B82" i="5"/>
  <c r="B289" i="1"/>
  <c r="B243" i="1"/>
  <c r="B234" i="1"/>
  <c r="B226" i="1"/>
  <c r="B291" i="5"/>
  <c r="B256" i="5"/>
  <c r="B247" i="5"/>
  <c r="B239" i="5"/>
  <c r="B208" i="5"/>
  <c r="B207" i="5"/>
  <c r="B205" i="5"/>
  <c r="B161" i="5"/>
  <c r="C100" i="2" l="1"/>
  <c r="C105" i="2" l="1"/>
  <c r="B184" i="1" s="1"/>
  <c r="C104" i="2"/>
  <c r="C103" i="2"/>
  <c r="B193" i="5" s="1"/>
  <c r="C102" i="2"/>
  <c r="C101" i="2"/>
  <c r="B176" i="1" s="1"/>
  <c r="C106" i="2"/>
  <c r="C99" i="2"/>
  <c r="C98" i="2"/>
  <c r="C97" i="2"/>
  <c r="C96" i="2"/>
  <c r="C93" i="2"/>
  <c r="C92" i="2"/>
  <c r="C91" i="2"/>
  <c r="C90" i="2"/>
  <c r="C89" i="2"/>
  <c r="C88" i="2"/>
  <c r="C87" i="2"/>
  <c r="C86" i="2"/>
  <c r="C85" i="2"/>
  <c r="C84" i="2"/>
  <c r="C83" i="2"/>
  <c r="C82" i="2"/>
  <c r="C81" i="2"/>
  <c r="C80" i="2"/>
  <c r="C79" i="2"/>
  <c r="C78" i="2"/>
  <c r="C77" i="2"/>
  <c r="C76" i="2"/>
  <c r="C75" i="2"/>
  <c r="C74" i="2"/>
  <c r="C73" i="2"/>
  <c r="C72" i="2"/>
  <c r="C71" i="2"/>
  <c r="C70" i="2"/>
  <c r="C29" i="2"/>
  <c r="C28" i="2"/>
  <c r="C27" i="2"/>
  <c r="C26" i="2"/>
  <c r="C25" i="2"/>
  <c r="C24" i="2"/>
  <c r="C23" i="2"/>
  <c r="B105" i="5" s="1"/>
  <c r="C65" i="2"/>
  <c r="C64" i="2"/>
  <c r="C63" i="2"/>
  <c r="C62" i="2"/>
  <c r="C61" i="2"/>
  <c r="C60" i="2"/>
  <c r="C59" i="2"/>
  <c r="C58" i="2"/>
  <c r="C57" i="2"/>
  <c r="C56" i="2"/>
  <c r="C55" i="2"/>
  <c r="C54" i="2"/>
  <c r="C53" i="2"/>
  <c r="C52" i="2"/>
  <c r="C51" i="2"/>
  <c r="C50" i="2"/>
  <c r="C49" i="2"/>
  <c r="C48" i="2"/>
  <c r="C47" i="2"/>
  <c r="B121" i="5" s="1"/>
  <c r="C46" i="2"/>
  <c r="B120" i="5" s="1"/>
  <c r="C45" i="2"/>
  <c r="C44" i="2"/>
  <c r="C43" i="2"/>
  <c r="C42" i="2"/>
  <c r="C41" i="2"/>
  <c r="C40" i="2"/>
  <c r="C39" i="2"/>
  <c r="C38" i="2"/>
  <c r="C37" i="2"/>
  <c r="C36" i="2"/>
  <c r="C35" i="2"/>
  <c r="C34" i="2"/>
  <c r="C33" i="2"/>
  <c r="C32" i="2"/>
  <c r="C31" i="2"/>
  <c r="C30" i="2"/>
  <c r="A70" i="7" l="1"/>
  <c r="A69" i="7"/>
  <c r="B192" i="5"/>
  <c r="B190" i="5"/>
  <c r="B177" i="1"/>
  <c r="B191" i="5"/>
  <c r="B178" i="1"/>
  <c r="B179" i="1"/>
  <c r="B194" i="5"/>
  <c r="B180" i="1"/>
  <c r="B106" i="5"/>
  <c r="B100" i="1"/>
  <c r="B195" i="5"/>
  <c r="B181" i="1"/>
  <c r="B196" i="5"/>
  <c r="B182" i="1"/>
  <c r="B189" i="5"/>
  <c r="B197" i="5"/>
  <c r="B183" i="1"/>
  <c r="A22" i="7"/>
  <c r="B271" i="1"/>
  <c r="B273" i="5"/>
  <c r="B272" i="1"/>
  <c r="B274" i="5"/>
  <c r="B273" i="1"/>
  <c r="B275" i="5"/>
  <c r="B274" i="1"/>
  <c r="B276" i="5"/>
  <c r="B131" i="1"/>
  <c r="B142" i="5"/>
  <c r="A17" i="12"/>
  <c r="B132" i="1"/>
  <c r="B143" i="5"/>
  <c r="A18" i="12"/>
  <c r="B133" i="1"/>
  <c r="B144" i="5"/>
  <c r="B134" i="1"/>
  <c r="B145" i="5"/>
  <c r="A79" i="7"/>
  <c r="B161" i="1"/>
  <c r="B162" i="5"/>
  <c r="B180" i="5"/>
  <c r="B168" i="1"/>
  <c r="B167" i="1"/>
  <c r="B166" i="1"/>
  <c r="B181" i="5"/>
  <c r="B183" i="5"/>
  <c r="B171" i="1"/>
  <c r="B170" i="1"/>
  <c r="B169" i="1"/>
  <c r="B184" i="5"/>
  <c r="B186" i="5"/>
  <c r="B174" i="1"/>
  <c r="B173" i="1"/>
  <c r="B172" i="1"/>
  <c r="B187" i="5"/>
  <c r="B179" i="5"/>
  <c r="B182" i="5"/>
  <c r="B185" i="5"/>
  <c r="A38" i="7"/>
  <c r="A39" i="7"/>
  <c r="A40" i="7"/>
  <c r="A18" i="7"/>
  <c r="A17" i="7"/>
  <c r="B140" i="5"/>
  <c r="C69" i="2"/>
  <c r="C68" i="2"/>
  <c r="C67" i="2"/>
  <c r="C66" i="2"/>
  <c r="A31" i="7"/>
  <c r="B295" i="5"/>
  <c r="B269" i="5"/>
  <c r="B268" i="5"/>
  <c r="B267" i="5"/>
  <c r="B266" i="5"/>
  <c r="B264" i="5"/>
  <c r="B263" i="5"/>
  <c r="B262" i="5"/>
  <c r="B258" i="1"/>
  <c r="B265" i="1"/>
  <c r="B264" i="1"/>
  <c r="B263" i="1"/>
  <c r="B262" i="1"/>
  <c r="B260" i="1"/>
  <c r="B256" i="1"/>
  <c r="B255" i="1"/>
  <c r="B254" i="1"/>
  <c r="B253" i="1"/>
  <c r="B251" i="1"/>
  <c r="B249" i="1"/>
  <c r="B250" i="1"/>
  <c r="A107" i="7"/>
  <c r="A106" i="7"/>
  <c r="A105" i="7"/>
  <c r="A104" i="7"/>
  <c r="A101" i="7"/>
  <c r="A100" i="7"/>
  <c r="A99" i="7"/>
  <c r="A98" i="7"/>
  <c r="A97" i="7"/>
  <c r="A96" i="7"/>
  <c r="A95" i="7"/>
  <c r="A94" i="7"/>
  <c r="A93" i="7"/>
  <c r="A92" i="7"/>
  <c r="A91" i="7"/>
  <c r="A90" i="7"/>
  <c r="A89" i="7"/>
  <c r="A88" i="7"/>
  <c r="A87" i="7"/>
  <c r="A86" i="7"/>
  <c r="A85" i="7"/>
  <c r="A84" i="7"/>
  <c r="A83" i="7"/>
  <c r="A82" i="7"/>
  <c r="B109" i="1"/>
  <c r="B41" i="5"/>
  <c r="B43" i="1"/>
  <c r="B57" i="5"/>
  <c r="B56" i="5"/>
  <c r="B55" i="5"/>
  <c r="B54" i="5"/>
  <c r="B53" i="5"/>
  <c r="B52" i="5"/>
  <c r="B51" i="5"/>
  <c r="B50" i="5"/>
  <c r="B49" i="5"/>
  <c r="B48" i="5"/>
  <c r="B46" i="1"/>
  <c r="B52" i="1"/>
  <c r="B51" i="1"/>
  <c r="B50" i="1"/>
  <c r="B49" i="1"/>
  <c r="B48" i="1"/>
  <c r="B47" i="1"/>
  <c r="B44" i="1"/>
  <c r="B42" i="1"/>
  <c r="B153" i="5"/>
  <c r="B118" i="5"/>
  <c r="B9" i="5"/>
  <c r="B8" i="5"/>
  <c r="B7" i="5"/>
  <c r="B6" i="5"/>
  <c r="B72" i="5"/>
  <c r="B71" i="5"/>
  <c r="B70" i="5"/>
  <c r="B64" i="1"/>
  <c r="B63" i="1"/>
  <c r="B34" i="5"/>
  <c r="A33" i="7"/>
  <c r="B139" i="5"/>
  <c r="B138" i="5"/>
  <c r="B137" i="5"/>
  <c r="B136" i="5"/>
  <c r="B124" i="1"/>
  <c r="B123" i="1"/>
  <c r="B122" i="1"/>
  <c r="B121" i="1"/>
  <c r="B131" i="5"/>
  <c r="B130" i="5"/>
  <c r="B129" i="5"/>
  <c r="B128" i="5"/>
  <c r="B116" i="1"/>
  <c r="B115" i="1"/>
  <c r="B125" i="5"/>
  <c r="B113" i="1"/>
  <c r="B123" i="5"/>
  <c r="B122" i="5"/>
  <c r="A143" i="7"/>
  <c r="A141" i="7"/>
  <c r="A43" i="7"/>
  <c r="C22" i="2"/>
  <c r="C21" i="2"/>
  <c r="B103" i="5" s="1"/>
  <c r="C20" i="2"/>
  <c r="C19" i="2"/>
  <c r="C18" i="2"/>
  <c r="A45" i="7"/>
  <c r="A62" i="7"/>
  <c r="A61" i="7"/>
  <c r="A23" i="7"/>
  <c r="A144" i="7"/>
  <c r="A65" i="7"/>
  <c r="A1" i="7"/>
  <c r="A21" i="7" l="1"/>
  <c r="B104" i="5"/>
  <c r="A20" i="7"/>
  <c r="B68" i="1"/>
  <c r="B74" i="5"/>
  <c r="A58" i="7"/>
  <c r="B69" i="1"/>
  <c r="B75" i="5"/>
  <c r="B70" i="1"/>
  <c r="B76" i="5"/>
  <c r="A35" i="7"/>
  <c r="A44" i="7"/>
  <c r="B120" i="1"/>
  <c r="B118" i="1"/>
  <c r="A140" i="7"/>
  <c r="A142" i="7"/>
  <c r="B125" i="1"/>
  <c r="B127" i="1"/>
  <c r="B126" i="1"/>
  <c r="A34" i="7"/>
  <c r="B127" i="5"/>
  <c r="B112" i="1"/>
  <c r="B38" i="1"/>
  <c r="B129" i="1"/>
  <c r="B110" i="1"/>
  <c r="B159" i="1"/>
  <c r="B111" i="1"/>
  <c r="B119" i="1"/>
  <c r="B135" i="5"/>
  <c r="B124" i="5"/>
  <c r="A42" i="7"/>
  <c r="B117" i="1"/>
  <c r="B126" i="5"/>
  <c r="B128" i="1"/>
  <c r="A19" i="7"/>
  <c r="B174" i="5"/>
  <c r="B59" i="5"/>
  <c r="B61" i="5"/>
  <c r="A29" i="7"/>
  <c r="B39" i="1"/>
  <c r="B60" i="5"/>
  <c r="B40" i="1"/>
  <c r="B99" i="1"/>
  <c r="B98" i="1"/>
  <c r="A57" i="7"/>
  <c r="B133" i="5"/>
  <c r="B97" i="1"/>
  <c r="A16" i="12"/>
  <c r="A59" i="7"/>
  <c r="A36" i="7"/>
  <c r="B132" i="5"/>
  <c r="B134" i="5"/>
  <c r="A108" i="7"/>
  <c r="A71" i="7"/>
  <c r="A102" i="7"/>
  <c r="B114" i="1"/>
</calcChain>
</file>

<file path=xl/sharedStrings.xml><?xml version="1.0" encoding="utf-8"?>
<sst xmlns="http://schemas.openxmlformats.org/spreadsheetml/2006/main" count="2105" uniqueCount="1005">
  <si>
    <t>UserID</t>
  </si>
  <si>
    <t>Date</t>
  </si>
  <si>
    <t>Change Description</t>
  </si>
  <si>
    <t>Reason for change</t>
  </si>
  <si>
    <t>mosr49</t>
  </si>
  <si>
    <t>Added change log tab</t>
  </si>
  <si>
    <t>Removed access-list 66 permit 136.226.250.0 0.0.0.255</t>
  </si>
  <si>
    <t>Subnet no longer requires SNMP access</t>
  </si>
  <si>
    <t>Updated Tacacs-server host to Tacacs-server key on Router &amp; Switch tab</t>
  </si>
  <si>
    <t>Text was incorrect</t>
  </si>
  <si>
    <t>Added configuration to support the addition of CER servers to the RO SNMP string (Switch Config only)</t>
  </si>
  <si>
    <t>Increased use of CER which needs RO SNMP</t>
  </si>
  <si>
    <t>Updated enable secret</t>
  </si>
  <si>
    <t>Changed enable secret in PWD Vault</t>
  </si>
  <si>
    <t>ortass</t>
  </si>
  <si>
    <t>fixed enable secret</t>
  </si>
  <si>
    <t>Added Netflow version selection, added 159.163.232.4 to ACL 66</t>
  </si>
  <si>
    <t>Cascade deployment in AP</t>
  </si>
  <si>
    <t>rapid spanning tree &amp; canada tools</t>
  </si>
  <si>
    <t>change AP netflow server destionation per schmidt</t>
  </si>
  <si>
    <t>update tacacs PW for North America</t>
  </si>
  <si>
    <t>new aaa commands, North America tacacs server</t>
  </si>
  <si>
    <t>updated calgary netflow server</t>
  </si>
  <si>
    <t>remove 158.139.193.0 0.0.0.15 from ACL 67</t>
  </si>
  <si>
    <t>new enable secret &amp; added tombstone</t>
  </si>
  <si>
    <t>updated canada RW server</t>
  </si>
  <si>
    <t>updated snmp strings</t>
  </si>
  <si>
    <t>updated aaa and remove snmp chassis-id and location</t>
  </si>
  <si>
    <t>updated acl 66 for Alaska CW</t>
  </si>
  <si>
    <t>updated nexus snmp strings</t>
  </si>
  <si>
    <t>updated TACACS for all regions</t>
  </si>
  <si>
    <t>updated EMEA &amp; Norway TACACS</t>
  </si>
  <si>
    <t>added Netflow tab</t>
  </si>
  <si>
    <t>updated tacacs default line per Eugene</t>
  </si>
  <si>
    <t>tacasc key changed to encrypted &amp; "local line" added in switch aaa default group</t>
  </si>
  <si>
    <t>added 3rd tacacs server to NXOS</t>
  </si>
  <si>
    <t>change calgary ACS server &amp; dns</t>
  </si>
  <si>
    <t>added tacacs accounting commands</t>
  </si>
  <si>
    <t>fixed Nexus TACACS key</t>
  </si>
  <si>
    <t>added NAC tab and Arista tab</t>
  </si>
  <si>
    <t>update enable secret.  Added bvlcer1 to acl 66</t>
  </si>
  <si>
    <t>added Canada CW</t>
  </si>
  <si>
    <t>added switch dhcp command to fix new cisco feature that is keeping dhcp from working.</t>
  </si>
  <si>
    <t>updated time recurrence parameters and added netflow interface command ~line 150</t>
  </si>
  <si>
    <t>adding ssh commands</t>
  </si>
  <si>
    <t>berryrd</t>
  </si>
  <si>
    <t xml:space="preserve">modified NxOS logging command to use-vrf default </t>
  </si>
  <si>
    <t>added aaa authorization to NxOS</t>
  </si>
  <si>
    <t>updated enable secret</t>
  </si>
  <si>
    <t>removed "no domain-name"</t>
  </si>
  <si>
    <t>updated Interfaces qos configuration</t>
  </si>
  <si>
    <t>added command to enable qos</t>
  </si>
  <si>
    <t>berryrd`</t>
  </si>
  <si>
    <t>updated NxOS authorization to use local when all of configured methods do not respond</t>
  </si>
  <si>
    <t>added dhcp snooping for all vlans</t>
  </si>
  <si>
    <t>move dhcp snooping to switch config tab from interface tab</t>
  </si>
  <si>
    <t>updated AK tacacs</t>
  </si>
  <si>
    <t>added Rendevous Point for Bartlesville &amp; Houston</t>
  </si>
  <si>
    <t>adding ip device tracking to switch</t>
  </si>
  <si>
    <t>error with devices booting</t>
  </si>
  <si>
    <t>fixed EMEA tacacs</t>
  </si>
  <si>
    <t>added priv 15 to tombstone account</t>
  </si>
  <si>
    <t>correct Norway time information in parameters tab</t>
  </si>
  <si>
    <t>updated ACL 66 to be regional</t>
  </si>
  <si>
    <t>updated AP neflow to 159.163.253.176 2055</t>
  </si>
  <si>
    <t>updated NAC banner</t>
  </si>
  <si>
    <t>update AP hubs into region selection - updated for Norway TDE/TCE</t>
  </si>
  <si>
    <t>updated AK ACL 66</t>
  </si>
  <si>
    <t>updated canada ACL 66</t>
  </si>
  <si>
    <t>updated with timezone pick</t>
  </si>
  <si>
    <t>updated ACL 66 for NAC globally</t>
  </si>
  <si>
    <t>added a few default parameters, ftp source, ssh source - expanded the vty line coverage</t>
  </si>
  <si>
    <t>updated AK NTP servers per Sam</t>
  </si>
  <si>
    <t>updated norway parts for aaa.  Updated timezone fix</t>
  </si>
  <si>
    <t>updated EMEA DNS</t>
  </si>
  <si>
    <t>updated flexible netflow</t>
  </si>
  <si>
    <t>updated nexus snmp</t>
  </si>
  <si>
    <t>added bgp snmp trap</t>
  </si>
  <si>
    <t>updated enable secret / tombstone &amp; removed telnet from vty lines</t>
  </si>
  <si>
    <t>nxos tombstone set to network-admin</t>
  </si>
  <si>
    <t>added prime RW server to L48</t>
  </si>
  <si>
    <t>updated password</t>
  </si>
  <si>
    <t>choice for extended VTY lines</t>
  </si>
  <si>
    <t>nexus config - removed telnet, updated ACL, and clock</t>
  </si>
  <si>
    <t>added perth cascade to acl 66 &amp; sflow config</t>
  </si>
  <si>
    <t>change EMEA NTP</t>
  </si>
  <si>
    <t>remove telnet tos</t>
  </si>
  <si>
    <t>added switch aux port</t>
  </si>
  <si>
    <t>dietzkr</t>
  </si>
  <si>
    <t>added SNMP locations and New Timezones</t>
  </si>
  <si>
    <t>added new access-list 66 entry for Alaska and new logging servers for Alaska</t>
  </si>
  <si>
    <t>added ip address for Prime as a standard logging server</t>
  </si>
  <si>
    <t>added "158.139.170.24 0.0.0.3" to ACL 67</t>
  </si>
  <si>
    <t>added more modern radius server config in NAC tab also parametized based on region</t>
  </si>
  <si>
    <t>updated lookup table to include Canada's ISE servers</t>
  </si>
  <si>
    <t>updated timezones to include EST and JST</t>
  </si>
  <si>
    <t>SNMP location to "US L48", added 158.139.170.25-26 to SNMP servers, removed 158.139.170.28</t>
  </si>
  <si>
    <t>added logic to handle DMZ prime</t>
  </si>
  <si>
    <t>moved DMZ to the bottom of the parameter table</t>
  </si>
  <si>
    <t>Removing references to LMS</t>
  </si>
  <si>
    <t>Fixed logic for Prime logging server primary and secondary IP's</t>
  </si>
  <si>
    <t>Adjusted ACL 66 for AP</t>
  </si>
  <si>
    <t>Added IP for collector to ACL 66</t>
  </si>
  <si>
    <t>Added new RO string for ACL 88</t>
  </si>
  <si>
    <t>Changed RO string for ACL 88</t>
  </si>
  <si>
    <t>Changed logic for ACL 67 when DMZ prime was desired.</t>
  </si>
  <si>
    <t>Added proper prefix 0 for summer time lookup in Norway (MET) and Sydney (AEST)</t>
  </si>
  <si>
    <t>Fixed NxOS config for DMZ</t>
  </si>
  <si>
    <t>Updated enable and tombstone passwords</t>
  </si>
  <si>
    <t>Fixed AKST issue.</t>
  </si>
  <si>
    <t>Fix ACL 67 for AK and fix ACL 66 for Norway</t>
  </si>
  <si>
    <t>Added new ABZ Network subnet to the global RO ACLs</t>
  </si>
  <si>
    <t>No vstack</t>
  </si>
  <si>
    <t>Added new Alaska Solarwinds server to ACL 66</t>
  </si>
  <si>
    <t>Remove old PRTG server from ACL 66</t>
  </si>
  <si>
    <t>Fixed issue related to an extra space on cq9 tacacs server in lookup table</t>
  </si>
  <si>
    <t>Moved AUX config to end of template to help avoid SSH key generation failures when configuring switches</t>
  </si>
  <si>
    <t>Removed 144.46.136.96/27 from lookup table</t>
  </si>
  <si>
    <t>Adding 136.226.90.8 for Alaska regional ACL 66</t>
  </si>
  <si>
    <t>Replacing 159.163.198.22 with 159.163.198.22 for AP regions</t>
  </si>
  <si>
    <t>Adding LLDP and perpetual poe ha to interface config.</t>
  </si>
  <si>
    <t>Adding ISE servers and logic for FENCE ISE servers</t>
  </si>
  <si>
    <t>Updated enable password</t>
  </si>
  <si>
    <t>Updated Lookup table with new HOC ISE and removig cgy-nsise2</t>
  </si>
  <si>
    <t>yeabok</t>
  </si>
  <si>
    <t>Added descriptions to the commands on the Config tabs for L3, L2, and NxOS, as well as to a few commands on the Interfaces tab.</t>
  </si>
  <si>
    <t>Updated password</t>
  </si>
  <si>
    <t>Updated Alaska DNS servers</t>
  </si>
  <si>
    <t>Updated ACL 66 to remove BVLCER1</t>
  </si>
  <si>
    <t>Updated Interface standard config</t>
  </si>
  <si>
    <t>New enable password.</t>
  </si>
  <si>
    <t>Alaska changes for ACL 66 and logging server changes.</t>
  </si>
  <si>
    <t>6/11/20202</t>
  </si>
  <si>
    <t>Adding standard device tracking policy to trunk port recommendations</t>
  </si>
  <si>
    <t>Changed AP TACACS top server</t>
  </si>
  <si>
    <t>Per David Li, removed Perth server references from Lookup Table, Netflow, and SNMP reference tabs</t>
  </si>
  <si>
    <t>Updated TACACS server config to use new "tacacs server" style commands for Switch (L2) and Router (L3) configs</t>
  </si>
  <si>
    <t>Added storm-control commands to access interface config</t>
  </si>
  <si>
    <t>Removed Aberdeen DNS servers and added GMONS01 to Lookup Table</t>
  </si>
  <si>
    <t>Edited Norway TDE-CDE DNS servers in the Lookup Table</t>
  </si>
  <si>
    <t>Fixed logging servers in Lookup Table</t>
  </si>
  <si>
    <t>Added new Houston LogicMonitor collector (158.139.112.117) to SNMP RO section in Lookup Table for all locations except Norway TDE-CDE</t>
  </si>
  <si>
    <t>Updated SNMP RO hosts in Lookup Table, and added snmp-host command to L2 and L3 tabs if RegionChoice is "Norway"</t>
  </si>
  <si>
    <t>Added AES password encryption commands to L2 and L3 tabs</t>
  </si>
  <si>
    <t>Added NEXUS Enable Secret to separate it from the IOS enable secret, as IOS is encrypted level 9 and currently Nexus is encrypted level 5</t>
  </si>
  <si>
    <t>Updated descriptions on AAA commands</t>
  </si>
  <si>
    <t>Removed "collect interface output" from Netflow tab as it generates an error and is not needed, as everything matched is also collected.</t>
  </si>
  <si>
    <t>Removed "ip flow-cache" and "ip flow-export" commands from L3 tab as they are already present in the Netflow tab.</t>
  </si>
  <si>
    <t>Added 3rd and 4th NTP server to BVL, HOC, ANC, and Canada in Lookup Table. Not sure if those would work for EMEA or AP though.</t>
  </si>
  <si>
    <t>Added newer command for snmp-server file-transfer (required by newer devices)</t>
  </si>
  <si>
    <t>Per Tyler Nicholas, adding 10.26.15.10 to SNMP RO list for Alaska in the Lookup Table tab.</t>
  </si>
  <si>
    <t>Updated tombstone/enable pw</t>
  </si>
  <si>
    <t>Updated tombstone/enable pw (2021 Security Initiative)</t>
  </si>
  <si>
    <t>Added newer "domain" commands without the "-" to L2 and L3 tabs for newer code levels</t>
  </si>
  <si>
    <t>Added summary entry for SNMP RO subnet 158.139.2.192/26 and added entry for SNMP RW 158.139.2.218</t>
  </si>
  <si>
    <t>Changed Prime Secondary from 158.139.170.26 to hocprimewired IP 158.139.2.218. Also changed snmp-server 158.139.170.26 to 158.139.2.218</t>
  </si>
  <si>
    <t>Changed crypto key size from 1024 to 2048</t>
  </si>
  <si>
    <t>Added trailing "60" to "clock summer-time" command in NxOS config tab for compliance checks (60 is default and shows up in running-config)</t>
  </si>
  <si>
    <t>Added lots of notes and a diagram to the NAC tab. Added a few commands to NAC tab to modernize NAC template.</t>
  </si>
  <si>
    <t>Changed enable pwds in Lookup Table</t>
  </si>
  <si>
    <t>Updated AP servers on Lookup Table per AP TCOM request</t>
  </si>
  <si>
    <t>Added interface config for Mist AP's to the Interfaces tab</t>
  </si>
  <si>
    <t>Updated ACL 66 and Netflow row on Lookup Table per Dan Golden (new Kentik servers)</t>
  </si>
  <si>
    <t>Added ACL 88 (Deny any) to Switch, Router, and NXOS tabs</t>
  </si>
  <si>
    <t>User Input Parameters</t>
  </si>
  <si>
    <t>Instructions</t>
  </si>
  <si>
    <t>Router or Switch</t>
  </si>
  <si>
    <t>Switch</t>
  </si>
  <si>
    <t>Router = L3 device (can be a 'switch'), Switch = L2 device</t>
  </si>
  <si>
    <t>Region</t>
  </si>
  <si>
    <t>Bartlesville</t>
  </si>
  <si>
    <t>Select the most appropriate region for your device - this determines TACACS, DNS, and NTP servers.</t>
  </si>
  <si>
    <t>Managed by DMZ Prime?</t>
  </si>
  <si>
    <t>No</t>
  </si>
  <si>
    <t>Part of FENCE Project?</t>
  </si>
  <si>
    <t>Source Interface</t>
  </si>
  <si>
    <t>Specify the source interface for TACACS, TFTP, Logging, NTP, SNMP (usually Loopback0 for routers, VlanX for switches)</t>
  </si>
  <si>
    <t>Hostname</t>
  </si>
  <si>
    <t>Location</t>
  </si>
  <si>
    <t>Location (City) of the router</t>
  </si>
  <si>
    <t>Is Multicast Required?</t>
  </si>
  <si>
    <t>This will Enable Multicast Globally for Routers - You still need to configure PIM on every interface that it is required - See Interfaces Tab</t>
  </si>
  <si>
    <t>Timezone</t>
  </si>
  <si>
    <t>US (CST)</t>
  </si>
  <si>
    <t>pick list</t>
  </si>
  <si>
    <t>Model</t>
  </si>
  <si>
    <t>Serial Number</t>
  </si>
  <si>
    <t>VTY Password</t>
  </si>
  <si>
    <r>
      <t xml:space="preserve">Use the </t>
    </r>
    <r>
      <rPr>
        <b/>
        <sz val="10"/>
        <rFont val="Arial"/>
        <family val="2"/>
      </rPr>
      <t>ENCRYPTED</t>
    </r>
    <r>
      <rPr>
        <sz val="10"/>
        <rFont val="Arial"/>
        <family val="2"/>
      </rPr>
      <t xml:space="preserve"> password from the Vault.  NOT CLEAR TEXT</t>
    </r>
  </si>
  <si>
    <t>NAC ISE password</t>
  </si>
  <si>
    <t>VTP mode</t>
  </si>
  <si>
    <t>transparent</t>
  </si>
  <si>
    <t>applies to switch (L2) only</t>
  </si>
  <si>
    <t>extended VTY lines?</t>
  </si>
  <si>
    <t>no</t>
  </si>
  <si>
    <t>vty lines 16-98 and 99-1510</t>
  </si>
  <si>
    <t>These should update automatically</t>
  </si>
  <si>
    <t>Name Server 1</t>
  </si>
  <si>
    <t>Name Server 2</t>
  </si>
  <si>
    <t>Name Server 3</t>
  </si>
  <si>
    <t>Logging Server 1</t>
  </si>
  <si>
    <t>Logging Server 2</t>
  </si>
  <si>
    <t>Logging Server 3</t>
  </si>
  <si>
    <t>TACACS1 Name</t>
  </si>
  <si>
    <t>TACACS1 IP</t>
  </si>
  <si>
    <t>TACACS2 Name</t>
  </si>
  <si>
    <t>TACACS2 IP</t>
  </si>
  <si>
    <t>TACACS3 Name</t>
  </si>
  <si>
    <t>TACACS3 IP</t>
  </si>
  <si>
    <t>NTP1</t>
  </si>
  <si>
    <t>NTP2</t>
  </si>
  <si>
    <t>NTP3</t>
  </si>
  <si>
    <t>NTP4</t>
  </si>
  <si>
    <t>SNMP Read/Write 1</t>
  </si>
  <si>
    <t>SNMP Read/Write 2</t>
  </si>
  <si>
    <t>SNMP Read/Write 3</t>
  </si>
  <si>
    <t>SNMP Read/Write 4</t>
  </si>
  <si>
    <t>CER Server 1</t>
  </si>
  <si>
    <t>CER Server 2</t>
  </si>
  <si>
    <t>CER Server 3</t>
  </si>
  <si>
    <t>CER Server 4</t>
  </si>
  <si>
    <t>Netflow Server and Port</t>
  </si>
  <si>
    <t>TACACS key</t>
  </si>
  <si>
    <t>TACACS Nexus key</t>
  </si>
  <si>
    <t>multicast Rendevous Point</t>
  </si>
  <si>
    <t>SNMP Read Only 1</t>
  </si>
  <si>
    <t>SNMP Read Only 2</t>
  </si>
  <si>
    <t>SNMP Read Only 3</t>
  </si>
  <si>
    <t>SNMP Read Only 4</t>
  </si>
  <si>
    <t>SNMP Read Only 5</t>
  </si>
  <si>
    <t>SNMP Read Only 6</t>
  </si>
  <si>
    <t>SNMP Read Only 7</t>
  </si>
  <si>
    <t>SNMP Read Only 8</t>
  </si>
  <si>
    <t>SNMP Read Only 9</t>
  </si>
  <si>
    <t>SNMP Read Only 10</t>
  </si>
  <si>
    <t>SNMP Read Only 11</t>
  </si>
  <si>
    <t>SNMP Read Only 12</t>
  </si>
  <si>
    <t>SNMP Read Only 13</t>
  </si>
  <si>
    <t>SNMP Read Only 14</t>
  </si>
  <si>
    <t>SNMP Read Only 15</t>
  </si>
  <si>
    <t>SNMP Read Only 16</t>
  </si>
  <si>
    <t>SNMP Read Only 17</t>
  </si>
  <si>
    <t>SNMP Read Only 18</t>
  </si>
  <si>
    <t>SNMP Read Only 19</t>
  </si>
  <si>
    <t>SNMP Read Only 20</t>
  </si>
  <si>
    <t>timezone</t>
  </si>
  <si>
    <t>offset</t>
  </si>
  <si>
    <t>summer timezone</t>
  </si>
  <si>
    <t>recurrence</t>
  </si>
  <si>
    <t>NEXUS SNMP Read Only 1</t>
  </si>
  <si>
    <t>NEXUS SNMP Read Only 2</t>
  </si>
  <si>
    <t>NEXUS SNMP Read Only 3</t>
  </si>
  <si>
    <t>NEXUS SNMP Read Only 4</t>
  </si>
  <si>
    <t>NEXUS SNMP Read Only 5</t>
  </si>
  <si>
    <t>NEXUS SNMP Read Only 6</t>
  </si>
  <si>
    <t>NEXUS SNMP Read Only 7</t>
  </si>
  <si>
    <t>NEXUS SNMP Read Only 8</t>
  </si>
  <si>
    <t>NEXUS SNMP Read Only 9</t>
  </si>
  <si>
    <t>NEXUS SNMP Read Only 10</t>
  </si>
  <si>
    <t>NEXUS SNMP Read Only 11</t>
  </si>
  <si>
    <t>NEXUS SNMP Read Only 12</t>
  </si>
  <si>
    <t>NEXUS SNMP Read Only 13</t>
  </si>
  <si>
    <t>NEXUS SNMP Read Only 14</t>
  </si>
  <si>
    <t>NEXUS SNMP Read Only 15</t>
  </si>
  <si>
    <t>NEXUS SNMP Read Only 16</t>
  </si>
  <si>
    <t>NEXUS SNMP Read Only 17</t>
  </si>
  <si>
    <t>NEXUS SNMP Read Only 18</t>
  </si>
  <si>
    <t>NEXUS SNMP Read Only 19</t>
  </si>
  <si>
    <t>NEXUS SNMP Read Only 20</t>
  </si>
  <si>
    <t>Prime IP Address</t>
  </si>
  <si>
    <t>158.139.170.25</t>
  </si>
  <si>
    <t>Prime IP Address Secondary</t>
  </si>
  <si>
    <t>158.139.2.218</t>
  </si>
  <si>
    <t>DMZ Prime IP</t>
  </si>
  <si>
    <t>ISE Server 1</t>
  </si>
  <si>
    <t>ISE Server 2</t>
  </si>
  <si>
    <t>ISE Server 3</t>
  </si>
  <si>
    <t>FENCE TACACS1 NAME</t>
  </si>
  <si>
    <t>FENCE TACACS1 IP</t>
  </si>
  <si>
    <t>FENCE TACACS2 NAME</t>
  </si>
  <si>
    <t>FENCE TACACS2 IP</t>
  </si>
  <si>
    <t>FENCE TACACS3 NAME</t>
  </si>
  <si>
    <t>FENCE TACACS3 IP</t>
  </si>
  <si>
    <t>SNMP Server Location</t>
  </si>
  <si>
    <t>access-list 66 permit 144.46.136.96 0.0.0.31</t>
  </si>
  <si>
    <t>EMEA / Aberdeen engineers (Legacy)</t>
  </si>
  <si>
    <t>access-list 66 permit 153.15.20.192 0.0.0.63</t>
  </si>
  <si>
    <t>Norway / NSBU</t>
  </si>
  <si>
    <t>access-list 66 permit 158.139.170.0 0.0.0.63</t>
  </si>
  <si>
    <t>TCOM Network Tools</t>
  </si>
  <si>
    <t>access-list 66 permit 155.191.128.0 0.0.0.15</t>
  </si>
  <si>
    <t>Canada Tools</t>
  </si>
  <si>
    <t>access-list 66 permit 158.139.195.0 0.0.0.255</t>
  </si>
  <si>
    <t>Netcool</t>
  </si>
  <si>
    <t>access-list 66 permit 158.139.216.0 0.0.7.255</t>
  </si>
  <si>
    <t>VitalNet</t>
  </si>
  <si>
    <t>access-list 66 permit 158.139.240.0 0.0.7.255</t>
  </si>
  <si>
    <t>Bartlesville engineers</t>
  </si>
  <si>
    <t>access-list 66 permit 159.163.195.0 0.0.0.255</t>
  </si>
  <si>
    <t>AP - TCOM eng</t>
  </si>
  <si>
    <t>access-list 66 permit host 159.163.206.58</t>
  </si>
  <si>
    <t>AP</t>
  </si>
  <si>
    <t>access-list 66 permit 159.163.232.4</t>
  </si>
  <si>
    <t>AP - cascade</t>
  </si>
  <si>
    <t>access-list 66 permit 136.226.130.30</t>
  </si>
  <si>
    <t>Alaska - CW</t>
  </si>
  <si>
    <t>!</t>
  </si>
  <si>
    <t>CER - for 911 emergency service</t>
  </si>
  <si>
    <t>access-list 66 permit 155.191.185.155</t>
  </si>
  <si>
    <t>CW - Canada</t>
  </si>
  <si>
    <t>access-list 66 permit 144.46.144.11</t>
  </si>
  <si>
    <t>EMEA PRTG</t>
  </si>
  <si>
    <t>Ciscoworks</t>
  </si>
  <si>
    <t>hocprimewired</t>
  </si>
  <si>
    <t>159.163.89.228</t>
  </si>
  <si>
    <t>ABUE</t>
  </si>
  <si>
    <t>159.163.89.166</t>
  </si>
  <si>
    <t>155.191.182.156 0.0.0.3</t>
  </si>
  <si>
    <t>calgary nac - cover 155.191.182.157, 155.191.182.158</t>
  </si>
  <si>
    <t>158.139.104.8 0.0.0.7</t>
  </si>
  <si>
    <t>bvl nac - cover 158.139.104.11,12,13,14,15</t>
  </si>
  <si>
    <t>158.139.49.48 0.0.0.15</t>
  </si>
  <si>
    <t>hou nac - covers 158.169.49.49,54,55,56</t>
  </si>
  <si>
    <t>10.25.32.7</t>
  </si>
  <si>
    <t>anc nac</t>
  </si>
  <si>
    <t xml:space="preserve">158.139.198.247                </t>
  </si>
  <si>
    <t>bvl nac - guest3</t>
  </si>
  <si>
    <t>159.163.178.100 </t>
  </si>
  <si>
    <t>bjn-nsise1</t>
  </si>
  <si>
    <t>159.163.136.130 </t>
  </si>
  <si>
    <t>jkt-nsise1.</t>
  </si>
  <si>
    <t>159.163.253.87   </t>
  </si>
  <si>
    <t>sgt-nsise1.</t>
  </si>
  <si>
    <t>159.163.73.191   </t>
  </si>
  <si>
    <t>cur-nsise1</t>
  </si>
  <si>
    <t>10.166.216.88 0.0.0.3</t>
  </si>
  <si>
    <t>abz nac covers 10.16.216.88, 89</t>
  </si>
  <si>
    <t>153.15.20.244 0.0.0.3</t>
  </si>
  <si>
    <t>svg nac cover 153.15.20.244, 245</t>
  </si>
  <si>
    <t>! Green indicates the config is unique to this tab (Switch (L2) Config)</t>
  </si>
  <si>
    <t>! NETFLOW commands from Netflow tab (if Netflow is required on this device)</t>
  </si>
  <si>
    <t>! Normally we only export netflow on L3 "core" switches/routers</t>
  </si>
  <si>
    <t>sdm prefer routing</t>
  </si>
  <si>
    <t>! This should be used for 3560, 3750 stacks that are doing ip routing</t>
  </si>
  <si>
    <t>! Enables DHCP snooping, which denies certain DHCP messges coming in from ports they shouldn't.</t>
  </si>
  <si>
    <t>! For switches that don't support extended vlans</t>
  </si>
  <si>
    <t>! This is added because cisco has added some features in 15.0.2 &amp; 12.2.55 that are causing dhcp to not work. Here, we are basically disabling DHCP Option 82. So, in DHCP, you have DHCP Options, which are basically added because different vendor devices may require additional information on top of just an IP address, mask, and gateway (such as an IP Phone requiring the IP of a Call server, in addition to a normal IP address, mask, and gateway). One particular DHCP Option is Option 82, which is used as a sort of security measure to prevent just anyone from requesting DHCP addresses or posing as a fake DHCP server. With DHCP Option 82, the switch adds identifiers to the DHCP request packet that was sent by the host. Specifically, the switch adds its MAC address (the remote ID suboption) and the port identifier from which the packet is received from the host (the curcuit ID suboption). The DHCP server (if Option 82 capable), can use the remote ID and curcuit ID to verify the packet as legitimate (and also implement policies if desired, such as restricting the number of IP addresses that can be assigned to a single remote ID or circuit ID). If you wanted to implement this DHCP Option 82 on a switch, you would run the "ip dhcp snooping information option" command. However, we don't want to use it, so we are disabling it using the "no" form of the command.</t>
  </si>
  <si>
    <t>snmp-server enable traps port-security trap-rate 10</t>
  </si>
  <si>
    <t>! Port-security lets us restrict traffic through a port by limiting and identifying MAC addresses of the stations allowed to access the port. A security violation occurs if the maximum number of secure MAC addresses has been added to the address table and a workstation whose MAC address is not in the address table attempts to access the interface. If you configure the interface to be in Restrict violation mode for port-security, a port-security violation restricts data, causes the SecurityViolation counter to increment, and causes an SNMP Notification to be generated. The rate at which SNMP traps are generated can be controlled by the "snmp-server enable traps port-security trap-rate" command. This sets the maximum number of port-security traps sent per second. THe range is from 0 to 1000; the default value ("0") causes an SNMP trap to be generated for every security violation, so there is no limit on the number per second - a trap is sent for every violation occurrence, no matter how quickly they occur. Here in our command, we are saying that we can only send a max of 10 port-security traps per second.</t>
  </si>
  <si>
    <t>device-tracking upgrade-cli</t>
  </si>
  <si>
    <t>! Applies to IOS_XE 16.x.x and above. This upgrades the CLI to use the upgraded "device-tracking" commands, and converts legacy IPDT and IPv6 Snooping commands to SISF-based device tracking commands (SISF-based, or Switch Integrated Security Features based, is the newer device tracking feature). After you run the command, only the new device-tracking commands are available on your device and the legacy commands are not supported.</t>
  </si>
  <si>
    <t>yes</t>
  </si>
  <si>
    <t>! The above command requires a response. The default answer is "yes" but we will just hard-input a "yes" as it is clearer to read here in the template</t>
  </si>
  <si>
    <t>device-tracking policy DT_trunk_policy</t>
  </si>
  <si>
    <t>! Create a device tracking custom policy that we will apply to our trunk ports in the Interfaces tab</t>
  </si>
  <si>
    <t xml:space="preserve"> trusted-port</t>
  </si>
  <si>
    <t>! Sets up a trusted port. Disables the guard on applicable targets. Bindings learned through a trusted port have preference over bindings learned through any other port. A trusted port is given preference in case of a collision while making an entry in the table.</t>
  </si>
  <si>
    <t xml:space="preserve"> device-role switch</t>
  </si>
  <si>
    <t>! Sets the role of the device attached to the port. It can be a node or a switch. In this case, we are using the "switch" option, which configures the attached device as a "switch," which is appropriate since we will be applying this device tracking custom policy to trunk ports.</t>
  </si>
  <si>
    <t xml:space="preserve"> no protocol udp</t>
  </si>
  <si>
    <t>! By default, all protocols are gleaned. Here we are saying we don't want to glean the UDP protocol. Remember that "glean" means the packet is sent to the CPU specifically to perform an ARP request.</t>
  </si>
  <si>
    <t>service nagle</t>
  </si>
  <si>
    <t>! Enables the Nagle algorithm which says you can only have 1 unacknowledged oustanding TCP message. Basically if you have an unacknowledged TCP message, the device should keep buffering input from the user into the next TCP segment. This is useful especially in Telnet sessions, where input from the user is typically 1 character at a time typed into the console. This would result in 1-byte of data and the usual 40-byte TCP header, which results in 41-bytes being sent for 1-byte of actual useful data. So this algorithm instructs the sending device that as long as it has an outstanding unacknowledted TCP segment, keep buffering input from the user into the next TCP segment you're going to send. This avoids sending individual characters per TCP segment (1-byte of data with 40 bytes of header)</t>
  </si>
  <si>
    <t>no service pad</t>
  </si>
  <si>
    <t>! Disables the Packet Assembler/Disassembler (PAD), which is only needed if you have X.25 links (X.25 was a suite of protocols used for packet-switched comms in WAN networks, implemented in the 1970's to carry voice over analog telephone lines ( dial-up networks) and used heavily in the 80's, then replaced by Frame Relay in the 90's.).</t>
  </si>
  <si>
    <t>no service tcp-small-servers</t>
  </si>
  <si>
    <t>! tcp-small-servers enables minor tcp services such as CHARGEN (character generation, which sends random characters back to the receiving host. Can be used to facilitate DoS attacks via replay of response), DAYTIME (sends back the current system date and time), DISCARD (service that simply discards received packets. Used for TCP and UDP code debugging as it is guaranteed to receive what is sent to it.), and ECHO (the receiver echos back an identical copy of the data it received. Was originally proposed for testing and measuring round-trip times in IP networks). Cisco security best practice is to disable this "small-server" service.</t>
  </si>
  <si>
    <t>no service udp-small-servers</t>
  </si>
  <si>
    <t>! Same as the tcp service above, but using UDP instead of TCP.</t>
  </si>
  <si>
    <t>no service finger</t>
  </si>
  <si>
    <t>! Finger (RFC 742) is a protocol that can be used to obtain information about users logged into a remote host or network device. Although it does not reveal any extremely sensitive information, it can be used by a potential attacker to gather information. Therefore Cisco recommends the service be disabled.</t>
  </si>
  <si>
    <t>no ip bootp server</t>
  </si>
  <si>
    <t>! BOOTP (RFC 951) is a protocol used in IP networks to auto-assign IP addresses to network devices from a configuration server (required a 1:1 mapping of MAC addresses and IP addresses, so was VERY difficult to manage). Since in modern-day we use DHCP instead (which doesn't need a 1:1 mapping of MAC address to IP), we can disable the BOOTP service.</t>
  </si>
  <si>
    <t>service tcp-keepalives-in</t>
  </si>
  <si>
    <t>! This service causes periodic generation of TCP keepalive messages, allowing the device to detect and drop broken TCP connections. This particular command generates keepalive packets on idle INCOMING connections (initiated by a remote host). Without this command, the far end has no way to know that a reboot or other connection loss has happened.</t>
  </si>
  <si>
    <t>service tcp-keepalives-out</t>
  </si>
  <si>
    <t>! This service causes periodic generation of TCP keepalive messages, allowing the device to detect and drop broken TCP connections. This particular command generates keepalive packets on idle OUTGOING connections (initiated by a user on the local network device). Without this command, the far end has no way to know that a reboot or other connection loss has happened.</t>
  </si>
  <si>
    <t>diagnostic bootup level minimal</t>
  </si>
  <si>
    <t>! Configures the bootup diagnostic level (triggers diagnostics when the device boots, i.e. the level of testing that occurs when the system or module is reset). The "minimal" option specifies minimal diagnostics.</t>
  </si>
  <si>
    <t>service timestamps debug datetime localtime msec</t>
  </si>
  <si>
    <t>! Configures IOS to timestamp debug messages. The "datetime" option means to time stamp with the date and time. The "localtime" option means to time stamp relative to the local time zone. The "msec" option means to include milliseconds in the date and time stamp.</t>
  </si>
  <si>
    <t>service timestamps log datetime localtime msec</t>
  </si>
  <si>
    <t>! Same as above, but for logging messages instead of debug messages.</t>
  </si>
  <si>
    <t>service password-encryption</t>
  </si>
  <si>
    <t>! The password-encryption service only affects plain-text passwords. Note that this does not affect any passwords configured with the "secret" keyword, as those are hashed with MD5. The password-encryption service uses a simple "replace" algorithm in accordance with a salt. To see how the algorithm works (it is quite simple), see this link: https://pen-testing.sans.org/resources/papers/gcih/cisco-ios-type-7-password-vulnerability-100566</t>
  </si>
  <si>
    <t>no setup express</t>
  </si>
  <si>
    <t>! disable the front button on a 3750/X to "reset" the switch</t>
  </si>
  <si>
    <t>no vstack</t>
  </si>
  <si>
    <t>! Disables the "smart install" feature. Smart Install can be used on certain models of switches (Cisco maintains a list here: https://community.cisco.com/t5/networking-documents/how-to-use-zero-touch-smartinstall/ta-p/3112248)</t>
  </si>
  <si>
    <t>! Sets the device host name. This value is also used when generating crypto keys (along with the value in the "ip domain-name" command).</t>
  </si>
  <si>
    <t>logging origin-id hostname</t>
  </si>
  <si>
    <t>! Adds an origin identifier to system logging messages sent to remote hosts (so you can tell where the log message came from). The "hostname" parameter specifies the hostname will be used as the message origin identifier.</t>
  </si>
  <si>
    <t>logging buffered 65536 debugging</t>
  </si>
  <si>
    <t>! Buffered logging uses the device's RAM to store log messages, instead of just displaying them on the console. The buffer of course has a fixed size, which you can configure. Old messages are deleted as new messages are added. Here, the buffer size (given in bytes) is 65536 bytes. The "debugging" argument is the name of the desired security level at which messages should be logged. Messages at or numerically lower then the specified level are logged. So debug messages are Level 7, so anything above Level 7 (Levels 1 - 6, which is basically everything) will get logged to the buffer.</t>
  </si>
  <si>
    <t>no logging console</t>
  </si>
  <si>
    <t>! Here we want to avoid sending log messages to the console terminal.</t>
  </si>
  <si>
    <t xml:space="preserve">logging file flash:logfile.txt 1000000 informational </t>
  </si>
  <si>
    <t>! Logs to a file in flash so Local logging can be reviewed after a crash or reboot.</t>
  </si>
  <si>
    <t>! Sets the vtp mode to transparent. (Fun fact, this resets the VTP Revision number to 0 on the switch, so this is a good idea to run anyway even if you wanted to run VTP, to avoid the classic VTP "blackout" situation where you plug in a new switch that happens to have a VTP revision number higher than existing switches, and you turn on VTP on that new switch and it's blank VLAN database overrides the other switches and removes all VLANS from your network). This command basically means we do not want to use VTP. The VLAN Trunking Protocol (VTP) is a way to centrally manage VLANs by creating a VTP domain and allowing devices configured to join that VTP domain to share VLAN database information to dynamically keep their VLAN databases up-to-date. The risks of this protocol (e.g. VTP Wipeout) far outweigh the benefits, so we disable the protocol.</t>
  </si>
  <si>
    <t>no enable password</t>
  </si>
  <si>
    <t>! Clears any passwords configured with the "password" command, which would store them in clear text, or at best they would be encrypted with the service-encryption cipher, which is extremely easy to crack (ask Kent Yeabower for a PowerShell script that does it).</t>
  </si>
  <si>
    <t>! Sets the enable secret</t>
  </si>
  <si>
    <t>! Sets a local username and secret. This is the recommended practice before configuring AAA.</t>
  </si>
  <si>
    <t>! Sets the default login method to be AAA. NOTE THAT THIS COMMAND IS NEEDED TO ENABLE THE NEW "TACACS SERVER" STYLE COMMANDS BELOW. With just this line configured, local authentication is immediately applied to all lines and interfaces (except console line "line con 0"). So, you would have to be authenticated using the local database of the router. (If doing this manually (not with this template), recommended to define a username and password on the device before running this command, and to save the configuration right before configuring AAA so that you can simply reload the device to recover from any lockouts.)
You will notice that if you look at the description of the "aaa new-model" command, it says that it enables "NEW" access control functions and disables "OLD" commands. What were the "OLD" commands then?
Well, instead of AAA, the "old" model has been called "just Authentication, with little Authorization and no real Accounting". "Historically older methods of AAA have revolved around line level passwords and secrets. This leveraged user-set passwords on the various access points around the router to stop someone from directly logging onto the device and making changes." So basically, you would set your password and/or username on the various lines/entry points on the router, which would provide Authentication, and you could set "privilege" levels for the users which gave a little Authorization. But remember this was all locally set on the router, not over the network.
When you run "aaa new-model", "this will turn the [AAA] engine on and immediately overwrite/remove all line-level passwords and old methods of authentication. With this in mind, if you lose connection to this router at any stage, you will not be able to get back on as there will be no rules to govern the "Auth" part of the AAA, and the default is to allow NO access unless configured to allow "no auth". (a simple reboot will however return you to the old setup as the command requires the usual saves)."
So, when you run aaa new-model, you will notice that any "login" commands will be removed from the VTY lines (any "password" commands will remain but will now be ignored). The Console line config should remain the same. I have heard that there is a theory that originally Cisco wrote the "aaa new-model" code to also apply to the Console line, but too many people were getting locked out of their routers so they backed it off. Not sure if this is true or if Cisco originally intended to exclude the Console line from "aaa new-model".
Basically, without "aaa new-model" the default for authentication  (on console and vty) is to use the line password. But when you enable "aaa new-model" then the default for authentication becomes local (i.e. username/password).
Also, in terms of Authorization, bear in mind, "when configuring "aaa new-model", authorization is NOT configured by default on newer IOS images. Therefore, when logging into a Cisco Router and/or Switch with a user account that has level 15 privileges, you will not automatically be placed into privileged (Exec) mode as you were in the older non-aaa "login local" Authentication method. To fix this, you'll need to add a AAA statement to specify console Authorization."
Sources:
https://networkengineering.stackexchange.com/questions/30037/what-was-the-aaa-old-model
https://community.cisco.com/t5/switching/after-enable-aaa-new-model-then-telnet-prompt-username-needed/td-p/2097209</t>
  </si>
  <si>
    <t>! Setting up the Authentication part of AAA for users who want exec access into the device. The command defines a named list of authentication methods (in this case we are using the default named list called "default" which is used when a named list is NOT specified in this command (so it's basically the "built-in" named list). This "default" list is applied everywhere by default when AAA is enabled (i.e. when you run "aaa new-model" above) and then defines a method for authentication. So basically this is a named "list of authentication methods." Here, we are saying the "default" behavior (i.e. the behavior of the "default authentication list") is to try TACACS+ first ("group tacacs+", which means to use the list of all tacacs+ hosts that you've defined elsewhere in the config), and if no response (i.e. an error occurs), try the local router database, and if no response, try the line authentication method. Note that the subsequent authentication method is tried ONLY if the previous method returns an ERROR, not if it fails.</t>
  </si>
  <si>
    <t>! Setting up the Authentication part of AAA for users who want exec access into the device. The command defines a named authentication list (in this case we are creating a named list called "NO-TACACS") and then saying the authentication method for that method list ("NO-TACACS") is line authentication. (Basically named method lists like "NO-TACACS" is just a way to group various combinations of authentication/authorization/accounting methods.) When you create a named method list, you are defining a particular list of methods for the indicated authentication/authorization/accounting type. Once a named list (e.g. "NO-TACACS") is created, it must be applied to a line or interface for it to come into effect (we will do this below on line console 0).</t>
  </si>
  <si>
    <t>! The "aaa authorization exec" command determines if the user is allowed to run an EXEC shell. Exec authorization is only carried out over vty and tty lines. Here, we're saying the "default" behavior (i.e. we're using the "default" named list which is applied everywhere by default, so it's basically the "built-in" named list) is that all users must be authenticated with TACACS+ for an EXEC shell. The "if-authenticated" part of the command is another authorization method (like group tacacs, local, group radius, etc.), which says that after the initial authentication, if the "authorization" piece fails between the device (router/switch) and the TACACS+ server, the device will go ahead and say the user is "authorized" because they were previously authenticated. Otherwise, without the "if-authenticated" authorization method, if the authentication was successful and the "authorization" part failed between the device and the TACACS+ server, the login as a whole would fail. Also note that the "if-authenticated" method is a terminating method (i.e. any authorization methods listed after it will never be evaluated). For authorization using TACACS+, the router/switch exchanges authorization information with the TACACS+ security daemon. TACACS+ authorization defines specific rights for users by associating attribute-value (AV) pairs, which are stored in a database on the TACACS+ security server, with the appropriate user. Also, see above for explanation on the "group tacacs+" keywords.
The info in the below NOTE is confirmed with AAA debug messages.
NOTE: The "if-authenticated" piece of the command does not give the user their stated privilege level in the "username" command above. So if you had configured something like "username PLAYER1 privilege 15 secret CISCO" , you would need to use the "local" keyword in the Authentication command so that the device will look in the local user database, where it would see your configured username and the associated Privilege level.
Without the "local" keyword, the "if-authenticated" part of the command simply allows the login to succeed but it does not make the device look at the local user store, which means no Privilege level is loaded for the user, so the device default to the lowest Privilege level, which is 0. So, you would start at the "switch&gt;" prompt and have to run the "enable" command and enter the enable password to get into Enable mode (which the AAA/MEMORY process would run "free_user" on your privilege 0 user, removing it from memory, and then immediately run "create_user" on your same userid which creates a new "user" object in memory but this time with a new Privilege level of 15. Note that it seems like it doesn't matter what your configured Privilege level is as long as you know the Enable password.).
Another fun fact: when you are logging into the console, there is of course no username associated with that login. However, when you run the "enable" command via the console, the AAA/MEMORY process runs "create_user" and creates a user called "NULL" with Privilege level 15 in memory, and then once you enter the enable password, AAA/MEMORY runs "free_user" and removes that "NULL" user from memory, so you are again back to the "blank" user that you used when initially logging in via the console.</t>
  </si>
  <si>
    <t>! By default, there are three command levels on the router:
Privilege Level 0 (includes the disable, enable, exit, help, and logout commands)
Privilege Level 1 (includes all "user"-level commands at the router&gt; or switch&gt; prompt
Privilege Level 15 (includes all direct "enable"-level commands at the router# or switch# prompt (i.e. any commands that you would run directly from the router# or switch# prompt. NOTE that this does not include commands at another level of enable mode, i.e. "configuration" commands as that would be from the router(config)# or switch(config)# prompt, not the direct "enable"-level prompt. If you wanted to perform authorization for configuration commands, you would use "aaa authorization config-commands" but we specifically do not do this. So, when you are troubleshooting a device where tacacs is not working, it is beneficial to run your "show" commands from the "config" prompt as you will not have to wait for the tacacs timeout for every command (i.e. run "conf t" and then run "do show" for any show commands).
We define the levels in 3 separate commands here, so that users are authorized in increasing levels starting at the lowest level and working upward. The "default" named list is used (basically the "built-in" named list), and TACACS+ authorization is tried first (See above for "group tacacs+" explanation), and if no response, local authorization is tried, and if no response, the "none" authorization method indicates that no authorization is performed, i.e. the authorization attempt is considered a failure.</t>
  </si>
  <si>
    <t>! The AAA accounting feature enables you to track the services that users are accessing and the amount of network resources that they are consuming. Specifically, EXEC accounting provides information about user EXEC terminal sessions on the router/switch, such as session time, and start and stop time. This is setup using the same principles as authentication and authorization. So here, we're saying the "default" behavior (i.e. we're using the "default" named list which is applied everywhere by default, so it's basically the "built-in" named list) is to authenticate the user using TACACS+ only, with no backup method. Also, the "start-stop" part of the command means to send accounting information to the AAA server once the user is authenticated, and also after the user disconnects (as opposed to the "stop" keyword which would only send the accounting information to the AAA server after the user disconnects). See above for explanation on the "group tacacs+" keywords.</t>
  </si>
  <si>
    <t>! This is the same as the "authorization commands" above, but for accounting purposes. Thus, accounting messages are sent for the corresponding privilege level commands. Just as with the above "authorization commands," we start at the lowest privilege level and work upwards. Also, here TACACS+ is the only accounting method used, and the "Start-stop" keyword is used (meaning accounting information is sent to the AAA server once the user is authenticated, and also after the user disconnects (as opposed to the "stop" keyword which would only send the accounting information to the AAA server after the user disconnects)). See above for en explanation on the "group tacacs+" keywords.</t>
  </si>
  <si>
    <t>! This is the same as the "authorization commands" above, but for accounting purposes. Thus, accounting messages are sent for the corresponding privilege level commands. Just as with the above "authorization commands," we start at the lowest privilege level and work upwards. Also, here TACACS+ is the only accounting method used, and the "Start-stop" keyword is used (meaning accounting information is sent to the AAA server once the user is authenticated, and also after the user disconnects (as opposed to the "stop" keyword which would only send the accounting information to the AAA server after the user disconnects)). See above for en explanation on the "default" and "group tacacs+" keywords.</t>
  </si>
  <si>
    <t>time parameters from pick list</t>
  </si>
  <si>
    <t>time parameters from pick list - some routers use this syntax</t>
  </si>
  <si>
    <t>system mtu routing 1500</t>
  </si>
  <si>
    <t>! Changes the system MTU specifically for routed ports. The system routing MTU is the Maximum Transmission Unit for routed packets and is also the Maximum Transmission Unit that the switch advertises in routing updates for protocols such as OSPF.</t>
  </si>
  <si>
    <t>ip classless</t>
  </si>
  <si>
    <t>! Tells IOS to use classless routing, which has been the default since the late 90's. It tells IOS to check the routing table and use longest prefix matching to find the best match. If you don't have a best match, then use the default route if you have one. The other method is called "classful routing" where the IP routing is based on the classic address classes and subnet masks for Classes A, B, and C.</t>
  </si>
  <si>
    <t>ip subnet-zero</t>
  </si>
  <si>
    <t>! Tells IOS you can use the "all zeroes" subnet in a particular subnet range. For example, if you had subnet 10.0.0.0/16, normally you would not be allowed to use the 10.0 subnet as it is the "zero" subnet for that range (basically the subnet ID). The ip subnet-zero command allows us to use the "zero" subnet in a particular subnet range. This command should be default in IOS today, but it is good to include it anyway.</t>
  </si>
  <si>
    <t>no ip source-route</t>
  </si>
  <si>
    <t>! Source-routing is an IP option that lets a packet specify the route it should take to its destination, instead of letting the intermediate gateways determine the route. This is a potential security risk and is why we disable it.</t>
  </si>
  <si>
    <t>no ip finger</t>
  </si>
  <si>
    <t>! IP Finger is the newer version of the "service finger" command from above. We go ahead and run the "no" version of both commands to disable the finger service.</t>
  </si>
  <si>
    <t>ip ssh dscp 16</t>
  </si>
  <si>
    <t>! Specifies the DSCP marking that can be set for a Secure Shell (SSH) configuration.</t>
  </si>
  <si>
    <t>! Specifies the source interface for TFTP traffic.</t>
  </si>
  <si>
    <t>! Specifies the source interface for FTP traffic.</t>
  </si>
  <si>
    <t>! Specifies the source interface for SSH traffic. Per the Cisco.com forums, this controls sessions *initiated* from the switch/router. It does not change how you SSH into the switch/router.</t>
  </si>
  <si>
    <t>! Specifies the primary DNS server for name lookups</t>
  </si>
  <si>
    <t>! Specifies the secondary DNS server for name lookups</t>
  </si>
  <si>
    <t>! Specifies the tertiary DNS server for name lookups</t>
  </si>
  <si>
    <t>ip domain timeout 1</t>
  </si>
  <si>
    <t>! Sets the DNS timeout to 1 second, so any DNS queries will timeout after 1 second of no response.</t>
  </si>
  <si>
    <t>ip domain-lookup</t>
  </si>
  <si>
    <t>! Enables the DNS lookup feature (basically enables DNS).</t>
  </si>
  <si>
    <t>ip domain-list conocophillips.net</t>
  </si>
  <si>
    <t>! Adds an entry to the DNS suffix list. The suffix list is tried first in a name lookup, i.e. entries in the suffix list will be appended to the DNS query first, then if unresolved, the original DNS query will be attempted as is.</t>
  </si>
  <si>
    <t>ip domain-list conoco.net</t>
  </si>
  <si>
    <t>! Specifies the source interface for DNS name lookups.</t>
  </si>
  <si>
    <t>ip domain-name cop.net</t>
  </si>
  <si>
    <t>! needed for ssh. This command (along with the hostname command) is used in generating crypto keys. In testing with WireShark in EVE-NG, IF there are no domain-list commands configured, then this value is also used as a DNS suffix for DNS name lookups. If any domain-list commands are configured, they are used as DNS suffixes and this value is not used as a suffix for any DNS name lookups.</t>
  </si>
  <si>
    <t>ip domain lookup</t>
  </si>
  <si>
    <t>! Same as the "domain" commands just above, but without the "-" for newer code levels</t>
  </si>
  <si>
    <t>ip domain list conocophillips.net</t>
  </si>
  <si>
    <t>ip domain list conoco.net</t>
  </si>
  <si>
    <t>ip domain name cop.net</t>
  </si>
  <si>
    <t>cdp run</t>
  </si>
  <si>
    <t>! Enable the Cisco Discovery Protocol (CDP) globally. This differs from the "cdp enable" command, which is used on individual interfaces. The CDP protocol is enabled globally by default.</t>
  </si>
  <si>
    <t>lldp run</t>
  </si>
  <si>
    <t>! Enable the Link Layer Discovery Protocol (LLDP) globally. This is similar to CDP but is an IEEE standard (802.1AB), and thus is not proprietary to Cisco and provides interoperability between Cisco and non-Cisco devices for neighbor discovery. The LLDP protocol is enabled by default.</t>
  </si>
  <si>
    <t>! Specifies the source interface for TACACS+ packets.</t>
  </si>
  <si>
    <t>no ip http server</t>
  </si>
  <si>
    <t>! Disables the HTTP server on the device, which includes the Cisco web browser user interface.</t>
  </si>
  <si>
    <t>no ip http secure-server</t>
  </si>
  <si>
    <t>! Disables the HTTPS server on the device, which includes the Cisco web browser user interface.</t>
  </si>
  <si>
    <t>logging trap notifications</t>
  </si>
  <si>
    <t>! Limits messages logged to the syslog servers based on severity (in this case, the "notification" severity, which is Level 5 on a scale of 0-7). So any messages from levels 0-5 will be logged to the syslog servers.</t>
  </si>
  <si>
    <t>! Specifies the source interface for system logging packets</t>
  </si>
  <si>
    <t>! Specifies the IP address of a syslog server to send log messages to. This command uses the default syslog port UDP 514, while the newer "logging host" command allows you to specify a custom port if required.</t>
  </si>
  <si>
    <t>! DMZ - Specifies the IP address of a syslog server to send log messages to. This command uses the default syslog port UDP 514, while the newer "logging host" command allows you to specify a custom port if required.</t>
  </si>
  <si>
    <t>ip device tracking probe delay 10</t>
  </si>
  <si>
    <t>! errors with devices booting - added 6/18/15. Note that in IOS_XE version 16.X and above (I think around 16.3.7), this "probe delay" value is set to 10 by default and cannot be changed (the commands are not even available anymore as the IPDT feature has moved to SISF-based Device-Tracking starting in 16.3.7).   The purpose of IP Device Tracking (IPDT) is for the switch to obtain and maintain a list of devices that are connected to the switch via an IP address. To do this, it sends unicast ARP probes with a default interval of 30 seconds; these probes are sent to the MAC address of the host connected on the other side of the link, and use the MAC address of the egress interface as the source L2 address, and a sender IP (L3) address of 0.0.0.0 (per RFC 5227, so we don't pollute ARP caches if the address turns out to already be used. We won't pollute ARP caches because the ARP Probe is sent with a Source IP of 0.0.0.0, and a Destination MAC of 00:00:00:00:00:00 , and since no mapping between a MAC and an IP can occur when one of them is all 0's, both the Source IP and MAC and Destination IP and MAC cannot be mapped to each other in an ARP table by any remote devices. Since the Source IP is set to all 0's, it cannot map to the Source MAC address, and since the Destination MAC address is all 0's , it cannot be mapped to the Destination IP address). These ARP probes do not populate the tracking entry in the IPDT table on the switch; they are simply used in order to activate and maintain the entry in the table after it is learned through an ARP request/reply from the host. The issue is how these ARP Probes are used by hosts. Per RFC 5227 Section 2.1.1, an ARP Probe is used by a host to determine whether an IP Address is already in use. The host sends out an ARP Probe packet to the IP address they are wanting to use, and if no one replies, then they know the IP address is available for use. If someone replies with that address, then the host knows that IP Address is already in use (this is why the source IP of the ARP Probe is 0.0.0.0, so we don't pollute other devices' ARP caches with a bogus address that we haven't validated yet). However, per RFC 5227 Section 2.1.1, if during this period of ARP Probing, the host itself receives an ARP Probe where the "Target IP address" is the IP address that the host was probing for in the first place, then the host should treat this as an address conflict (i.e. a duplicate IP address conflict) and signal an error. Thus, if we left IPDT with default settings on the switch (ARP Probes sent every 30 seconds), we could cause inadvertent "duplicate address" conflicts with hosts, when no such conflict actually occurs. Thankfully, the RFC specifies a 10-second window for duplicate address detection (i.e. the host has 10 seconds to check for duplicate IP addresses), so if you enter the "ip device tracking probe delay 10" command, it does not allow the switch to send an ARP Probe for 10 seconds when it detects a link UP/flap, which minimizes the possibility to have the probe sent while the host on the other side of the link checks for duplicate IP addresses. Thus, the switch won't cause an inadvertent duplicate address detection on the host since it will wait 10 seconds for the host to finish its allotted time for duplicate address detection.  ALSO note that this ARP Probe is technically different from a Gratuitous ARP, since a Gratuitous ARP is MEANT to update all the ARP caches on the network, while an ARP Probe deliberately prevents updating of ARP caches to continue protecting against IP address conflicts.</t>
  </si>
  <si>
    <t xml:space="preserve">no ip forward-protocol udp domain </t>
  </si>
  <si>
    <t>! Enabling a helper address or UDP flooding on an interface causes the Cisco IOS software to forward certain broadcast/service packets to the specified helper ip address. There are 2 ways you can configure an ip helper. First, you would need to specify an ip address that you want to relay the certain broadcast messages to. You would use the "ip helper-address" command for this. Now by default, this command not only specifies the helper IP address, but also specifies 8 default types of UDP broadcasts that it will relay to that helper IP address (Time (37), TACACS (49), DNS (53), BOOTP/DHCP Server (67), BOOTP/DHCP Client (68), TFTP (69), NetBIOS name service (137), NetBIOS datagram service (138) ). Now, if you didn't want certain of those UDP broadcasts to be relayed to the helper, you can use the "ip forward-protocol" command, which also forwards the default 8 but you can run the "no" version of the command to remove certain types of UDP broadcasts. Also, with this "ip forward-protocol" command you can specify to forward a UDP broadcast that isn't in the list of 8 that are forwarded via the "ip helper-address" command (essentially the "ip forward-protocol" command in IOS allows an administrator to forward any UDP port in addition to the default 8 (so you can specify exactly which types of broadcast packets you would like to have forwarded), AND you can also remove any of the default 8 UDP broadcasts from the list of UDP broadcasts sent to the helper). So, in our design, we want to disable 6 out of the 8 UDP protocols that are forwarded by default, and just leave the DHCP server and DHCP client UDP ports to be forwarded to the helper. This particular command disables forwarding of DNS broadcasts (port 53)</t>
  </si>
  <si>
    <t xml:space="preserve">no ip forward-protocol udp netbios-dgm </t>
  </si>
  <si>
    <t>! Same as above, but for NetBIOS Datagram Server (port 138)</t>
  </si>
  <si>
    <t xml:space="preserve">no ip forward-protocol udp netbios-ns </t>
  </si>
  <si>
    <t>! Same as above, but for NetBIOS Name Server (port 137)</t>
  </si>
  <si>
    <t xml:space="preserve">no ip forward-protocol udp tacacs </t>
  </si>
  <si>
    <t>! Same as above, but for the TACACS service (port 49)</t>
  </si>
  <si>
    <t xml:space="preserve">no ip forward-protocol udp tftp </t>
  </si>
  <si>
    <t>! Same as above, but for TFTP (port 69)</t>
  </si>
  <si>
    <t xml:space="preserve">no ip forward-protocol udp time </t>
  </si>
  <si>
    <t>! Same as above, but for the Time service (port 37)</t>
  </si>
  <si>
    <t>mls qos</t>
  </si>
  <si>
    <t>! these line may be fail depending on platform (needed for MLS c3750, c3560, e.g)</t>
  </si>
  <si>
    <t>! these line may be fail depending on platform (4500/4900)</t>
  </si>
  <si>
    <t xml:space="preserve">Enable QoS and DSCP Trust </t>
  </si>
  <si>
    <t>Note: Cisco Catalyst 3650/3850/6800 use IOS MQC QoS (like router platforms)</t>
  </si>
  <si>
    <t>•</t>
  </si>
  <si>
    <t>QoS is enabled by default</t>
  </si>
  <si>
    <t xml:space="preserve">! snmp ro </t>
  </si>
  <si>
    <t>All wired ports trust at layer 2 and layer 3 by default</t>
  </si>
  <si>
    <t xml:space="preserve">! DMZ - snmp ro </t>
  </si>
  <si>
    <t>! SNMP RW</t>
  </si>
  <si>
    <t>! DMZ - SNMP RW</t>
  </si>
  <si>
    <t>ip access-list standard 88</t>
  </si>
  <si>
    <t>! This ACL 88 (barely used) is used by other devices when they need to use SNMP (like a non-Cisco device like Solarwinds or something like that needs to read SNMP on our switches/routers, we give them a separate SNMP RO string instead of our standard SNMP RO string, and then we tie that separate SNMP RO string to a separate ACL (so ACL 88 instead of ACL 66 which is our "standard" RO ACL). So we will set this ACL 88 by default to deny everything, and we can go back later on a per-device basis and add "permits" to/remove "denies" from this ACL as needed.</t>
  </si>
  <si>
    <t>deny any</t>
  </si>
  <si>
    <t>! Deny everything</t>
  </si>
  <si>
    <t>errdisable recovery cause all</t>
  </si>
  <si>
    <t>! The "errdisable recovery" command allows you to choose the type of errors that automatically reenable the ports after a specified amount of time (can use "show errdisable recovery" to see the default error-disable recovery state for all the possible conditions). The "all" keyword enables the timer to recover from all causes. Another nice feature of using "errdisable recovery" is that it lists general reasons that the ports have been put into the error-disable state, which you can see using the above "show errdisable recovery" command. Errdisable recovery is disabled by default in IOS (enabled by default in NX-OS).</t>
  </si>
  <si>
    <t>errdisable recovery interval 300</t>
  </si>
  <si>
    <t>! this is default. This is the timer used by the above "errdisable recovery" command. After each timer interval (in seconds), any errdisable ports will be enabled.</t>
  </si>
  <si>
    <t>! Sets the Spanning-Tree mode to Rapid PVST+</t>
  </si>
  <si>
    <t>spanning-tree portfast bpduguard default</t>
  </si>
  <si>
    <t>! Enables portfast and bpduguard by default (meaning it is applied to all interfaces by default)</t>
  </si>
  <si>
    <t>port-channel load-balance src-dst-ip</t>
  </si>
  <si>
    <t>! Default. Uses source and destination IP addresses for calculating load balancing on the port-channel.</t>
  </si>
  <si>
    <t>! Sets the SNMP community string for Read-Only access, and restricts incoming SNMP messages based on the referenced ACL (so only devices allowed by the ACL are able to use this particular Community String). If the assigned ACL allows the incoming request packet, SNMP processes the request. If the ACL denies the request, SNMP drops the request and sends a system message. Also, the first time an snmp-server global command is configured, IOS enables the SNMP agent.</t>
  </si>
  <si>
    <t>! Sets the SNMP community string for Read-Write access, and restricts incoming SNMP messages based on the referenced ACL (so only devices allowed by the ACL are able to use this particular Community String). If the assigned ACL allows the incoming request packet, SNMP processes the request. If the ACL denies the request, SNMP drops the request and sends a system message. Also, the first time an snmp-server global command is configured, IOS enables the SNMP agent.</t>
  </si>
  <si>
    <t>! Specifies the interface to use when sending SNMP Trap messages.</t>
  </si>
  <si>
    <t>! Sets the SNMP system location string</t>
  </si>
  <si>
    <t>snmp-server ifindex persist</t>
  </si>
  <si>
    <t>! Ifindex refers to the "interface index" which is a unique index number assigned to each interface. Normally these index numbers can change after a reboot, reload, etc. Thus, if a management application was polling a router's ifindex 3, which happened to be a Gigabit port, and then after a reboot the ifindex of 3 was assigned to the serial port on that router, the management application would end up monitoring the wrong port (it would have needed to be warned via a trap that the router rebooted). Thankfully, Cisco provides support for ifindex values to persist across reboots, which we enable here using the "snmp-server ifindex persist" command.</t>
  </si>
  <si>
    <t>snmp-server enable traps</t>
  </si>
  <si>
    <t>! Enables the router to send SNMP traps.</t>
  </si>
  <si>
    <t>snmp-server tftp-server-list 67</t>
  </si>
  <si>
    <t>! Controls the TFTP servers used via SNMP. This command was replaced with the "snmp-server file-transfer access-group" command in IOS 12.4(12) and later.</t>
  </si>
  <si>
    <t>snmp-server file-transfer access-group 67 protocol tftp</t>
  </si>
  <si>
    <t>! Newer version of the above command (some platforms like C9300 require this new format)</t>
  </si>
  <si>
    <t>! Specifies the recipient of an SNMP notification operation, along with the community string that is sent with the notification operation.</t>
  </si>
  <si>
    <t>! If Region Choice is "Norway" then add the SVG DNA Center box as an SNMP notification recipient</t>
  </si>
  <si>
    <t>! DMZ - Specifies the recipient of an SNMP notification operation, along with the community string that is sent with the notification operation.</t>
  </si>
  <si>
    <t>password encryption aes</t>
  </si>
  <si>
    <t>! We want to be able to use "type 6" passwords, which are stored as 128-bit AES. To start using these "type 6" passwords, we need to do 2 things: (1) enable the AES Password Encryption feature, and (2) configure a master encryption key to encrypt and decrypt passwords. This command takes care of Step 1. FYI, per Cisco's documentation, "After you enable AES password encryption and configure a master key, all the existing and newly created cleartext passwords for the supported applications are stored in type 6 encrypted format, unless you disable type 6 password encryption. You can also configure the device to convert all the existing weakly encrypted passwords to type 6 encrypted passwords."</t>
  </si>
  <si>
    <t>! Here we are taking care of Step 2 from above (configuring a master encryption key for encrypting and decrypting passwords).</t>
  </si>
  <si>
    <t>! NOTE THAT THE "AAA NEW-MODEL" COMMAND ABOVE MUST BE RAN FOR THE BELOW "TACACS SERVER" COMMANDS TO BE AVAILABLE. If the "aaa new-model" command is not ran, you will only see the older "tacacs-server" style commands.</t>
  </si>
  <si>
    <t>! Specifies the security protocol to use with AAA (TACACS+), as well as the server name of the host maintaining a TACACS+ server. The TACACS+ software searches for the hosts in the order specified, allowing us to set up a server list by preference.</t>
  </si>
  <si>
    <t>! Specifies the IP address of the entered TACACS server</t>
  </si>
  <si>
    <t>! Configures a TACACS+ shared secret key that is specific to this entered TACACS server. This key is used to authenticate the switch to this particular TACACS+ server.</t>
  </si>
  <si>
    <t>! FENCE TACACS</t>
  </si>
  <si>
    <t>tacacs-server directed-request</t>
  </si>
  <si>
    <t>! When doing TACACS authentication, by default the router will use the IP address which appears first in the configuration, and if that is not available, it will move down the list in like fashion. The "tacacs-server directed-request" command allows a user to specify a particular TACACS IP address for authentication, instead of using the first TACACS server listed in the configuration.</t>
  </si>
  <si>
    <t>banner exec ^</t>
  </si>
  <si>
    <t>! Define a banner to show the user after authentication</t>
  </si>
  <si>
    <t>***************************************</t>
  </si>
  <si>
    <t>Manufacturer: Cisco</t>
  </si>
  <si>
    <t>^</t>
  </si>
  <si>
    <t>banner login ^</t>
  </si>
  <si>
    <t>! Define a banner to show the user upon connecting to the router (this is shown to the user before they authenticate)</t>
  </si>
  <si>
    <t xml:space="preserve">                        W A R N I N G !!!!!!!</t>
  </si>
  <si>
    <t>This is a private computer system to be accessed and used for</t>
  </si>
  <si>
    <t>company business purposes.  All access to it must be specifically</t>
  </si>
  <si>
    <t>authorized. Unauthorized access or use of this system is prohibited</t>
  </si>
  <si>
    <t>and may expose you to liability under criminal and/or civil law.</t>
  </si>
  <si>
    <t>Unless provided for by a separate written agreement signed by the</t>
  </si>
  <si>
    <t>company, all information placed on this computer system is the</t>
  </si>
  <si>
    <t>property of the company. The company reserves the right to monitor,</t>
  </si>
  <si>
    <t>access, intercept, record, read, copy, capture and disclose all</t>
  </si>
  <si>
    <t>information received, sent through or stored in this computer</t>
  </si>
  <si>
    <t>system, without notice, for any purpose and at anytime.</t>
  </si>
  <si>
    <t>By accessing, using and continuing to use this system, you agree to</t>
  </si>
  <si>
    <t>these terms of use, as the company may modify from time to time; you</t>
  </si>
  <si>
    <t>agree to waive any right or expectation of privacy regarding this</t>
  </si>
  <si>
    <t>system or your use of it; and you further warrant that you have</t>
  </si>
  <si>
    <t>proper authorization to use this system.</t>
  </si>
  <si>
    <t xml:space="preserve">                 IF YOU DO NOT AGREE, LOG OFF NOW.</t>
  </si>
  <si>
    <t>line con 0</t>
  </si>
  <si>
    <t xml:space="preserve"> exec-timeout 30 0</t>
  </si>
  <si>
    <t>! Configure the inactive session timeout on the console port or the virtual terminal (format is minutes / seconds), i.e. how long the EXEC session will stay active once the user becomes idle.</t>
  </si>
  <si>
    <t>! Set a local line password</t>
  </si>
  <si>
    <t xml:space="preserve"> logging synchronous</t>
  </si>
  <si>
    <t>! Prevent logging output from immediately interrupting your console session</t>
  </si>
  <si>
    <r>
      <t xml:space="preserve"> login authentication </t>
    </r>
    <r>
      <rPr>
        <sz val="10"/>
        <color indexed="10"/>
        <rFont val="Arial"/>
        <family val="2"/>
      </rPr>
      <t>NO-TACACS</t>
    </r>
  </si>
  <si>
    <t>! Here we implement the authentiation named method list "NO-TACACS" that we defined above in the AAA section.</t>
  </si>
  <si>
    <t>exit</t>
  </si>
  <si>
    <t>line vty 0 4</t>
  </si>
  <si>
    <t xml:space="preserve"> session-timeout 30</t>
  </si>
  <si>
    <t>! Set the terminal inactivity timeout for the current session (format is minutes / seconds), i.e. how long the TCP connection will stay active once the user becomes idle.</t>
  </si>
  <si>
    <t xml:space="preserve"> transport input ssh</t>
  </si>
  <si>
    <t>! Prevent non-SSH connections to these vty lines (i.e. only allow SSH connections)</t>
  </si>
  <si>
    <t xml:space="preserve"> default escape-character</t>
  </si>
  <si>
    <t>! Define the character that terminates a running command to be the default character of Break (the default setting for Break is Ctrl-C)</t>
  </si>
  <si>
    <t xml:space="preserve"> exit</t>
  </si>
  <si>
    <t>line vty 5 15</t>
  </si>
  <si>
    <t>! Don't forget NTP and other config down below these extended VTY config lines!</t>
  </si>
  <si>
    <t>no ntp clock-period</t>
  </si>
  <si>
    <t>! Reset clock-period, regenerated automatically by IOS. NTP clock-period is a value that the router or switch calculates as it keeps track of the time from the server to which it has synced. The "ntp clock-period" command is added automatically to jump-start the NTP frequency compensation when the box is rebooted. The system automatically generates the "ntp clock-period" command as NTP determines the clock error and compensates. This is essentially a representation of the frequency of the crystal used as the local timebase, and may take several days to calculate otherwise. Basically, as NTP compensates for the error in the software clock, it keeps track of the correction factor for this error. When the value for the clock period needs to be adjusted, the system automatically enters the correct value into the running configuration (using the "ntp clock-period [value]" command). To remove the automatically generated value for the clock period, use the "no ntp clock-period" command, which will clear the current value (IOS will calculate a new value). This is a good way to force a clock refresh with NTP.</t>
  </si>
  <si>
    <t>! Specifies the source interface for NTP.</t>
  </si>
  <si>
    <t>! Defines the primary NTP server.</t>
  </si>
  <si>
    <t>! Defines a secondary NTP server.</t>
  </si>
  <si>
    <t>! Defines a tertiary NTP server</t>
  </si>
  <si>
    <t>! Defines a quaternary NTP server</t>
  </si>
  <si>
    <t>crypto key generate rsa</t>
  </si>
  <si>
    <t>! will not take until key is generated. Generates an RSA public/private key pair using the values of the "hostname" and "ip domain-name" commands from above. These keys are used by SSH. This command WILL NOT TAKE if the device has some kind of default hostname, e.g. "Router".</t>
  </si>
  <si>
    <t>! Set the size of the RSA key modulus</t>
  </si>
  <si>
    <t>ip ssh time-out 120</t>
  </si>
  <si>
    <t>! Configure how long (in seconds) the router/switch will wait at the SSH prompt for a valid username/password to be entered before closing the connection.</t>
  </si>
  <si>
    <t>ip ssh authentication-retries 3</t>
  </si>
  <si>
    <t>! Configure the number of password prompts provided to the user (the number of prompts is actually the value entered, plus one. So here, the user will receive 4 password prompts before the connection is closed).</t>
  </si>
  <si>
    <t>ip ssh version 2</t>
  </si>
  <si>
    <t>! Set the SSH version to Version 2</t>
  </si>
  <si>
    <t>! Many devices do not have an aux port - double-check your device before pasting</t>
  </si>
  <si>
    <t>line aux 0</t>
  </si>
  <si>
    <t>end</t>
  </si>
  <si>
    <t>! Green indicates the config is unique to this tab (Router (L3) Config)</t>
  </si>
  <si>
    <t>! Normally we only export netflow on L3 "core" switches/routers. Also consider whether the link back to the NetFlow Collector is a low bandwidth link, as we may not want to export NetFlow if that is the case. Also, if the site has a Silver Peak, check whether NetFlow is being exported on the Silver Peak, and if so, we probably don't need to export NetFlow from the core.</t>
  </si>
  <si>
    <t>no service config</t>
  </si>
  <si>
    <t>! Keeping the router from trying to load its configuration from over the network. The regular "service config" command is used when you want to implement remote configuration (i.e. have a router load a configuration file from a remote server), and it causes the router to first attempt to load a network file and then a host file. The router will try to load some generic file names by default from 255.255.255.255, so you have to also use "boot" commands to tell the router where to get the config file from. This "service config" option is disabled by default. However, if the router tries to boot but cannot find its startup configuration file, IOS will automatically enable this option to attempt to find a configuration file through the network.</t>
  </si>
  <si>
    <t>! Is weak encryption; use but do not rely on. The password-encryption service only affects plain-text passwords. Note that this does not affect any passwords configured with the "secret" keyword, as those are hashed with MD5. The password-encryption service uses a simple "replace" algorithm in accordance with a salt. To see how the algorithm works (it is quite simple), see this link: https://pen-testing.sans.org/resources/papers/gcih/cisco-ios-type-7-password-vulnerability-100566</t>
  </si>
  <si>
    <t>no ip pim autorp listener</t>
  </si>
  <si>
    <t>! AutoRP automates the distribution of group-to-rendezvous point (RP) mappings in a PIM (Protocol Independent Multicast) network. To make AutoRP work, a device must be designated as an RP mapping agent, which receives the RP announcement messages from the RP's and arbitrates conflict. The RP mapping agent then sends the consistent group-to-RP mappings to all other devices by way of dense mode flooding. Using this dense mode flooding, all routers automatically discover which RP to use for the groups they support (AutoRP uses 224.0.1.39 and 224.0.1.40 , which have been assigned by the IANA). The "ip pim autorp listener" command causes IP multicast traffic for the two AutoRP groups 224.0.1.39 and 224.0.1.40 to be PIM dense mode flooded across interfaces operating in PIM sparse mode. This command is not needed when configuring sparse-dense mode (which we do on the Interfaces tab if multicast is required), so here we run the "no ip pim autorp listener" command to remove any AutoRP listener configuration.</t>
  </si>
  <si>
    <t>! On very small or old devices check that there is enough free memory with show proc mem.
Note that although the buffer will contain many lines IOS allows only the recent entries to be shown with such as "show log | begin Jun 10". Remember to use two spaces for dates with one digit, e.g. Jun&lt;sp&gt;&lt;sp&gt;9. Buffered logging uses the device's RAM to store log messages, instead of just displaying them on the console. The buffer of course has a fixed size, which you can configure. Old messages are deleted as new messages are added. Here, the buffer size (given in bytes) is 65536 bytes. The "debugging" argument is the name of the desired security level at which messages should be logged. Messages at or numerically lower then the specified level are logged. So debug messages are Level 7, so anything above Level 7 (Levels 1 - 6, which is basically everything) will get logged to the buffer.</t>
  </si>
  <si>
    <t>60000?</t>
  </si>
  <si>
    <t>! Prevents default logging to line con 0. Here we want to avoid sending log messages to the console terminal.</t>
  </si>
  <si>
    <t>logging persistent size 1000000</t>
  </si>
  <si>
    <t>! Logs to a file in flash so Local logging can be reviewed after a crash or reboot. Typically, logging messages (warnings, error and/or debugs etc.) are stored in a router's memory buffer (DRAM); when the buffer is full, older messages are overwritten by new messages. This poses an issue when trying to capture debugs for an intermittent issue, or during high traffic. Huge buffer size configuration can't always help as the buffer can get filled and overwritten quickly during verbose debugging. Using persistent logging allows IOS to write logged messages to file(s) on the router's flash disk. The advantage of this is that, unlike memory buffer (DRAM) contents, these files persist when the router reboots (DRAM contents are erased during a reboot.)</t>
  </si>
  <si>
    <t>! Enable password is overridden by secret password and is not securely stored so should be removed. Clears any passwords configured with the "password" command, which would store them in clear text, or at best they would be encrypted with the service-encryption cipher, which is extremely easy to crack (ask Kent Yeabower for a PowerShell script that does it).</t>
  </si>
  <si>
    <t>! Use the more secure "enable secret" rather than "enable password"</t>
  </si>
  <si>
    <t>! Setting up the Authentication part of AAA for users who want exec access into the device. The command defines a named list of authentication methods (in this case we are using the default named list called "default" which is used when a named list is NOT specified in this command. This "default" list is applied everywhere by default when AAA is enabled (i.e. when you run "aaa new-model" above) and then defines a method for authentication. So basically this is a named "list of authentication methods." Here, we are saying the "default" behavior (i.e. the behavior of the "default authentication list") is to try TACACS+ first ("group tacacs+", which means to use the list of all tacacs+ hosts that you've defined elsewhere in the config), and if no response (i.e. an error occurs), try the local router database, and if no response, try the line authentication method. Note that the subsequent authentication method is tried ONLY if the previous method returns an ERROR, not if it fails.</t>
  </si>
  <si>
    <t>Use upper-case with dashes going forward for labels</t>
  </si>
  <si>
    <t>! The "aaa authorization exec" command determines if the user is allowed to run an EXEC shell. Exec authorization is only carried out over vty and tty lines. Here, we're saying the "default" behavior (i.e. we're using the "default" named list which is applied everywhere by default) is that all users must be authenticated with TACACS+ for an EXEC shell. The "if-authenticated" part of the command is another authorization method (like group tacacs, local, group radius, etc.), which says that after the initial authentication, if the "authorization" piece fails between the device (router/switch) and the TACACS+ server, the device will go ahead and say the user is "authorized" because they were previously authenticated. Otherwise, without the "if-authenticated" authorization method, if the authentication was successful and the "authorization" part failed between the device and the TACACS+ server, the login as a whole would fail. Also note that the "if-authenticated" method is a terminating method (i.e. any authorization methods listed after it will never be evaluated). For authorization using TACACS+, the router/switch exchanges authorization information with the TACACS+ security daemon. TACACS+ authorization defines specific rights for users by associating attribute-value (AV) pairs, which are stored in a database on the TACACS+ security server, with the appropriate user. Also, see above for explanation on the "group tacacs+" keywords.
The info in the below NOTE is confirmed with AAA debug messages.
NOTE: The "if-authenticated" piece of the command does not give the user their stated privilege level in the "username" command above. So if you had configured something like "username PLAYER1 privilege 15 secret CISCO" , you would need to use the "local" keyword in the Authentication command so that the device will look in the local user database, where it would see your configured username and the associated Privilege level.
Without the "local" keyword, the "if-authenticated" part of the command simply allows the login to succeed but it does not make the device look at the local user store, which means no Privilege level is loaded for the user, so the device default to the lowest Privilege level, which is 0. So, you would start at the "switch&gt;" prompt and have to run the "enable" command and enter the enable password to get into Enable mode (which the AAA/MEMORY process would run "free_user" on your privilege 0 user, removing it from memory, and then immediately run "create_user" on your same userid which creates a new "user" object in memory but this time with a new Privilege level of 15. Note that it seems like it doesn't matter what your configured Privilege level is as long as you know the Enable password.).
Another fun fact: when you are logging into the console, there is of course no username associated with that login. However, when you run the "enable" command via the console, the AAA/MEMORY process runs "create_user" and creates a user called "NULL" with Privilege level 15 in memory, and then once you enter the enable password, AAA/MEMORY runs "free_user" and removes that "NULL" user from memory, so you are again back to the "blank" user that you used when initially logging in via the console.</t>
  </si>
  <si>
    <t>! By default, there are three command levels on the router:
Privilege Level 0 (includes the disable, enable, exit, help, and logout commands)
Privilege Level 1 (includes all "user"-level commands at the router&gt; or switch&gt; prompt
Privilege Level 15 (includes all direct "enable"-level commands at the router# or switch# prompt (i.e. any commands that you would run directly from the router# or switch# prompt. NOTE that this does not include commands at another level of enable mode, i.e. "configuration" commands as that would be from the router(config)# or switch(config)# prompt, not the direct "enable"-level prompt. If you wanted to perform authorization for configuration commands, you would use "aaa authorization config-commands" but we specifically do not do this. So, when you are troubleshooting a device where tacacs is not working, it is beneficial to run your "show" commands from the "config" prompt as you will not have to wait for the tacacs timeout for every command (i.e. run "conf t" and then run "do show" for any show commands).
We define the levels in 3 separate commands here, so that users are authorized in increasing levels starting at the lowest level and working upward. The "default" named list is used, and TACACS+ authorization is tried first (See above for "group tacacs+" explanation), and if no response, local authorization is tried, and if no response, the "none" authorization method indicates that no authorization is performed, i.e. the authorization attempt is considered a failure.</t>
  </si>
  <si>
    <t>! The AAA accounting feature enables you to track the services that users are accessing and the amount of network resources that they are consuming. Specifically, EXEC accounting provides information about user EXEC terminal sessions on the router/switch, such as session time, and start and stop time. This is setup using the same principles as authentication and authorization. So here, we're saying the "default" behavior (i.e. we're using the "default" named list which is applied everywhere by default) is to authenticate the user using TACACS+ only, with no backup method. Also, the "start-stop" part of the command means to send accounting information to the AAA server once the user is authenticated, and also after the user disconnects (as opposed to the "stop" keyword which would only send the accounting information to the AAA server after the user disconnects). See above for explanation on the "group tacacs+" keywords.</t>
  </si>
  <si>
    <t>ip routing protocol purge interface</t>
  </si>
  <si>
    <t>! Default, but good to have here anyway. Basically allows intelligent purging of the Routing Table when an interface event happens (e.g. an interface goes down). The "ip routing protocol purge interface" command allows the Routing Information Base (RIB) to ignore interface events for protocols that can respond to interface failures, thus eliminating any unnecessary deletion by the RIB. This in turn results in a single modify event to the Cisco Express Forwarding plane. If the "no ip routing protocol purge interface" command is executed and a link goes down, the RIB process is automatically triggered to delete all prefixes that have the next hop on this interface from the RIB. The protocols on all the routers are notified, and if there is a secondary path, the protocols will update the RIB with the new path. When the process works through a large routing table, the process can consume many CPU cycles and increase the convergence time.</t>
  </si>
  <si>
    <t xml:space="preserve">ip tcp path-mtu-discovery </t>
  </si>
  <si>
    <t>! Enables Path MTU Discovery (PMTUD). Path MTU Discovery is a method for maximizing the use of the available bandwidth in the network between endpoints of a TCP connection, which is described in RFC 1191. IP Path MTU Discovery allows a host to dynamically discover and cope with differences in the maximum allowable maximum transmission unit (MTU) size of the various links along the path. Sometimes a device is unable to forward a datagram because it requires fragmentation (the packet is larger than the MTU that you set for the interface with the interface configuration command), but the “do not fragment” (DF) bit is set. The intermediate gateway sends a “Fragmentation needed and DF bit set” Internet Control Message Protocol (ICMP) message to the sending host, alerting the host to the problem. On receiving this message, the host reduces its assumed path MTU and consequently sends a smaller packet that will fit the smallest packet size of all links along the path.</t>
  </si>
  <si>
    <t>! If multicast routing is required (the Parameters tab of this spreadsheet), this would populate with the "ip multicast-routing" command, which globally enables IP multicast routing on the device.</t>
  </si>
  <si>
    <t>! depending on region this may show "!" for rp address and will fail when you try to paste.  You may have to manually enter your rp if needed. This command configures a PIM static Rendezvous Point (RP) address for a multicast group range. With the "override" parameter, the RP address overrides any dynamically learned RP addresses.</t>
  </si>
  <si>
    <t>! cop.net and not conocophillips.net to make cdp neighbor shorter. This command is also needed for ssh. This command (along with the hostname command) is used in generating crypto keys. In testing with WireShark in EVE-NG, IF there are no domain-list commands configured, then this value is also used as a DNS suffix for DNS name lookups. If any domain-list commands are configured, they are used as DNS suffixes and this value is not used as a suffix for any DNS name lookups.</t>
  </si>
  <si>
    <t>! Default cmd. Note: CDP should be explicitly disabled on external-facing interfaces (intfs-cmd: no cdp enable). This particular command enables the Cisco Discovery Protocol (CDP) globally. This differs from the "cdp enable" command, which is used on individual interfaces. The CDP protocol is enabled globally by default.</t>
  </si>
  <si>
    <t>! Note: LLDP should be explicitly disabled on external-facing interfaces (intfs-cmd: no lldp enable). This particular command enables the Link Layer Discovery Protocol (LLDP) globally. This is similar to CDP but is an IEEE standard (802.1AB), and thus is not proprietary to Cisco and provides interoperability between Cisco and non-Cisco devices for neighbor discovery. The LLDP protocol is enabled by default.</t>
  </si>
  <si>
    <t>! Don't syslog the debug messages, only informational and above. Limits messages logged to the syslog servers based on severity (in this case, the "notification" severity, which is Level 5 on a scale of 0-7). So any messages from levels 0-5 will be logged to the syslog servers.</t>
  </si>
  <si>
    <t>! Adds an origin identifier to system logging messages that are sent to remote hosts. Here, we are specifying that the hostname will be used as the message origin identifier.</t>
  </si>
  <si>
    <t>snmp ifmib ifindex persist</t>
  </si>
  <si>
    <t>! This command globally enables ifIndex (interface index) values to persist across reboots. This command does not override an interface-specific configuration. The term Ifindex refers to the "interface index" which is a unique index number assigned to each interface. Normally these index numbers can change after a reboot, reload, etc. Thus, if a management application was polling a router's ifindex 3, which happened to be a Gigabit port, and then after a reboot the ifindex of 3 was assigned to the serial port on that router, the management application would end up monitoring the wrong port (it would have needed to be warned via a trap that the router rebooted). Thankfully, Cisco provides support for ifindex values to persist across reboots. This "snmp ifmib ifindex persist" command enables ifindex persistence for all interfaces on a routing device by using the ifDescr and ifIndex entries in the ifIndex table of interface MIB (IF-MIB). (Again, any interface specific configuration using the separate "snmp-server ifindex persist" command will override this global command).</t>
  </si>
  <si>
    <t>! SNMP IfIndex OID preservation when rebooted. Ignore if IOS doesn't support it. The term Ifindex refers to the "interface index" which is a unique index number assigned to each interface. Normally these index numbers can change after a reboot, reload, etc. Thus, if a management application was polling a router's ifindex 3, which happened to be a Gigabit port, and then after a reboot the ifindex of 3 was assigned to the serial port on that router, the management application would end up monitoring the wrong port (it would have needed to be warned via a trap that the router rebooted). Thankfully, Cisco provides support for ifindex values to persist across reboots. This command is used to enable ifindex persistence on a specific interface or servicve instance, as opposed to the above "snmp ifmib ifindex persist" command, which globally enables ifindex persistence.</t>
  </si>
  <si>
    <t>snmp-server enable traps snmp</t>
  </si>
  <si>
    <t>! Specific traps may vary</t>
  </si>
  <si>
    <t>snmp-server enable traps entity</t>
  </si>
  <si>
    <t>snmp-server enable traps envmon</t>
  </si>
  <si>
    <t>snmp-server enable traps bgp</t>
  </si>
  <si>
    <t>! bgp trap</t>
  </si>
  <si>
    <t>! Note, "With tacacs-server directed-request enabled, only configured TACACS+ servers can be specified by the user after the "@" symbol. If the host name specified by the user does not match the IP address of a TACACS+ server configured by the administrator, the user input is rejected. " When doing TACACS authentication, by default the router will use the IP address which appears first in the configuration, and if that is not available, it will move down the list in like fashion. The "tacacs-server directed-request" command allows a user to specify a particular TACACS IP address for authentication, instead of using the first TACACS server listed in the configuration.</t>
  </si>
  <si>
    <t>! Applies to all devices</t>
  </si>
  <si>
    <t>! Applies to most other devices</t>
  </si>
  <si>
    <t>! Only apply to new devicves. Prevents non-SSH connections to these vty lines (i.e. only allow SSH connections)</t>
  </si>
  <si>
    <t>! To remove some non-standard escape characters such as BREAK which not all keyboards/PCs will generate; check IOS will support. This command defines the character that terminates a running command to be the default character of Break (the default setting for Break is Ctrl-C)</t>
  </si>
  <si>
    <t>ntp update-calendar</t>
  </si>
  <si>
    <t>! For hardware that supports. Used if a routing device is synchronized to an outside time source via NTP and you want the hardware clock to be synchronized to NTP time.</t>
  </si>
  <si>
    <t>! these line may be interactive and may replace an existing cert. This command generates an RSA public/private key pair using the values of the "hostname" and "ip domain-name" commands from above. These keys are used by SSH. This command will not take if the device has some kind of default hostname, e.g. "Router".</t>
  </si>
  <si>
    <t>! these line may be interactive and may replace an existing cert. This command sets the size of the RSA key modulus.</t>
  </si>
  <si>
    <t>! these line may be interactive and may replace an existing cert</t>
  </si>
  <si>
    <t>! Will not take until key is generated. Configures how long (in seconds) the router/switch will wait at the SSH prompt for a valid username/password to be entered before closing the connection.</t>
  </si>
  <si>
    <t>! Will not take until key is generated. Configures the number of password prompts provided to the user (the number of prompts is actually the value entered, plus one. So here, the user will receive 4 password prompts before the connection is closed).</t>
  </si>
  <si>
    <t>! Will not take until key is generated. Sets the SSH version to Version 2.</t>
  </si>
  <si>
    <t>removed feature telnet</t>
  </si>
  <si>
    <t>feature tacacs+</t>
  </si>
  <si>
    <t>! Enables TACACS+. We must enable this feature to set up AAA below.</t>
  </si>
  <si>
    <t>cfs ipv4 distribute</t>
  </si>
  <si>
    <t>this may error out</t>
  </si>
  <si>
    <t>! Cisco Fabric Services (CFS) is a Cisco proprietary feature that distributes data, including configuration changes, to all Cisco NX-OS devices in a network. You can use CFS to distribute and synchronize a configuration on one Cisco devicev or with all other Cisco devices in your network. CFS supports several types of distribution, such as CFS over Ethernet (CFSoE) and CFS over IP (CFSoIP). This command globally enables CFS distribution over IPv4 for all applications on the device.</t>
  </si>
  <si>
    <t>cfs eth distribute</t>
  </si>
  <si>
    <t>! Cisco Fabric Services (CFS) is a Cisco proprietary feature that distributes data, including configuration changes, to all Cisco NX-OS devices in a network. You can use CFS to distribute and synchronize a configuration on one Cisco devicev or with all other Cisco devices in your network. CFS supports several types of distribution, such as CFS over Ethernet (CFSoE) and CFS over IP (CFSoIP). This command globally enables CFS distribution over Ethernet for all applications on the device.</t>
  </si>
  <si>
    <t>feature interface-vlan</t>
  </si>
  <si>
    <t>! Enables the creation of VLAN interfaces.</t>
  </si>
  <si>
    <t>feature lacp</t>
  </si>
  <si>
    <t>! Enables LACP on the switch. Link Aggregation Control Protocol (LACP) is an IEEE protocol for dynamically negotiating/creating port channels, as opposed to the Cisco-proprietary PaGP method.</t>
  </si>
  <si>
    <t>feature vpc</t>
  </si>
  <si>
    <t>! Enables the vCP (virtual Port Channel) feature. A virtual PortChannel allows links that are physically connected to two different Cisco Nexus devices to appear as a single PortChannel to a third device (such as a Nexus 2000 (FEX)).</t>
  </si>
  <si>
    <t>no feature vtp</t>
  </si>
  <si>
    <t>! Disables the VTP feature. The VLAN Trunking Protocol (VTP) is a way to centrally manage VLANs by creating a VTP domain and allowing devices configured to join that VTP domain to share VLAN database information to dynamically keep their VLAN databases up-to-date. The risks of this protocol (e.g. VTP Wipeout) far outweigh the benefits, so we disable the protocol.</t>
  </si>
  <si>
    <t>feature lldp</t>
  </si>
  <si>
    <t>this will error out on a N5k</t>
  </si>
  <si>
    <t>! Enables LLDP. The Link Layer Discovery Protocol (LLDP) is a vendor-neutral device discovery protocol defined by the IEEE, as opposed to the Cisco-proprietary CDP method. LLDP is used to permit the discovery of non-Cisco devices.</t>
  </si>
  <si>
    <t>!no feature telnet</t>
  </si>
  <si>
    <t>soon, soon…</t>
  </si>
  <si>
    <t>! If ran, this disables telnet.</t>
  </si>
  <si>
    <t>errdisable recovery interval 30</t>
  </si>
  <si>
    <t>! This is the timer used by "errdisable recovery" command which is enabled by default in NX-OS (disabled by default in IOS). After each timer interval (in seconds), any errdisable ports will be enabled.</t>
  </si>
  <si>
    <t>logging logfile logfile.txt 7 size 2000000</t>
  </si>
  <si>
    <t>! Configures the name of the log file used to store system messages and the minimum severity to log. Here, we will log everything from levels 0 - 7 (level 7 is debugging). We also specify a log file size.</t>
  </si>
  <si>
    <t>! Configures a syslog server at the specified hostname or IP address. You can limit logging of messages to a particular VRF (VPN Routing and Forwarding interface) by using the "use-vrf" keyword. Here, the VRF specified is "default".</t>
  </si>
  <si>
    <t>! DMZ - Configures a syslog server at the specified hostname or IP address. You can limit logging of messages to a particular VRF (VPN Routing and Forwarding interface) by using the "use-vrf" keyword. Here, the VRF specified is "default".</t>
  </si>
  <si>
    <t>! Specifies a source interface to use for sending syslog messages.</t>
  </si>
  <si>
    <t>logging timestamp milliseconds</t>
  </si>
  <si>
    <t>! Sets the logging time-stamp units to milliseconds.</t>
  </si>
  <si>
    <t>! Creates a user with a password, and assigns them a NS-OS User Role. In regular IOS, we have privilege levels 0-15 to define user access. In NX-OS, a different concept ("User Roles") is used with the same purpose. Some examples of default NX-OS roles are "network-admin" (full RW to the entire NX-OS device) and "network-operator" (full RO to the entire NX-OS device). User Roles are local to a switch and only relevant in the absence of AAA Authorization configuration. Since below we configure AAA Authorization, we rely on TACACS to assign a Role to the user after authentication. However, if AAA authentication were to be unavailable (as we define below in our AAA setup), the local user accounts would be used, so configuring these user accounts with a network-admin role is a good way to guarantee access into a system in the absense of any TACACS server.</t>
  </si>
  <si>
    <t>! Configures the time zone offset from UTC.</t>
  </si>
  <si>
    <t>! Configures the system to switch automatically to summer time (daylight savings time). The name of the time zone is given, followed by a number and a day (e.g. the 2nd Sunday, or the "last" or "first" Sunday) and then the month and time of day. The trailing "60" is the offset time in minutes, i.e. when we start/stop daylight savings time, how many minutes should the system add/remove from the clock. In our case daylight savings time adds/removes 1 hour from the clock, so we put 60 minutes here.</t>
  </si>
  <si>
    <t>! Specifies a source interface for NTP.</t>
  </si>
  <si>
    <t>! Configures a global TACACS+ shared secret key, which is used to authenticate the switch to the TACACS+ server.</t>
  </si>
  <si>
    <t>! Specifies the security protocol to use with AAA (TACACS+), as well as the IP address of the host maintaining a TACACS+ server. The TACACS+ software searches for the hosts in the order specified, allowing us to set up a server list by preference.</t>
  </si>
  <si>
    <t>aaa group server tacacs+ TACSERVERS</t>
  </si>
  <si>
    <t>! Creates a TACACS+ server group and enters the TACACS+ server group configuration mode for that group. The next commands we enter will configure this server group. This server group can be used in other AAA commands to define remote AAA servers to use for authentication, authorization, or accounting. Note that the servers are tried in the same order in which you configure them, and the server group only takes effect when you apply it to a AAA service.</t>
  </si>
  <si>
    <t>! In config mode for the TACACS+ server group TACSERVERS we just created. This defines a TACACS+ server for the server group. Remember the servers are tried in the order they are entered.</t>
  </si>
  <si>
    <t>! In config mode for the TACACS+ server group TACSERVERS we just created. This defines the source interface to use for TACACS+.</t>
  </si>
  <si>
    <t xml:space="preserve">aaa authentication login default group TACSERVERS </t>
  </si>
  <si>
    <t>! Configures the default authentication method. Here, we're using the server group we defined above called TACSERVERS. Note that the "local" keyword is not supported (and is not required) when configuring AAA authentication groups because local authentication is the default if remote servers are unreachable.</t>
  </si>
  <si>
    <t xml:space="preserve">aaa authorization config-commands default group TACSERVERS local </t>
  </si>
  <si>
    <t>! Configuring default authorization parameters. This command enables the authorization of all configuration commands, including global configuration commands. So any time such a command is ran, authorization is performed against the listed server group and the command is allowed or denied based on the server response. The local keyword specifies that local authorization will be used if all the configured server groups fail to respond.</t>
  </si>
  <si>
    <t xml:space="preserve">aaa authorization commands default group TACSERVERS local </t>
  </si>
  <si>
    <t>! Configuring default authorization parameters. This command enables the authorization of all EXEC mode commands, including global configuration commands. So any time such a command is ran, authorization is performed against the listed server group and the command is allowed or denied based on the server response. The local keyword specifies that local authorization will be used if all the configured server groups fail to respond.</t>
  </si>
  <si>
    <t xml:space="preserve">aaa accounting default group TACSERVERS </t>
  </si>
  <si>
    <t>! Configures the default accounting method. Here we're using the server group we defined above called TACSERVERS. The default method is local, which is used when no server groups are configured OR when all the configured server groups fail to respond.</t>
  </si>
  <si>
    <t>! Sets the chassis ID number (serial number) that is available via SNMP. This may or may not match the actual serial number of the router, since this is a user-entered value.</t>
  </si>
  <si>
    <t>! Configures a source interface for sending out SNMPv2c traps or informs.</t>
  </si>
  <si>
    <t>! Configures a host receiver for SNMPv2c traps or informs. The community string is specified after the "version" argument.</t>
  </si>
  <si>
    <t>! DMZ - Configures a host receiver for SNMPv2c traps or informs. The community string is specified after the "version" argument.</t>
  </si>
  <si>
    <t>! In regular IOS, we have privilege levels 0-15 to define user access. In NX-OS, a different concept ("User Roles") is used with the same purpose. Some examples of default NX-OS roles are "network-admin" (full RW to the entire NX-OS device) and "network-operator" (full RO to the entire NX-OS device). SNMP also uses these roles to define access, with the excecption that the roles are referred to as "groups" in SNMP. Thus, each group in SNMP is similar to a role through the CLI. Each SNMP group is defined with three accesses: read access, write access, and notification access. Each access can be enabled or disabled within each group. Therefore, by default, the network-operator "group" in SNMP is a Read-Only group, and the network-admin SNMP "group" is a Read-Write group.</t>
  </si>
  <si>
    <t>! Assigns an IPv4 ACL to an SNMPv2 community to filter SNMP requests.</t>
  </si>
  <si>
    <t>ip access-list 66</t>
  </si>
  <si>
    <t>! SNMP RO</t>
  </si>
  <si>
    <t>ip access-list 67</t>
  </si>
  <si>
    <t>ip access-list 88</t>
  </si>
  <si>
    <t>deny ip any any</t>
  </si>
  <si>
    <t>! Since NXOS only has "extended"-type ACL's, we can't do a generic "deny any." Instead we have to deny per protocol, so here we deny all IP, TCP, and UDP traffic.</t>
  </si>
  <si>
    <t>deny tcp any any</t>
  </si>
  <si>
    <t>deny udp any any</t>
  </si>
  <si>
    <t>banner motd ^</t>
  </si>
  <si>
    <t>! Define a banner to display to the user before login. The MOTD banner differs from the LOGIN banner that we have on the Switch and Router configs in that the MOTD banner is displayed to everyone who connects to the CLI, regardless of VTY Line config. Conversely, the LOGIN banner will be displayed to users on VTY lines only if a "login" command has been set on those VTY lines.</t>
  </si>
  <si>
    <t>! Define a primary NTP server.</t>
  </si>
  <si>
    <t>! Define a secondary NTP server.</t>
  </si>
  <si>
    <t>line vty</t>
  </si>
  <si>
    <t>exec-timeout 30</t>
  </si>
  <si>
    <t>Switches</t>
  </si>
  <si>
    <t>Global Switch Commands</t>
  </si>
  <si>
    <t>Vtp domain &lt;Domain Name&gt;</t>
  </si>
  <si>
    <t>Create Unique VTP Domain name if applicable</t>
  </si>
  <si>
    <t>Vtp mode &lt;server&gt;|&lt;client&gt;</t>
  </si>
  <si>
    <t>pick server or client if running vtp</t>
  </si>
  <si>
    <t>Vtp password &lt;Password&gt;</t>
  </si>
  <si>
    <t>if applicable - Create unique VTP password - Store in password safe - not used in Norway</t>
  </si>
  <si>
    <t>User Access Interfaces</t>
  </si>
  <si>
    <t>Norway Interface config - see Norway specific templates in this directory</t>
  </si>
  <si>
    <t>Normal Access Port with Voice VLAN</t>
  </si>
  <si>
    <t>Cisco Access Point</t>
  </si>
  <si>
    <t>Mist Access Point</t>
  </si>
  <si>
    <t>Uplink Ports/Trunks/Router Port</t>
  </si>
  <si>
    <t>!Default port before pasting config</t>
  </si>
  <si>
    <t>switchport access vlan 240</t>
  </si>
  <si>
    <t>switchport access vlan 10</t>
  </si>
  <si>
    <t>description &lt;AP_NAME&gt; Mist</t>
  </si>
  <si>
    <t>Do Not Use Vlan 1</t>
  </si>
  <si>
    <t xml:space="preserve">    </t>
  </si>
  <si>
    <t>switchport mode access</t>
  </si>
  <si>
    <t>switchport trunk native vlan &lt;AP_MGMT_VLAN&gt;</t>
  </si>
  <si>
    <t>switchport trunk encapsulation dot1q</t>
  </si>
  <si>
    <t>switchport voice vlan 210</t>
  </si>
  <si>
    <t>switchport voice vlan 20</t>
  </si>
  <si>
    <t>switchport mode trunk</t>
  </si>
  <si>
    <t>switchport trunk allowed vlan 210,240</t>
  </si>
  <si>
    <t>Vlan 1 should not be allowed</t>
  </si>
  <si>
    <t>mls qos trust dscp</t>
  </si>
  <si>
    <t>switchport trunk allowed vlan all</t>
  </si>
  <si>
    <t>switchport trunk native vlan 666</t>
  </si>
  <si>
    <t>no snmp trap link-status</t>
  </si>
  <si>
    <t>storm-control broadcast level pps 1k</t>
  </si>
  <si>
    <t>spanning-tree bpduguard enable</t>
  </si>
  <si>
    <t>storm-control action shutdown</t>
  </si>
  <si>
    <t>spanning-tree guard root</t>
  </si>
  <si>
    <t>ip dhcp snooping trust</t>
  </si>
  <si>
    <t>no mdix auto</t>
  </si>
  <si>
    <t>no switchport mode access</t>
  </si>
  <si>
    <t>spanning-tree portfast</t>
  </si>
  <si>
    <t>no spanning-tree portfast</t>
  </si>
  <si>
    <t>Switchport port-security</t>
  </si>
  <si>
    <t>no spanning-tree bpduguard enable</t>
  </si>
  <si>
    <t>Switchport port-security maximum 50</t>
  </si>
  <si>
    <t>no spanning-tree guard root</t>
  </si>
  <si>
    <t>Switchport port-security violation restrict</t>
  </si>
  <si>
    <t xml:space="preserve"> ip dhcp snooping trust</t>
  </si>
  <si>
    <t>no switchport port-security</t>
  </si>
  <si>
    <t>Switchport port-security aging time 2</t>
  </si>
  <si>
    <t>power inline port perpetual-poe-ha</t>
  </si>
  <si>
    <t>no switchport port-security maximum 50</t>
  </si>
  <si>
    <t>Switchport port-security aging type inactivity</t>
  </si>
  <si>
    <t>no switchport port-security violation restrict</t>
  </si>
  <si>
    <t>ip dhcp snooping limit rate 15</t>
  </si>
  <si>
    <t>no switchport port-security aging time 2</t>
  </si>
  <si>
    <t>no switchport port-security aging type inactivity</t>
  </si>
  <si>
    <t>no ip dhcp snooping limit rate 15</t>
  </si>
  <si>
    <t>device-tracking attach-policy DT_trunk_policy</t>
  </si>
  <si>
    <t>ROUTERS</t>
  </si>
  <si>
    <t>Router Interfaces</t>
  </si>
  <si>
    <t>EIGRP Standard config</t>
  </si>
  <si>
    <t>Ip Address x.x.x.x x.x.x.x</t>
  </si>
  <si>
    <t>Router eigrp 66</t>
  </si>
  <si>
    <t>Almays make EIGRP Passive by default</t>
  </si>
  <si>
    <t>description &gt;&gt;Carrier Type; Circuit ID; Bandwidth&lt;&lt;</t>
  </si>
  <si>
    <t xml:space="preserve"> Passive-interface default</t>
  </si>
  <si>
    <t>No Passive interfaces that will have EIGRP neighbours</t>
  </si>
  <si>
    <t>ip route cache flow</t>
  </si>
  <si>
    <t xml:space="preserve"> No passive-interface vlan 20</t>
  </si>
  <si>
    <t>load-interval 30</t>
  </si>
  <si>
    <t xml:space="preserve"> No passive-interface vlan 30</t>
  </si>
  <si>
    <t>ip pim sparse-dense-mode</t>
  </si>
  <si>
    <t>! Apply this command if Multicast is required on the Interface. This says to run in sparse mode if you can, and run in dense mode if you cannot.</t>
  </si>
  <si>
    <t>Houston</t>
  </si>
  <si>
    <t>Alaska</t>
  </si>
  <si>
    <t>Canada</t>
  </si>
  <si>
    <t>EMEA</t>
  </si>
  <si>
    <t>Norway</t>
  </si>
  <si>
    <t>Norway TDE-CDE</t>
  </si>
  <si>
    <t>AP - Australia hub</t>
  </si>
  <si>
    <t>AP - Jakarta hub</t>
  </si>
  <si>
    <t>AP - other</t>
  </si>
  <si>
    <t>DNS</t>
  </si>
  <si>
    <t>158.139.212.31</t>
  </si>
  <si>
    <t>158.139.110.76</t>
  </si>
  <si>
    <t>10.25.52.31</t>
  </si>
  <si>
    <t>155.191.182.135</t>
  </si>
  <si>
    <t>153.15.10.100</t>
  </si>
  <si>
    <t>159.163.89.130</t>
  </si>
  <si>
    <t>159.163.136.230</t>
  </si>
  <si>
    <t>159.163.254.12</t>
  </si>
  <si>
    <t>10.26.15.40</t>
  </si>
  <si>
    <t>10.162.72.10</t>
  </si>
  <si>
    <t>Extra Logging/CiscoWorks
(these are in addition to the Prime IP's already defined in the Parameters tab)</t>
  </si>
  <si>
    <t>10.26.15.10</t>
  </si>
  <si>
    <t>153.15.192.100</t>
  </si>
  <si>
    <t>10.25.52.9</t>
  </si>
  <si>
    <t>TACACS</t>
  </si>
  <si>
    <t>BVLISETACPSN</t>
  </si>
  <si>
    <t>NSKISETACPSN</t>
  </si>
  <si>
    <t>CQ9ISETACPSN</t>
  </si>
  <si>
    <t>SVGISETACPSN</t>
  </si>
  <si>
    <t>STTISETACPSN</t>
  </si>
  <si>
    <t>158.139.170.16</t>
  </si>
  <si>
    <t>10.26.60.20</t>
  </si>
  <si>
    <t>155.191.182.137</t>
  </si>
  <si>
    <t>153.15.20.251</t>
  </si>
  <si>
    <t>10.94.12.26</t>
  </si>
  <si>
    <t>NTP</t>
  </si>
  <si>
    <t>158.139.0.137</t>
  </si>
  <si>
    <t>158.139.0.139</t>
  </si>
  <si>
    <t>155.191.128.133</t>
  </si>
  <si>
    <t>153.15.14.45</t>
  </si>
  <si>
    <t>159.163.255.252</t>
  </si>
  <si>
    <t>158.139.0.138</t>
  </si>
  <si>
    <t>158.139.0.140</t>
  </si>
  <si>
    <t>155.191.128.134</t>
  </si>
  <si>
    <t>153.15.14.46</t>
  </si>
  <si>
    <t>159.163.255.253</t>
  </si>
  <si>
    <t>SNMP Read/Write
Host or Network</t>
  </si>
  <si>
    <t>158.139.170.24 0.0.0.3</t>
  </si>
  <si>
    <t>CER Server</t>
  </si>
  <si>
    <t>155.191.129.228</t>
  </si>
  <si>
    <t>155.191.192.148</t>
  </si>
  <si>
    <t>ISE Servers</t>
  </si>
  <si>
    <t>158.139.104.12</t>
  </si>
  <si>
    <t>158.139.2.206</t>
  </si>
  <si>
    <t>155.191.182.157</t>
  </si>
  <si>
    <t>153.15.20.244</t>
  </si>
  <si>
    <t>159.163.81.100</t>
  </si>
  <si>
    <t>159.163.253.88</t>
  </si>
  <si>
    <t>158.139.104.13</t>
  </si>
  <si>
    <t>158.139.2.207</t>
  </si>
  <si>
    <t>158.139.104.14</t>
  </si>
  <si>
    <t>153.15.20.245</t>
  </si>
  <si>
    <t>10.162.72.11</t>
  </si>
  <si>
    <t>Chosen Netflow</t>
  </si>
  <si>
    <t>158.139.170.35 9995</t>
  </si>
  <si>
    <t>10.26.15.71 9995</t>
  </si>
  <si>
    <t>155.191.182.158 9995</t>
  </si>
  <si>
    <t>153.15.20.240 9995</t>
  </si>
  <si>
    <t>153.15.192.106 9995</t>
  </si>
  <si>
    <t>10.94.12.69 9995</t>
  </si>
  <si>
    <t>Nexus TACACS key</t>
  </si>
  <si>
    <t>multicast RP</t>
  </si>
  <si>
    <t>158.139.0.4</t>
  </si>
  <si>
    <t>158.139.0.255</t>
  </si>
  <si>
    <t>153.15.192.61</t>
  </si>
  <si>
    <t>SNMP Read Only
Host / Network</t>
  </si>
  <si>
    <t>158.139.195.0 0.0.0.255</t>
  </si>
  <si>
    <t>158.139.170.0 0.0.0.63</t>
  </si>
  <si>
    <t>158.139.162.0 0.0.0.127</t>
  </si>
  <si>
    <t>155.191.128.0 0.0.0.15</t>
  </si>
  <si>
    <t>153.15.20.192 0.0.0.63</t>
  </si>
  <si>
    <t>153.15.98.64 0.0.0.31</t>
  </si>
  <si>
    <t>153.15.192.106</t>
  </si>
  <si>
    <t>155.191.185.128</t>
  </si>
  <si>
    <t>158.139.112.117</t>
  </si>
  <si>
    <t>158.139.198.247</t>
  </si>
  <si>
    <t>10.94.12.9</t>
  </si>
  <si>
    <t>153.15.20.240</t>
  </si>
  <si>
    <t>10.161.54.52</t>
  </si>
  <si>
    <t>159.163.81.93</t>
  </si>
  <si>
    <t>158.139.2.192 0.0.0.63</t>
  </si>
  <si>
    <t>10.94.12.69</t>
  </si>
  <si>
    <t>10.25.52.77</t>
  </si>
  <si>
    <t>10.26.15.43</t>
  </si>
  <si>
    <t>10.26.15.71</t>
  </si>
  <si>
    <t>Nexus SNMP Read Only
Host / Network
same as above with / notation</t>
  </si>
  <si>
    <t>158.139.195.0/24</t>
  </si>
  <si>
    <t>158.139.170.0/26</t>
  </si>
  <si>
    <t>158.139.162.0/25</t>
  </si>
  <si>
    <t>155.191.182.156/30</t>
  </si>
  <si>
    <t>10.25.52.9/32</t>
  </si>
  <si>
    <t>155.191.128.0/28</t>
  </si>
  <si>
    <t>153.15.20.192/26</t>
  </si>
  <si>
    <t>159.163.253.88/32</t>
  </si>
  <si>
    <t>158.139.104.8/29</t>
  </si>
  <si>
    <t>155.191.129.228/32</t>
  </si>
  <si>
    <t>10.166.216.88/30</t>
  </si>
  <si>
    <t>153.15.98.64/27</t>
  </si>
  <si>
    <t>159.163.81.100/32</t>
  </si>
  <si>
    <t>158.139.49.48/28</t>
  </si>
  <si>
    <t>155.191.192.148/32</t>
  </si>
  <si>
    <t>153.15.20.244/30</t>
  </si>
  <si>
    <t>153.15.192.106/32</t>
  </si>
  <si>
    <t>10.25.32.7/32</t>
  </si>
  <si>
    <t>155.191.185.128/32</t>
  </si>
  <si>
    <t>10.162.72.11/32</t>
  </si>
  <si>
    <t>158.139.112.117/32</t>
  </si>
  <si>
    <t>158.139.198.247/32</t>
  </si>
  <si>
    <t>10.94.12.9/32</t>
  </si>
  <si>
    <t>153.15.20.240/32</t>
  </si>
  <si>
    <t>10.161.54.52/32</t>
  </si>
  <si>
    <t>159.163.81.93/32</t>
  </si>
  <si>
    <t>158.139.2.192/26</t>
  </si>
  <si>
    <t>10.94.12.69/32</t>
  </si>
  <si>
    <t>10.25.52.77/32</t>
  </si>
  <si>
    <t>10.26.15.43/32</t>
  </si>
  <si>
    <t>10.26.15.71/32</t>
  </si>
  <si>
    <t>Nexus SNMP Read/Write
Host or Network
same as above with / notation</t>
  </si>
  <si>
    <t>158.139.170.24/30</t>
  </si>
  <si>
    <t>158.139.2.218/32</t>
  </si>
  <si>
    <t>SNMP Server Location ID</t>
  </si>
  <si>
    <t>US L48</t>
  </si>
  <si>
    <t>Asia Pacific</t>
  </si>
  <si>
    <t>DMZ Prime</t>
  </si>
  <si>
    <t>158.139.74.80</t>
  </si>
  <si>
    <t>FENCE TACACS</t>
  </si>
  <si>
    <t>BVL-ISE-FENCE</t>
  </si>
  <si>
    <t>158.139.74.83</t>
  </si>
  <si>
    <t>HOC-ISE-FENCE</t>
  </si>
  <si>
    <t>158.139.144.200</t>
  </si>
  <si>
    <t>Global</t>
  </si>
  <si>
    <t>Enable Secret (9)</t>
  </si>
  <si>
    <t>Nexus Enable Secret (5)</t>
  </si>
  <si>
    <t>TACACS key plaintext</t>
  </si>
  <si>
    <t>GMT offset</t>
  </si>
  <si>
    <t>summertime timezone</t>
  </si>
  <si>
    <t>recurrence parameter</t>
  </si>
  <si>
    <t>Norway (MET)</t>
  </si>
  <si>
    <t>MET</t>
  </si>
  <si>
    <t>1 0</t>
  </si>
  <si>
    <t>last Sun Mar 01:00 last Sun Oct 03:00</t>
  </si>
  <si>
    <t>Perth(WIB)</t>
  </si>
  <si>
    <t>WIB</t>
  </si>
  <si>
    <t>7 0</t>
  </si>
  <si>
    <t>UK (BST)</t>
  </si>
  <si>
    <t>GMT</t>
  </si>
  <si>
    <t>0 0</t>
  </si>
  <si>
    <t>BST</t>
  </si>
  <si>
    <t>last Sun Mar 01:00 last Sun Oct 01:00</t>
  </si>
  <si>
    <t>CST</t>
  </si>
  <si>
    <t>-6 0</t>
  </si>
  <si>
    <t>CDT</t>
  </si>
  <si>
    <t>2 sun mar 02:00 1 sun nov 02:00</t>
  </si>
  <si>
    <t>US (EST)</t>
  </si>
  <si>
    <t>EST</t>
  </si>
  <si>
    <t>-5 0</t>
  </si>
  <si>
    <t>EDT</t>
  </si>
  <si>
    <t>US (MST)</t>
  </si>
  <si>
    <t>MST</t>
  </si>
  <si>
    <t>-7 0</t>
  </si>
  <si>
    <t>MDT</t>
  </si>
  <si>
    <t>US (PST)</t>
  </si>
  <si>
    <t>PST</t>
  </si>
  <si>
    <t>-8 0</t>
  </si>
  <si>
    <t>US(AKST)</t>
  </si>
  <si>
    <t>AKST</t>
  </si>
  <si>
    <t>-9 0</t>
  </si>
  <si>
    <t>AKDT</t>
  </si>
  <si>
    <t>Qatar (AST)</t>
  </si>
  <si>
    <t>AST</t>
  </si>
  <si>
    <t>3 0</t>
  </si>
  <si>
    <t>Angola (WAT)</t>
  </si>
  <si>
    <t>WAT</t>
  </si>
  <si>
    <t>Libya (EET)</t>
  </si>
  <si>
    <t>EET</t>
  </si>
  <si>
    <t>2 0</t>
  </si>
  <si>
    <t>China (CST)</t>
  </si>
  <si>
    <t>8 0</t>
  </si>
  <si>
    <t>Jakarta (WIB)</t>
  </si>
  <si>
    <t>Malaysia (MST)</t>
  </si>
  <si>
    <t>Singapore (SGT)</t>
  </si>
  <si>
    <t>SGT</t>
  </si>
  <si>
    <t>Perth (AWST)</t>
  </si>
  <si>
    <t>AWST</t>
  </si>
  <si>
    <t>Sydney (AEST)</t>
  </si>
  <si>
    <t>AEST</t>
  </si>
  <si>
    <t>10 0</t>
  </si>
  <si>
    <t>AEDST</t>
  </si>
  <si>
    <t>1 Sun Oct 02:00 1 Sun Apr 02:00</t>
  </si>
  <si>
    <t>Brisbane (AEST)</t>
  </si>
  <si>
    <t>Darwin (ACST)</t>
  </si>
  <si>
    <t>ACST</t>
  </si>
  <si>
    <t>9.30 0</t>
  </si>
  <si>
    <t>East Timor (TLT)</t>
  </si>
  <si>
    <t>TLT</t>
  </si>
  <si>
    <t>9 0</t>
  </si>
  <si>
    <t>Tokyo (JST)</t>
  </si>
  <si>
    <t>JST</t>
  </si>
  <si>
    <t>without time</t>
  </si>
  <si>
    <t>Yes</t>
  </si>
  <si>
    <t>XXXXXXXXXX</t>
  </si>
  <si>
    <t>XXXXXXXXXXX</t>
  </si>
  <si>
    <t>7 "XXXXXXXXXXX"</t>
  </si>
  <si>
    <t>XXXXXXXXXXXXXXXXXXXXXXXXXXXXXXXXXXXXXXXX</t>
  </si>
  <si>
    <t>XXXXXXXXXXXXXXXXXXXXXXXXXXXXXXXXXXXXXXXXXXXXXX</t>
  </si>
  <si>
    <t>snmp-server host 158.139.195.19 traps version 2c XXXXXXXXXXX</t>
  </si>
  <si>
    <t>snmp-server host 158.139.195.20 traps version 2c XXXXXXXXXXX</t>
  </si>
  <si>
    <t>snmp-server community XXXXXXXXXXX group network-admin</t>
  </si>
  <si>
    <t>snmp-server community XXXXXXXXXXX group network-operator</t>
  </si>
  <si>
    <t>snmp-server community XXXXXXXXXXX use-acl 67</t>
  </si>
  <si>
    <t>snmp-server community XXXXXXXXXXX use-acl 66</t>
  </si>
  <si>
    <t>snmp-server community XXXXXXXXXXX use-acl 88</t>
  </si>
  <si>
    <t>snmp-server community XXXXXXXXXXX RO 66</t>
  </si>
  <si>
    <t>snmp-server community XXXXXXXXXXX RW 67</t>
  </si>
  <si>
    <t>snmp-server community XXXXXXXXXXX RO 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</si>
</sst>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name val="Arial"/>
      <family val="2"/>
    </font>
    <font>
      <sz val="10"/>
      <color indexed="20"/>
      <name val="Arial"/>
      <family val="2"/>
    </font>
    <font>
      <sz val="10"/>
      <color indexed="10"/>
      <name val="Arial"/>
      <family val="2"/>
    </font>
    <font>
      <sz val="8"/>
      <name val="Arial"/>
      <family val="2"/>
    </font>
    <font>
      <b/>
      <sz val="10"/>
      <name val="Arial"/>
      <family val="2"/>
    </font>
    <font>
      <b/>
      <sz val="12"/>
      <name val="Arial"/>
      <family val="2"/>
    </font>
    <font>
      <b/>
      <sz val="14"/>
      <name val="Arial"/>
      <family val="2"/>
    </font>
    <font>
      <sz val="12"/>
      <name val="Arial"/>
      <family val="2"/>
    </font>
    <font>
      <sz val="11"/>
      <name val="Calibri"/>
      <family val="2"/>
    </font>
    <font>
      <sz val="10"/>
      <color rgb="FFFF0000"/>
      <name val="Arial"/>
      <family val="2"/>
    </font>
    <font>
      <sz val="10"/>
      <color theme="1"/>
      <name val="Arial"/>
      <family val="2"/>
    </font>
    <font>
      <sz val="10"/>
      <color rgb="FF000000"/>
      <name val="Segoe UI"/>
      <family val="2"/>
    </font>
    <font>
      <b/>
      <sz val="11"/>
      <color rgb="FFFA7D00"/>
      <name val="Calibri"/>
      <family val="2"/>
      <scheme val="minor"/>
    </font>
    <font>
      <sz val="10"/>
      <color rgb="FFFF0000"/>
      <name val="Segoe UI"/>
      <family val="2"/>
    </font>
    <font>
      <sz val="10"/>
      <name val="Arial"/>
      <family val="2"/>
    </font>
    <font>
      <sz val="10"/>
      <name val="Arial"/>
      <family val="2"/>
    </font>
    <font>
      <sz val="10"/>
      <name val="Arial"/>
      <family val="2"/>
    </font>
    <font>
      <b/>
      <u/>
      <sz val="10"/>
      <name val="Arial"/>
      <family val="2"/>
    </font>
    <font>
      <sz val="10"/>
      <color rgb="FF000000"/>
      <name val="Arial"/>
      <family val="2"/>
    </font>
    <font>
      <sz val="10"/>
      <name val="Arial"/>
      <family val="2"/>
    </font>
    <font>
      <sz val="10"/>
      <name val="Arial"/>
      <family val="2"/>
    </font>
    <font>
      <sz val="10"/>
      <color indexed="8"/>
      <name val="Arial"/>
      <family val="2"/>
    </font>
    <font>
      <b/>
      <sz val="11"/>
      <color theme="9"/>
      <name val="Calibri"/>
      <family val="2"/>
      <scheme val="minor"/>
    </font>
    <font>
      <sz val="10"/>
      <name val="Arial"/>
      <family val="2"/>
      <charset val="1"/>
    </font>
    <font>
      <b/>
      <sz val="10"/>
      <color rgb="FFFF0000"/>
      <name val="Arial"/>
      <family val="2"/>
    </font>
    <font>
      <sz val="10"/>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DDEBF7"/>
        <bgColor indexed="64"/>
      </patternFill>
    </fill>
    <fill>
      <patternFill patternType="solid">
        <fgColor rgb="FF92D050"/>
        <bgColor indexed="64"/>
      </patternFill>
    </fill>
  </fills>
  <borders count="46">
    <border>
      <left/>
      <right/>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bottom/>
      <diagonal/>
    </border>
    <border>
      <left style="thin">
        <color rgb="FF000000"/>
      </left>
      <right/>
      <top style="thin">
        <color rgb="FF000000"/>
      </top>
      <bottom/>
      <diagonal/>
    </border>
  </borders>
  <cellStyleXfs count="2">
    <xf numFmtId="0" fontId="0" fillId="0" borderId="0"/>
    <xf numFmtId="0" fontId="13" fillId="3" borderId="28" applyNumberFormat="0" applyAlignment="0" applyProtection="0"/>
  </cellStyleXfs>
  <cellXfs count="160">
    <xf numFmtId="0" fontId="0" fillId="0" borderId="0" xfId="0"/>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0" fillId="0" borderId="1" xfId="0" applyBorder="1"/>
    <xf numFmtId="0" fontId="5" fillId="0" borderId="1" xfId="0" applyFont="1" applyBorder="1"/>
    <xf numFmtId="0" fontId="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3" xfId="0" applyBorder="1"/>
    <xf numFmtId="0" fontId="6" fillId="0" borderId="0" xfId="0" applyFont="1" applyAlignment="1">
      <alignment horizontal="center"/>
    </xf>
    <xf numFmtId="0" fontId="1" fillId="0" borderId="0" xfId="0" applyFont="1"/>
    <xf numFmtId="0" fontId="1" fillId="0" borderId="0" xfId="0" applyFont="1" applyAlignment="1">
      <alignment horizontal="left"/>
    </xf>
    <xf numFmtId="0" fontId="3" fillId="0" borderId="0" xfId="0" applyFont="1"/>
    <xf numFmtId="0" fontId="0" fillId="0" borderId="15" xfId="0" applyBorder="1"/>
    <xf numFmtId="0" fontId="5" fillId="0" borderId="15" xfId="0" applyFont="1" applyBorder="1"/>
    <xf numFmtId="0" fontId="5" fillId="0" borderId="16" xfId="0" applyFont="1" applyBorder="1" applyAlignment="1">
      <alignment horizontal="center" vertical="center"/>
    </xf>
    <xf numFmtId="0" fontId="5" fillId="0" borderId="17" xfId="0" applyFont="1" applyBorder="1" applyAlignment="1">
      <alignment horizontal="center"/>
    </xf>
    <xf numFmtId="0" fontId="10" fillId="0" borderId="0" xfId="0" applyFont="1" applyAlignment="1">
      <alignment vertical="center" wrapText="1"/>
    </xf>
    <xf numFmtId="0" fontId="10" fillId="0" borderId="0" xfId="0" applyFont="1"/>
    <xf numFmtId="0" fontId="1" fillId="0" borderId="15" xfId="0" applyFont="1" applyBorder="1"/>
    <xf numFmtId="0" fontId="0" fillId="0" borderId="25" xfId="0" applyBorder="1"/>
    <xf numFmtId="0" fontId="1" fillId="0" borderId="9" xfId="0" applyFont="1" applyBorder="1"/>
    <xf numFmtId="0" fontId="11" fillId="0" borderId="0" xfId="0" applyFont="1" applyAlignment="1">
      <alignment vertical="center" wrapText="1"/>
    </xf>
    <xf numFmtId="0" fontId="11" fillId="0" borderId="0" xfId="0" applyFont="1" applyAlignment="1">
      <alignment vertical="center"/>
    </xf>
    <xf numFmtId="0" fontId="1" fillId="0" borderId="13" xfId="0" applyFont="1" applyBorder="1"/>
    <xf numFmtId="0" fontId="9" fillId="0" borderId="0" xfId="0" applyFont="1" applyAlignment="1">
      <alignment vertical="center"/>
    </xf>
    <xf numFmtId="0" fontId="1" fillId="0" borderId="2" xfId="0" applyFont="1" applyBorder="1"/>
    <xf numFmtId="0" fontId="1" fillId="0" borderId="15" xfId="0" applyFont="1" applyBorder="1" applyProtection="1">
      <protection hidden="1"/>
    </xf>
    <xf numFmtId="0" fontId="1" fillId="2" borderId="0" xfId="0" applyFont="1" applyFill="1"/>
    <xf numFmtId="0" fontId="0" fillId="2" borderId="0" xfId="0" applyFill="1"/>
    <xf numFmtId="0" fontId="1" fillId="0" borderId="15" xfId="0" applyFont="1" applyBorder="1" applyAlignment="1">
      <alignment vertical="center"/>
    </xf>
    <xf numFmtId="0" fontId="0" fillId="0" borderId="11" xfId="0" applyBorder="1"/>
    <xf numFmtId="0" fontId="9" fillId="0" borderId="0" xfId="0" applyFont="1"/>
    <xf numFmtId="0" fontId="1" fillId="0" borderId="8" xfId="0" applyFont="1" applyBorder="1"/>
    <xf numFmtId="0" fontId="0" fillId="0" borderId="0" xfId="0" quotePrefix="1"/>
    <xf numFmtId="0" fontId="1" fillId="0" borderId="0" xfId="0" quotePrefix="1" applyFont="1"/>
    <xf numFmtId="0" fontId="12" fillId="0" borderId="0" xfId="0" applyFont="1" applyAlignment="1">
      <alignment vertical="center"/>
    </xf>
    <xf numFmtId="49" fontId="1" fillId="0" borderId="0" xfId="0" quotePrefix="1" applyNumberFormat="1" applyFont="1"/>
    <xf numFmtId="0" fontId="5" fillId="0" borderId="15" xfId="0" applyFont="1" applyBorder="1" applyAlignment="1">
      <alignment horizontal="center" vertical="center" wrapText="1"/>
    </xf>
    <xf numFmtId="0" fontId="14" fillId="0" borderId="0" xfId="0" applyFont="1" applyAlignment="1">
      <alignment vertical="center"/>
    </xf>
    <xf numFmtId="0" fontId="0" fillId="0" borderId="0" xfId="0" applyAlignment="1">
      <alignment wrapText="1"/>
    </xf>
    <xf numFmtId="0" fontId="0" fillId="0" borderId="0" xfId="0" quotePrefix="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0" borderId="19" xfId="0" applyBorder="1" applyProtection="1">
      <protection hidden="1"/>
    </xf>
    <xf numFmtId="0" fontId="0" fillId="0" borderId="33" xfId="0" applyBorder="1" applyProtection="1">
      <protection hidden="1"/>
    </xf>
    <xf numFmtId="0" fontId="0" fillId="0" borderId="32" xfId="0" applyBorder="1"/>
    <xf numFmtId="0" fontId="20" fillId="0" borderId="0" xfId="0" applyFont="1"/>
    <xf numFmtId="0" fontId="20" fillId="0" borderId="19" xfId="0" applyFont="1" applyBorder="1"/>
    <xf numFmtId="0" fontId="20" fillId="0" borderId="18" xfId="0" applyFont="1" applyBorder="1"/>
    <xf numFmtId="0" fontId="20" fillId="0" borderId="15" xfId="0" applyFont="1" applyBorder="1"/>
    <xf numFmtId="0" fontId="21" fillId="0" borderId="0" xfId="0" applyFont="1" applyAlignment="1">
      <alignment vertical="center" wrapText="1"/>
    </xf>
    <xf numFmtId="0" fontId="22" fillId="0" borderId="0" xfId="0" applyFont="1" applyAlignment="1">
      <alignment vertical="top" wrapText="1"/>
    </xf>
    <xf numFmtId="0" fontId="0" fillId="0" borderId="18" xfId="0" applyBorder="1"/>
    <xf numFmtId="0" fontId="23" fillId="0" borderId="0" xfId="0" applyFont="1" applyAlignment="1">
      <alignment vertical="center" wrapText="1"/>
    </xf>
    <xf numFmtId="0" fontId="1" fillId="0" borderId="18" xfId="0" applyFont="1" applyBorder="1"/>
    <xf numFmtId="14" fontId="0" fillId="0" borderId="15" xfId="0" applyNumberFormat="1" applyBorder="1"/>
    <xf numFmtId="0" fontId="1" fillId="0" borderId="32" xfId="0" applyFont="1" applyBorder="1"/>
    <xf numFmtId="0" fontId="6" fillId="0" borderId="21" xfId="0" applyFont="1" applyBorder="1"/>
    <xf numFmtId="0" fontId="6" fillId="0" borderId="22" xfId="0" applyFont="1" applyBorder="1"/>
    <xf numFmtId="0" fontId="6" fillId="0" borderId="23" xfId="0" applyFont="1" applyBorder="1"/>
    <xf numFmtId="0" fontId="1" fillId="0" borderId="20" xfId="0" applyFont="1" applyBorder="1"/>
    <xf numFmtId="14" fontId="1" fillId="0" borderId="5" xfId="0" applyNumberFormat="1" applyFont="1" applyBorder="1"/>
    <xf numFmtId="0" fontId="1" fillId="0" borderId="5" xfId="0" applyFont="1" applyBorder="1"/>
    <xf numFmtId="0" fontId="6" fillId="0" borderId="24" xfId="0" applyFont="1" applyBorder="1"/>
    <xf numFmtId="0" fontId="1" fillId="0" borderId="19" xfId="0" applyFont="1" applyBorder="1"/>
    <xf numFmtId="14" fontId="1" fillId="0" borderId="15" xfId="0" applyNumberFormat="1" applyFont="1" applyBorder="1"/>
    <xf numFmtId="0" fontId="1" fillId="0" borderId="11" xfId="0" applyFont="1" applyBorder="1"/>
    <xf numFmtId="0" fontId="1" fillId="0" borderId="12" xfId="0" applyFont="1" applyBorder="1" applyProtection="1">
      <protection locked="0"/>
    </xf>
    <xf numFmtId="0" fontId="5" fillId="2" borderId="0" xfId="0" applyFont="1" applyFill="1"/>
    <xf numFmtId="0" fontId="1" fillId="0" borderId="2" xfId="0" applyFont="1" applyBorder="1" applyProtection="1">
      <protection locked="0"/>
    </xf>
    <xf numFmtId="0" fontId="1" fillId="0" borderId="3" xfId="0" applyFont="1" applyBorder="1" applyProtection="1">
      <protection locked="0"/>
    </xf>
    <xf numFmtId="0" fontId="1" fillId="0" borderId="30" xfId="0" applyFont="1" applyBorder="1"/>
    <xf numFmtId="0" fontId="13" fillId="3" borderId="28" xfId="1" applyAlignment="1">
      <alignment vertical="center" wrapText="1"/>
    </xf>
    <xf numFmtId="0" fontId="13" fillId="3" borderId="28" xfId="1" quotePrefix="1" applyAlignment="1">
      <alignment vertical="center" wrapText="1"/>
    </xf>
    <xf numFmtId="0" fontId="15" fillId="4" borderId="0" xfId="0" applyFont="1" applyFill="1"/>
    <xf numFmtId="0" fontId="0" fillId="4" borderId="0" xfId="0" applyFill="1"/>
    <xf numFmtId="0" fontId="1" fillId="4" borderId="0" xfId="0" applyFont="1" applyFill="1" applyAlignment="1">
      <alignment vertical="center"/>
    </xf>
    <xf numFmtId="0" fontId="2" fillId="4" borderId="0" xfId="0" applyFont="1" applyFill="1" applyAlignment="1">
      <alignment vertical="center" wrapText="1"/>
    </xf>
    <xf numFmtId="0" fontId="1" fillId="4" borderId="0" xfId="0" applyFont="1" applyFill="1"/>
    <xf numFmtId="0" fontId="2" fillId="4" borderId="0" xfId="0" applyFont="1" applyFill="1" applyAlignment="1">
      <alignment vertical="center"/>
    </xf>
    <xf numFmtId="0" fontId="1" fillId="4" borderId="0" xfId="0" applyFont="1" applyFill="1" applyAlignment="1">
      <alignment vertical="center" wrapText="1"/>
    </xf>
    <xf numFmtId="0" fontId="10" fillId="4" borderId="0" xfId="0" applyFont="1" applyFill="1"/>
    <xf numFmtId="0" fontId="21" fillId="4" borderId="0" xfId="0" applyFont="1" applyFill="1" applyAlignment="1">
      <alignment vertical="center" wrapText="1"/>
    </xf>
    <xf numFmtId="0" fontId="0" fillId="0" borderId="35" xfId="0" applyBorder="1"/>
    <xf numFmtId="0" fontId="0" fillId="0" borderId="36" xfId="0" applyBorder="1"/>
    <xf numFmtId="0" fontId="1" fillId="0" borderId="36" xfId="0" applyFont="1" applyBorder="1"/>
    <xf numFmtId="0" fontId="1" fillId="0" borderId="35" xfId="0" applyFont="1" applyBorder="1"/>
    <xf numFmtId="0" fontId="0" fillId="0" borderId="39" xfId="0" applyBorder="1"/>
    <xf numFmtId="0" fontId="0" fillId="0" borderId="41" xfId="0" applyBorder="1"/>
    <xf numFmtId="0" fontId="0" fillId="0" borderId="42" xfId="0" applyBorder="1"/>
    <xf numFmtId="0" fontId="0" fillId="0" borderId="44" xfId="0" applyBorder="1"/>
    <xf numFmtId="0" fontId="1" fillId="5" borderId="0" xfId="0" applyFont="1" applyFill="1"/>
    <xf numFmtId="0" fontId="1" fillId="5" borderId="0" xfId="0" applyFont="1" applyFill="1" applyAlignment="1">
      <alignment vertical="center" wrapText="1"/>
    </xf>
    <xf numFmtId="0" fontId="0" fillId="5" borderId="0" xfId="0" applyFill="1"/>
    <xf numFmtId="0" fontId="12" fillId="5" borderId="0" xfId="0" applyFont="1" applyFill="1" applyAlignment="1">
      <alignment vertical="center"/>
    </xf>
    <xf numFmtId="0" fontId="1" fillId="2" borderId="0" xfId="0" applyFont="1" applyFill="1" applyAlignment="1">
      <alignment vertical="center" wrapText="1"/>
    </xf>
    <xf numFmtId="0" fontId="3" fillId="2" borderId="0" xfId="0" applyFont="1" applyFill="1" applyAlignment="1">
      <alignment vertical="center" wrapText="1"/>
    </xf>
    <xf numFmtId="0" fontId="24" fillId="0" borderId="0" xfId="0" applyFont="1"/>
    <xf numFmtId="0" fontId="1" fillId="0" borderId="0" xfId="0" applyFont="1" applyAlignment="1">
      <alignment wrapText="1"/>
    </xf>
    <xf numFmtId="0" fontId="1" fillId="0" borderId="3" xfId="0" applyFont="1" applyBorder="1"/>
    <xf numFmtId="0" fontId="1" fillId="0" borderId="14" xfId="0" applyFont="1" applyBorder="1"/>
    <xf numFmtId="0" fontId="25" fillId="0" borderId="0" xfId="0" applyFont="1" applyAlignment="1">
      <alignment vertical="center" wrapText="1"/>
    </xf>
    <xf numFmtId="0" fontId="5" fillId="0" borderId="0" xfId="0" applyFont="1" applyAlignment="1">
      <alignment horizontal="center"/>
    </xf>
    <xf numFmtId="0" fontId="6"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5" fillId="0" borderId="15" xfId="0" applyFont="1" applyBorder="1" applyAlignment="1">
      <alignment horizontal="center"/>
    </xf>
    <xf numFmtId="11" fontId="1" fillId="0" borderId="2" xfId="0" applyNumberFormat="1" applyFont="1" applyBorder="1" applyProtection="1">
      <protection locked="0"/>
    </xf>
    <xf numFmtId="0" fontId="1" fillId="0" borderId="16" xfId="0" applyFont="1" applyBorder="1"/>
    <xf numFmtId="0" fontId="1" fillId="0" borderId="6" xfId="0" applyFont="1" applyBorder="1"/>
    <xf numFmtId="0" fontId="1" fillId="0" borderId="26" xfId="0" applyFont="1" applyBorder="1" applyProtection="1">
      <protection hidden="1"/>
    </xf>
    <xf numFmtId="0" fontId="1" fillId="0" borderId="7" xfId="0" applyFont="1" applyBorder="1"/>
    <xf numFmtId="0" fontId="1" fillId="0" borderId="19" xfId="0" applyFont="1" applyBorder="1" applyProtection="1">
      <protection hidden="1"/>
    </xf>
    <xf numFmtId="0" fontId="1" fillId="0" borderId="27" xfId="0" applyFont="1" applyBorder="1"/>
    <xf numFmtId="0" fontId="1" fillId="0" borderId="24" xfId="0" applyFont="1" applyBorder="1" applyProtection="1">
      <protection hidden="1"/>
    </xf>
    <xf numFmtId="0" fontId="1" fillId="0" borderId="29" xfId="0" applyFont="1" applyBorder="1" applyProtection="1">
      <protection hidden="1"/>
    </xf>
    <xf numFmtId="0" fontId="1" fillId="0" borderId="33" xfId="0" applyFont="1" applyBorder="1" applyProtection="1">
      <protection hidden="1"/>
    </xf>
    <xf numFmtId="0" fontId="1" fillId="0" borderId="31" xfId="0" applyFont="1" applyBorder="1" applyProtection="1">
      <protection hidden="1"/>
    </xf>
    <xf numFmtId="0" fontId="10" fillId="4" borderId="0" xfId="0" applyFont="1" applyFill="1" applyAlignment="1">
      <alignment vertical="center"/>
    </xf>
    <xf numFmtId="0" fontId="0" fillId="0" borderId="16" xfId="0" applyBorder="1"/>
    <xf numFmtId="0" fontId="26"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horizontal="center"/>
    </xf>
    <xf numFmtId="0" fontId="5" fillId="0" borderId="14" xfId="0" applyFont="1" applyBorder="1" applyAlignment="1">
      <alignment horizontal="center"/>
    </xf>
    <xf numFmtId="0" fontId="6"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8" fillId="0" borderId="0" xfId="0" applyFont="1" applyAlignment="1">
      <alignment horizontal="left"/>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5" xfId="0" applyFont="1" applyBorder="1" applyAlignment="1">
      <alignment horizont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43" xfId="0" applyFont="1" applyBorder="1" applyAlignment="1">
      <alignment horizontal="center" vertical="center"/>
    </xf>
    <xf numFmtId="0" fontId="5" fillId="0" borderId="45" xfId="0" applyFont="1" applyBorder="1" applyAlignment="1">
      <alignment horizontal="center" vertical="center"/>
    </xf>
    <xf numFmtId="0" fontId="5" fillId="0" borderId="40" xfId="0" applyFont="1" applyBorder="1" applyAlignment="1">
      <alignment horizontal="center" vertical="center"/>
    </xf>
    <xf numFmtId="0" fontId="5" fillId="0" borderId="9" xfId="0" applyFont="1" applyBorder="1" applyAlignment="1">
      <alignment horizontal="center" wrapText="1"/>
    </xf>
    <xf numFmtId="0" fontId="5" fillId="0" borderId="9" xfId="0" applyFont="1" applyBorder="1" applyAlignment="1">
      <alignment horizontal="center"/>
    </xf>
    <xf numFmtId="0" fontId="5" fillId="0" borderId="5" xfId="0" applyFont="1" applyBorder="1" applyAlignment="1">
      <alignment horizontal="center"/>
    </xf>
    <xf numFmtId="0" fontId="5" fillId="0" borderId="13"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5" fillId="0" borderId="9"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cellXfs>
  <cellStyles count="2">
    <cellStyle name="Calculation" xfId="1" builtinId="2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7"/>
  <sheetViews>
    <sheetView workbookViewId="0">
      <pane ySplit="1" topLeftCell="A144" activePane="bottomLeft" state="frozen"/>
      <selection pane="bottomLeft" activeCell="A158" sqref="A158"/>
    </sheetView>
  </sheetViews>
  <sheetFormatPr defaultColWidth="9.140625" defaultRowHeight="12.75" x14ac:dyDescent="0.2"/>
  <cols>
    <col min="1" max="1" width="9.140625" style="59"/>
    <col min="2" max="2" width="10.42578125" style="60" bestFit="1" customWidth="1"/>
    <col min="3" max="3" width="120.28515625" style="60" customWidth="1"/>
    <col min="4" max="4" width="51.140625" style="58" customWidth="1"/>
    <col min="5" max="16384" width="9.140625" style="57"/>
  </cols>
  <sheetData>
    <row r="1" spans="1:4" ht="16.5" thickBot="1" x14ac:dyDescent="0.3">
      <c r="A1" s="68" t="s">
        <v>0</v>
      </c>
      <c r="B1" s="69" t="s">
        <v>1</v>
      </c>
      <c r="C1" s="69" t="s">
        <v>2</v>
      </c>
      <c r="D1" s="70" t="s">
        <v>3</v>
      </c>
    </row>
    <row r="2" spans="1:4" ht="12.75" customHeight="1" x14ac:dyDescent="0.25">
      <c r="A2" s="71" t="s">
        <v>4</v>
      </c>
      <c r="B2" s="72">
        <v>41037</v>
      </c>
      <c r="C2" s="73" t="s">
        <v>5</v>
      </c>
      <c r="D2" s="74"/>
    </row>
    <row r="3" spans="1:4" x14ac:dyDescent="0.2">
      <c r="A3" s="65" t="s">
        <v>4</v>
      </c>
      <c r="B3" s="76">
        <v>41037</v>
      </c>
      <c r="C3" s="26" t="s">
        <v>6</v>
      </c>
      <c r="D3" s="75" t="s">
        <v>7</v>
      </c>
    </row>
    <row r="4" spans="1:4" x14ac:dyDescent="0.2">
      <c r="A4" s="65" t="s">
        <v>4</v>
      </c>
      <c r="B4" s="76">
        <v>41054</v>
      </c>
      <c r="C4" s="26" t="s">
        <v>8</v>
      </c>
      <c r="D4" s="75" t="s">
        <v>9</v>
      </c>
    </row>
    <row r="5" spans="1:4" x14ac:dyDescent="0.2">
      <c r="A5" s="65" t="s">
        <v>4</v>
      </c>
      <c r="B5" s="76">
        <v>41054</v>
      </c>
      <c r="C5" s="26" t="s">
        <v>10</v>
      </c>
      <c r="D5" s="75" t="s">
        <v>11</v>
      </c>
    </row>
    <row r="6" spans="1:4" x14ac:dyDescent="0.2">
      <c r="A6" s="65" t="s">
        <v>4</v>
      </c>
      <c r="B6" s="76">
        <v>41240</v>
      </c>
      <c r="C6" s="26" t="s">
        <v>12</v>
      </c>
      <c r="D6" s="75" t="s">
        <v>13</v>
      </c>
    </row>
    <row r="7" spans="1:4" x14ac:dyDescent="0.2">
      <c r="A7" s="65" t="s">
        <v>14</v>
      </c>
      <c r="B7" s="76">
        <v>41250</v>
      </c>
      <c r="C7" s="26" t="s">
        <v>15</v>
      </c>
      <c r="D7" s="75"/>
    </row>
    <row r="8" spans="1:4" x14ac:dyDescent="0.2">
      <c r="A8" s="65" t="s">
        <v>4</v>
      </c>
      <c r="B8" s="76">
        <v>41255</v>
      </c>
      <c r="C8" s="26" t="s">
        <v>16</v>
      </c>
      <c r="D8" s="75" t="s">
        <v>17</v>
      </c>
    </row>
    <row r="9" spans="1:4" x14ac:dyDescent="0.2">
      <c r="A9" s="65" t="s">
        <v>14</v>
      </c>
      <c r="B9" s="76">
        <v>40993</v>
      </c>
      <c r="C9" s="26" t="s">
        <v>18</v>
      </c>
      <c r="D9" s="75"/>
    </row>
    <row r="10" spans="1:4" x14ac:dyDescent="0.2">
      <c r="A10" s="65" t="s">
        <v>14</v>
      </c>
      <c r="B10" s="76">
        <v>41359</v>
      </c>
      <c r="C10" s="26" t="s">
        <v>19</v>
      </c>
      <c r="D10" s="75"/>
    </row>
    <row r="11" spans="1:4" x14ac:dyDescent="0.2">
      <c r="A11" s="65" t="s">
        <v>14</v>
      </c>
      <c r="B11" s="76">
        <v>41375</v>
      </c>
      <c r="C11" s="26" t="s">
        <v>20</v>
      </c>
      <c r="D11" s="75"/>
    </row>
    <row r="12" spans="1:4" x14ac:dyDescent="0.2">
      <c r="A12" s="65" t="s">
        <v>14</v>
      </c>
      <c r="B12" s="76">
        <v>41376</v>
      </c>
      <c r="C12" s="26" t="s">
        <v>21</v>
      </c>
      <c r="D12" s="75"/>
    </row>
    <row r="13" spans="1:4" x14ac:dyDescent="0.2">
      <c r="A13" s="65" t="s">
        <v>14</v>
      </c>
      <c r="B13" s="76">
        <v>41379</v>
      </c>
      <c r="C13" s="26" t="s">
        <v>22</v>
      </c>
      <c r="D13" s="75"/>
    </row>
    <row r="14" spans="1:4" x14ac:dyDescent="0.2">
      <c r="A14" s="65" t="s">
        <v>14</v>
      </c>
      <c r="B14" s="76">
        <v>41379</v>
      </c>
      <c r="C14" s="26" t="s">
        <v>23</v>
      </c>
      <c r="D14" s="75"/>
    </row>
    <row r="15" spans="1:4" x14ac:dyDescent="0.2">
      <c r="A15" s="65" t="s">
        <v>14</v>
      </c>
      <c r="B15" s="76">
        <v>41379</v>
      </c>
      <c r="C15" s="26" t="s">
        <v>24</v>
      </c>
      <c r="D15" s="75"/>
    </row>
    <row r="16" spans="1:4" x14ac:dyDescent="0.2">
      <c r="A16" s="65" t="s">
        <v>14</v>
      </c>
      <c r="B16" s="76">
        <v>41380</v>
      </c>
      <c r="C16" s="26" t="s">
        <v>25</v>
      </c>
      <c r="D16" s="75"/>
    </row>
    <row r="17" spans="1:3" x14ac:dyDescent="0.2">
      <c r="A17" s="65" t="s">
        <v>14</v>
      </c>
      <c r="B17" s="76">
        <v>41394</v>
      </c>
      <c r="C17" s="26" t="s">
        <v>26</v>
      </c>
    </row>
    <row r="18" spans="1:3" x14ac:dyDescent="0.2">
      <c r="A18" s="65" t="s">
        <v>14</v>
      </c>
      <c r="B18" s="76">
        <v>41407</v>
      </c>
      <c r="C18" s="26" t="s">
        <v>27</v>
      </c>
    </row>
    <row r="19" spans="1:3" x14ac:dyDescent="0.2">
      <c r="A19" s="65" t="s">
        <v>14</v>
      </c>
      <c r="B19" s="76">
        <v>41428</v>
      </c>
      <c r="C19" s="26" t="s">
        <v>28</v>
      </c>
    </row>
    <row r="20" spans="1:3" x14ac:dyDescent="0.2">
      <c r="A20" s="65" t="s">
        <v>14</v>
      </c>
      <c r="B20" s="76">
        <v>41430</v>
      </c>
      <c r="C20" s="26" t="s">
        <v>29</v>
      </c>
    </row>
    <row r="21" spans="1:3" x14ac:dyDescent="0.2">
      <c r="A21" s="65" t="s">
        <v>14</v>
      </c>
      <c r="B21" s="76">
        <v>41435</v>
      </c>
      <c r="C21" s="26" t="s">
        <v>30</v>
      </c>
    </row>
    <row r="22" spans="1:3" x14ac:dyDescent="0.2">
      <c r="A22" s="65" t="s">
        <v>14</v>
      </c>
      <c r="B22" s="76">
        <v>41463</v>
      </c>
      <c r="C22" s="26" t="s">
        <v>31</v>
      </c>
    </row>
    <row r="23" spans="1:3" x14ac:dyDescent="0.2">
      <c r="A23" s="65" t="s">
        <v>14</v>
      </c>
      <c r="B23" s="76">
        <v>41465</v>
      </c>
      <c r="C23" s="26" t="s">
        <v>32</v>
      </c>
    </row>
    <row r="24" spans="1:3" x14ac:dyDescent="0.2">
      <c r="A24" s="65" t="s">
        <v>14</v>
      </c>
      <c r="B24" s="76">
        <v>41549</v>
      </c>
      <c r="C24" s="26" t="s">
        <v>33</v>
      </c>
    </row>
    <row r="25" spans="1:3" x14ac:dyDescent="0.2">
      <c r="A25" s="65" t="s">
        <v>14</v>
      </c>
      <c r="B25" s="76">
        <v>41569</v>
      </c>
      <c r="C25" s="26" t="s">
        <v>34</v>
      </c>
    </row>
    <row r="26" spans="1:3" x14ac:dyDescent="0.2">
      <c r="A26" s="65" t="s">
        <v>14</v>
      </c>
      <c r="B26" s="76">
        <v>41572</v>
      </c>
      <c r="C26" s="26" t="s">
        <v>35</v>
      </c>
    </row>
    <row r="27" spans="1:3" x14ac:dyDescent="0.2">
      <c r="A27" s="65" t="s">
        <v>14</v>
      </c>
      <c r="B27" s="76">
        <v>41599</v>
      </c>
      <c r="C27" s="26" t="s">
        <v>36</v>
      </c>
    </row>
    <row r="28" spans="1:3" x14ac:dyDescent="0.2">
      <c r="A28" s="65" t="s">
        <v>14</v>
      </c>
      <c r="B28" s="76">
        <v>41605</v>
      </c>
      <c r="C28" s="26" t="s">
        <v>37</v>
      </c>
    </row>
    <row r="29" spans="1:3" x14ac:dyDescent="0.2">
      <c r="A29" s="65" t="s">
        <v>14</v>
      </c>
      <c r="B29" s="76">
        <v>41660</v>
      </c>
      <c r="C29" s="26" t="s">
        <v>38</v>
      </c>
    </row>
    <row r="30" spans="1:3" x14ac:dyDescent="0.2">
      <c r="A30" s="65" t="s">
        <v>14</v>
      </c>
      <c r="B30" s="76">
        <v>41667</v>
      </c>
      <c r="C30" s="26" t="s">
        <v>39</v>
      </c>
    </row>
    <row r="31" spans="1:3" x14ac:dyDescent="0.2">
      <c r="A31" s="65" t="s">
        <v>14</v>
      </c>
      <c r="B31" s="76">
        <v>41820</v>
      </c>
      <c r="C31" s="26" t="s">
        <v>40</v>
      </c>
    </row>
    <row r="32" spans="1:3" x14ac:dyDescent="0.2">
      <c r="A32" s="65" t="s">
        <v>14</v>
      </c>
      <c r="B32" s="76">
        <v>41829</v>
      </c>
      <c r="C32" s="26" t="s">
        <v>41</v>
      </c>
    </row>
    <row r="33" spans="1:4" x14ac:dyDescent="0.2">
      <c r="A33" s="65" t="s">
        <v>14</v>
      </c>
      <c r="B33" s="76">
        <v>41830</v>
      </c>
      <c r="C33" s="26" t="s">
        <v>42</v>
      </c>
      <c r="D33" s="75"/>
    </row>
    <row r="34" spans="1:4" x14ac:dyDescent="0.2">
      <c r="A34" s="65" t="s">
        <v>14</v>
      </c>
      <c r="B34" s="76">
        <v>41849</v>
      </c>
      <c r="C34" s="26" t="s">
        <v>43</v>
      </c>
      <c r="D34" s="75"/>
    </row>
    <row r="35" spans="1:4" x14ac:dyDescent="0.2">
      <c r="A35" s="65" t="s">
        <v>14</v>
      </c>
      <c r="B35" s="76">
        <v>41864</v>
      </c>
      <c r="C35" s="26" t="s">
        <v>44</v>
      </c>
      <c r="D35" s="75"/>
    </row>
    <row r="36" spans="1:4" x14ac:dyDescent="0.2">
      <c r="A36" s="65" t="s">
        <v>45</v>
      </c>
      <c r="B36" s="76">
        <v>41932</v>
      </c>
      <c r="C36" s="26" t="s">
        <v>46</v>
      </c>
      <c r="D36" s="75"/>
    </row>
    <row r="37" spans="1:4" x14ac:dyDescent="0.2">
      <c r="A37" s="65" t="s">
        <v>45</v>
      </c>
      <c r="B37" s="76">
        <v>41933</v>
      </c>
      <c r="C37" s="26" t="s">
        <v>47</v>
      </c>
      <c r="D37" s="75"/>
    </row>
    <row r="38" spans="1:4" x14ac:dyDescent="0.2">
      <c r="A38" s="65" t="s">
        <v>14</v>
      </c>
      <c r="B38" s="76">
        <v>41933</v>
      </c>
      <c r="C38" s="26" t="s">
        <v>48</v>
      </c>
      <c r="D38" s="75"/>
    </row>
    <row r="39" spans="1:4" x14ac:dyDescent="0.2">
      <c r="A39" s="65" t="s">
        <v>14</v>
      </c>
      <c r="B39" s="76">
        <v>41940</v>
      </c>
      <c r="C39" s="26" t="s">
        <v>49</v>
      </c>
      <c r="D39" s="75"/>
    </row>
    <row r="40" spans="1:4" x14ac:dyDescent="0.2">
      <c r="A40" s="65" t="s">
        <v>45</v>
      </c>
      <c r="B40" s="76">
        <v>42025</v>
      </c>
      <c r="C40" s="26" t="s">
        <v>50</v>
      </c>
      <c r="D40" s="75"/>
    </row>
    <row r="41" spans="1:4" x14ac:dyDescent="0.2">
      <c r="A41" s="65" t="s">
        <v>45</v>
      </c>
      <c r="B41" s="76">
        <v>42025</v>
      </c>
      <c r="C41" s="26" t="s">
        <v>51</v>
      </c>
      <c r="D41" s="75"/>
    </row>
    <row r="42" spans="1:4" x14ac:dyDescent="0.2">
      <c r="A42" s="65" t="s">
        <v>52</v>
      </c>
      <c r="B42" s="76">
        <v>42037</v>
      </c>
      <c r="C42" s="26" t="s">
        <v>53</v>
      </c>
      <c r="D42" s="75"/>
    </row>
    <row r="43" spans="1:4" x14ac:dyDescent="0.2">
      <c r="A43" s="65" t="s">
        <v>14</v>
      </c>
      <c r="B43" s="76">
        <v>42039</v>
      </c>
      <c r="C43" s="26" t="s">
        <v>54</v>
      </c>
      <c r="D43" s="75"/>
    </row>
    <row r="44" spans="1:4" x14ac:dyDescent="0.2">
      <c r="A44" s="65" t="s">
        <v>14</v>
      </c>
      <c r="B44" s="76">
        <v>42046</v>
      </c>
      <c r="C44" s="26" t="s">
        <v>55</v>
      </c>
      <c r="D44" s="75"/>
    </row>
    <row r="45" spans="1:4" x14ac:dyDescent="0.2">
      <c r="A45" s="65" t="s">
        <v>14</v>
      </c>
      <c r="B45" s="76">
        <v>42076</v>
      </c>
      <c r="C45" s="26" t="s">
        <v>56</v>
      </c>
      <c r="D45" s="75"/>
    </row>
    <row r="46" spans="1:4" x14ac:dyDescent="0.2">
      <c r="A46" s="65" t="s">
        <v>14</v>
      </c>
      <c r="B46" s="76">
        <v>42144</v>
      </c>
      <c r="C46" s="26" t="s">
        <v>57</v>
      </c>
      <c r="D46" s="75"/>
    </row>
    <row r="47" spans="1:4" x14ac:dyDescent="0.2">
      <c r="A47" s="65" t="s">
        <v>14</v>
      </c>
      <c r="B47" s="76">
        <v>42173</v>
      </c>
      <c r="C47" s="26" t="s">
        <v>58</v>
      </c>
      <c r="D47" s="75" t="s">
        <v>59</v>
      </c>
    </row>
    <row r="48" spans="1:4" x14ac:dyDescent="0.2">
      <c r="A48" s="65" t="s">
        <v>14</v>
      </c>
      <c r="B48" s="76">
        <v>42177</v>
      </c>
      <c r="C48" s="26" t="s">
        <v>60</v>
      </c>
      <c r="D48" s="75"/>
    </row>
    <row r="49" spans="1:3" x14ac:dyDescent="0.2">
      <c r="A49" s="65" t="s">
        <v>14</v>
      </c>
      <c r="B49" s="76">
        <v>42201</v>
      </c>
      <c r="C49" s="26" t="s">
        <v>48</v>
      </c>
    </row>
    <row r="50" spans="1:3" x14ac:dyDescent="0.2">
      <c r="A50" s="65" t="s">
        <v>14</v>
      </c>
      <c r="B50" s="76">
        <v>42240</v>
      </c>
      <c r="C50" s="26" t="s">
        <v>61</v>
      </c>
    </row>
    <row r="51" spans="1:3" x14ac:dyDescent="0.2">
      <c r="A51" s="65" t="s">
        <v>14</v>
      </c>
      <c r="B51" s="76">
        <v>42286</v>
      </c>
      <c r="C51" s="26" t="s">
        <v>62</v>
      </c>
    </row>
    <row r="52" spans="1:3" x14ac:dyDescent="0.2">
      <c r="A52" s="65" t="s">
        <v>14</v>
      </c>
      <c r="B52" s="76">
        <v>42289</v>
      </c>
      <c r="C52" s="26" t="s">
        <v>63</v>
      </c>
    </row>
    <row r="53" spans="1:3" x14ac:dyDescent="0.2">
      <c r="A53" s="65" t="s">
        <v>14</v>
      </c>
      <c r="B53" s="76">
        <v>42300</v>
      </c>
      <c r="C53" s="26" t="s">
        <v>64</v>
      </c>
    </row>
    <row r="54" spans="1:3" x14ac:dyDescent="0.2">
      <c r="A54" s="65" t="s">
        <v>14</v>
      </c>
      <c r="B54" s="76">
        <v>42303</v>
      </c>
      <c r="C54" s="26" t="s">
        <v>48</v>
      </c>
    </row>
    <row r="55" spans="1:3" x14ac:dyDescent="0.2">
      <c r="A55" s="65" t="s">
        <v>14</v>
      </c>
      <c r="B55" s="76">
        <v>42304</v>
      </c>
      <c r="C55" s="26" t="s">
        <v>65</v>
      </c>
    </row>
    <row r="56" spans="1:3" x14ac:dyDescent="0.2">
      <c r="A56" s="65" t="s">
        <v>14</v>
      </c>
      <c r="B56" s="76">
        <v>42310</v>
      </c>
      <c r="C56" s="26" t="s">
        <v>66</v>
      </c>
    </row>
    <row r="57" spans="1:3" x14ac:dyDescent="0.2">
      <c r="A57" s="65" t="s">
        <v>14</v>
      </c>
      <c r="B57" s="76">
        <v>42321</v>
      </c>
      <c r="C57" s="26" t="s">
        <v>67</v>
      </c>
    </row>
    <row r="58" spans="1:3" x14ac:dyDescent="0.2">
      <c r="A58" s="65" t="s">
        <v>14</v>
      </c>
      <c r="B58" s="76">
        <v>42326</v>
      </c>
      <c r="C58" s="26" t="s">
        <v>68</v>
      </c>
    </row>
    <row r="59" spans="1:3" x14ac:dyDescent="0.2">
      <c r="A59" s="65" t="s">
        <v>14</v>
      </c>
      <c r="B59" s="76">
        <v>42377</v>
      </c>
      <c r="C59" s="26" t="s">
        <v>69</v>
      </c>
    </row>
    <row r="60" spans="1:3" x14ac:dyDescent="0.2">
      <c r="A60" s="65" t="s">
        <v>14</v>
      </c>
      <c r="B60" s="76">
        <v>42394</v>
      </c>
      <c r="C60" s="26" t="s">
        <v>70</v>
      </c>
    </row>
    <row r="61" spans="1:3" x14ac:dyDescent="0.2">
      <c r="A61" s="65" t="s">
        <v>14</v>
      </c>
      <c r="B61" s="76">
        <v>42395</v>
      </c>
      <c r="C61" s="26" t="s">
        <v>71</v>
      </c>
    </row>
    <row r="62" spans="1:3" x14ac:dyDescent="0.2">
      <c r="A62" s="65" t="s">
        <v>14</v>
      </c>
      <c r="B62" s="76">
        <v>42396</v>
      </c>
      <c r="C62" s="26" t="s">
        <v>72</v>
      </c>
    </row>
    <row r="63" spans="1:3" x14ac:dyDescent="0.2">
      <c r="A63" s="65" t="s">
        <v>14</v>
      </c>
      <c r="B63" s="76">
        <v>42417</v>
      </c>
      <c r="C63" s="26" t="s">
        <v>73</v>
      </c>
    </row>
    <row r="64" spans="1:3" x14ac:dyDescent="0.2">
      <c r="A64" s="65" t="s">
        <v>14</v>
      </c>
      <c r="B64" s="76">
        <v>42444</v>
      </c>
      <c r="C64" s="26" t="s">
        <v>74</v>
      </c>
    </row>
    <row r="65" spans="1:3" x14ac:dyDescent="0.2">
      <c r="A65" s="65" t="s">
        <v>14</v>
      </c>
      <c r="B65" s="76">
        <v>42451</v>
      </c>
      <c r="C65" s="26" t="s">
        <v>75</v>
      </c>
    </row>
    <row r="66" spans="1:3" x14ac:dyDescent="0.2">
      <c r="A66" s="65" t="s">
        <v>14</v>
      </c>
      <c r="B66" s="76">
        <v>42098</v>
      </c>
      <c r="C66" s="26" t="s">
        <v>48</v>
      </c>
    </row>
    <row r="67" spans="1:3" x14ac:dyDescent="0.2">
      <c r="A67" s="65" t="s">
        <v>14</v>
      </c>
      <c r="B67" s="76">
        <v>42471</v>
      </c>
      <c r="C67" s="26" t="s">
        <v>76</v>
      </c>
    </row>
    <row r="68" spans="1:3" x14ac:dyDescent="0.2">
      <c r="A68" s="65" t="s">
        <v>14</v>
      </c>
      <c r="B68" s="76">
        <v>42524</v>
      </c>
      <c r="C68" s="26" t="s">
        <v>77</v>
      </c>
    </row>
    <row r="69" spans="1:3" x14ac:dyDescent="0.2">
      <c r="A69" s="65" t="s">
        <v>14</v>
      </c>
      <c r="B69" s="76">
        <v>42577</v>
      </c>
      <c r="C69" s="26" t="s">
        <v>78</v>
      </c>
    </row>
    <row r="70" spans="1:3" x14ac:dyDescent="0.2">
      <c r="A70" s="65" t="s">
        <v>14</v>
      </c>
      <c r="B70" s="76">
        <v>42594</v>
      </c>
      <c r="C70" s="26" t="s">
        <v>79</v>
      </c>
    </row>
    <row r="71" spans="1:3" x14ac:dyDescent="0.2">
      <c r="A71" s="65" t="s">
        <v>14</v>
      </c>
      <c r="B71" s="76">
        <v>42632</v>
      </c>
      <c r="C71" s="26" t="s">
        <v>80</v>
      </c>
    </row>
    <row r="72" spans="1:3" x14ac:dyDescent="0.2">
      <c r="A72" s="65" t="s">
        <v>14</v>
      </c>
      <c r="B72" s="76">
        <v>42647</v>
      </c>
      <c r="C72" s="26" t="s">
        <v>81</v>
      </c>
    </row>
    <row r="73" spans="1:3" x14ac:dyDescent="0.2">
      <c r="A73" s="65" t="s">
        <v>14</v>
      </c>
      <c r="B73" s="76">
        <v>42661</v>
      </c>
      <c r="C73" s="26" t="s">
        <v>82</v>
      </c>
    </row>
    <row r="74" spans="1:3" x14ac:dyDescent="0.2">
      <c r="A74" s="65" t="s">
        <v>14</v>
      </c>
      <c r="B74" s="76">
        <v>42692</v>
      </c>
      <c r="C74" s="26" t="s">
        <v>83</v>
      </c>
    </row>
    <row r="75" spans="1:3" x14ac:dyDescent="0.2">
      <c r="A75" s="65" t="s">
        <v>14</v>
      </c>
      <c r="B75" s="76">
        <v>42710</v>
      </c>
      <c r="C75" s="26" t="s">
        <v>84</v>
      </c>
    </row>
    <row r="76" spans="1:3" x14ac:dyDescent="0.2">
      <c r="A76" s="65" t="s">
        <v>14</v>
      </c>
      <c r="B76" s="76">
        <v>42723</v>
      </c>
      <c r="C76" s="26" t="s">
        <v>85</v>
      </c>
    </row>
    <row r="77" spans="1:3" x14ac:dyDescent="0.2">
      <c r="A77" s="65" t="s">
        <v>14</v>
      </c>
      <c r="B77" s="76">
        <v>42767</v>
      </c>
      <c r="C77" s="26" t="s">
        <v>86</v>
      </c>
    </row>
    <row r="78" spans="1:3" x14ac:dyDescent="0.2">
      <c r="A78" s="65" t="s">
        <v>14</v>
      </c>
      <c r="B78" s="76">
        <v>42783</v>
      </c>
      <c r="C78" s="26" t="s">
        <v>87</v>
      </c>
    </row>
    <row r="79" spans="1:3" x14ac:dyDescent="0.2">
      <c r="A79" s="65" t="s">
        <v>14</v>
      </c>
      <c r="B79" s="76">
        <v>42779</v>
      </c>
      <c r="C79" s="26" t="s">
        <v>48</v>
      </c>
    </row>
    <row r="80" spans="1:3" x14ac:dyDescent="0.2">
      <c r="A80" s="65" t="s">
        <v>88</v>
      </c>
      <c r="B80" s="76">
        <v>42850</v>
      </c>
      <c r="C80" s="26" t="s">
        <v>75</v>
      </c>
    </row>
    <row r="81" spans="1:3" x14ac:dyDescent="0.2">
      <c r="A81" s="65" t="s">
        <v>88</v>
      </c>
      <c r="B81" s="76">
        <v>42879</v>
      </c>
      <c r="C81" s="26" t="s">
        <v>89</v>
      </c>
    </row>
    <row r="82" spans="1:3" x14ac:dyDescent="0.2">
      <c r="A82" s="65" t="s">
        <v>88</v>
      </c>
      <c r="B82" s="76">
        <v>42879</v>
      </c>
      <c r="C82" s="26" t="s">
        <v>90</v>
      </c>
    </row>
    <row r="83" spans="1:3" x14ac:dyDescent="0.2">
      <c r="A83" s="65" t="s">
        <v>88</v>
      </c>
      <c r="B83" s="76">
        <v>42879</v>
      </c>
      <c r="C83" s="26" t="s">
        <v>91</v>
      </c>
    </row>
    <row r="84" spans="1:3" x14ac:dyDescent="0.2">
      <c r="A84" s="65" t="s">
        <v>88</v>
      </c>
      <c r="B84" s="76">
        <v>42900</v>
      </c>
      <c r="C84" s="26" t="s">
        <v>92</v>
      </c>
    </row>
    <row r="85" spans="1:3" x14ac:dyDescent="0.2">
      <c r="A85" s="65" t="s">
        <v>88</v>
      </c>
      <c r="B85" s="76">
        <v>42913</v>
      </c>
      <c r="C85" s="26" t="s">
        <v>93</v>
      </c>
    </row>
    <row r="86" spans="1:3" x14ac:dyDescent="0.2">
      <c r="A86" s="65" t="s">
        <v>88</v>
      </c>
      <c r="B86" s="76">
        <v>42913</v>
      </c>
      <c r="C86" s="26" t="s">
        <v>94</v>
      </c>
    </row>
    <row r="87" spans="1:3" x14ac:dyDescent="0.2">
      <c r="A87" s="65" t="s">
        <v>88</v>
      </c>
      <c r="B87" s="76">
        <v>42934</v>
      </c>
      <c r="C87" s="26" t="s">
        <v>95</v>
      </c>
    </row>
    <row r="88" spans="1:3" x14ac:dyDescent="0.2">
      <c r="A88" s="65" t="s">
        <v>88</v>
      </c>
      <c r="B88" s="76">
        <v>42942</v>
      </c>
      <c r="C88" s="26" t="s">
        <v>96</v>
      </c>
    </row>
    <row r="89" spans="1:3" x14ac:dyDescent="0.2">
      <c r="A89" s="65" t="s">
        <v>88</v>
      </c>
      <c r="B89" s="76">
        <v>42975</v>
      </c>
      <c r="C89" s="26" t="s">
        <v>48</v>
      </c>
    </row>
    <row r="90" spans="1:3" x14ac:dyDescent="0.2">
      <c r="A90" s="65" t="s">
        <v>88</v>
      </c>
      <c r="B90" s="76">
        <v>42990</v>
      </c>
      <c r="C90" s="26" t="s">
        <v>97</v>
      </c>
    </row>
    <row r="91" spans="1:3" x14ac:dyDescent="0.2">
      <c r="A91" s="65" t="s">
        <v>14</v>
      </c>
      <c r="B91" s="76">
        <v>42992</v>
      </c>
      <c r="C91" s="26" t="s">
        <v>98</v>
      </c>
    </row>
    <row r="92" spans="1:3" x14ac:dyDescent="0.2">
      <c r="A92" s="65" t="s">
        <v>88</v>
      </c>
      <c r="B92" s="76">
        <v>42998</v>
      </c>
      <c r="C92" s="26" t="s">
        <v>99</v>
      </c>
    </row>
    <row r="93" spans="1:3" x14ac:dyDescent="0.2">
      <c r="A93" s="65" t="s">
        <v>88</v>
      </c>
      <c r="B93" s="76">
        <v>43024</v>
      </c>
      <c r="C93" s="26" t="s">
        <v>100</v>
      </c>
    </row>
    <row r="94" spans="1:3" x14ac:dyDescent="0.2">
      <c r="A94" s="65" t="s">
        <v>88</v>
      </c>
      <c r="B94" s="76">
        <v>43033</v>
      </c>
      <c r="C94" s="26" t="s">
        <v>101</v>
      </c>
    </row>
    <row r="95" spans="1:3" x14ac:dyDescent="0.2">
      <c r="A95" s="65" t="s">
        <v>88</v>
      </c>
      <c r="B95" s="76">
        <v>43055</v>
      </c>
      <c r="C95" s="26" t="s">
        <v>102</v>
      </c>
    </row>
    <row r="96" spans="1:3" x14ac:dyDescent="0.2">
      <c r="A96" s="65" t="s">
        <v>88</v>
      </c>
      <c r="B96" s="76">
        <v>43059</v>
      </c>
      <c r="C96" s="26" t="s">
        <v>103</v>
      </c>
    </row>
    <row r="97" spans="1:3" x14ac:dyDescent="0.2">
      <c r="A97" s="65" t="s">
        <v>88</v>
      </c>
      <c r="B97" s="76">
        <v>43069</v>
      </c>
      <c r="C97" s="26" t="s">
        <v>104</v>
      </c>
    </row>
    <row r="98" spans="1:3" x14ac:dyDescent="0.2">
      <c r="A98" s="63" t="s">
        <v>88</v>
      </c>
      <c r="B98" s="76">
        <v>43104</v>
      </c>
      <c r="C98" s="20" t="s">
        <v>105</v>
      </c>
    </row>
    <row r="99" spans="1:3" x14ac:dyDescent="0.2">
      <c r="A99" s="63" t="s">
        <v>88</v>
      </c>
      <c r="B99" s="76">
        <v>43117</v>
      </c>
      <c r="C99" s="20" t="s">
        <v>106</v>
      </c>
    </row>
    <row r="100" spans="1:3" x14ac:dyDescent="0.2">
      <c r="A100" s="65" t="s">
        <v>88</v>
      </c>
      <c r="B100" s="76">
        <v>43136</v>
      </c>
      <c r="C100" s="26" t="s">
        <v>107</v>
      </c>
    </row>
    <row r="101" spans="1:3" x14ac:dyDescent="0.2">
      <c r="A101" s="63" t="s">
        <v>88</v>
      </c>
      <c r="B101" s="76">
        <v>43150</v>
      </c>
      <c r="C101" s="20" t="s">
        <v>108</v>
      </c>
    </row>
    <row r="102" spans="1:3" x14ac:dyDescent="0.2">
      <c r="A102" s="63" t="s">
        <v>88</v>
      </c>
      <c r="B102" s="76">
        <v>43164</v>
      </c>
      <c r="C102" s="20" t="s">
        <v>109</v>
      </c>
    </row>
    <row r="103" spans="1:3" x14ac:dyDescent="0.2">
      <c r="A103" s="63" t="s">
        <v>88</v>
      </c>
      <c r="B103" s="76">
        <v>43167</v>
      </c>
      <c r="C103" s="20" t="s">
        <v>110</v>
      </c>
    </row>
    <row r="104" spans="1:3" x14ac:dyDescent="0.2">
      <c r="A104" s="65" t="s">
        <v>88</v>
      </c>
      <c r="B104" s="76">
        <v>43208</v>
      </c>
      <c r="C104" s="26" t="s">
        <v>111</v>
      </c>
    </row>
    <row r="105" spans="1:3" x14ac:dyDescent="0.2">
      <c r="A105" s="63" t="s">
        <v>88</v>
      </c>
      <c r="B105" s="76">
        <v>43212</v>
      </c>
      <c r="C105" s="20" t="s">
        <v>112</v>
      </c>
    </row>
    <row r="106" spans="1:3" x14ac:dyDescent="0.2">
      <c r="A106" s="63" t="s">
        <v>88</v>
      </c>
      <c r="B106" s="76">
        <v>43216</v>
      </c>
      <c r="C106" s="20" t="s">
        <v>113</v>
      </c>
    </row>
    <row r="107" spans="1:3" x14ac:dyDescent="0.2">
      <c r="A107" s="63" t="s">
        <v>88</v>
      </c>
      <c r="B107" s="66">
        <v>43251</v>
      </c>
      <c r="C107" s="20" t="s">
        <v>114</v>
      </c>
    </row>
    <row r="108" spans="1:3" x14ac:dyDescent="0.2">
      <c r="A108" s="63" t="s">
        <v>88</v>
      </c>
      <c r="B108" s="76">
        <v>43256</v>
      </c>
      <c r="C108" s="20" t="s">
        <v>115</v>
      </c>
    </row>
    <row r="109" spans="1:3" x14ac:dyDescent="0.2">
      <c r="A109" s="63" t="s">
        <v>88</v>
      </c>
      <c r="B109" s="76">
        <v>43264</v>
      </c>
      <c r="C109" s="20" t="s">
        <v>116</v>
      </c>
    </row>
    <row r="110" spans="1:3" x14ac:dyDescent="0.2">
      <c r="A110" s="63" t="s">
        <v>88</v>
      </c>
      <c r="B110" s="76">
        <v>43363</v>
      </c>
      <c r="C110" s="26" t="s">
        <v>117</v>
      </c>
    </row>
    <row r="111" spans="1:3" x14ac:dyDescent="0.2">
      <c r="A111" s="63" t="s">
        <v>88</v>
      </c>
      <c r="B111" s="76">
        <v>43374</v>
      </c>
      <c r="C111" s="20" t="s">
        <v>118</v>
      </c>
    </row>
    <row r="112" spans="1:3" x14ac:dyDescent="0.2">
      <c r="A112" s="65" t="s">
        <v>88</v>
      </c>
      <c r="B112" s="76">
        <v>43374</v>
      </c>
      <c r="C112" s="26" t="s">
        <v>12</v>
      </c>
    </row>
    <row r="113" spans="1:3" x14ac:dyDescent="0.2">
      <c r="A113" s="63" t="s">
        <v>88</v>
      </c>
      <c r="B113" s="76">
        <v>43446</v>
      </c>
      <c r="C113" s="20" t="s">
        <v>119</v>
      </c>
    </row>
    <row r="114" spans="1:3" x14ac:dyDescent="0.2">
      <c r="A114" s="63" t="s">
        <v>88</v>
      </c>
      <c r="B114" s="76">
        <v>43467</v>
      </c>
      <c r="C114" s="20" t="s">
        <v>120</v>
      </c>
    </row>
    <row r="115" spans="1:3" x14ac:dyDescent="0.2">
      <c r="A115" s="63" t="s">
        <v>88</v>
      </c>
      <c r="B115" s="76">
        <v>43479</v>
      </c>
      <c r="C115" s="26" t="s">
        <v>121</v>
      </c>
    </row>
    <row r="116" spans="1:3" x14ac:dyDescent="0.2">
      <c r="A116" s="63" t="s">
        <v>88</v>
      </c>
      <c r="B116" s="76">
        <v>43481</v>
      </c>
      <c r="C116" s="20" t="s">
        <v>122</v>
      </c>
    </row>
    <row r="117" spans="1:3" x14ac:dyDescent="0.2">
      <c r="A117" s="65"/>
      <c r="B117" s="76">
        <v>43547</v>
      </c>
      <c r="C117" s="26" t="s">
        <v>123</v>
      </c>
    </row>
    <row r="118" spans="1:3" x14ac:dyDescent="0.2">
      <c r="A118" s="63" t="s">
        <v>124</v>
      </c>
      <c r="B118" s="76">
        <v>43725</v>
      </c>
      <c r="C118" s="26" t="s">
        <v>125</v>
      </c>
    </row>
    <row r="119" spans="1:3" x14ac:dyDescent="0.2">
      <c r="A119" s="63" t="s">
        <v>88</v>
      </c>
      <c r="B119" s="76">
        <v>43745</v>
      </c>
      <c r="C119" s="20" t="s">
        <v>126</v>
      </c>
    </row>
    <row r="120" spans="1:3" x14ac:dyDescent="0.2">
      <c r="A120" s="63" t="s">
        <v>88</v>
      </c>
      <c r="B120" s="76">
        <v>43756</v>
      </c>
      <c r="C120" s="20" t="s">
        <v>127</v>
      </c>
    </row>
    <row r="121" spans="1:3" x14ac:dyDescent="0.2">
      <c r="A121" s="63" t="s">
        <v>88</v>
      </c>
      <c r="B121" s="76">
        <v>43761</v>
      </c>
      <c r="C121" s="20" t="s">
        <v>128</v>
      </c>
    </row>
    <row r="122" spans="1:3" x14ac:dyDescent="0.2">
      <c r="A122" s="65" t="s">
        <v>88</v>
      </c>
      <c r="B122" s="76">
        <v>43896</v>
      </c>
      <c r="C122" s="26" t="s">
        <v>129</v>
      </c>
    </row>
    <row r="123" spans="1:3" x14ac:dyDescent="0.2">
      <c r="A123" s="63" t="s">
        <v>88</v>
      </c>
      <c r="B123" s="76">
        <v>43918</v>
      </c>
      <c r="C123" s="20" t="s">
        <v>130</v>
      </c>
    </row>
    <row r="124" spans="1:3" x14ac:dyDescent="0.2">
      <c r="A124" s="63" t="s">
        <v>88</v>
      </c>
      <c r="B124" s="76">
        <v>43978</v>
      </c>
      <c r="C124" s="20" t="s">
        <v>131</v>
      </c>
    </row>
    <row r="125" spans="1:3" x14ac:dyDescent="0.2">
      <c r="A125" s="63" t="s">
        <v>88</v>
      </c>
      <c r="B125" s="20" t="s">
        <v>132</v>
      </c>
      <c r="C125" s="20" t="s">
        <v>133</v>
      </c>
    </row>
    <row r="126" spans="1:3" x14ac:dyDescent="0.2">
      <c r="A126" s="65" t="s">
        <v>124</v>
      </c>
      <c r="B126" s="76">
        <v>44007</v>
      </c>
      <c r="C126" s="26" t="s">
        <v>134</v>
      </c>
    </row>
    <row r="127" spans="1:3" x14ac:dyDescent="0.2">
      <c r="A127" s="65" t="s">
        <v>124</v>
      </c>
      <c r="B127" s="76">
        <v>44020</v>
      </c>
      <c r="C127" s="26" t="s">
        <v>135</v>
      </c>
    </row>
    <row r="128" spans="1:3" x14ac:dyDescent="0.2">
      <c r="A128" s="63" t="s">
        <v>124</v>
      </c>
      <c r="B128" s="76">
        <v>44028</v>
      </c>
      <c r="C128" s="20" t="s">
        <v>108</v>
      </c>
    </row>
    <row r="129" spans="1:3" x14ac:dyDescent="0.2">
      <c r="A129" s="63" t="s">
        <v>124</v>
      </c>
      <c r="B129" s="76">
        <v>44032</v>
      </c>
      <c r="C129" s="20" t="s">
        <v>136</v>
      </c>
    </row>
    <row r="130" spans="1:3" x14ac:dyDescent="0.2">
      <c r="A130" s="63" t="s">
        <v>124</v>
      </c>
      <c r="B130" s="76">
        <v>44070</v>
      </c>
      <c r="C130" s="20" t="s">
        <v>137</v>
      </c>
    </row>
    <row r="131" spans="1:3" x14ac:dyDescent="0.2">
      <c r="A131" s="65" t="s">
        <v>124</v>
      </c>
      <c r="B131" s="76">
        <v>44104</v>
      </c>
      <c r="C131" s="26" t="s">
        <v>138</v>
      </c>
    </row>
    <row r="132" spans="1:3" x14ac:dyDescent="0.2">
      <c r="A132" s="65" t="s">
        <v>124</v>
      </c>
      <c r="B132" s="76">
        <v>44120</v>
      </c>
      <c r="C132" s="26" t="s">
        <v>139</v>
      </c>
    </row>
    <row r="133" spans="1:3" x14ac:dyDescent="0.2">
      <c r="A133" s="65" t="s">
        <v>124</v>
      </c>
      <c r="B133" s="76">
        <v>44132</v>
      </c>
      <c r="C133" s="26" t="s">
        <v>140</v>
      </c>
    </row>
    <row r="134" spans="1:3" x14ac:dyDescent="0.2">
      <c r="A134" s="65" t="s">
        <v>124</v>
      </c>
      <c r="B134" s="76">
        <v>44167</v>
      </c>
      <c r="C134" s="26" t="s">
        <v>12</v>
      </c>
    </row>
    <row r="135" spans="1:3" x14ac:dyDescent="0.2">
      <c r="A135" s="65" t="s">
        <v>124</v>
      </c>
      <c r="B135" s="76">
        <v>44174</v>
      </c>
      <c r="C135" s="26" t="s">
        <v>141</v>
      </c>
    </row>
    <row r="136" spans="1:3" x14ac:dyDescent="0.2">
      <c r="A136" s="63" t="s">
        <v>124</v>
      </c>
      <c r="B136" s="76">
        <v>44216</v>
      </c>
      <c r="C136" s="20" t="s">
        <v>142</v>
      </c>
    </row>
    <row r="137" spans="1:3" x14ac:dyDescent="0.2">
      <c r="A137" s="65" t="s">
        <v>124</v>
      </c>
      <c r="B137" s="76">
        <v>44223</v>
      </c>
      <c r="C137" s="26" t="s">
        <v>143</v>
      </c>
    </row>
    <row r="138" spans="1:3" x14ac:dyDescent="0.2">
      <c r="A138" s="63" t="s">
        <v>124</v>
      </c>
      <c r="B138" s="76">
        <v>44277</v>
      </c>
      <c r="C138" s="20" t="s">
        <v>144</v>
      </c>
    </row>
    <row r="139" spans="1:3" x14ac:dyDescent="0.2">
      <c r="A139" s="65" t="s">
        <v>124</v>
      </c>
      <c r="B139" s="76">
        <v>44334</v>
      </c>
      <c r="C139" s="26" t="s">
        <v>145</v>
      </c>
    </row>
    <row r="140" spans="1:3" x14ac:dyDescent="0.2">
      <c r="A140" s="65" t="s">
        <v>124</v>
      </c>
      <c r="B140" s="76">
        <v>44335</v>
      </c>
      <c r="C140" s="26" t="s">
        <v>146</v>
      </c>
    </row>
    <row r="141" spans="1:3" x14ac:dyDescent="0.2">
      <c r="A141" s="65" t="s">
        <v>124</v>
      </c>
      <c r="B141" s="76">
        <v>44335</v>
      </c>
      <c r="C141" s="26" t="s">
        <v>147</v>
      </c>
    </row>
    <row r="142" spans="1:3" x14ac:dyDescent="0.2">
      <c r="A142" s="65" t="s">
        <v>124</v>
      </c>
      <c r="B142" s="76">
        <v>44341</v>
      </c>
      <c r="C142" s="26" t="s">
        <v>148</v>
      </c>
    </row>
    <row r="143" spans="1:3" x14ac:dyDescent="0.2">
      <c r="A143" s="65" t="s">
        <v>124</v>
      </c>
      <c r="B143" s="76">
        <v>44363</v>
      </c>
      <c r="C143" s="26" t="s">
        <v>149</v>
      </c>
    </row>
    <row r="144" spans="1:3" x14ac:dyDescent="0.2">
      <c r="A144" s="65" t="s">
        <v>124</v>
      </c>
      <c r="B144" s="76">
        <v>44368</v>
      </c>
      <c r="C144" s="26" t="s">
        <v>150</v>
      </c>
    </row>
    <row r="145" spans="1:3" x14ac:dyDescent="0.2">
      <c r="A145" s="65" t="s">
        <v>124</v>
      </c>
      <c r="B145" s="76">
        <v>44391</v>
      </c>
      <c r="C145" s="26" t="s">
        <v>151</v>
      </c>
    </row>
    <row r="146" spans="1:3" x14ac:dyDescent="0.2">
      <c r="A146" s="65" t="s">
        <v>124</v>
      </c>
      <c r="B146" s="76">
        <v>44418</v>
      </c>
      <c r="C146" s="26" t="s">
        <v>152</v>
      </c>
    </row>
    <row r="147" spans="1:3" x14ac:dyDescent="0.2">
      <c r="A147" s="65" t="s">
        <v>124</v>
      </c>
      <c r="B147" s="76">
        <v>44518</v>
      </c>
      <c r="C147" s="26" t="s">
        <v>153</v>
      </c>
    </row>
    <row r="148" spans="1:3" x14ac:dyDescent="0.2">
      <c r="A148" s="65" t="s">
        <v>124</v>
      </c>
      <c r="B148" s="76">
        <v>44579</v>
      </c>
      <c r="C148" s="26" t="s">
        <v>154</v>
      </c>
    </row>
    <row r="149" spans="1:3" x14ac:dyDescent="0.2">
      <c r="A149" s="63" t="s">
        <v>124</v>
      </c>
      <c r="B149" s="76">
        <v>44634</v>
      </c>
      <c r="C149" s="20" t="s">
        <v>155</v>
      </c>
    </row>
    <row r="150" spans="1:3" x14ac:dyDescent="0.2">
      <c r="A150" s="65" t="s">
        <v>124</v>
      </c>
      <c r="B150" s="76">
        <v>44642</v>
      </c>
      <c r="C150" s="26" t="s">
        <v>156</v>
      </c>
    </row>
    <row r="151" spans="1:3" x14ac:dyDescent="0.2">
      <c r="A151" s="65" t="s">
        <v>124</v>
      </c>
      <c r="B151" s="76">
        <v>44690</v>
      </c>
      <c r="C151" s="26" t="s">
        <v>157</v>
      </c>
    </row>
    <row r="152" spans="1:3" x14ac:dyDescent="0.2">
      <c r="A152" s="65" t="s">
        <v>124</v>
      </c>
      <c r="B152" s="76">
        <v>44747</v>
      </c>
      <c r="C152" s="26" t="s">
        <v>158</v>
      </c>
    </row>
    <row r="153" spans="1:3" x14ac:dyDescent="0.2">
      <c r="A153" s="65" t="s">
        <v>124</v>
      </c>
      <c r="B153" s="76">
        <v>44790</v>
      </c>
      <c r="C153" s="26" t="s">
        <v>159</v>
      </c>
    </row>
    <row r="154" spans="1:3" x14ac:dyDescent="0.2">
      <c r="A154" s="65" t="s">
        <v>124</v>
      </c>
      <c r="B154" s="76">
        <v>44824</v>
      </c>
      <c r="C154" s="26" t="s">
        <v>160</v>
      </c>
    </row>
    <row r="155" spans="1:3" x14ac:dyDescent="0.2">
      <c r="A155" s="65" t="s">
        <v>124</v>
      </c>
      <c r="B155" s="76">
        <v>44838</v>
      </c>
      <c r="C155" s="26" t="s">
        <v>161</v>
      </c>
    </row>
    <row r="156" spans="1:3" x14ac:dyDescent="0.2">
      <c r="A156" s="65" t="s">
        <v>124</v>
      </c>
      <c r="B156" s="76">
        <v>44851</v>
      </c>
      <c r="C156" s="26" t="s">
        <v>162</v>
      </c>
    </row>
    <row r="157" spans="1:3" x14ac:dyDescent="0.2">
      <c r="A157" s="65" t="s">
        <v>124</v>
      </c>
      <c r="B157" s="76">
        <v>44867</v>
      </c>
      <c r="C157" s="26" t="s">
        <v>163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I106"/>
  <sheetViews>
    <sheetView topLeftCell="A18" zoomScale="85" zoomScaleNormal="85" workbookViewId="0">
      <selection activeCell="C3" sqref="C3"/>
    </sheetView>
  </sheetViews>
  <sheetFormatPr defaultColWidth="9.140625" defaultRowHeight="12.75" x14ac:dyDescent="0.2"/>
  <cols>
    <col min="1" max="1" width="1.85546875" style="51" customWidth="1"/>
    <col min="2" max="2" width="23.85546875" style="51" customWidth="1"/>
    <col min="3" max="3" width="35.42578125" style="51" customWidth="1"/>
    <col min="4" max="4" width="2" style="51" customWidth="1"/>
    <col min="5" max="5" width="116" style="51" bestFit="1" customWidth="1"/>
    <col min="6" max="6" width="9.140625" style="51"/>
    <col min="7" max="7" width="12.7109375" style="51" bestFit="1" customWidth="1"/>
    <col min="8" max="16384" width="9.140625" style="51"/>
  </cols>
  <sheetData>
    <row r="1" spans="2:5" x14ac:dyDescent="0.2">
      <c r="B1" s="134" t="s">
        <v>164</v>
      </c>
      <c r="C1" s="134"/>
      <c r="D1" s="113"/>
      <c r="E1" s="7" t="s">
        <v>165</v>
      </c>
    </row>
    <row r="2" spans="2:5" x14ac:dyDescent="0.2">
      <c r="B2" s="77" t="s">
        <v>166</v>
      </c>
      <c r="C2" s="78" t="s">
        <v>167</v>
      </c>
      <c r="D2" s="113"/>
      <c r="E2" s="79" t="s">
        <v>168</v>
      </c>
    </row>
    <row r="3" spans="2:5" x14ac:dyDescent="0.2">
      <c r="B3" s="40" t="s">
        <v>169</v>
      </c>
      <c r="C3" s="80" t="s">
        <v>782</v>
      </c>
      <c r="D3" s="113"/>
      <c r="E3" s="19" t="s">
        <v>171</v>
      </c>
    </row>
    <row r="4" spans="2:5" x14ac:dyDescent="0.2">
      <c r="B4" s="40" t="s">
        <v>172</v>
      </c>
      <c r="C4" s="80" t="s">
        <v>173</v>
      </c>
      <c r="D4" s="113"/>
      <c r="E4" s="19"/>
    </row>
    <row r="5" spans="2:5" x14ac:dyDescent="0.2">
      <c r="B5" s="40" t="s">
        <v>174</v>
      </c>
      <c r="C5" s="80" t="s">
        <v>989</v>
      </c>
      <c r="D5" s="113"/>
      <c r="E5" s="19"/>
    </row>
    <row r="6" spans="2:5" x14ac:dyDescent="0.2">
      <c r="B6" s="40" t="s">
        <v>175</v>
      </c>
      <c r="C6" s="80"/>
      <c r="D6" s="17"/>
      <c r="E6" s="19" t="s">
        <v>176</v>
      </c>
    </row>
    <row r="7" spans="2:5" x14ac:dyDescent="0.2">
      <c r="B7" s="40" t="s">
        <v>177</v>
      </c>
      <c r="C7" s="80"/>
      <c r="D7" s="17"/>
      <c r="E7" s="17"/>
    </row>
    <row r="8" spans="2:5" x14ac:dyDescent="0.2">
      <c r="B8" s="40" t="s">
        <v>178</v>
      </c>
      <c r="C8" s="80" t="s">
        <v>170</v>
      </c>
      <c r="D8" s="17"/>
      <c r="E8" s="19" t="s">
        <v>179</v>
      </c>
    </row>
    <row r="9" spans="2:5" x14ac:dyDescent="0.2">
      <c r="B9" s="40" t="s">
        <v>180</v>
      </c>
      <c r="C9" s="80" t="s">
        <v>173</v>
      </c>
      <c r="D9" s="17"/>
      <c r="E9" s="19" t="s">
        <v>181</v>
      </c>
    </row>
    <row r="10" spans="2:5" x14ac:dyDescent="0.2">
      <c r="B10" s="40" t="s">
        <v>182</v>
      </c>
      <c r="C10" s="80" t="s">
        <v>183</v>
      </c>
      <c r="D10" s="17"/>
      <c r="E10" s="19" t="s">
        <v>184</v>
      </c>
    </row>
    <row r="11" spans="2:5" x14ac:dyDescent="0.2">
      <c r="B11" s="40" t="s">
        <v>185</v>
      </c>
      <c r="C11" s="80"/>
      <c r="D11" s="17"/>
      <c r="E11" s="17"/>
    </row>
    <row r="12" spans="2:5" x14ac:dyDescent="0.2">
      <c r="B12" s="40" t="s">
        <v>186</v>
      </c>
      <c r="C12" s="80"/>
      <c r="D12" s="17"/>
      <c r="E12" s="17"/>
    </row>
    <row r="13" spans="2:5" x14ac:dyDescent="0.2">
      <c r="B13" s="40" t="s">
        <v>187</v>
      </c>
      <c r="C13" s="118"/>
      <c r="D13" s="17"/>
      <c r="E13" s="19" t="s">
        <v>188</v>
      </c>
    </row>
    <row r="14" spans="2:5" x14ac:dyDescent="0.2">
      <c r="B14" s="40" t="s">
        <v>189</v>
      </c>
      <c r="C14" s="80"/>
      <c r="D14" s="17"/>
      <c r="E14" s="19" t="s">
        <v>188</v>
      </c>
    </row>
    <row r="15" spans="2:5" x14ac:dyDescent="0.2">
      <c r="B15" s="40" t="s">
        <v>190</v>
      </c>
      <c r="C15" s="80" t="s">
        <v>191</v>
      </c>
      <c r="D15" s="17"/>
      <c r="E15" s="17" t="s">
        <v>192</v>
      </c>
    </row>
    <row r="16" spans="2:5" x14ac:dyDescent="0.2">
      <c r="B16" s="119" t="s">
        <v>193</v>
      </c>
      <c r="C16" s="81" t="s">
        <v>194</v>
      </c>
      <c r="D16" s="17"/>
      <c r="E16" s="17" t="s">
        <v>195</v>
      </c>
    </row>
    <row r="17" spans="2:5" ht="13.5" thickBot="1" x14ac:dyDescent="0.25">
      <c r="B17" s="133" t="s">
        <v>196</v>
      </c>
      <c r="C17" s="133"/>
      <c r="D17" s="113"/>
      <c r="E17" s="17"/>
    </row>
    <row r="18" spans="2:5" x14ac:dyDescent="0.2">
      <c r="B18" s="120" t="s">
        <v>197</v>
      </c>
      <c r="C18" s="121" t="str">
        <f>IF(HLOOKUP($C$3,LookupTableReference,2,FALSE)="","!",HLOOKUP($C$3,LookupTableReference,2,FALSE))</f>
        <v>155.191.182.135</v>
      </c>
      <c r="D18" s="17"/>
      <c r="E18" s="17"/>
    </row>
    <row r="19" spans="2:5" x14ac:dyDescent="0.2">
      <c r="B19" s="122" t="s">
        <v>198</v>
      </c>
      <c r="C19" s="123" t="str">
        <f>IF(HLOOKUP($C$3,LookupTableReference,3,FALSE)="","!",HLOOKUP($C$3,LookupTableReference,3,FALSE))</f>
        <v>158.139.212.31</v>
      </c>
      <c r="D19" s="17"/>
      <c r="E19" s="52"/>
    </row>
    <row r="20" spans="2:5" x14ac:dyDescent="0.2">
      <c r="B20" s="122" t="s">
        <v>199</v>
      </c>
      <c r="C20" s="123" t="str">
        <f>IF(HLOOKUP($C$3,LookupTableReference,4,FALSE)="","!",HLOOKUP($C$3,LookupTableReference,4,FALSE))</f>
        <v>!</v>
      </c>
      <c r="D20" s="17"/>
      <c r="E20" s="7"/>
    </row>
    <row r="21" spans="2:5" x14ac:dyDescent="0.2">
      <c r="B21" s="122" t="s">
        <v>200</v>
      </c>
      <c r="C21" s="123" t="str">
        <f>IF(HLOOKUP($C$3,LookupTableReference,5,FALSE)="","!",HLOOKUP($C$3,LookupTableReference,5,FALSE))</f>
        <v>!</v>
      </c>
      <c r="D21" s="17"/>
      <c r="E21" s="17"/>
    </row>
    <row r="22" spans="2:5" x14ac:dyDescent="0.2">
      <c r="B22" s="122" t="s">
        <v>201</v>
      </c>
      <c r="C22" s="123" t="str">
        <f>IF(HLOOKUP($C$3,LookupTableReference,6,FALSE)="","!",HLOOKUP($C$3,LookupTableReference,6,FALSE))</f>
        <v>!</v>
      </c>
      <c r="D22" s="17"/>
      <c r="E22" s="7"/>
    </row>
    <row r="23" spans="2:5" x14ac:dyDescent="0.2">
      <c r="B23" s="122" t="s">
        <v>202</v>
      </c>
      <c r="C23" s="123" t="str">
        <f>IF(HLOOKUP($C$3,LookupTableReference,7,FALSE)="","!",HLOOKUP($C$3,LookupTableReference,7,FALSE))</f>
        <v>!</v>
      </c>
      <c r="D23" s="17"/>
      <c r="E23" s="17"/>
    </row>
    <row r="24" spans="2:5" x14ac:dyDescent="0.2">
      <c r="B24" s="122" t="s">
        <v>203</v>
      </c>
      <c r="C24" s="123" t="str">
        <f>IF(HLOOKUP($C$3,LookupTableReference,8,FALSE)="","!",HLOOKUP($C$3,LookupTableReference,8,FALSE))</f>
        <v>CQ9ISETACPSN</v>
      </c>
      <c r="D24" s="17"/>
      <c r="E24" s="17"/>
    </row>
    <row r="25" spans="2:5" x14ac:dyDescent="0.2">
      <c r="B25" s="122" t="s">
        <v>204</v>
      </c>
      <c r="C25" s="123" t="str">
        <f>IF(HLOOKUP($C$3,LookupTableReference,9,FALSE)="","!",HLOOKUP($C$3,LookupTableReference,9,FALSE))</f>
        <v>155.191.182.137</v>
      </c>
      <c r="D25" s="17"/>
      <c r="E25" s="7"/>
    </row>
    <row r="26" spans="2:5" x14ac:dyDescent="0.2">
      <c r="B26" s="122" t="s">
        <v>205</v>
      </c>
      <c r="C26" s="123" t="str">
        <f>IF(HLOOKUP($C$3,LookupTableReference,10,FALSE)="","!",HLOOKUP($C$3,LookupTableReference,10,FALSE))</f>
        <v>BVLISETACPSN</v>
      </c>
      <c r="D26" s="17"/>
      <c r="E26" s="7"/>
    </row>
    <row r="27" spans="2:5" x14ac:dyDescent="0.2">
      <c r="B27" s="122" t="s">
        <v>206</v>
      </c>
      <c r="C27" s="123" t="str">
        <f>IF(HLOOKUP($C$3,LookupTableReference,11,FALSE)="","!",HLOOKUP($C$3,LookupTableReference,11,FALSE))</f>
        <v>158.139.170.16</v>
      </c>
      <c r="D27" s="17"/>
      <c r="E27" s="53"/>
    </row>
    <row r="28" spans="2:5" x14ac:dyDescent="0.2">
      <c r="B28" s="122" t="s">
        <v>207</v>
      </c>
      <c r="C28" s="123" t="str">
        <f>IF(HLOOKUP($C$3,LookupTableReference,12,FALSE)="","!",HLOOKUP($C$3,LookupTableReference,12,FALSE))</f>
        <v>NSKISETACPSN</v>
      </c>
      <c r="D28" s="17"/>
      <c r="E28" s="53"/>
    </row>
    <row r="29" spans="2:5" x14ac:dyDescent="0.2">
      <c r="B29" s="122" t="s">
        <v>208</v>
      </c>
      <c r="C29" s="123" t="str">
        <f>IF(HLOOKUP($C$3,LookupTableReference,13,FALSE)="","!",HLOOKUP($C$3,LookupTableReference,13,FALSE))</f>
        <v>10.26.60.20</v>
      </c>
      <c r="D29" s="17"/>
      <c r="E29" s="17"/>
    </row>
    <row r="30" spans="2:5" x14ac:dyDescent="0.2">
      <c r="B30" s="122" t="s">
        <v>209</v>
      </c>
      <c r="C30" s="123" t="str">
        <f>IF(HLOOKUP($C$3,LookupTableReference,14,FALSE)="","!",HLOOKUP($C$3,LookupTableReference,14,FALSE))</f>
        <v>155.191.128.133</v>
      </c>
      <c r="D30" s="17"/>
      <c r="E30" s="17"/>
    </row>
    <row r="31" spans="2:5" x14ac:dyDescent="0.2">
      <c r="B31" s="122" t="s">
        <v>210</v>
      </c>
      <c r="C31" s="123" t="str">
        <f>IF(HLOOKUP($C$3,LookupTableReference,15,FALSE)="","!",HLOOKUP($C$3,LookupTableReference,15,FALSE))</f>
        <v>155.191.128.134</v>
      </c>
      <c r="D31" s="17"/>
      <c r="E31" s="17"/>
    </row>
    <row r="32" spans="2:5" x14ac:dyDescent="0.2">
      <c r="B32" s="122" t="s">
        <v>211</v>
      </c>
      <c r="C32" s="123" t="str">
        <f>IF(HLOOKUP($C$3,LookupTableReference,16,FALSE)="","!",HLOOKUP($C$3,LookupTableReference,16,FALSE))</f>
        <v>158.139.0.139</v>
      </c>
      <c r="D32" s="17"/>
      <c r="E32" s="17"/>
    </row>
    <row r="33" spans="2:5" x14ac:dyDescent="0.2">
      <c r="B33" s="122" t="s">
        <v>212</v>
      </c>
      <c r="C33" s="123" t="str">
        <f>IF(HLOOKUP($C$3,LookupTableReference,17,FALSE)="","!",HLOOKUP($C$3,LookupTableReference,17,FALSE))</f>
        <v>158.139.0.137</v>
      </c>
      <c r="D33" s="17"/>
      <c r="E33" s="17"/>
    </row>
    <row r="34" spans="2:5" x14ac:dyDescent="0.2">
      <c r="B34" s="122" t="s">
        <v>213</v>
      </c>
      <c r="C34" s="123" t="str">
        <f>IF(HLOOKUP($C$3,LookupTableReference,18,FALSE)="","!",HLOOKUP($C$3,LookupTableReference,18,FALSE))</f>
        <v>158.139.170.24 0.0.0.3</v>
      </c>
      <c r="D34" s="17"/>
      <c r="E34" s="17"/>
    </row>
    <row r="35" spans="2:5" x14ac:dyDescent="0.2">
      <c r="B35" s="122" t="s">
        <v>214</v>
      </c>
      <c r="C35" s="123" t="str">
        <f>IF(HLOOKUP($C$3,LookupTableReference,19,FALSE)="","!",HLOOKUP($C$3,LookupTableReference,19,FALSE))</f>
        <v>158.139.2.218</v>
      </c>
      <c r="D35" s="17"/>
      <c r="E35" s="17"/>
    </row>
    <row r="36" spans="2:5" x14ac:dyDescent="0.2">
      <c r="B36" s="122" t="s">
        <v>215</v>
      </c>
      <c r="C36" s="123" t="str">
        <f>IF(HLOOKUP($C$3,LookupTableReference,20,FALSE)="","!",HLOOKUP($C$3,LookupTableReference,20,FALSE))</f>
        <v>!</v>
      </c>
      <c r="D36" s="17"/>
      <c r="E36" s="17"/>
    </row>
    <row r="37" spans="2:5" x14ac:dyDescent="0.2">
      <c r="B37" s="122" t="s">
        <v>216</v>
      </c>
      <c r="C37" s="123" t="str">
        <f>IF(HLOOKUP($C$3,LookupTableReference,21,FALSE)="","!",HLOOKUP($C$3,LookupTableReference,21,FALSE))</f>
        <v>!</v>
      </c>
      <c r="D37" s="17"/>
      <c r="E37" s="17"/>
    </row>
    <row r="38" spans="2:5" x14ac:dyDescent="0.2">
      <c r="B38" s="122" t="s">
        <v>217</v>
      </c>
      <c r="C38" s="123" t="str">
        <f>IF(HLOOKUP($C$3,LookupTableReference,22,FALSE)="","!",HLOOKUP($C$3,LookupTableReference,22,FALSE))</f>
        <v>155.191.129.228</v>
      </c>
      <c r="D38" s="17"/>
      <c r="E38" s="17"/>
    </row>
    <row r="39" spans="2:5" x14ac:dyDescent="0.2">
      <c r="B39" s="122" t="s">
        <v>218</v>
      </c>
      <c r="C39" s="123" t="str">
        <f>IF(HLOOKUP($C$3,LookupTableReference,23,FALSE)="","!",HLOOKUP($C$3,LookupTableReference,23,FALSE))</f>
        <v>155.191.192.148</v>
      </c>
      <c r="D39" s="17"/>
      <c r="E39" s="17"/>
    </row>
    <row r="40" spans="2:5" x14ac:dyDescent="0.2">
      <c r="B40" s="122" t="s">
        <v>219</v>
      </c>
      <c r="C40" s="123" t="str">
        <f>IF(HLOOKUP($C$3,LookupTableReference,24,FALSE)="","!",HLOOKUP($C$3,LookupTableReference,24,FALSE))</f>
        <v>!</v>
      </c>
      <c r="D40" s="17"/>
      <c r="E40" s="17"/>
    </row>
    <row r="41" spans="2:5" x14ac:dyDescent="0.2">
      <c r="B41" s="122" t="s">
        <v>220</v>
      </c>
      <c r="C41" s="123" t="str">
        <f>IF(HLOOKUP($C$3,LookupTableReference,25,FALSE)="","!",HLOOKUP($C$3,LookupTableReference,25,FALSE))</f>
        <v>!</v>
      </c>
      <c r="D41" s="17"/>
      <c r="E41" s="17"/>
    </row>
    <row r="42" spans="2:5" x14ac:dyDescent="0.2">
      <c r="B42" s="122" t="s">
        <v>221</v>
      </c>
      <c r="C42" s="123" t="str">
        <f>IF(HLOOKUP($C$3,LookupTableReference,30,FALSE)="","!",HLOOKUP($C$3,LookupTableReference,30,FALSE))</f>
        <v>155.191.182.158 9995</v>
      </c>
      <c r="D42" s="17"/>
      <c r="E42" s="17"/>
    </row>
    <row r="43" spans="2:5" x14ac:dyDescent="0.2">
      <c r="B43" s="122" t="s">
        <v>222</v>
      </c>
      <c r="C43" s="123" t="str">
        <f>IF(HLOOKUP($C$3,LookupTableReference,31,FALSE)="","!",HLOOKUP($C$3,LookupTableReference,31,FALSE))</f>
        <v>XXXXXXXXXXX</v>
      </c>
      <c r="D43" s="17"/>
      <c r="E43" s="17"/>
    </row>
    <row r="44" spans="2:5" x14ac:dyDescent="0.2">
      <c r="B44" s="124" t="s">
        <v>223</v>
      </c>
      <c r="C44" s="123" t="str">
        <f>IF(HLOOKUP($C$3,LookupTableReference,32,FALSE)="","!",HLOOKUP($C$3,LookupTableReference,32,FALSE))</f>
        <v>7 "XXXXXXXXXXX"</v>
      </c>
      <c r="D44" s="17"/>
      <c r="E44" s="17"/>
    </row>
    <row r="45" spans="2:5" x14ac:dyDescent="0.2">
      <c r="B45" s="124" t="s">
        <v>224</v>
      </c>
      <c r="C45" s="123" t="str">
        <f>IF(HLOOKUP($C$3,LookupTableReference,33,FALSE)="","!",HLOOKUP($C$3,LookupTableReference,33,FALSE))</f>
        <v>!</v>
      </c>
      <c r="D45" s="17"/>
      <c r="E45" s="17"/>
    </row>
    <row r="46" spans="2:5" x14ac:dyDescent="0.2">
      <c r="B46" s="122" t="s">
        <v>225</v>
      </c>
      <c r="C46" s="125" t="str">
        <f>IF(HLOOKUP($C$3,LookupTableReference,34,FALSE)="","!",HLOOKUP($C$3,LookupTableReference,34,FALSE))</f>
        <v>158.139.195.0 0.0.0.255</v>
      </c>
      <c r="D46" s="17"/>
      <c r="E46" s="17"/>
    </row>
    <row r="47" spans="2:5" x14ac:dyDescent="0.2">
      <c r="B47" s="122" t="s">
        <v>226</v>
      </c>
      <c r="C47" s="125" t="str">
        <f>IF(HLOOKUP($C$3,LookupTableReference,35,FALSE)="","!",HLOOKUP($C$3,LookupTableReference,35,FALSE))</f>
        <v>158.139.170.0 0.0.0.63</v>
      </c>
      <c r="D47" s="17"/>
      <c r="E47" s="17"/>
    </row>
    <row r="48" spans="2:5" x14ac:dyDescent="0.2">
      <c r="B48" s="122" t="s">
        <v>227</v>
      </c>
      <c r="C48" s="125" t="str">
        <f>IF(HLOOKUP($C$3,LookupTableReference,36,FALSE)="","!",HLOOKUP($C$3,LookupTableReference,36,FALSE))</f>
        <v>158.139.162.0 0.0.0.127</v>
      </c>
      <c r="D48" s="17"/>
      <c r="E48" s="17"/>
    </row>
    <row r="49" spans="2:3" x14ac:dyDescent="0.2">
      <c r="B49" s="122" t="s">
        <v>228</v>
      </c>
      <c r="C49" s="125" t="str">
        <f>IF(HLOOKUP($C$3,LookupTableReference,37,FALSE)="","!",HLOOKUP($C$3,LookupTableReference,37,FALSE))</f>
        <v>155.191.128.0 0.0.0.15</v>
      </c>
    </row>
    <row r="50" spans="2:3" x14ac:dyDescent="0.2">
      <c r="B50" s="122" t="s">
        <v>229</v>
      </c>
      <c r="C50" s="125" t="str">
        <f>IF(HLOOKUP($C$3,LookupTableReference,38,FALSE)="","!",HLOOKUP($C$3,LookupTableReference,38,FALSE))</f>
        <v>155.191.129.228</v>
      </c>
    </row>
    <row r="51" spans="2:3" x14ac:dyDescent="0.2">
      <c r="B51" s="122" t="s">
        <v>230</v>
      </c>
      <c r="C51" s="125" t="str">
        <f>IF(HLOOKUP($C$3,LookupTableReference,39,FALSE)="","!",HLOOKUP($C$3,LookupTableReference,39,FALSE))</f>
        <v>155.191.192.148</v>
      </c>
    </row>
    <row r="52" spans="2:3" x14ac:dyDescent="0.2">
      <c r="B52" s="122" t="s">
        <v>231</v>
      </c>
      <c r="C52" s="125" t="str">
        <f>IF(HLOOKUP($C$3,LookupTableReference,40,FALSE)="","!",HLOOKUP($C$3,LookupTableReference,40,FALSE))</f>
        <v>155.191.185.128</v>
      </c>
    </row>
    <row r="53" spans="2:3" x14ac:dyDescent="0.2">
      <c r="B53" s="122" t="s">
        <v>232</v>
      </c>
      <c r="C53" s="125" t="str">
        <f>IF(HLOOKUP($C$3,LookupTableReference,41,FALSE)="","!",HLOOKUP($C$3,LookupTableReference,41,FALSE))</f>
        <v>155.191.182.156 0.0.0.3</v>
      </c>
    </row>
    <row r="54" spans="2:3" x14ac:dyDescent="0.2">
      <c r="B54" s="122" t="s">
        <v>233</v>
      </c>
      <c r="C54" s="125" t="str">
        <f>IF(HLOOKUP($C$3,LookupTableReference,42,FALSE)="","!",HLOOKUP($C$3,LookupTableReference,42,FALSE))</f>
        <v>158.139.104.8 0.0.0.7</v>
      </c>
    </row>
    <row r="55" spans="2:3" x14ac:dyDescent="0.2">
      <c r="B55" s="122" t="s">
        <v>234</v>
      </c>
      <c r="C55" s="125" t="str">
        <f>IF(HLOOKUP($C$3,LookupTableReference,43,FALSE)="","!",HLOOKUP($C$3,LookupTableReference,43,FALSE))</f>
        <v>158.139.49.48 0.0.0.15</v>
      </c>
    </row>
    <row r="56" spans="2:3" x14ac:dyDescent="0.2">
      <c r="B56" s="122" t="s">
        <v>235</v>
      </c>
      <c r="C56" s="125" t="str">
        <f>IF(HLOOKUP($C$3,LookupTableReference,44,FALSE)="","!",HLOOKUP($C$3,LookupTableReference,44,FALSE))</f>
        <v>10.25.32.7</v>
      </c>
    </row>
    <row r="57" spans="2:3" x14ac:dyDescent="0.2">
      <c r="B57" s="122" t="s">
        <v>236</v>
      </c>
      <c r="C57" s="125" t="str">
        <f>IF(HLOOKUP($C$3,LookupTableReference,45,FALSE)="","!",HLOOKUP($C$3,LookupTableReference,45,FALSE))</f>
        <v>158.139.198.247</v>
      </c>
    </row>
    <row r="58" spans="2:3" x14ac:dyDescent="0.2">
      <c r="B58" s="122" t="s">
        <v>237</v>
      </c>
      <c r="C58" s="125" t="str">
        <f>IF(HLOOKUP($C$3,LookupTableReference,46,FALSE)="","!",HLOOKUP($C$3,LookupTableReference,46,FALSE))</f>
        <v>153.15.98.64 0.0.0.31</v>
      </c>
    </row>
    <row r="59" spans="2:3" x14ac:dyDescent="0.2">
      <c r="B59" s="122" t="s">
        <v>238</v>
      </c>
      <c r="C59" s="125" t="str">
        <f>IF(HLOOKUP($C$3,LookupTableReference,47,FALSE)="","!",HLOOKUP($C$3,LookupTableReference,47,FALSE))</f>
        <v>158.139.2.192 0.0.0.63</v>
      </c>
    </row>
    <row r="60" spans="2:3" x14ac:dyDescent="0.2">
      <c r="B60" s="122" t="s">
        <v>239</v>
      </c>
      <c r="C60" s="125" t="str">
        <f>IF(HLOOKUP($C$3,LookupTableReference,48,FALSE)="","!",HLOOKUP($C$3,LookupTableReference,48,FALSE))</f>
        <v>158.139.112.117</v>
      </c>
    </row>
    <row r="61" spans="2:3" x14ac:dyDescent="0.2">
      <c r="B61" s="122" t="s">
        <v>240</v>
      </c>
      <c r="C61" s="125" t="str">
        <f>IF(HLOOKUP($C$3,LookupTableReference,49,FALSE)="","!",HLOOKUP($C$3,LookupTableReference,49,FALSE))</f>
        <v>!</v>
      </c>
    </row>
    <row r="62" spans="2:3" x14ac:dyDescent="0.2">
      <c r="B62" s="122" t="s">
        <v>241</v>
      </c>
      <c r="C62" s="125" t="str">
        <f>IF(HLOOKUP($C$3,LookupTableReference,50,FALSE)="","!",HLOOKUP($C$3,LookupTableReference,50,FALSE))</f>
        <v>!</v>
      </c>
    </row>
    <row r="63" spans="2:3" x14ac:dyDescent="0.2">
      <c r="B63" s="122" t="s">
        <v>242</v>
      </c>
      <c r="C63" s="125" t="str">
        <f>IF(HLOOKUP($C$3,LookupTableReference,51,FALSE)="","!",HLOOKUP($C$3,LookupTableReference,51,FALSE))</f>
        <v>!</v>
      </c>
    </row>
    <row r="64" spans="2:3" x14ac:dyDescent="0.2">
      <c r="B64" s="122" t="s">
        <v>243</v>
      </c>
      <c r="C64" s="125" t="str">
        <f>IF(HLOOKUP($C$3,LookupTableReference,52,FALSE)="","!",HLOOKUP($C$3,LookupTableReference,52,FALSE))</f>
        <v>!</v>
      </c>
    </row>
    <row r="65" spans="2:8" x14ac:dyDescent="0.2">
      <c r="B65" s="122" t="s">
        <v>244</v>
      </c>
      <c r="C65" s="125" t="str">
        <f>IF(HLOOKUP($C$3,LookupTableReference,53,FALSE)="","!",HLOOKUP($C$3,LookupTableReference,53,FALSE))</f>
        <v>!</v>
      </c>
      <c r="D65" s="17"/>
      <c r="E65" s="17"/>
      <c r="F65" s="17"/>
      <c r="G65" s="17"/>
      <c r="H65" s="17"/>
    </row>
    <row r="66" spans="2:8" x14ac:dyDescent="0.2">
      <c r="B66" s="122" t="s">
        <v>245</v>
      </c>
      <c r="C66" s="125" t="str">
        <f>IF(VLOOKUP($C$10,TimeLookupTable2,2,FALSE)="","!",VLOOKUP($C$10,TimeLookupTable2,2,FALSE))</f>
        <v>CST</v>
      </c>
      <c r="D66" s="17"/>
      <c r="E66" s="17"/>
      <c r="F66" s="17"/>
      <c r="G66" s="17"/>
      <c r="H66" s="17"/>
    </row>
    <row r="67" spans="2:8" x14ac:dyDescent="0.2">
      <c r="B67" s="122" t="s">
        <v>246</v>
      </c>
      <c r="C67" s="125" t="str">
        <f>IF(VLOOKUP($C$10,TimeLookupTable2,3,FALSE)="","!",VLOOKUP($C$10,TimeLookupTable2,3,FALSE))</f>
        <v>-6 0</v>
      </c>
      <c r="D67" s="17"/>
      <c r="E67" s="17"/>
      <c r="F67" s="17"/>
      <c r="G67" s="17"/>
      <c r="H67" s="17"/>
    </row>
    <row r="68" spans="2:8" x14ac:dyDescent="0.2">
      <c r="B68" s="122" t="s">
        <v>247</v>
      </c>
      <c r="C68" s="125" t="str">
        <f>IF(VLOOKUP($C$10,TimeLookupTable2,4,FALSE)="","!",VLOOKUP($C$10,TimeLookupTable2,4,FALSE))</f>
        <v>CDT</v>
      </c>
      <c r="D68" s="17"/>
      <c r="E68" s="17"/>
      <c r="F68" s="17"/>
      <c r="G68" s="17"/>
      <c r="H68" s="17"/>
    </row>
    <row r="69" spans="2:8" x14ac:dyDescent="0.2">
      <c r="B69" s="122" t="s">
        <v>248</v>
      </c>
      <c r="C69" s="125" t="str">
        <f>IF(VLOOKUP($C$10,TimeLookupTable2,5,FALSE)="","!",VLOOKUP($C$10,TimeLookupTable2,5,FALSE))</f>
        <v>2 sun mar 02:00 1 sun nov 02:00</v>
      </c>
      <c r="D69" s="17"/>
      <c r="E69" s="17"/>
      <c r="F69" s="17"/>
      <c r="G69" s="17"/>
      <c r="H69" s="17"/>
    </row>
    <row r="70" spans="2:8" x14ac:dyDescent="0.2">
      <c r="B70" s="122" t="s">
        <v>249</v>
      </c>
      <c r="C70" s="125" t="str">
        <f>IF(HLOOKUP($C$3,LookupTableReference,54,FALSE)="","!",HLOOKUP($C$3,LookupTableReference,54,FALSE))</f>
        <v>158.139.195.0/24</v>
      </c>
      <c r="D70" s="17"/>
      <c r="E70" s="17"/>
      <c r="F70" s="17"/>
      <c r="G70" s="17"/>
      <c r="H70" s="17"/>
    </row>
    <row r="71" spans="2:8" x14ac:dyDescent="0.2">
      <c r="B71" s="122" t="s">
        <v>250</v>
      </c>
      <c r="C71" s="125" t="str">
        <f>IF(HLOOKUP($C$3,LookupTableReference,55,FALSE)="","!",HLOOKUP($C$3,LookupTableReference,55,FALSE))</f>
        <v>158.139.170.0/26</v>
      </c>
      <c r="D71" s="17"/>
      <c r="E71" s="17"/>
      <c r="F71" s="17"/>
      <c r="G71" s="17"/>
      <c r="H71" s="17"/>
    </row>
    <row r="72" spans="2:8" x14ac:dyDescent="0.2">
      <c r="B72" s="122" t="s">
        <v>251</v>
      </c>
      <c r="C72" s="125" t="str">
        <f>IF(HLOOKUP($C$3,LookupTableReference,56,FALSE)="","!",HLOOKUP($C$3,LookupTableReference,56,FALSE))</f>
        <v>158.139.162.0/25</v>
      </c>
      <c r="D72" s="17"/>
      <c r="E72" s="17"/>
      <c r="F72" s="17"/>
      <c r="G72" s="17"/>
      <c r="H72" s="17"/>
    </row>
    <row r="73" spans="2:8" x14ac:dyDescent="0.2">
      <c r="B73" s="122" t="s">
        <v>252</v>
      </c>
      <c r="C73" s="125" t="str">
        <f>IF(HLOOKUP($C$3,LookupTableReference,57,FALSE)="","!",HLOOKUP($C$3,LookupTableReference,57,FALSE))</f>
        <v>155.191.128.0/28</v>
      </c>
      <c r="D73" s="17"/>
      <c r="E73" s="17"/>
      <c r="F73" s="17"/>
      <c r="G73" s="17"/>
      <c r="H73" s="17"/>
    </row>
    <row r="74" spans="2:8" x14ac:dyDescent="0.2">
      <c r="B74" s="122" t="s">
        <v>253</v>
      </c>
      <c r="C74" s="125" t="str">
        <f>IF(HLOOKUP($C$3,LookupTableReference,58,FALSE)="","!",HLOOKUP($C$3,LookupTableReference,58,FALSE))</f>
        <v>155.191.129.228/32</v>
      </c>
      <c r="D74" s="17"/>
      <c r="E74" s="17"/>
      <c r="F74" s="17"/>
      <c r="G74" s="17"/>
      <c r="H74" s="17"/>
    </row>
    <row r="75" spans="2:8" x14ac:dyDescent="0.2">
      <c r="B75" s="122" t="s">
        <v>254</v>
      </c>
      <c r="C75" s="125" t="str">
        <f>IF(HLOOKUP($C$3,LookupTableReference,59,FALSE)="","!",HLOOKUP($C$3,LookupTableReference,59,FALSE))</f>
        <v>155.191.192.148/32</v>
      </c>
      <c r="D75" s="17"/>
      <c r="E75" s="17"/>
      <c r="F75" s="17"/>
      <c r="G75" s="17"/>
      <c r="H75" s="17"/>
    </row>
    <row r="76" spans="2:8" x14ac:dyDescent="0.2">
      <c r="B76" s="122" t="s">
        <v>255</v>
      </c>
      <c r="C76" s="125" t="str">
        <f>IF(HLOOKUP($C$3,LookupTableReference,60,FALSE)="","!",HLOOKUP($C$3,LookupTableReference,60,FALSE))</f>
        <v>155.191.185.128/32</v>
      </c>
      <c r="D76" s="17"/>
      <c r="E76" s="17"/>
      <c r="F76" s="17"/>
      <c r="G76" s="17"/>
      <c r="H76" s="17"/>
    </row>
    <row r="77" spans="2:8" x14ac:dyDescent="0.2">
      <c r="B77" s="122" t="s">
        <v>256</v>
      </c>
      <c r="C77" s="125" t="str">
        <f>IF(HLOOKUP($C$3,LookupTableReference,61,FALSE)="","!",HLOOKUP($C$3,LookupTableReference,61,FALSE))</f>
        <v>155.191.182.156/30</v>
      </c>
      <c r="D77" s="17"/>
      <c r="E77" s="17"/>
      <c r="F77" s="17"/>
      <c r="G77" s="17"/>
      <c r="H77" s="17"/>
    </row>
    <row r="78" spans="2:8" x14ac:dyDescent="0.2">
      <c r="B78" s="122" t="s">
        <v>257</v>
      </c>
      <c r="C78" s="125" t="str">
        <f>IF(HLOOKUP($C$3,LookupTableReference,62,FALSE)="","!",HLOOKUP($C$3,LookupTableReference,62,FALSE))</f>
        <v>158.139.104.8/29</v>
      </c>
      <c r="D78" s="17"/>
      <c r="E78" s="17"/>
      <c r="F78" s="17"/>
      <c r="G78" s="17"/>
      <c r="H78" s="17"/>
    </row>
    <row r="79" spans="2:8" x14ac:dyDescent="0.2">
      <c r="B79" s="122" t="s">
        <v>258</v>
      </c>
      <c r="C79" s="125" t="str">
        <f>IF(HLOOKUP($C$3,LookupTableReference,63,FALSE)="","!",HLOOKUP($C$3,LookupTableReference,63,FALSE))</f>
        <v>158.139.49.48/28</v>
      </c>
      <c r="D79" s="17"/>
      <c r="E79" s="17"/>
      <c r="F79" s="17"/>
      <c r="G79" s="17"/>
      <c r="H79" s="17"/>
    </row>
    <row r="80" spans="2:8" x14ac:dyDescent="0.2">
      <c r="B80" s="122" t="s">
        <v>259</v>
      </c>
      <c r="C80" s="125" t="str">
        <f>IF(HLOOKUP($C$3,LookupTableReference,64,FALSE)="","!",HLOOKUP($C$3,LookupTableReference,64,FALSE))</f>
        <v>10.25.32.7/32</v>
      </c>
      <c r="D80" s="17"/>
      <c r="E80" s="17"/>
      <c r="F80" s="17"/>
      <c r="G80" s="17"/>
      <c r="H80" s="17"/>
    </row>
    <row r="81" spans="2:9" x14ac:dyDescent="0.2">
      <c r="B81" s="122" t="s">
        <v>260</v>
      </c>
      <c r="C81" s="125" t="str">
        <f>IF(HLOOKUP($C$3,LookupTableReference,65,FALSE)="","!",HLOOKUP($C$3,LookupTableReference,65,FALSE))</f>
        <v>158.139.198.247/32</v>
      </c>
      <c r="D81" s="17"/>
      <c r="E81" s="17"/>
      <c r="F81" s="17"/>
      <c r="G81" s="17"/>
      <c r="H81" s="17"/>
      <c r="I81" s="17"/>
    </row>
    <row r="82" spans="2:9" x14ac:dyDescent="0.2">
      <c r="B82" s="122" t="s">
        <v>261</v>
      </c>
      <c r="C82" s="125" t="str">
        <f>IF(HLOOKUP($C$3,LookupTableReference,66,FALSE)="","!",HLOOKUP($C$3,LookupTableReference,66,FALSE))</f>
        <v>153.15.98.64/27</v>
      </c>
      <c r="D82" s="17"/>
      <c r="E82" s="17"/>
      <c r="F82" s="17"/>
      <c r="G82" s="17"/>
      <c r="H82" s="17"/>
      <c r="I82" s="17"/>
    </row>
    <row r="83" spans="2:9" x14ac:dyDescent="0.2">
      <c r="B83" s="122" t="s">
        <v>262</v>
      </c>
      <c r="C83" s="125" t="str">
        <f>IF(HLOOKUP($C$3,LookupTableReference,67,FALSE)="","!",HLOOKUP($C$3,LookupTableReference,67,FALSE))</f>
        <v>158.139.2.192/26</v>
      </c>
      <c r="D83" s="17"/>
      <c r="E83" s="17"/>
      <c r="F83" s="17"/>
      <c r="G83" s="17"/>
      <c r="H83" s="17"/>
      <c r="I83" s="17"/>
    </row>
    <row r="84" spans="2:9" x14ac:dyDescent="0.2">
      <c r="B84" s="122" t="s">
        <v>263</v>
      </c>
      <c r="C84" s="125" t="str">
        <f>IF(HLOOKUP($C$3,LookupTableReference,68,FALSE)="","!",HLOOKUP($C$3,LookupTableReference,68,FALSE))</f>
        <v>158.139.112.117/32</v>
      </c>
      <c r="D84" s="17"/>
      <c r="E84" s="17"/>
      <c r="F84" s="17"/>
      <c r="G84" s="17"/>
      <c r="H84" s="17"/>
      <c r="I84" s="17"/>
    </row>
    <row r="85" spans="2:9" x14ac:dyDescent="0.2">
      <c r="B85" s="122" t="s">
        <v>264</v>
      </c>
      <c r="C85" s="125" t="str">
        <f>IF(HLOOKUP($C$3,LookupTableReference,69,FALSE)="","!",HLOOKUP($C$3,LookupTableReference,69,FALSE))</f>
        <v>!</v>
      </c>
      <c r="D85" s="17"/>
      <c r="E85" s="17"/>
      <c r="F85" s="17"/>
      <c r="G85" s="17"/>
      <c r="H85" s="17"/>
      <c r="I85" s="17"/>
    </row>
    <row r="86" spans="2:9" x14ac:dyDescent="0.2">
      <c r="B86" s="122" t="s">
        <v>265</v>
      </c>
      <c r="C86" s="125" t="str">
        <f>IF(HLOOKUP($C$3,LookupTableReference,70,FALSE)="","!",HLOOKUP($C$3,LookupTableReference,70,FALSE))</f>
        <v>!</v>
      </c>
      <c r="D86" s="17"/>
      <c r="E86" s="17"/>
      <c r="F86" s="17"/>
      <c r="G86" s="17"/>
      <c r="H86" s="17"/>
      <c r="I86" s="17"/>
    </row>
    <row r="87" spans="2:9" x14ac:dyDescent="0.2">
      <c r="B87" s="122" t="s">
        <v>266</v>
      </c>
      <c r="C87" s="125" t="str">
        <f>IF(HLOOKUP($C$3,LookupTableReference,71,FALSE)="","!",HLOOKUP($C$3,LookupTableReference,71,FALSE))</f>
        <v>!</v>
      </c>
      <c r="D87" s="17"/>
      <c r="E87" s="17"/>
      <c r="F87" s="17"/>
      <c r="G87" s="17"/>
      <c r="H87" s="42"/>
      <c r="I87" s="17"/>
    </row>
    <row r="88" spans="2:9" x14ac:dyDescent="0.2">
      <c r="B88" s="122" t="s">
        <v>267</v>
      </c>
      <c r="C88" s="125" t="str">
        <f>IF(HLOOKUP($C$3,LookupTableReference,72,FALSE)="","!",HLOOKUP($C$3,LookupTableReference,72,FALSE))</f>
        <v>!</v>
      </c>
      <c r="D88" s="17"/>
      <c r="E88" s="17"/>
      <c r="F88" s="17"/>
      <c r="G88" s="17"/>
      <c r="H88" s="17"/>
      <c r="I88" s="17"/>
    </row>
    <row r="89" spans="2:9" x14ac:dyDescent="0.2">
      <c r="B89" s="122" t="s">
        <v>268</v>
      </c>
      <c r="C89" s="125" t="str">
        <f>IF(HLOOKUP($C$3,LookupTableReference,73,FALSE)="","!",HLOOKUP($C$3,LookupTableReference,73,FALSE))</f>
        <v>!</v>
      </c>
      <c r="D89" s="17"/>
      <c r="E89" s="17"/>
      <c r="F89" s="17"/>
      <c r="G89" s="17"/>
      <c r="H89" s="17"/>
      <c r="I89" s="17"/>
    </row>
    <row r="90" spans="2:9" x14ac:dyDescent="0.2">
      <c r="B90" s="122" t="s">
        <v>213</v>
      </c>
      <c r="C90" s="125" t="str">
        <f>IF(HLOOKUP($C$3,LookupTableReference,74,FALSE)="","!",HLOOKUP($C$3,LookupTableReference,74,FALSE))</f>
        <v>158.139.170.24/30</v>
      </c>
      <c r="D90" s="17"/>
      <c r="E90" s="17"/>
      <c r="F90" s="17"/>
      <c r="G90" s="17"/>
      <c r="H90" s="17"/>
      <c r="I90" s="17"/>
    </row>
    <row r="91" spans="2:9" x14ac:dyDescent="0.2">
      <c r="B91" s="122" t="s">
        <v>214</v>
      </c>
      <c r="C91" s="125" t="str">
        <f>IF(HLOOKUP($C$3,LookupTableReference,75,FALSE)="","!",HLOOKUP($C$3,LookupTableReference,75,FALSE))</f>
        <v>158.139.2.218/32</v>
      </c>
      <c r="D91" s="17"/>
      <c r="E91" s="17"/>
      <c r="F91" s="17"/>
      <c r="G91" s="17"/>
      <c r="H91" s="17"/>
      <c r="I91" s="17"/>
    </row>
    <row r="92" spans="2:9" x14ac:dyDescent="0.2">
      <c r="B92" s="122" t="s">
        <v>215</v>
      </c>
      <c r="C92" s="126" t="str">
        <f>IF(HLOOKUP($C$3,LookupTableReference,76,FALSE)="","!",HLOOKUP($C$3,LookupTableReference,76,FALSE))</f>
        <v>!</v>
      </c>
      <c r="D92" s="17"/>
      <c r="E92" s="17"/>
      <c r="F92" s="17"/>
      <c r="G92" s="17"/>
      <c r="H92" s="17"/>
      <c r="I92" s="17"/>
    </row>
    <row r="93" spans="2:9" x14ac:dyDescent="0.2">
      <c r="B93" s="65" t="s">
        <v>216</v>
      </c>
      <c r="C93" s="123" t="str">
        <f>IF(HLOOKUP($C$3,LookupTableReference,77,FALSE)="","!",HLOOKUP($C$3,LookupTableReference,77,FALSE))</f>
        <v>!</v>
      </c>
      <c r="D93" s="17"/>
      <c r="E93" s="17"/>
      <c r="F93" s="17"/>
      <c r="G93" s="17"/>
      <c r="H93" s="17"/>
      <c r="I93" s="17"/>
    </row>
    <row r="94" spans="2:9" x14ac:dyDescent="0.2">
      <c r="B94" s="65" t="s">
        <v>269</v>
      </c>
      <c r="C94" s="54" t="s">
        <v>270</v>
      </c>
      <c r="D94" s="17"/>
      <c r="E94" s="17"/>
      <c r="F94" s="17"/>
      <c r="G94" s="17"/>
      <c r="H94" s="17"/>
      <c r="I94" s="17"/>
    </row>
    <row r="95" spans="2:9" x14ac:dyDescent="0.2">
      <c r="B95" s="56" t="s">
        <v>271</v>
      </c>
      <c r="C95" s="55" t="s">
        <v>272</v>
      </c>
      <c r="D95" s="17"/>
      <c r="E95" s="17"/>
      <c r="F95" s="17"/>
      <c r="G95" s="17"/>
      <c r="H95" s="17"/>
      <c r="I95" s="17"/>
    </row>
    <row r="96" spans="2:9" x14ac:dyDescent="0.2">
      <c r="B96" s="67" t="s">
        <v>273</v>
      </c>
      <c r="C96" s="127" t="str">
        <f>IF(HLOOKUP($C$3,LookupTableReference,79,FALSE)="","!",HLOOKUP($C$3,LookupTableReference,79,FALSE))</f>
        <v>158.139.74.80</v>
      </c>
      <c r="D96" s="17"/>
      <c r="E96" s="17"/>
      <c r="F96" s="17"/>
      <c r="G96" s="17"/>
      <c r="H96" s="17"/>
      <c r="I96" s="17"/>
    </row>
    <row r="97" spans="2:9" x14ac:dyDescent="0.2">
      <c r="B97" s="67" t="s">
        <v>274</v>
      </c>
      <c r="C97" s="127" t="str">
        <f>IF(HLOOKUP($C$3,LookupTableReference,26,FALSE)="","!",HLOOKUP($C$3,LookupTableReference,26,FALSE))</f>
        <v>155.191.182.157</v>
      </c>
      <c r="D97" s="17"/>
      <c r="E97" s="17"/>
      <c r="F97" s="17"/>
      <c r="G97" s="17"/>
      <c r="H97" s="17"/>
      <c r="I97" s="17"/>
    </row>
    <row r="98" spans="2:9" x14ac:dyDescent="0.2">
      <c r="B98" s="67" t="s">
        <v>275</v>
      </c>
      <c r="C98" s="127" t="str">
        <f>IF(HLOOKUP($C$3,LookupTableReference,27,FALSE)="","!",HLOOKUP($C$3,LookupTableReference,27,FALSE))</f>
        <v>158.139.104.14</v>
      </c>
      <c r="D98" s="17"/>
      <c r="E98" s="17"/>
      <c r="F98" s="17"/>
      <c r="G98" s="17"/>
      <c r="H98" s="17"/>
      <c r="I98" s="17"/>
    </row>
    <row r="99" spans="2:9" x14ac:dyDescent="0.2">
      <c r="B99" s="26" t="s">
        <v>276</v>
      </c>
      <c r="C99" s="127" t="str">
        <f>IF(HLOOKUP($C$3,LookupTableReference,28,FALSE)="","!",HLOOKUP($C$3,LookupTableReference,28,FALSE))</f>
        <v>158.139.2.207</v>
      </c>
      <c r="D99" s="17"/>
      <c r="E99" s="17"/>
      <c r="F99" s="17"/>
      <c r="G99" s="17"/>
      <c r="H99" s="17"/>
      <c r="I99" s="17"/>
    </row>
    <row r="100" spans="2:9" x14ac:dyDescent="0.2">
      <c r="B100" s="26" t="s">
        <v>277</v>
      </c>
      <c r="C100" s="127" t="str">
        <f>IF(HLOOKUP($C$3,LookupTableReference,80,FALSE)="","!",HLOOKUP($C$3,LookupTableReference,80,FALSE))</f>
        <v>!</v>
      </c>
      <c r="D100" s="17"/>
      <c r="E100" s="17"/>
      <c r="F100" s="17"/>
      <c r="G100" s="17"/>
      <c r="H100" s="17"/>
      <c r="I100" s="17"/>
    </row>
    <row r="101" spans="2:9" x14ac:dyDescent="0.2">
      <c r="B101" s="26" t="s">
        <v>278</v>
      </c>
      <c r="C101" s="127" t="str">
        <f>IF(HLOOKUP($C$3,LookupTableReference,81,FALSE)="","!",HLOOKUP($C$3,LookupTableReference,81,FALSE))</f>
        <v>!</v>
      </c>
      <c r="D101" s="17"/>
      <c r="E101" s="17"/>
      <c r="F101" s="17"/>
      <c r="G101" s="17"/>
      <c r="H101" s="17"/>
      <c r="I101" s="17"/>
    </row>
    <row r="102" spans="2:9" x14ac:dyDescent="0.2">
      <c r="B102" s="26" t="s">
        <v>279</v>
      </c>
      <c r="C102" s="127" t="str">
        <f>IF(HLOOKUP($C$3,LookupTableReference,82,FALSE)="","!",HLOOKUP($C$3,LookupTableReference,82,FALSE))</f>
        <v>!</v>
      </c>
      <c r="D102" s="17"/>
      <c r="E102" s="17"/>
      <c r="F102" s="17"/>
      <c r="G102" s="17"/>
      <c r="H102" s="17"/>
      <c r="I102" s="17"/>
    </row>
    <row r="103" spans="2:9" x14ac:dyDescent="0.2">
      <c r="B103" s="26" t="s">
        <v>280</v>
      </c>
      <c r="C103" s="127" t="str">
        <f>IF(HLOOKUP($C$3,LookupTableReference,83,FALSE)="","!",HLOOKUP($C$3,LookupTableReference,83,FALSE))</f>
        <v>!</v>
      </c>
      <c r="D103" s="17"/>
      <c r="E103" s="17"/>
      <c r="F103" s="17"/>
      <c r="G103" s="17"/>
      <c r="H103" s="17"/>
      <c r="I103" s="17"/>
    </row>
    <row r="104" spans="2:9" x14ac:dyDescent="0.2">
      <c r="B104" s="26" t="s">
        <v>281</v>
      </c>
      <c r="C104" s="127" t="str">
        <f>IF(HLOOKUP($C$3,LookupTableReference,84,FALSE)="","!",HLOOKUP($C$3,LookupTableReference,84,FALSE))</f>
        <v>!</v>
      </c>
      <c r="D104" s="17"/>
      <c r="E104" s="17"/>
      <c r="F104" s="17"/>
      <c r="G104" s="17"/>
      <c r="H104" s="17"/>
      <c r="I104" s="17"/>
    </row>
    <row r="105" spans="2:9" x14ac:dyDescent="0.2">
      <c r="B105" s="67" t="s">
        <v>282</v>
      </c>
      <c r="C105" s="127" t="str">
        <f>IF(HLOOKUP($C$3,LookupTableReference,85,FALSE)="","!",HLOOKUP($C$3,LookupTableReference,85,FALSE))</f>
        <v>!</v>
      </c>
      <c r="D105" s="17"/>
      <c r="E105" s="17"/>
      <c r="F105" s="17"/>
      <c r="G105" s="17"/>
      <c r="H105" s="17"/>
      <c r="I105" s="17"/>
    </row>
    <row r="106" spans="2:9" ht="13.5" thickBot="1" x14ac:dyDescent="0.25">
      <c r="B106" s="82" t="s">
        <v>283</v>
      </c>
      <c r="C106" s="128" t="str">
        <f>IF(HLOOKUP($C$3,LookupTableReference,78,FALSE)="","!",HLOOKUP($C$3,LookupTableReference,78,FALSE))</f>
        <v>Canada</v>
      </c>
      <c r="D106" s="17"/>
      <c r="E106" s="17"/>
      <c r="F106" s="17"/>
      <c r="G106" s="17"/>
      <c r="H106" s="17"/>
      <c r="I106" s="17"/>
    </row>
  </sheetData>
  <sheetProtection selectLockedCells="1"/>
  <mergeCells count="2">
    <mergeCell ref="B17:C17"/>
    <mergeCell ref="B1:C1"/>
  </mergeCells>
  <phoneticPr fontId="4" type="noConversion"/>
  <dataValidations count="5">
    <dataValidation type="list" allowBlank="1" showInputMessage="1" showErrorMessage="1" sqref="D6 C9 C4:C5" xr:uid="{00000000-0002-0000-0100-000000000000}">
      <formula1>"Yes,No"</formula1>
    </dataValidation>
    <dataValidation type="list" allowBlank="1" showInputMessage="1" showErrorMessage="1" sqref="C2" xr:uid="{00000000-0002-0000-0100-000001000000}">
      <formula1>"Router,Switch"</formula1>
    </dataValidation>
    <dataValidation type="list" allowBlank="1" showInputMessage="1" showErrorMessage="1" sqref="C10" xr:uid="{00000000-0002-0000-0100-000002000000}">
      <formula1>TimeLookupTableList2</formula1>
    </dataValidation>
    <dataValidation type="list" allowBlank="1" showInputMessage="1" showErrorMessage="1" sqref="C15" xr:uid="{00000000-0002-0000-0100-000003000000}">
      <formula1>"transparent, server, client"</formula1>
    </dataValidation>
    <dataValidation type="list" allowBlank="1" showInputMessage="1" showErrorMessage="1" sqref="C16" xr:uid="{00000000-0002-0000-0100-000004000000}">
      <formula1>"yes, no"</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'Lookup Table'!$B$2:$K$2</xm:f>
          </x14:formula1>
          <xm:sqref>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5"/>
  <sheetViews>
    <sheetView workbookViewId="0">
      <selection activeCell="A16" sqref="A16"/>
    </sheetView>
  </sheetViews>
  <sheetFormatPr defaultRowHeight="12.75" x14ac:dyDescent="0.2"/>
  <cols>
    <col min="1" max="1" width="54.140625" customWidth="1"/>
    <col min="3" max="3" width="54" customWidth="1"/>
  </cols>
  <sheetData>
    <row r="1" spans="1:3" x14ac:dyDescent="0.2">
      <c r="A1" s="1" t="s">
        <v>284</v>
      </c>
      <c r="B1" s="2"/>
      <c r="C1" s="3" t="s">
        <v>285</v>
      </c>
    </row>
    <row r="2" spans="1:3" x14ac:dyDescent="0.2">
      <c r="A2" s="1" t="s">
        <v>286</v>
      </c>
      <c r="B2" s="2"/>
      <c r="C2" s="3" t="s">
        <v>287</v>
      </c>
    </row>
    <row r="3" spans="1:3" x14ac:dyDescent="0.2">
      <c r="A3" s="1" t="s">
        <v>288</v>
      </c>
      <c r="B3" s="2"/>
      <c r="C3" s="3" t="s">
        <v>289</v>
      </c>
    </row>
    <row r="4" spans="1:3" x14ac:dyDescent="0.2">
      <c r="A4" s="1" t="s">
        <v>290</v>
      </c>
      <c r="B4" s="2"/>
      <c r="C4" s="3" t="s">
        <v>291</v>
      </c>
    </row>
    <row r="5" spans="1:3" x14ac:dyDescent="0.2">
      <c r="A5" s="1" t="s">
        <v>292</v>
      </c>
      <c r="B5" s="2"/>
      <c r="C5" s="3" t="s">
        <v>293</v>
      </c>
    </row>
    <row r="6" spans="1:3" x14ac:dyDescent="0.2">
      <c r="A6" s="1" t="s">
        <v>294</v>
      </c>
      <c r="B6" s="2"/>
      <c r="C6" s="3" t="s">
        <v>295</v>
      </c>
    </row>
    <row r="7" spans="1:3" x14ac:dyDescent="0.2">
      <c r="A7" s="1" t="s">
        <v>296</v>
      </c>
      <c r="B7" s="2"/>
      <c r="C7" s="3" t="s">
        <v>297</v>
      </c>
    </row>
    <row r="8" spans="1:3" x14ac:dyDescent="0.2">
      <c r="A8" s="1" t="s">
        <v>298</v>
      </c>
      <c r="B8" s="2"/>
      <c r="C8" s="3" t="s">
        <v>299</v>
      </c>
    </row>
    <row r="9" spans="1:3" x14ac:dyDescent="0.2">
      <c r="A9" t="s">
        <v>300</v>
      </c>
      <c r="B9" s="2"/>
      <c r="C9" s="3" t="s">
        <v>301</v>
      </c>
    </row>
    <row r="10" spans="1:3" x14ac:dyDescent="0.2">
      <c r="A10" s="1" t="s">
        <v>302</v>
      </c>
      <c r="B10" s="2"/>
      <c r="C10" s="3" t="s">
        <v>303</v>
      </c>
    </row>
    <row r="11" spans="1:3" x14ac:dyDescent="0.2">
      <c r="A11" s="1" t="s">
        <v>304</v>
      </c>
      <c r="B11" s="2"/>
      <c r="C11" s="3" t="s">
        <v>305</v>
      </c>
    </row>
    <row r="12" spans="1:3" x14ac:dyDescent="0.2">
      <c r="A12" s="1" t="s">
        <v>306</v>
      </c>
      <c r="B12" s="2"/>
      <c r="C12" s="3" t="s">
        <v>307</v>
      </c>
    </row>
    <row r="13" spans="1:3" x14ac:dyDescent="0.2">
      <c r="A13" s="1" t="s">
        <v>308</v>
      </c>
      <c r="B13" s="2"/>
      <c r="C13" s="3" t="s">
        <v>309</v>
      </c>
    </row>
    <row r="14" spans="1:3" x14ac:dyDescent="0.2">
      <c r="A14" s="1" t="s">
        <v>310</v>
      </c>
      <c r="B14" s="2"/>
      <c r="C14" s="3" t="s">
        <v>311</v>
      </c>
    </row>
    <row r="15" spans="1:3" x14ac:dyDescent="0.2">
      <c r="A15" s="12"/>
      <c r="B15" s="2"/>
      <c r="C15" s="3"/>
    </row>
    <row r="16" spans="1:3" x14ac:dyDescent="0.2">
      <c r="A16" s="4" t="str">
        <f>IF(SNMPRO1="!","!","access-list 66 permit "&amp;SNMPRO1)</f>
        <v>access-list 66 permit 158.139.195.0 0.0.0.255</v>
      </c>
      <c r="B16" s="2"/>
      <c r="C16" s="3" t="s">
        <v>312</v>
      </c>
    </row>
    <row r="17" spans="1:3" x14ac:dyDescent="0.2">
      <c r="A17" s="4" t="str">
        <f>IF(SNMPRW2="!","!","access-list 67 permit "&amp;SNMPRW2)</f>
        <v>access-list 67 permit 158.139.2.218</v>
      </c>
      <c r="B17" s="2"/>
      <c r="C17" s="3" t="s">
        <v>313</v>
      </c>
    </row>
    <row r="18" spans="1:3" x14ac:dyDescent="0.2">
      <c r="A18" s="4" t="str">
        <f>IF(SNMPRW3="!","!","access-list 67 permit "&amp;SNMPRW3)</f>
        <v>!</v>
      </c>
      <c r="B18" s="2"/>
      <c r="C18" s="3"/>
    </row>
    <row r="19" spans="1:3" x14ac:dyDescent="0.2">
      <c r="A19" t="s">
        <v>314</v>
      </c>
      <c r="C19" s="3" t="s">
        <v>315</v>
      </c>
    </row>
    <row r="20" spans="1:3" x14ac:dyDescent="0.2">
      <c r="A20" t="s">
        <v>316</v>
      </c>
      <c r="C20" s="3" t="s">
        <v>315</v>
      </c>
    </row>
    <row r="21" spans="1:3" x14ac:dyDescent="0.2">
      <c r="C21" s="3"/>
    </row>
    <row r="22" spans="1:3" x14ac:dyDescent="0.2">
      <c r="A22" s="12" t="s">
        <v>317</v>
      </c>
      <c r="C22" s="3" t="s">
        <v>318</v>
      </c>
    </row>
    <row r="23" spans="1:3" x14ac:dyDescent="0.2">
      <c r="A23" t="s">
        <v>319</v>
      </c>
      <c r="C23" s="3" t="s">
        <v>320</v>
      </c>
    </row>
    <row r="24" spans="1:3" x14ac:dyDescent="0.2">
      <c r="A24" t="s">
        <v>321</v>
      </c>
      <c r="C24" s="3" t="s">
        <v>322</v>
      </c>
    </row>
    <row r="25" spans="1:3" x14ac:dyDescent="0.2">
      <c r="C25" s="3"/>
    </row>
    <row r="26" spans="1:3" x14ac:dyDescent="0.2">
      <c r="A26" t="s">
        <v>323</v>
      </c>
      <c r="C26" s="3" t="s">
        <v>324</v>
      </c>
    </row>
    <row r="27" spans="1:3" x14ac:dyDescent="0.2">
      <c r="A27" t="s">
        <v>325</v>
      </c>
      <c r="C27" s="3" t="s">
        <v>326</v>
      </c>
    </row>
    <row r="29" spans="1:3" ht="15" x14ac:dyDescent="0.2">
      <c r="A29" s="32" t="s">
        <v>327</v>
      </c>
      <c r="C29" s="32" t="s">
        <v>328</v>
      </c>
    </row>
    <row r="30" spans="1:3" ht="15" x14ac:dyDescent="0.2">
      <c r="A30" s="32" t="s">
        <v>329</v>
      </c>
      <c r="C30" s="32" t="s">
        <v>330</v>
      </c>
    </row>
    <row r="31" spans="1:3" ht="15" x14ac:dyDescent="0.2">
      <c r="A31" s="32" t="s">
        <v>331</v>
      </c>
      <c r="C31" s="32" t="s">
        <v>332</v>
      </c>
    </row>
    <row r="32" spans="1:3" ht="15" x14ac:dyDescent="0.25">
      <c r="A32" s="39" t="s">
        <v>333</v>
      </c>
      <c r="C32" s="39" t="s">
        <v>334</v>
      </c>
    </row>
    <row r="34" spans="1:3" ht="15" x14ac:dyDescent="0.2">
      <c r="A34" s="32" t="s">
        <v>335</v>
      </c>
      <c r="C34" s="32" t="s">
        <v>336</v>
      </c>
    </row>
    <row r="35" spans="1:3" ht="15" x14ac:dyDescent="0.2">
      <c r="A35" s="32" t="s">
        <v>337</v>
      </c>
      <c r="C35" s="32" t="s">
        <v>338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297"/>
  <sheetViews>
    <sheetView topLeftCell="A30" zoomScaleNormal="100" workbookViewId="0">
      <selection activeCell="B173" sqref="B173:B174"/>
    </sheetView>
  </sheetViews>
  <sheetFormatPr defaultColWidth="9.140625" defaultRowHeight="12.75" x14ac:dyDescent="0.2"/>
  <cols>
    <col min="1" max="1" width="1.7109375" style="49" customWidth="1"/>
    <col min="2" max="2" width="70.5703125" style="49" customWidth="1"/>
    <col min="3" max="3" width="1.85546875" style="49" customWidth="1"/>
    <col min="4" max="4" width="77.5703125" style="85" customWidth="1"/>
    <col min="5" max="5" width="26.42578125" style="49" bestFit="1" customWidth="1"/>
    <col min="6" max="16384" width="9.140625" style="49"/>
  </cols>
  <sheetData>
    <row r="1" spans="1:7" x14ac:dyDescent="0.2">
      <c r="A1" s="17"/>
      <c r="B1" s="102" t="s">
        <v>339</v>
      </c>
      <c r="C1" s="17"/>
      <c r="D1" s="89"/>
      <c r="E1" s="17"/>
      <c r="F1" s="17"/>
      <c r="G1" s="17"/>
    </row>
    <row r="2" spans="1:7" x14ac:dyDescent="0.2">
      <c r="A2" s="17"/>
      <c r="B2" s="17" t="s">
        <v>306</v>
      </c>
      <c r="C2" s="17"/>
      <c r="D2" s="89"/>
      <c r="E2" s="17"/>
      <c r="F2" s="17"/>
      <c r="G2" s="17"/>
    </row>
    <row r="3" spans="1:7" customFormat="1" ht="25.5" x14ac:dyDescent="0.2">
      <c r="B3" s="112" t="s">
        <v>340</v>
      </c>
      <c r="D3" s="129" t="s">
        <v>341</v>
      </c>
    </row>
    <row r="4" spans="1:7" x14ac:dyDescent="0.2">
      <c r="A4" s="17"/>
      <c r="B4" s="102" t="s">
        <v>342</v>
      </c>
      <c r="C4" s="17"/>
      <c r="D4" s="92" t="s">
        <v>343</v>
      </c>
      <c r="E4" s="17"/>
      <c r="F4" s="17"/>
      <c r="G4" s="17"/>
    </row>
    <row r="5" spans="1:7" x14ac:dyDescent="0.2">
      <c r="A5" s="17"/>
      <c r="B5" t="s">
        <v>306</v>
      </c>
      <c r="C5" s="17"/>
      <c r="D5" s="92"/>
      <c r="E5" s="17"/>
      <c r="F5" s="17"/>
      <c r="G5" s="17"/>
    </row>
    <row r="6" spans="1:7" x14ac:dyDescent="0.2">
      <c r="A6" s="17"/>
      <c r="B6" s="102" t="str">
        <f>IF(RegionChoice="Norway TDE-CDE","!","ip dhcp snooping")</f>
        <v>ip dhcp snooping</v>
      </c>
      <c r="C6" s="17"/>
      <c r="D6" s="89" t="s">
        <v>344</v>
      </c>
      <c r="E6" s="17"/>
      <c r="F6" s="17"/>
      <c r="G6" s="17"/>
    </row>
    <row r="7" spans="1:7" x14ac:dyDescent="0.2">
      <c r="A7" s="17"/>
      <c r="B7" s="102" t="str">
        <f>IF(RegionChoice="Norway TDE-CDE","!","ip dhcp snooping vlan 1-1000")</f>
        <v>ip dhcp snooping vlan 1-1000</v>
      </c>
      <c r="C7" s="17"/>
      <c r="D7" s="92" t="s">
        <v>345</v>
      </c>
      <c r="E7" s="17"/>
      <c r="F7" s="17"/>
      <c r="G7" s="17"/>
    </row>
    <row r="8" spans="1:7" x14ac:dyDescent="0.2">
      <c r="A8" s="17"/>
      <c r="B8" s="102" t="str">
        <f>IF(RegionChoice="Norway TDE-CDE","!","ip dhcp snooping vlan 1-4094")</f>
        <v>ip dhcp snooping vlan 1-4094</v>
      </c>
      <c r="C8" s="17"/>
      <c r="D8" s="92"/>
      <c r="E8" s="17"/>
      <c r="F8" s="17"/>
      <c r="G8" s="17"/>
    </row>
    <row r="9" spans="1:7" s="50" customFormat="1" x14ac:dyDescent="0.2">
      <c r="A9" s="17"/>
      <c r="B9" s="102" t="str">
        <f>IF(RegionChoice="Norway TDE-CDE","!","no ip dhcp snooping information option")</f>
        <v>no ip dhcp snooping information option</v>
      </c>
      <c r="C9" s="17"/>
      <c r="D9" s="89" t="s">
        <v>346</v>
      </c>
      <c r="E9" s="17"/>
      <c r="F9" s="17"/>
      <c r="G9" s="17"/>
    </row>
    <row r="10" spans="1:7" s="50" customFormat="1" x14ac:dyDescent="0.2">
      <c r="A10" s="17"/>
      <c r="B10" s="102" t="s">
        <v>347</v>
      </c>
      <c r="C10" s="17"/>
      <c r="D10" s="89" t="s">
        <v>348</v>
      </c>
      <c r="E10" s="17"/>
      <c r="F10" s="17"/>
      <c r="G10" s="17"/>
    </row>
    <row r="11" spans="1:7" s="50" customFormat="1" x14ac:dyDescent="0.2">
      <c r="A11" s="17"/>
      <c r="B11" s="17" t="s">
        <v>306</v>
      </c>
      <c r="C11" s="17"/>
      <c r="D11" s="89"/>
      <c r="E11" s="17"/>
      <c r="F11" s="17"/>
      <c r="G11" s="17"/>
    </row>
    <row r="12" spans="1:7" s="50" customFormat="1" x14ac:dyDescent="0.2">
      <c r="A12" s="17"/>
      <c r="B12" s="17" t="s">
        <v>349</v>
      </c>
      <c r="C12" s="17"/>
      <c r="D12" s="89" t="s">
        <v>350</v>
      </c>
      <c r="E12" s="17"/>
      <c r="F12" s="17"/>
      <c r="G12" s="17"/>
    </row>
    <row r="13" spans="1:7" s="50" customFormat="1" x14ac:dyDescent="0.2">
      <c r="A13" s="17"/>
      <c r="B13" s="17" t="s">
        <v>351</v>
      </c>
      <c r="C13" s="17"/>
      <c r="D13" s="89" t="s">
        <v>352</v>
      </c>
      <c r="E13" s="17"/>
      <c r="F13" s="17"/>
      <c r="G13" s="17"/>
    </row>
    <row r="14" spans="1:7" s="50" customFormat="1" x14ac:dyDescent="0.2">
      <c r="A14" s="17"/>
      <c r="B14" s="17" t="s">
        <v>306</v>
      </c>
      <c r="C14" s="17"/>
      <c r="D14" s="89"/>
      <c r="E14" s="17"/>
      <c r="F14" s="17"/>
      <c r="G14" s="17"/>
    </row>
    <row r="15" spans="1:7" s="50" customFormat="1" x14ac:dyDescent="0.2">
      <c r="A15" s="17"/>
      <c r="B15" s="17" t="s">
        <v>353</v>
      </c>
      <c r="C15" s="17"/>
      <c r="D15" s="89" t="s">
        <v>354</v>
      </c>
      <c r="E15" s="17"/>
      <c r="F15" s="17"/>
      <c r="G15" s="17"/>
    </row>
    <row r="16" spans="1:7" s="50" customFormat="1" x14ac:dyDescent="0.2">
      <c r="A16" s="17"/>
      <c r="B16" s="17" t="s">
        <v>355</v>
      </c>
      <c r="C16" s="17"/>
      <c r="D16" s="89" t="s">
        <v>356</v>
      </c>
      <c r="E16" s="17"/>
      <c r="F16" s="17"/>
      <c r="G16" s="17"/>
    </row>
    <row r="17" spans="1:7" s="50" customFormat="1" x14ac:dyDescent="0.2">
      <c r="A17" s="17"/>
      <c r="B17" s="17" t="s">
        <v>357</v>
      </c>
      <c r="C17" s="17"/>
      <c r="D17" s="89" t="s">
        <v>358</v>
      </c>
      <c r="E17" s="17"/>
      <c r="F17" s="17"/>
      <c r="G17" s="17"/>
    </row>
    <row r="18" spans="1:7" s="50" customFormat="1" x14ac:dyDescent="0.2">
      <c r="A18" s="17"/>
      <c r="B18" s="17" t="s">
        <v>359</v>
      </c>
      <c r="C18" s="17"/>
      <c r="D18" s="89" t="s">
        <v>360</v>
      </c>
      <c r="E18" s="17"/>
      <c r="F18" s="17"/>
      <c r="G18" s="17"/>
    </row>
    <row r="19" spans="1:7" s="50" customFormat="1" x14ac:dyDescent="0.2">
      <c r="A19" s="17"/>
      <c r="B19" s="17" t="s">
        <v>306</v>
      </c>
      <c r="C19" s="17"/>
      <c r="D19" s="89"/>
      <c r="E19" s="17"/>
      <c r="F19" s="17"/>
      <c r="G19" s="17"/>
    </row>
    <row r="20" spans="1:7" x14ac:dyDescent="0.2">
      <c r="A20" s="17"/>
      <c r="B20" s="17" t="s">
        <v>361</v>
      </c>
      <c r="C20" s="17"/>
      <c r="D20" s="89" t="s">
        <v>362</v>
      </c>
      <c r="E20" s="17"/>
      <c r="F20" s="17"/>
      <c r="G20" s="17"/>
    </row>
    <row r="21" spans="1:7" x14ac:dyDescent="0.2">
      <c r="A21" s="17"/>
      <c r="B21" s="17" t="s">
        <v>363</v>
      </c>
      <c r="C21" s="1"/>
      <c r="D21" s="89" t="s">
        <v>364</v>
      </c>
      <c r="E21" s="17"/>
      <c r="F21" s="17"/>
      <c r="G21" s="17"/>
    </row>
    <row r="22" spans="1:7" x14ac:dyDescent="0.2">
      <c r="A22" s="17"/>
      <c r="B22" s="1" t="s">
        <v>365</v>
      </c>
      <c r="C22" s="1"/>
      <c r="D22" s="86" t="s">
        <v>366</v>
      </c>
      <c r="E22" s="17"/>
      <c r="F22" s="17"/>
      <c r="G22" s="17"/>
    </row>
    <row r="23" spans="1:7" x14ac:dyDescent="0.2">
      <c r="A23" s="17"/>
      <c r="B23" s="1" t="s">
        <v>367</v>
      </c>
      <c r="C23" s="1"/>
      <c r="D23" s="86" t="s">
        <v>368</v>
      </c>
      <c r="E23" s="17"/>
      <c r="F23" s="17"/>
      <c r="G23" s="17"/>
    </row>
    <row r="24" spans="1:7" x14ac:dyDescent="0.2">
      <c r="A24" s="17"/>
      <c r="B24" s="1" t="s">
        <v>369</v>
      </c>
      <c r="C24" s="1"/>
      <c r="D24" s="86" t="s">
        <v>370</v>
      </c>
      <c r="E24" s="17"/>
      <c r="F24" s="17"/>
      <c r="G24" s="17"/>
    </row>
    <row r="25" spans="1:7" x14ac:dyDescent="0.2">
      <c r="A25" s="17"/>
      <c r="B25" s="1" t="s">
        <v>371</v>
      </c>
      <c r="C25" s="1"/>
      <c r="D25" s="86" t="s">
        <v>372</v>
      </c>
      <c r="E25" s="17"/>
      <c r="F25" s="17"/>
      <c r="G25" s="17"/>
    </row>
    <row r="26" spans="1:7" x14ac:dyDescent="0.2">
      <c r="A26" s="17"/>
      <c r="B26" s="17" t="s">
        <v>373</v>
      </c>
      <c r="C26" s="1"/>
      <c r="D26" s="86" t="s">
        <v>374</v>
      </c>
      <c r="E26" s="17"/>
      <c r="F26" s="17"/>
      <c r="G26" s="17"/>
    </row>
    <row r="27" spans="1:7" x14ac:dyDescent="0.2">
      <c r="A27" s="17"/>
      <c r="B27" s="17" t="s">
        <v>375</v>
      </c>
      <c r="C27" s="1"/>
      <c r="D27" s="86" t="s">
        <v>376</v>
      </c>
      <c r="E27" s="17"/>
      <c r="F27" s="17"/>
      <c r="G27" s="17"/>
    </row>
    <row r="28" spans="1:7" x14ac:dyDescent="0.2">
      <c r="A28" s="17"/>
      <c r="B28" s="1" t="s">
        <v>377</v>
      </c>
      <c r="C28" s="1"/>
      <c r="D28" s="86" t="s">
        <v>378</v>
      </c>
      <c r="E28" s="17"/>
      <c r="F28" s="17"/>
      <c r="G28" s="17"/>
    </row>
    <row r="29" spans="1:7" x14ac:dyDescent="0.2">
      <c r="A29" s="17"/>
      <c r="B29" s="1" t="s">
        <v>379</v>
      </c>
      <c r="C29" s="1"/>
      <c r="D29" s="86" t="s">
        <v>380</v>
      </c>
      <c r="E29" s="17"/>
      <c r="F29" s="17"/>
      <c r="G29" s="17"/>
    </row>
    <row r="30" spans="1:7" x14ac:dyDescent="0.2">
      <c r="A30" s="17"/>
      <c r="B30" s="1" t="s">
        <v>381</v>
      </c>
      <c r="C30" s="1"/>
      <c r="D30" s="86" t="s">
        <v>382</v>
      </c>
      <c r="E30" s="17"/>
      <c r="F30" s="17"/>
      <c r="G30" s="17"/>
    </row>
    <row r="31" spans="1:7" x14ac:dyDescent="0.2">
      <c r="A31" s="17"/>
      <c r="B31" s="17" t="s">
        <v>383</v>
      </c>
      <c r="C31" s="1"/>
      <c r="D31" s="86" t="s">
        <v>384</v>
      </c>
      <c r="E31" s="17"/>
      <c r="F31" s="17"/>
      <c r="G31" s="17"/>
    </row>
    <row r="32" spans="1:7" x14ac:dyDescent="0.2">
      <c r="A32" s="17"/>
      <c r="B32" s="103" t="s">
        <v>385</v>
      </c>
      <c r="C32" s="1"/>
      <c r="D32" s="89" t="s">
        <v>386</v>
      </c>
      <c r="E32" s="17"/>
      <c r="F32" s="17"/>
      <c r="G32" s="17"/>
    </row>
    <row r="33" spans="2:4" x14ac:dyDescent="0.2">
      <c r="B33" t="s">
        <v>387</v>
      </c>
      <c r="C33" s="1"/>
      <c r="D33" s="86" t="s">
        <v>388</v>
      </c>
    </row>
    <row r="34" spans="2:4" x14ac:dyDescent="0.2">
      <c r="B34" s="4" t="str">
        <f>"hostname "&amp;Hostname</f>
        <v xml:space="preserve">hostname </v>
      </c>
      <c r="C34" s="4"/>
      <c r="D34" s="86" t="s">
        <v>389</v>
      </c>
    </row>
    <row r="35" spans="2:4" x14ac:dyDescent="0.2">
      <c r="B35" s="17" t="s">
        <v>306</v>
      </c>
      <c r="C35" s="1"/>
      <c r="D35" s="89"/>
    </row>
    <row r="36" spans="2:4" x14ac:dyDescent="0.2">
      <c r="B36" s="1" t="s">
        <v>390</v>
      </c>
      <c r="C36" s="1"/>
      <c r="D36" s="86" t="s">
        <v>391</v>
      </c>
    </row>
    <row r="37" spans="2:4" x14ac:dyDescent="0.2">
      <c r="B37" s="17" t="s">
        <v>392</v>
      </c>
      <c r="C37" s="1"/>
      <c r="D37" s="89" t="s">
        <v>393</v>
      </c>
    </row>
    <row r="38" spans="2:4" x14ac:dyDescent="0.2">
      <c r="B38" s="17" t="s">
        <v>394</v>
      </c>
      <c r="C38" s="1"/>
      <c r="D38" s="89" t="s">
        <v>395</v>
      </c>
    </row>
    <row r="39" spans="2:4" x14ac:dyDescent="0.2">
      <c r="B39" s="1" t="s">
        <v>396</v>
      </c>
      <c r="C39" s="1"/>
      <c r="D39" s="88" t="s">
        <v>397</v>
      </c>
    </row>
    <row r="40" spans="2:4" x14ac:dyDescent="0.2">
      <c r="B40" s="17" t="s">
        <v>306</v>
      </c>
      <c r="C40" s="1"/>
      <c r="D40" s="89"/>
    </row>
    <row r="41" spans="2:4" x14ac:dyDescent="0.2">
      <c r="B41" s="102" t="str">
        <f>IF(RegionChoice="Norway TDE-CDE","!","vtp mode "&amp;VTPmode)</f>
        <v>vtp mode transparent</v>
      </c>
      <c r="C41" s="1"/>
      <c r="D41" s="89" t="s">
        <v>398</v>
      </c>
    </row>
    <row r="42" spans="2:4" x14ac:dyDescent="0.2">
      <c r="B42" s="17" t="s">
        <v>306</v>
      </c>
      <c r="C42" s="1"/>
      <c r="D42" s="89"/>
    </row>
    <row r="43" spans="2:4" x14ac:dyDescent="0.2">
      <c r="B43" s="1" t="s">
        <v>399</v>
      </c>
      <c r="C43" s="1"/>
      <c r="D43" s="89" t="s">
        <v>400</v>
      </c>
    </row>
    <row r="44" spans="2:4" ht="27.75" customHeight="1" x14ac:dyDescent="0.2">
      <c r="B44" s="4" t="str">
        <f>IF(RegionChoice="Norway TDE-CDE","!","enable secret 9 "&amp;Enable_Secret)</f>
        <v>enable secret 9 XXXXXXXXXXXXXXXXXXXXXXXXXXXXXXXXXXXXXXXX</v>
      </c>
      <c r="C44" s="1"/>
      <c r="D44" s="86" t="s">
        <v>401</v>
      </c>
    </row>
    <row r="45" spans="2:4" ht="24.75" customHeight="1" x14ac:dyDescent="0.2">
      <c r="B45" s="4" t="str">
        <f>IF(RegionChoice="Norway TDE-CDE","!","username tombstone privilege 15 secret 9 "&amp; Enable_Secret)</f>
        <v>username tombstone privilege 15 secret 9 XXXXXXXXXXXXXXXXXXXXXXXXXXXXXXXXXXXXXXXX</v>
      </c>
      <c r="C45" s="1"/>
      <c r="D45" s="89" t="s">
        <v>402</v>
      </c>
    </row>
    <row r="46" spans="2:4" x14ac:dyDescent="0.2">
      <c r="B46" s="17" t="s">
        <v>306</v>
      </c>
      <c r="C46" s="1"/>
      <c r="D46" s="89"/>
    </row>
    <row r="47" spans="2:4" x14ac:dyDescent="0.2">
      <c r="B47" s="1" t="str">
        <f>IF(RegionChoice="Norway TCE-CDE","!","aaa new-model")</f>
        <v>aaa new-model</v>
      </c>
      <c r="C47" s="4"/>
      <c r="D47" s="35" t="s">
        <v>403</v>
      </c>
    </row>
    <row r="48" spans="2:4" x14ac:dyDescent="0.2">
      <c r="B48" s="1" t="str">
        <f>IF(RegionChoice="Norway TCE-CDE","!","aaa authentication login default group tacacs+ local line")</f>
        <v>aaa authentication login default group tacacs+ local line</v>
      </c>
      <c r="C48" s="4"/>
      <c r="D48" s="89" t="s">
        <v>404</v>
      </c>
    </row>
    <row r="49" spans="2:4" x14ac:dyDescent="0.2">
      <c r="B49" s="1" t="str">
        <f>IF(RegionChoice="Norway TCE-CDE","!","aaa authentication login NO-TACACS line")</f>
        <v>aaa authentication login NO-TACACS line</v>
      </c>
      <c r="C49" s="1"/>
      <c r="D49" s="89" t="s">
        <v>405</v>
      </c>
    </row>
    <row r="50" spans="2:4" x14ac:dyDescent="0.2">
      <c r="B50" s="1" t="str">
        <f>IF(RegionChoice="Norway TCE-CDE","!","aaa authorization exec default group tacacs+ if-authenticated ")</f>
        <v xml:space="preserve">aaa authorization exec default group tacacs+ if-authenticated </v>
      </c>
      <c r="C50" s="1"/>
      <c r="D50" s="89" t="s">
        <v>406</v>
      </c>
    </row>
    <row r="51" spans="2:4" x14ac:dyDescent="0.2">
      <c r="B51" s="1" t="str">
        <f>IF(RegionChoice="Norway TCE-CDE","!","aaa authorization commands 0 default group tacacs+ local none")</f>
        <v>aaa authorization commands 0 default group tacacs+ local none</v>
      </c>
      <c r="C51" s="1"/>
      <c r="D51" s="89" t="s">
        <v>407</v>
      </c>
    </row>
    <row r="52" spans="2:4" x14ac:dyDescent="0.2">
      <c r="B52" s="1" t="str">
        <f>IF(RegionChoice="Norway TCE-CDE","!","aaa authorization commands 1 default group tacacs+ local none ")</f>
        <v xml:space="preserve">aaa authorization commands 1 default group tacacs+ local none </v>
      </c>
      <c r="C52" s="1"/>
      <c r="D52" s="89" t="s">
        <v>407</v>
      </c>
    </row>
    <row r="53" spans="2:4" x14ac:dyDescent="0.2">
      <c r="B53" s="1" t="str">
        <f>IF(RegionChoice="Norway TCE-CDE","!","aaa authorization commands 15 default group tacacs+ local none")</f>
        <v>aaa authorization commands 15 default group tacacs+ local none</v>
      </c>
      <c r="C53" s="1"/>
      <c r="D53" s="89" t="s">
        <v>407</v>
      </c>
    </row>
    <row r="54" spans="2:4" x14ac:dyDescent="0.2">
      <c r="B54" s="1" t="str">
        <f>IF(RegionChoice="Norway TCE-CDE","!","aaa accounting exec default start-stop group tacacs+")</f>
        <v>aaa accounting exec default start-stop group tacacs+</v>
      </c>
      <c r="C54" s="1"/>
      <c r="D54" s="89" t="s">
        <v>408</v>
      </c>
    </row>
    <row r="55" spans="2:4" x14ac:dyDescent="0.2">
      <c r="B55" s="1" t="str">
        <f>IF(RegionChoice="Norway TCE-CDE","!","aaa accounting commands 1 default start-stop group tacacs+")</f>
        <v>aaa accounting commands 1 default start-stop group tacacs+</v>
      </c>
      <c r="C55" s="1"/>
      <c r="D55" s="89" t="s">
        <v>409</v>
      </c>
    </row>
    <row r="56" spans="2:4" x14ac:dyDescent="0.2">
      <c r="B56" s="1" t="str">
        <f>IF(RegionChoice="Norway TCE-CDE","!","aaa accounting commands 5 default start-stop group tacacs+")</f>
        <v>aaa accounting commands 5 default start-stop group tacacs+</v>
      </c>
      <c r="C56" s="1"/>
      <c r="D56" s="89" t="s">
        <v>410</v>
      </c>
    </row>
    <row r="57" spans="2:4" x14ac:dyDescent="0.2">
      <c r="B57" s="1" t="str">
        <f>IF(RegionChoice="Norway TCE-CDE","!","aaa accounting commands 15 default start-stop group tacacs+")</f>
        <v>aaa accounting commands 15 default start-stop group tacacs+</v>
      </c>
      <c r="C57" s="1"/>
      <c r="D57" s="89" t="s">
        <v>410</v>
      </c>
    </row>
    <row r="58" spans="2:4" x14ac:dyDescent="0.2">
      <c r="B58" s="17" t="s">
        <v>306</v>
      </c>
      <c r="C58" s="1"/>
      <c r="D58" s="89"/>
    </row>
    <row r="59" spans="2:4" x14ac:dyDescent="0.2">
      <c r="B59" s="4" t="str">
        <f>IF(Timezone="!", "!","clock timezone "&amp;Timezone&amp;" "&amp;Offset)</f>
        <v>clock timezone CST -6 0</v>
      </c>
      <c r="C59" s="1"/>
      <c r="D59" s="88" t="s">
        <v>411</v>
      </c>
    </row>
    <row r="60" spans="2:4" x14ac:dyDescent="0.2">
      <c r="B60" s="4" t="str">
        <f>IF(SummerTimezone="!","!", "clock summer-time "&amp;SummerTimezone&amp; " "&amp;TimeRecurrence)</f>
        <v>clock summer-time CDT 2 sun mar 02:00 1 sun nov 02:00</v>
      </c>
      <c r="C60" s="1"/>
      <c r="D60" s="88" t="s">
        <v>412</v>
      </c>
    </row>
    <row r="61" spans="2:4" x14ac:dyDescent="0.2">
      <c r="B61" s="4" t="str">
        <f>IF(SummerTimezone="!","!", "clock summer-time "&amp;SummerTimezone&amp; " recurring "&amp;TimeRecurrence)</f>
        <v>clock summer-time CDT recurring 2 sun mar 02:00 1 sun nov 02:00</v>
      </c>
      <c r="C61" s="1"/>
      <c r="D61" s="88" t="s">
        <v>412</v>
      </c>
    </row>
    <row r="62" spans="2:4" x14ac:dyDescent="0.2">
      <c r="B62" s="1" t="s">
        <v>306</v>
      </c>
      <c r="C62" s="1"/>
      <c r="D62" s="88"/>
    </row>
    <row r="63" spans="2:4" x14ac:dyDescent="0.2">
      <c r="B63" s="103" t="s">
        <v>413</v>
      </c>
      <c r="C63" s="1"/>
      <c r="D63" s="87" t="s">
        <v>414</v>
      </c>
    </row>
    <row r="64" spans="2:4" x14ac:dyDescent="0.2">
      <c r="B64" s="1" t="s">
        <v>306</v>
      </c>
      <c r="C64" s="1"/>
      <c r="D64" s="89"/>
    </row>
    <row r="65" spans="2:4" x14ac:dyDescent="0.2">
      <c r="B65" s="1" t="s">
        <v>415</v>
      </c>
      <c r="C65" s="1"/>
      <c r="D65" s="89" t="s">
        <v>416</v>
      </c>
    </row>
    <row r="66" spans="2:4" x14ac:dyDescent="0.2">
      <c r="B66" s="17" t="s">
        <v>417</v>
      </c>
      <c r="C66" s="1"/>
      <c r="D66" s="89" t="s">
        <v>418</v>
      </c>
    </row>
    <row r="67" spans="2:4" x14ac:dyDescent="0.2">
      <c r="B67" s="17" t="s">
        <v>419</v>
      </c>
      <c r="C67" s="1"/>
      <c r="D67" s="89" t="s">
        <v>420</v>
      </c>
    </row>
    <row r="68" spans="2:4" x14ac:dyDescent="0.2">
      <c r="B68" s="1" t="s">
        <v>421</v>
      </c>
      <c r="C68" s="1"/>
      <c r="D68" s="86" t="s">
        <v>422</v>
      </c>
    </row>
    <row r="69" spans="2:4" x14ac:dyDescent="0.2">
      <c r="B69" s="17" t="s">
        <v>423</v>
      </c>
      <c r="C69" s="1"/>
      <c r="D69" s="86" t="s">
        <v>424</v>
      </c>
    </row>
    <row r="70" spans="2:4" x14ac:dyDescent="0.2">
      <c r="B70" s="4" t="str">
        <f>"ip tftp source-interface "&amp;SourceInt</f>
        <v xml:space="preserve">ip tftp source-interface </v>
      </c>
      <c r="C70" s="4"/>
      <c r="D70" s="86" t="s">
        <v>425</v>
      </c>
    </row>
    <row r="71" spans="2:4" x14ac:dyDescent="0.2">
      <c r="B71" s="4" t="str">
        <f>"ip ftp source-interface "&amp;SourceInt</f>
        <v xml:space="preserve">ip ftp source-interface </v>
      </c>
      <c r="C71" s="4"/>
      <c r="D71" s="86" t="s">
        <v>426</v>
      </c>
    </row>
    <row r="72" spans="2:4" x14ac:dyDescent="0.2">
      <c r="B72" s="4" t="str">
        <f>"ip ssh source-interface "&amp;SourceInt</f>
        <v xml:space="preserve">ip ssh source-interface </v>
      </c>
      <c r="C72" s="4"/>
      <c r="D72" s="86" t="s">
        <v>427</v>
      </c>
    </row>
    <row r="73" spans="2:4" x14ac:dyDescent="0.2">
      <c r="B73" s="17" t="s">
        <v>306</v>
      </c>
      <c r="C73" s="1"/>
      <c r="D73" s="89"/>
    </row>
    <row r="74" spans="2:4" x14ac:dyDescent="0.2">
      <c r="B74" s="4" t="str">
        <f>IF(RegionChoice="Norway TDE-CDE","!",IF(NameServer1="!","!","ip name-server "&amp;NameServer1))</f>
        <v>ip name-server 155.191.182.135</v>
      </c>
      <c r="C74" s="4"/>
      <c r="D74" s="86" t="s">
        <v>428</v>
      </c>
    </row>
    <row r="75" spans="2:4" x14ac:dyDescent="0.2">
      <c r="B75" s="4" t="str">
        <f>IF(RegionChoice="Norway TDE-CDE","!",IF(NameServer2="!","!","ip name-server "&amp;NameServer2))</f>
        <v>ip name-server 158.139.212.31</v>
      </c>
      <c r="C75" s="4"/>
      <c r="D75" s="86" t="s">
        <v>429</v>
      </c>
    </row>
    <row r="76" spans="2:4" x14ac:dyDescent="0.2">
      <c r="B76" s="4" t="str">
        <f>IF(RegionChoice="Norway TDE-CDE","!",IF(NameServer3="!","!","ip name-server "&amp;NameServer3))</f>
        <v>!</v>
      </c>
      <c r="C76" s="4"/>
      <c r="D76" s="86" t="s">
        <v>430</v>
      </c>
    </row>
    <row r="77" spans="2:4" x14ac:dyDescent="0.2">
      <c r="B77" s="1" t="s">
        <v>431</v>
      </c>
      <c r="C77" s="1"/>
      <c r="D77" s="86" t="s">
        <v>432</v>
      </c>
    </row>
    <row r="78" spans="2:4" x14ac:dyDescent="0.2">
      <c r="B78" s="1" t="s">
        <v>306</v>
      </c>
      <c r="C78" s="4"/>
      <c r="D78" s="86"/>
    </row>
    <row r="79" spans="2:4" x14ac:dyDescent="0.2">
      <c r="B79" s="1" t="s">
        <v>433</v>
      </c>
      <c r="C79" s="1"/>
      <c r="D79" s="86" t="s">
        <v>434</v>
      </c>
    </row>
    <row r="80" spans="2:4" x14ac:dyDescent="0.2">
      <c r="B80" s="17" t="s">
        <v>435</v>
      </c>
      <c r="C80" s="1"/>
      <c r="D80" s="86" t="s">
        <v>436</v>
      </c>
    </row>
    <row r="81" spans="2:4" x14ac:dyDescent="0.2">
      <c r="B81" s="17" t="s">
        <v>437</v>
      </c>
      <c r="C81" s="1"/>
      <c r="D81" s="86" t="s">
        <v>436</v>
      </c>
    </row>
    <row r="82" spans="2:4" x14ac:dyDescent="0.2">
      <c r="B82" s="4" t="str">
        <f>"ip domain-lookup source-interface "&amp;SourceInt</f>
        <v xml:space="preserve">ip domain-lookup source-interface </v>
      </c>
      <c r="C82" s="1"/>
      <c r="D82" s="86" t="s">
        <v>438</v>
      </c>
    </row>
    <row r="83" spans="2:4" x14ac:dyDescent="0.2">
      <c r="B83" s="1" t="s">
        <v>439</v>
      </c>
      <c r="C83" s="1"/>
      <c r="D83" s="89" t="s">
        <v>440</v>
      </c>
    </row>
    <row r="84" spans="2:4" x14ac:dyDescent="0.2">
      <c r="B84" s="1" t="s">
        <v>306</v>
      </c>
      <c r="C84" s="1"/>
      <c r="D84" s="89"/>
    </row>
    <row r="85" spans="2:4" x14ac:dyDescent="0.2">
      <c r="B85" s="1" t="s">
        <v>441</v>
      </c>
      <c r="C85" s="1"/>
      <c r="D85" s="89" t="s">
        <v>442</v>
      </c>
    </row>
    <row r="86" spans="2:4" x14ac:dyDescent="0.2">
      <c r="B86" s="17" t="s">
        <v>443</v>
      </c>
      <c r="C86" s="1"/>
      <c r="D86" s="89" t="s">
        <v>442</v>
      </c>
    </row>
    <row r="87" spans="2:4" x14ac:dyDescent="0.2">
      <c r="B87" s="17" t="s">
        <v>444</v>
      </c>
      <c r="C87" s="1"/>
      <c r="D87" s="89" t="s">
        <v>442</v>
      </c>
    </row>
    <row r="88" spans="2:4" x14ac:dyDescent="0.2">
      <c r="B88" s="4" t="str">
        <f>"ip domain lookup source-interface "&amp;SourceInt</f>
        <v xml:space="preserve">ip domain lookup source-interface </v>
      </c>
      <c r="C88" s="1"/>
      <c r="D88" s="89" t="s">
        <v>442</v>
      </c>
    </row>
    <row r="89" spans="2:4" x14ac:dyDescent="0.2">
      <c r="B89" s="1" t="s">
        <v>445</v>
      </c>
      <c r="C89" s="1"/>
      <c r="D89" s="89" t="s">
        <v>442</v>
      </c>
    </row>
    <row r="90" spans="2:4" x14ac:dyDescent="0.2">
      <c r="B90" s="1" t="s">
        <v>306</v>
      </c>
      <c r="C90" s="1"/>
      <c r="D90" s="89"/>
    </row>
    <row r="91" spans="2:4" x14ac:dyDescent="0.2">
      <c r="B91" s="1" t="s">
        <v>446</v>
      </c>
      <c r="C91" s="1"/>
      <c r="D91" s="89" t="s">
        <v>447</v>
      </c>
    </row>
    <row r="92" spans="2:4" x14ac:dyDescent="0.2">
      <c r="B92" s="1" t="s">
        <v>448</v>
      </c>
      <c r="C92" s="1"/>
      <c r="D92" s="89" t="s">
        <v>449</v>
      </c>
    </row>
    <row r="93" spans="2:4" x14ac:dyDescent="0.2">
      <c r="B93" s="17" t="s">
        <v>306</v>
      </c>
      <c r="C93" s="1"/>
      <c r="D93" s="89"/>
    </row>
    <row r="94" spans="2:4" x14ac:dyDescent="0.2">
      <c r="B94" s="4" t="str">
        <f>"ip tacacs source-interface "&amp;SourceInt</f>
        <v xml:space="preserve">ip tacacs source-interface </v>
      </c>
      <c r="C94" s="4"/>
      <c r="D94" s="86" t="s">
        <v>450</v>
      </c>
    </row>
    <row r="95" spans="2:4" x14ac:dyDescent="0.2">
      <c r="B95" s="1" t="s">
        <v>451</v>
      </c>
      <c r="C95" s="1"/>
      <c r="D95" s="86" t="s">
        <v>452</v>
      </c>
    </row>
    <row r="96" spans="2:4" x14ac:dyDescent="0.2">
      <c r="B96" s="1" t="s">
        <v>453</v>
      </c>
      <c r="C96" s="1"/>
      <c r="D96" s="86" t="s">
        <v>454</v>
      </c>
    </row>
    <row r="97" spans="2:4" x14ac:dyDescent="0.2">
      <c r="B97" s="1" t="s">
        <v>306</v>
      </c>
      <c r="C97" s="1"/>
      <c r="D97" s="89"/>
    </row>
    <row r="98" spans="2:4" x14ac:dyDescent="0.2">
      <c r="B98" s="17" t="s">
        <v>306</v>
      </c>
      <c r="C98" s="1"/>
      <c r="D98" s="89"/>
    </row>
    <row r="99" spans="2:4" x14ac:dyDescent="0.2">
      <c r="B99" s="1" t="s">
        <v>455</v>
      </c>
      <c r="C99" s="1"/>
      <c r="D99" s="89" t="s">
        <v>456</v>
      </c>
    </row>
    <row r="100" spans="2:4" x14ac:dyDescent="0.2">
      <c r="B100" s="4" t="str">
        <f>"logging source-interface "&amp;SourceInt</f>
        <v xml:space="preserve">logging source-interface </v>
      </c>
      <c r="C100" s="4"/>
      <c r="D100" s="86" t="s">
        <v>457</v>
      </c>
    </row>
    <row r="101" spans="2:4" x14ac:dyDescent="0.2">
      <c r="B101" s="4" t="str">
        <f>IF(RegionChoice="Norway TDE-CDE","!",IF(OR(IS_DMZ="Yes",PRIME="!"),"!","logging "&amp;PRIME))</f>
        <v>logging 158.139.170.25</v>
      </c>
      <c r="C101" s="4"/>
      <c r="D101" s="86" t="s">
        <v>458</v>
      </c>
    </row>
    <row r="102" spans="2:4" x14ac:dyDescent="0.2">
      <c r="B102" s="4" t="str">
        <f>IF(RegionChoice="Norway TDE-CDE","!",IF(OR(IS_DMZ="Yes",PRIME_SECONDARY="!"),"!","logging "&amp;PRIME_SECONDARY))</f>
        <v>logging 158.139.2.218</v>
      </c>
      <c r="C102" s="4"/>
      <c r="D102" s="86" t="s">
        <v>458</v>
      </c>
    </row>
    <row r="103" spans="2:4" x14ac:dyDescent="0.2">
      <c r="B103" s="4" t="str">
        <f>IF(OR(IS_DMZ="Yes",LoggingServer1="!"),"!","logging "&amp;LoggingServer1)</f>
        <v>!</v>
      </c>
      <c r="C103" s="4"/>
      <c r="D103" s="86" t="s">
        <v>458</v>
      </c>
    </row>
    <row r="104" spans="2:4" x14ac:dyDescent="0.2">
      <c r="B104" s="4" t="str">
        <f>IF(OR(IS_DMZ="Yes",LoggingServer2="!"),"!","logging "&amp;LoggingServer2)</f>
        <v>!</v>
      </c>
      <c r="C104" s="1"/>
      <c r="D104" s="86" t="s">
        <v>458</v>
      </c>
    </row>
    <row r="105" spans="2:4" x14ac:dyDescent="0.2">
      <c r="B105" s="4" t="str">
        <f>IF(OR(IS_DMZ="Yes",LoggingServer3="!"),"!","logging "&amp;LoggingServer3)</f>
        <v>!</v>
      </c>
      <c r="C105" s="1"/>
      <c r="D105" s="86" t="s">
        <v>458</v>
      </c>
    </row>
    <row r="106" spans="2:4" x14ac:dyDescent="0.2">
      <c r="B106" s="24" t="str">
        <f>IF(IS_DMZ="No","!","logging "&amp;DMZ_PRIME_IP)</f>
        <v>!</v>
      </c>
      <c r="C106" s="1"/>
      <c r="D106" s="86" t="s">
        <v>459</v>
      </c>
    </row>
    <row r="107" spans="2:4" x14ac:dyDescent="0.2">
      <c r="B107" s="1" t="s">
        <v>306</v>
      </c>
      <c r="C107" s="1"/>
      <c r="D107" s="86"/>
    </row>
    <row r="108" spans="2:4" x14ac:dyDescent="0.2">
      <c r="B108" s="103" t="s">
        <v>460</v>
      </c>
      <c r="C108" s="1"/>
      <c r="D108" s="89" t="s">
        <v>461</v>
      </c>
    </row>
    <row r="109" spans="2:4" x14ac:dyDescent="0.2">
      <c r="B109" s="1" t="s">
        <v>306</v>
      </c>
      <c r="C109" s="1"/>
      <c r="D109" s="89"/>
    </row>
    <row r="110" spans="2:4" x14ac:dyDescent="0.2">
      <c r="B110" s="1" t="s">
        <v>462</v>
      </c>
      <c r="C110" s="1"/>
      <c r="D110" s="89" t="s">
        <v>463</v>
      </c>
    </row>
    <row r="111" spans="2:4" x14ac:dyDescent="0.2">
      <c r="B111" s="1" t="s">
        <v>464</v>
      </c>
      <c r="C111" s="1"/>
      <c r="D111" s="89" t="s">
        <v>465</v>
      </c>
    </row>
    <row r="112" spans="2:4" x14ac:dyDescent="0.2">
      <c r="B112" s="1" t="s">
        <v>466</v>
      </c>
      <c r="C112" s="1"/>
      <c r="D112" s="86" t="s">
        <v>467</v>
      </c>
    </row>
    <row r="113" spans="2:7" x14ac:dyDescent="0.2">
      <c r="B113" s="1" t="s">
        <v>468</v>
      </c>
      <c r="C113" s="1"/>
      <c r="D113" s="86" t="s">
        <v>469</v>
      </c>
      <c r="E113" s="17"/>
      <c r="F113" s="17"/>
      <c r="G113" s="17"/>
    </row>
    <row r="114" spans="2:7" x14ac:dyDescent="0.2">
      <c r="B114" s="1" t="s">
        <v>470</v>
      </c>
      <c r="C114" s="1"/>
      <c r="D114" s="86" t="s">
        <v>471</v>
      </c>
      <c r="E114" s="17"/>
      <c r="F114" s="17"/>
      <c r="G114" s="17"/>
    </row>
    <row r="115" spans="2:7" x14ac:dyDescent="0.2">
      <c r="B115" s="1" t="s">
        <v>472</v>
      </c>
      <c r="C115" s="1"/>
      <c r="D115" s="86" t="s">
        <v>473</v>
      </c>
      <c r="E115" s="17"/>
      <c r="F115" s="17"/>
      <c r="G115" s="17"/>
    </row>
    <row r="116" spans="2:7" x14ac:dyDescent="0.2">
      <c r="B116" s="4" t="s">
        <v>306</v>
      </c>
      <c r="C116" s="1"/>
      <c r="D116" s="89"/>
      <c r="E116" s="17"/>
      <c r="F116" s="17"/>
      <c r="G116" s="17"/>
    </row>
    <row r="117" spans="2:7" x14ac:dyDescent="0.2">
      <c r="B117" s="103" t="s">
        <v>474</v>
      </c>
      <c r="C117" s="1"/>
      <c r="D117" s="89" t="s">
        <v>475</v>
      </c>
      <c r="E117" s="17"/>
      <c r="F117" s="17"/>
      <c r="G117" s="17"/>
    </row>
    <row r="118" spans="2:7" x14ac:dyDescent="0.2">
      <c r="B118" s="103" t="str">
        <f>IF(RegionChoice="Norway TDE-CDE","!","qos")</f>
        <v>qos</v>
      </c>
      <c r="C118" s="1"/>
      <c r="D118" s="89" t="s">
        <v>476</v>
      </c>
      <c r="E118" s="17" t="s">
        <v>477</v>
      </c>
      <c r="F118" s="17" t="s">
        <v>478</v>
      </c>
      <c r="G118" s="17"/>
    </row>
    <row r="119" spans="2:7" x14ac:dyDescent="0.2">
      <c r="B119" s="4" t="s">
        <v>306</v>
      </c>
      <c r="C119" s="1"/>
      <c r="D119" s="89"/>
      <c r="E119" s="17"/>
      <c r="F119" s="17" t="s">
        <v>479</v>
      </c>
      <c r="G119" s="17" t="s">
        <v>480</v>
      </c>
    </row>
    <row r="120" spans="2:7" x14ac:dyDescent="0.2">
      <c r="B120" s="24" t="str">
        <f>IF(RegionChoice="Norway TDE-CDE","!",IF(SNMPRO1="!","!","access-list 66 permit "&amp;SNMPRO1))</f>
        <v>access-list 66 permit 158.139.195.0 0.0.0.255</v>
      </c>
      <c r="C120" s="1"/>
      <c r="D120" s="88" t="s">
        <v>481</v>
      </c>
      <c r="E120" s="17"/>
      <c r="F120" s="17" t="s">
        <v>479</v>
      </c>
      <c r="G120" s="17" t="s">
        <v>482</v>
      </c>
    </row>
    <row r="121" spans="2:7" x14ac:dyDescent="0.2">
      <c r="B121" s="24" t="str">
        <f>IF(RegionChoice="Norway TDE-CDE","!",IF(SNMPRO2="!","!","access-list 66 permit "&amp;SNMPRO2))</f>
        <v>access-list 66 permit 158.139.170.0 0.0.0.63</v>
      </c>
      <c r="C121" s="1"/>
      <c r="D121" s="88" t="s">
        <v>481</v>
      </c>
      <c r="E121" s="17"/>
      <c r="F121" s="17"/>
      <c r="G121" s="17"/>
    </row>
    <row r="122" spans="2:7" x14ac:dyDescent="0.2">
      <c r="B122" s="24" t="str">
        <f>IF(RegionChoice="Norway TDE-CDE","!",IF(SNMPRO3="!","!","access-list 66 permit "&amp;SNMPRO3))</f>
        <v>access-list 66 permit 158.139.162.0 0.0.0.127</v>
      </c>
      <c r="C122" s="1"/>
      <c r="D122" s="88" t="s">
        <v>481</v>
      </c>
      <c r="E122" s="17"/>
      <c r="F122" s="17"/>
      <c r="G122" s="17"/>
    </row>
    <row r="123" spans="2:7" x14ac:dyDescent="0.2">
      <c r="B123" s="24" t="str">
        <f>IF(RegionChoice="Norway TDE-CDE","!",IF(SNMPRO4="!","!","access-list 66 permit "&amp;SNMPRO4))</f>
        <v>access-list 66 permit 155.191.128.0 0.0.0.15</v>
      </c>
      <c r="C123" s="1"/>
      <c r="D123" s="88" t="s">
        <v>481</v>
      </c>
      <c r="E123" s="17"/>
      <c r="F123" s="17"/>
      <c r="G123" s="17"/>
    </row>
    <row r="124" spans="2:7" x14ac:dyDescent="0.2">
      <c r="B124" s="24" t="str">
        <f>IF(RegionChoice="Norway TDE-CDE","!",IF(SNMPRO5="!","!","access-list 66 permit "&amp;SNMPRO5))</f>
        <v>access-list 66 permit 155.191.129.228</v>
      </c>
      <c r="C124" s="1"/>
      <c r="D124" s="88" t="s">
        <v>481</v>
      </c>
      <c r="E124" s="17"/>
      <c r="F124" s="17"/>
      <c r="G124" s="17"/>
    </row>
    <row r="125" spans="2:7" x14ac:dyDescent="0.2">
      <c r="B125" s="24" t="str">
        <f>IF(RegionChoice="Norway TDE-CDE","!",IF(SNMPRO6="!","!","access-list 66 permit "&amp;SNMPRO6))</f>
        <v>access-list 66 permit 155.191.192.148</v>
      </c>
      <c r="C125" s="1"/>
      <c r="D125" s="88" t="s">
        <v>481</v>
      </c>
      <c r="E125" s="17"/>
      <c r="F125" s="17"/>
      <c r="G125" s="17"/>
    </row>
    <row r="126" spans="2:7" x14ac:dyDescent="0.2">
      <c r="B126" s="24" t="str">
        <f>IF(RegionChoice="Norway TDE-CDE","!",IF(SNMPRO7="!","!","access-list 66 permit "&amp;SNMPRO7))</f>
        <v>access-list 66 permit 155.191.185.128</v>
      </c>
      <c r="C126" s="1"/>
      <c r="D126" s="88" t="s">
        <v>481</v>
      </c>
      <c r="E126" s="17"/>
      <c r="F126" s="17"/>
      <c r="G126" s="17"/>
    </row>
    <row r="127" spans="2:7" x14ac:dyDescent="0.2">
      <c r="B127" s="24" t="str">
        <f>IF(RegionChoice="Norway TDE-CDE","!",IF(SNMPRO8="!","!","access-list 66 permit "&amp;SNMPRO8))</f>
        <v>access-list 66 permit 155.191.182.156 0.0.0.3</v>
      </c>
      <c r="C127" s="1"/>
      <c r="D127" s="88" t="s">
        <v>481</v>
      </c>
      <c r="E127" s="17"/>
      <c r="F127" s="17"/>
      <c r="G127" s="17"/>
    </row>
    <row r="128" spans="2:7" x14ac:dyDescent="0.2">
      <c r="B128" s="24" t="str">
        <f>IF(RegionChoice="Norway TDE-CDE","!",IF(SNMPRO9="!","!","access-list 66 permit "&amp;SNMPRO9))</f>
        <v>access-list 66 permit 158.139.104.8 0.0.0.7</v>
      </c>
      <c r="C128" s="1"/>
      <c r="D128" s="88" t="s">
        <v>481</v>
      </c>
      <c r="E128" s="17"/>
      <c r="F128" s="17"/>
      <c r="G128" s="17"/>
    </row>
    <row r="129" spans="2:4" x14ac:dyDescent="0.2">
      <c r="B129" s="24" t="str">
        <f>IF(RegionChoice="Norway TDE-CDE","!",IF(SNMPRO10="!","!","access-list 66 permit "&amp;SNMPRO10))</f>
        <v>access-list 66 permit 158.139.49.48 0.0.0.15</v>
      </c>
      <c r="C129" s="1"/>
      <c r="D129" s="88" t="s">
        <v>481</v>
      </c>
    </row>
    <row r="130" spans="2:4" x14ac:dyDescent="0.2">
      <c r="B130" s="24" t="str">
        <f>IF(RegionChoice="Norway TDE-CDE","!",IF(SNMPRO11="!","!","access-list 66 permit "&amp;SNMPRO11))</f>
        <v>access-list 66 permit 10.25.32.7</v>
      </c>
      <c r="C130" s="1"/>
      <c r="D130" s="88" t="s">
        <v>481</v>
      </c>
    </row>
    <row r="131" spans="2:4" x14ac:dyDescent="0.2">
      <c r="B131" s="24" t="str">
        <f>IF(RegionChoice="Norway TDE-CDE","!",IF(SNMPRO12="!","!","access-list 66 permit "&amp;SNMPRO12))</f>
        <v>access-list 66 permit 158.139.198.247</v>
      </c>
      <c r="C131" s="1"/>
      <c r="D131" s="88" t="s">
        <v>481</v>
      </c>
    </row>
    <row r="132" spans="2:4" x14ac:dyDescent="0.2">
      <c r="B132" s="24" t="str">
        <f>IF(RegionChoice="Norway TDE-CDE","!",IF(SNMPRO13="!","!","access-list 66 permit "&amp;SNMPRO13))</f>
        <v>access-list 66 permit 153.15.98.64 0.0.0.31</v>
      </c>
      <c r="C132" s="1"/>
      <c r="D132" s="88" t="s">
        <v>481</v>
      </c>
    </row>
    <row r="133" spans="2:4" x14ac:dyDescent="0.2">
      <c r="B133" s="24" t="str">
        <f>IF(RegionChoice="Norway TDE-CDE","!",IF(SNMPRO14="!","!","access-list 66 permit "&amp;SNMPRO14))</f>
        <v>access-list 66 permit 158.139.2.192 0.0.0.63</v>
      </c>
      <c r="C133" s="1"/>
      <c r="D133" s="88" t="s">
        <v>481</v>
      </c>
    </row>
    <row r="134" spans="2:4" x14ac:dyDescent="0.2">
      <c r="B134" s="24" t="str">
        <f>IF(RegionChoice="Norway TDE-CDE","!",IF(SNMPRO15="!","!","access-list 66 permit "&amp;SNMPRO15))</f>
        <v>access-list 66 permit 158.139.112.117</v>
      </c>
      <c r="C134" s="1"/>
      <c r="D134" s="88" t="s">
        <v>481</v>
      </c>
    </row>
    <row r="135" spans="2:4" x14ac:dyDescent="0.2">
      <c r="B135" s="24" t="str">
        <f>IF(RegionChoice="Norway TDE-CDE","!",IF(SNMPRO16="!","!","access-list 66 permit "&amp;SNMPRO16))</f>
        <v>!</v>
      </c>
      <c r="C135" s="1"/>
      <c r="D135" s="88" t="s">
        <v>481</v>
      </c>
    </row>
    <row r="136" spans="2:4" x14ac:dyDescent="0.2">
      <c r="B136" s="24" t="str">
        <f>IF(RegionChoice="Norway TDE-CDE","!",IF(SNMPRO17="!","!","access-list 66 permit "&amp;SNMPRO17))</f>
        <v>!</v>
      </c>
      <c r="C136" s="1"/>
      <c r="D136" s="88" t="s">
        <v>481</v>
      </c>
    </row>
    <row r="137" spans="2:4" x14ac:dyDescent="0.2">
      <c r="B137" s="24" t="str">
        <f>IF(RegionChoice="Norway TDE-CDE","!",IF(SNMPRO18="!","!","access-list 66 permit "&amp;SNMPRO18))</f>
        <v>!</v>
      </c>
      <c r="C137" s="1"/>
      <c r="D137" s="88" t="s">
        <v>481</v>
      </c>
    </row>
    <row r="138" spans="2:4" x14ac:dyDescent="0.2">
      <c r="B138" s="24" t="str">
        <f>IF(RegionChoice="Norway TDE-CDE","!",IF(SNMPRO19="!","!","access-list 66 permit "&amp;SNMPRO19))</f>
        <v>!</v>
      </c>
      <c r="C138" s="1"/>
      <c r="D138" s="88" t="s">
        <v>481</v>
      </c>
    </row>
    <row r="139" spans="2:4" x14ac:dyDescent="0.2">
      <c r="B139" s="24" t="str">
        <f>IF(RegionChoice="Norway TDE-CDE","!",IF(SNMPRO20="!","!","access-list 66 permit "&amp;SNMPRO20))</f>
        <v>!</v>
      </c>
      <c r="C139" s="1"/>
      <c r="D139" s="88" t="s">
        <v>481</v>
      </c>
    </row>
    <row r="140" spans="2:4" x14ac:dyDescent="0.2">
      <c r="B140" s="24" t="str">
        <f>IF(IS_DMZ="No","!","access-list 66 permit "&amp;DMZ_PRIME_IP)</f>
        <v>!</v>
      </c>
      <c r="C140" s="1"/>
      <c r="D140" s="88" t="s">
        <v>483</v>
      </c>
    </row>
    <row r="141" spans="2:4" x14ac:dyDescent="0.2">
      <c r="B141" s="17" t="s">
        <v>306</v>
      </c>
      <c r="C141" s="1"/>
      <c r="D141" s="89"/>
    </row>
    <row r="142" spans="2:4" x14ac:dyDescent="0.2">
      <c r="B142" s="4" t="str">
        <f>IF(RegionChoice="Norway TDE-CDE","!",IF(OR(SNMPRW1="!",IS_DMZ="Yes"),"!","access-list 67 permit "&amp;SNMPRW1))</f>
        <v>access-list 67 permit 158.139.170.24 0.0.0.3</v>
      </c>
      <c r="C142" s="4"/>
      <c r="D142" s="91" t="s">
        <v>484</v>
      </c>
    </row>
    <row r="143" spans="2:4" x14ac:dyDescent="0.2">
      <c r="B143" s="4" t="str">
        <f>IF(OR(SNMPRW2="!",IS_DMZ="Yes"),"!","access-list 67 permit "&amp;SNMPRW2)</f>
        <v>access-list 67 permit 158.139.2.218</v>
      </c>
      <c r="C143" s="4"/>
      <c r="D143" s="91" t="s">
        <v>484</v>
      </c>
    </row>
    <row r="144" spans="2:4" x14ac:dyDescent="0.2">
      <c r="B144" s="4" t="str">
        <f>IF(OR(SNMPRW3="!",IS_DMZ="Yes"),"!","access-list 67 permit "&amp;SNMPRW3)</f>
        <v>!</v>
      </c>
      <c r="C144" s="4"/>
      <c r="D144" s="91" t="s">
        <v>484</v>
      </c>
    </row>
    <row r="145" spans="1:7" x14ac:dyDescent="0.2">
      <c r="A145" s="17"/>
      <c r="B145" s="4" t="str">
        <f>IF(OR(DMZ_PRIME_IP="!",IS_DMZ="No"),"!","access-list 67 permit "&amp;DMZ_PRIME_IP)</f>
        <v>!</v>
      </c>
      <c r="C145" s="4"/>
      <c r="D145" s="89" t="s">
        <v>485</v>
      </c>
      <c r="E145" s="17"/>
      <c r="F145" s="17"/>
      <c r="G145" s="17"/>
    </row>
    <row r="146" spans="1:7" x14ac:dyDescent="0.2">
      <c r="A146" s="17"/>
      <c r="B146" s="131" t="s">
        <v>306</v>
      </c>
      <c r="C146" s="4"/>
      <c r="D146" s="89"/>
      <c r="E146" s="17"/>
      <c r="F146" s="17"/>
      <c r="G146" s="17"/>
    </row>
    <row r="147" spans="1:7" x14ac:dyDescent="0.2">
      <c r="A147" s="17"/>
      <c r="B147" s="132" t="s">
        <v>486</v>
      </c>
      <c r="C147" s="4"/>
      <c r="D147" s="89" t="s">
        <v>487</v>
      </c>
      <c r="E147" s="17"/>
      <c r="F147" s="17"/>
      <c r="G147" s="17"/>
    </row>
    <row r="148" spans="1:7" x14ac:dyDescent="0.2">
      <c r="A148" s="17"/>
      <c r="B148" s="132" t="s">
        <v>488</v>
      </c>
      <c r="C148" s="4"/>
      <c r="D148" s="89" t="s">
        <v>489</v>
      </c>
      <c r="E148" s="17"/>
      <c r="F148" s="17"/>
      <c r="G148" s="17"/>
    </row>
    <row r="149" spans="1:7" x14ac:dyDescent="0.2">
      <c r="A149" s="17"/>
      <c r="B149" s="1" t="s">
        <v>306</v>
      </c>
      <c r="C149" s="4"/>
      <c r="D149" s="89"/>
      <c r="E149" s="17"/>
      <c r="F149" s="17"/>
      <c r="G149" s="17"/>
    </row>
    <row r="150" spans="1:7" x14ac:dyDescent="0.2">
      <c r="A150" s="17"/>
      <c r="B150" s="102" t="s">
        <v>490</v>
      </c>
      <c r="C150" s="4"/>
      <c r="D150" s="89" t="s">
        <v>491</v>
      </c>
      <c r="E150" s="17"/>
      <c r="F150" s="17"/>
      <c r="G150" s="17"/>
    </row>
    <row r="151" spans="1:7" x14ac:dyDescent="0.2">
      <c r="A151" s="17"/>
      <c r="B151" s="102" t="s">
        <v>492</v>
      </c>
      <c r="C151" s="4"/>
      <c r="D151" s="89" t="s">
        <v>493</v>
      </c>
      <c r="E151" s="17"/>
      <c r="F151" s="17"/>
      <c r="G151" s="17"/>
    </row>
    <row r="152" spans="1:7" x14ac:dyDescent="0.2">
      <c r="A152" s="17"/>
      <c r="B152" s="17" t="s">
        <v>306</v>
      </c>
      <c r="C152" s="4"/>
      <c r="D152" s="89"/>
      <c r="E152" s="17"/>
      <c r="F152" s="17"/>
      <c r="G152" s="17"/>
    </row>
    <row r="153" spans="1:7" x14ac:dyDescent="0.2">
      <c r="A153" s="17"/>
      <c r="B153" s="102" t="str">
        <f>IF(RegionChoice="Norway TDE-CDE","!","spanning-tree mode rapid ")</f>
        <v xml:space="preserve">spanning-tree mode rapid </v>
      </c>
      <c r="C153" s="4"/>
      <c r="D153" s="89" t="s">
        <v>494</v>
      </c>
      <c r="E153" s="17"/>
      <c r="F153" s="17"/>
      <c r="G153" s="17"/>
    </row>
    <row r="154" spans="1:7" x14ac:dyDescent="0.2">
      <c r="A154" s="17"/>
      <c r="B154" s="102" t="s">
        <v>495</v>
      </c>
      <c r="C154" s="4"/>
      <c r="D154" s="89" t="s">
        <v>496</v>
      </c>
      <c r="E154" s="17"/>
      <c r="F154" s="17"/>
      <c r="G154" s="17"/>
    </row>
    <row r="155" spans="1:7" x14ac:dyDescent="0.2">
      <c r="A155" s="17"/>
      <c r="B155" s="17" t="s">
        <v>306</v>
      </c>
      <c r="C155" s="1"/>
      <c r="D155" s="89"/>
      <c r="E155" s="17"/>
      <c r="F155" s="17"/>
      <c r="G155" s="17"/>
    </row>
    <row r="156" spans="1:7" x14ac:dyDescent="0.2">
      <c r="A156" s="17"/>
      <c r="B156" s="102" t="s">
        <v>497</v>
      </c>
      <c r="C156" s="1"/>
      <c r="D156" s="89" t="s">
        <v>498</v>
      </c>
      <c r="E156" s="17"/>
      <c r="F156" s="17"/>
      <c r="G156" s="17"/>
    </row>
    <row r="157" spans="1:7" x14ac:dyDescent="0.2">
      <c r="A157" s="17"/>
      <c r="B157" s="17" t="s">
        <v>306</v>
      </c>
      <c r="C157" s="1"/>
      <c r="D157" s="89"/>
      <c r="E157" s="17"/>
      <c r="F157" s="17"/>
      <c r="G157" s="17"/>
    </row>
    <row r="158" spans="1:7" x14ac:dyDescent="0.2">
      <c r="A158" s="17"/>
      <c r="B158" s="17" t="str">
        <f>IF(RegionChoice="Norway TDE-CDE","!","snmp-server community XXXXXXXXXXX RO 66")</f>
        <v>snmp-server community XXXXXXXXXXX RO 66</v>
      </c>
      <c r="C158" s="1"/>
      <c r="D158" s="89" t="s">
        <v>499</v>
      </c>
      <c r="E158" s="17"/>
      <c r="F158" s="17"/>
      <c r="G158" s="17"/>
    </row>
    <row r="159" spans="1:7" x14ac:dyDescent="0.2">
      <c r="A159" s="17"/>
      <c r="B159" s="17" t="str">
        <f>IF(RegionChoice="Norway TDE-CDE","!","snmp-server community XXXXXXXXXXX RW 67")</f>
        <v>snmp-server community XXXXXXXXXXX RW 67</v>
      </c>
      <c r="C159" s="1"/>
      <c r="D159" s="89" t="s">
        <v>500</v>
      </c>
      <c r="E159" s="17"/>
      <c r="F159" s="17"/>
      <c r="G159" s="17"/>
    </row>
    <row r="160" spans="1:7" x14ac:dyDescent="0.2">
      <c r="A160" s="17"/>
      <c r="B160" s="17" t="s">
        <v>1004</v>
      </c>
      <c r="C160" s="1"/>
      <c r="D160" s="89" t="s">
        <v>499</v>
      </c>
      <c r="E160" s="17"/>
      <c r="F160" s="17"/>
      <c r="G160" s="17"/>
    </row>
    <row r="161" spans="1:7" x14ac:dyDescent="0.2">
      <c r="A161" s="17"/>
      <c r="B161" s="4" t="str">
        <f>"snmp-server trap-source "&amp;SourceInt</f>
        <v xml:space="preserve">snmp-server trap-source </v>
      </c>
      <c r="C161" s="17"/>
      <c r="D161" s="89" t="s">
        <v>501</v>
      </c>
      <c r="E161" s="17"/>
      <c r="F161" s="17"/>
      <c r="G161" s="17"/>
    </row>
    <row r="162" spans="1:7" x14ac:dyDescent="0.2">
      <c r="A162" s="17"/>
      <c r="B162" s="4" t="str">
        <f>"snmp-server location "&amp;SNMPLOC</f>
        <v>snmp-server location Canada</v>
      </c>
      <c r="C162" s="17"/>
      <c r="D162" s="89" t="s">
        <v>502</v>
      </c>
      <c r="E162" s="17"/>
      <c r="F162" s="17"/>
      <c r="G162" s="17"/>
    </row>
    <row r="163" spans="1:7" x14ac:dyDescent="0.2">
      <c r="A163" s="17"/>
      <c r="B163" s="19" t="s">
        <v>306</v>
      </c>
      <c r="C163" s="17"/>
      <c r="D163" s="89"/>
      <c r="E163" s="17"/>
      <c r="F163" s="17"/>
      <c r="G163" s="17"/>
    </row>
    <row r="164" spans="1:7" x14ac:dyDescent="0.2">
      <c r="A164" s="17"/>
      <c r="B164" s="17" t="s">
        <v>306</v>
      </c>
      <c r="C164" s="17"/>
      <c r="D164" s="89"/>
      <c r="E164" s="17"/>
      <c r="F164" s="17"/>
      <c r="G164" s="17"/>
    </row>
    <row r="165" spans="1:7" x14ac:dyDescent="0.2">
      <c r="A165" s="17"/>
      <c r="B165" s="17" t="s">
        <v>503</v>
      </c>
      <c r="C165" s="17"/>
      <c r="D165" s="89" t="s">
        <v>504</v>
      </c>
      <c r="E165" s="17"/>
      <c r="F165" s="17"/>
      <c r="G165" s="17"/>
    </row>
    <row r="166" spans="1:7" x14ac:dyDescent="0.2">
      <c r="A166" s="17"/>
      <c r="B166" s="17" t="s">
        <v>505</v>
      </c>
      <c r="C166" s="17"/>
      <c r="D166" s="86" t="s">
        <v>506</v>
      </c>
      <c r="E166" s="17"/>
      <c r="F166" s="17"/>
      <c r="G166" s="17"/>
    </row>
    <row r="167" spans="1:7" ht="14.25" x14ac:dyDescent="0.2">
      <c r="A167" s="17"/>
      <c r="B167" s="43" t="s">
        <v>507</v>
      </c>
      <c r="C167" s="17"/>
      <c r="D167" s="86" t="s">
        <v>508</v>
      </c>
      <c r="E167" s="17"/>
      <c r="F167" s="17"/>
      <c r="G167" s="17"/>
    </row>
    <row r="168" spans="1:7" ht="14.25" x14ac:dyDescent="0.2">
      <c r="A168" s="17"/>
      <c r="B168" s="43" t="s">
        <v>509</v>
      </c>
      <c r="C168" s="1"/>
      <c r="D168" s="86" t="s">
        <v>510</v>
      </c>
      <c r="E168" s="17"/>
      <c r="F168" s="17"/>
      <c r="G168" s="17"/>
    </row>
    <row r="169" spans="1:7" x14ac:dyDescent="0.2">
      <c r="A169" s="17"/>
      <c r="B169" s="25" t="str">
        <f>IF(IS_DMZ="Yes","!","snmp-server host 158.139.195.19 XXXXXXXXXXX")</f>
        <v>snmp-server host 158.139.195.19 XXXXXXXXXXX</v>
      </c>
      <c r="C169" s="17"/>
      <c r="D169" s="86" t="s">
        <v>511</v>
      </c>
      <c r="E169" s="17"/>
      <c r="F169" s="17"/>
      <c r="G169" s="17"/>
    </row>
    <row r="170" spans="1:7" x14ac:dyDescent="0.2">
      <c r="A170" s="17"/>
      <c r="B170" s="25" t="str">
        <f>IF(IS_DMZ="Yes","!","snmp-server host 158.139.195.20 XXXXXXXXXXX")</f>
        <v>snmp-server host 158.139.195.20 XXXXXXXXXXX</v>
      </c>
      <c r="C170" s="17"/>
      <c r="D170" s="86" t="s">
        <v>511</v>
      </c>
      <c r="E170" s="17"/>
      <c r="F170" s="17"/>
      <c r="G170" s="17"/>
    </row>
    <row r="171" spans="1:7" x14ac:dyDescent="0.2">
      <c r="A171" s="17"/>
      <c r="B171" s="25" t="str">
        <f>IF(IS_DMZ="Yes","!","snmp-server host 158.139.170.25 XXXXXXXXXXX")</f>
        <v>snmp-server host 158.139.170.25 XXXXXXXXXXX</v>
      </c>
      <c r="C171" s="17"/>
      <c r="D171" s="86" t="s">
        <v>511</v>
      </c>
      <c r="E171" s="17"/>
      <c r="F171" s="17"/>
      <c r="G171" s="17"/>
    </row>
    <row r="172" spans="1:7" x14ac:dyDescent="0.2">
      <c r="A172" s="17"/>
      <c r="B172" s="25" t="str">
        <f>IF(IS_DMZ="Yes","!","snmp-server host 158.139.2.218 XXXXXXXXXXX")</f>
        <v>snmp-server host 158.139.2.218 XXXXXXXXXXX</v>
      </c>
      <c r="C172" s="17"/>
      <c r="D172" s="86" t="s">
        <v>511</v>
      </c>
      <c r="E172" s="17"/>
      <c r="F172" s="17"/>
      <c r="G172" s="17"/>
    </row>
    <row r="173" spans="1:7" x14ac:dyDescent="0.2">
      <c r="A173" s="17"/>
      <c r="B173" s="25" t="str">
        <f>IF(RegionChoice="Norway","snmp-server host 10.161.54.52 S1mPl3@miNds","!")</f>
        <v>!</v>
      </c>
      <c r="C173" s="17"/>
      <c r="D173" s="86" t="s">
        <v>512</v>
      </c>
      <c r="E173" s="17"/>
      <c r="F173" s="17"/>
      <c r="G173" s="17"/>
    </row>
    <row r="174" spans="1:7" x14ac:dyDescent="0.2">
      <c r="A174" s="17"/>
      <c r="B174" s="25" t="str">
        <f>IF(IS_DMZ="No","!","snmp-server host "&amp;DMZ_PRIME_IP &amp;" S1mPl3@miNds")</f>
        <v>!</v>
      </c>
      <c r="C174" s="17"/>
      <c r="D174" s="89" t="s">
        <v>513</v>
      </c>
      <c r="E174" s="17"/>
      <c r="F174" s="17"/>
      <c r="G174" s="17"/>
    </row>
    <row r="175" spans="1:7" x14ac:dyDescent="0.2">
      <c r="A175" s="17"/>
      <c r="B175" s="17" t="s">
        <v>306</v>
      </c>
      <c r="C175" s="17"/>
      <c r="D175" s="89"/>
      <c r="E175" s="17"/>
      <c r="F175" s="17"/>
      <c r="G175" s="17"/>
    </row>
    <row r="176" spans="1:7" x14ac:dyDescent="0.2">
      <c r="A176" s="17"/>
      <c r="B176" s="17" t="s">
        <v>514</v>
      </c>
      <c r="C176" s="17"/>
      <c r="D176" s="89" t="s">
        <v>515</v>
      </c>
      <c r="E176" s="17"/>
      <c r="F176" s="17"/>
      <c r="G176" s="17"/>
    </row>
    <row r="177" spans="1:7" x14ac:dyDescent="0.2">
      <c r="A177" s="17"/>
      <c r="B177" s="25" t="str">
        <f>_xlfn.CONCAT("key config-key password-encrypt ",TACACS_key_plaintext)</f>
        <v>key config-key password-encrypt XXXXXXXXXX</v>
      </c>
      <c r="C177" s="17"/>
      <c r="D177" s="89" t="s">
        <v>516</v>
      </c>
      <c r="E177" s="17"/>
      <c r="F177" s="17"/>
      <c r="G177" s="17"/>
    </row>
    <row r="178" spans="1:7" x14ac:dyDescent="0.2">
      <c r="A178" s="17"/>
      <c r="B178" s="17" t="s">
        <v>306</v>
      </c>
      <c r="C178" s="17"/>
      <c r="D178" s="35" t="s">
        <v>517</v>
      </c>
      <c r="E178" s="17"/>
      <c r="F178" s="17"/>
      <c r="G178" s="17"/>
    </row>
    <row r="179" spans="1:7" x14ac:dyDescent="0.2">
      <c r="A179" s="17"/>
      <c r="B179" s="4" t="str">
        <f>IF(RegionChoice="Norway TDE-CDE","!",IF(IS_FENCE="YES","!",IF(TACACS1="!","!","tacacs server "&amp;TACACS1_Name)))</f>
        <v>!</v>
      </c>
      <c r="C179" s="17"/>
      <c r="D179" s="89" t="s">
        <v>518</v>
      </c>
      <c r="E179" s="17"/>
      <c r="F179" s="17"/>
      <c r="G179" s="17"/>
    </row>
    <row r="180" spans="1:7" x14ac:dyDescent="0.2">
      <c r="A180" s="17"/>
      <c r="B180" s="4" t="str">
        <f>IF(RegionChoice="Norway TDE-CDE","!",IF(IS_FENCE="YES","!",IF(TACACS1="!","!","address ipv4 "&amp;TACACS1)))</f>
        <v>!</v>
      </c>
      <c r="C180" s="17"/>
      <c r="D180" s="89" t="s">
        <v>519</v>
      </c>
      <c r="E180" s="17"/>
      <c r="F180" s="17"/>
      <c r="G180" s="17"/>
    </row>
    <row r="181" spans="1:7" x14ac:dyDescent="0.2">
      <c r="A181" s="17"/>
      <c r="B181" s="4" t="str">
        <f>IF(RegionChoice="Norway TDE-CDE","!",IF(IS_FENCE="YES","!",IF(TACACS1="!","!","key "&amp;TACACSkey)))</f>
        <v>!</v>
      </c>
      <c r="C181" s="17"/>
      <c r="D181" s="89" t="s">
        <v>520</v>
      </c>
      <c r="E181" s="17"/>
      <c r="F181" s="17"/>
      <c r="G181" s="17"/>
    </row>
    <row r="182" spans="1:7" x14ac:dyDescent="0.2">
      <c r="A182" s="17"/>
      <c r="B182" s="4" t="str">
        <f>IF(RegionChoice="Norway TDE-CDE","!",IF(IS_FENCE="YES","!",IF(TACACS2="!","!","tacacs server "&amp;TACACS2_Name)))</f>
        <v>!</v>
      </c>
      <c r="C182" s="1"/>
      <c r="D182" s="89" t="s">
        <v>518</v>
      </c>
      <c r="E182" s="17"/>
      <c r="F182" s="17"/>
      <c r="G182" s="17"/>
    </row>
    <row r="183" spans="1:7" x14ac:dyDescent="0.2">
      <c r="A183" s="17"/>
      <c r="B183" s="4" t="str">
        <f>IF(RegionChoice="Norway TDE-CDE","!",IF(IS_FENCE="YES","!",IF(TACACS2="!","!","address ipv4 "&amp;TACACS2)))</f>
        <v>!</v>
      </c>
      <c r="C183" s="1"/>
      <c r="D183" s="89" t="s">
        <v>519</v>
      </c>
      <c r="E183" s="17"/>
      <c r="F183" s="17"/>
      <c r="G183" s="17"/>
    </row>
    <row r="184" spans="1:7" x14ac:dyDescent="0.2">
      <c r="A184" s="17"/>
      <c r="B184" s="4" t="str">
        <f>IF(RegionChoice="Norway TDE-CDE","!",IF(IS_FENCE="YES","!",IF(TACACS2="!","!","key "&amp;TACACSkey)))</f>
        <v>!</v>
      </c>
      <c r="C184" s="1"/>
      <c r="D184" s="89" t="s">
        <v>520</v>
      </c>
      <c r="E184" s="17"/>
      <c r="F184" s="17"/>
      <c r="G184" s="17"/>
    </row>
    <row r="185" spans="1:7" x14ac:dyDescent="0.2">
      <c r="A185" s="17"/>
      <c r="B185" s="4" t="str">
        <f>IF(RegionChoice="Norway TDE-CDE","!",IF(IS_FENCE="YES","!",IF(TACACS3="!","!","tacacs server "&amp;TACACS3_Name)))</f>
        <v>!</v>
      </c>
      <c r="C185" s="1"/>
      <c r="D185" s="89" t="s">
        <v>518</v>
      </c>
      <c r="E185" s="17"/>
      <c r="F185" s="17"/>
      <c r="G185" s="17"/>
    </row>
    <row r="186" spans="1:7" x14ac:dyDescent="0.2">
      <c r="A186" s="17"/>
      <c r="B186" s="4" t="str">
        <f>IF(RegionChoice="Norway TDE-CDE","!",IF(IS_FENCE="YES","!",IF(TACACS3="!","!","address ipv4 "&amp;TACACS3)))</f>
        <v>!</v>
      </c>
      <c r="C186" s="1"/>
      <c r="D186" s="89" t="s">
        <v>519</v>
      </c>
      <c r="E186" s="17"/>
      <c r="F186" s="17"/>
      <c r="G186" s="17"/>
    </row>
    <row r="187" spans="1:7" x14ac:dyDescent="0.2">
      <c r="A187" s="17"/>
      <c r="B187" s="4" t="str">
        <f>IF(RegionChoice="Norway TDE-CDE","!",IF(IS_FENCE="YES","!",IF(TACACS3="!","!","key "&amp;TACACSkey)))</f>
        <v>!</v>
      </c>
      <c r="C187" s="1"/>
      <c r="D187" s="89" t="s">
        <v>520</v>
      </c>
      <c r="E187" s="17"/>
      <c r="F187" s="17"/>
      <c r="G187" s="17"/>
    </row>
    <row r="188" spans="1:7" x14ac:dyDescent="0.2">
      <c r="A188" s="17"/>
      <c r="B188" s="4" t="s">
        <v>306</v>
      </c>
      <c r="C188" s="4"/>
      <c r="D188" s="89"/>
      <c r="E188" s="17"/>
      <c r="F188" s="17"/>
      <c r="G188" s="17"/>
    </row>
    <row r="189" spans="1:7" x14ac:dyDescent="0.2">
      <c r="A189" s="17"/>
      <c r="B189" s="4" t="str">
        <f>IF(IS_FENCE="NO","!",IF(FENCE_TACACS1="!","!","tacacs server "&amp;FENCE_TACACS1_NAME))</f>
        <v>!</v>
      </c>
      <c r="C189" s="4"/>
      <c r="D189" s="89" t="s">
        <v>521</v>
      </c>
      <c r="E189" s="17"/>
      <c r="F189" s="17"/>
      <c r="G189" s="17"/>
    </row>
    <row r="190" spans="1:7" x14ac:dyDescent="0.2">
      <c r="A190" s="17"/>
      <c r="B190" s="4" t="str">
        <f>IF(IS_FENCE="NO","!",IF(FENCE_TACACS1="!","!","address ipv4 "&amp;FENCE_TACACS1))</f>
        <v>!</v>
      </c>
      <c r="C190" s="1"/>
      <c r="D190" s="89" t="s">
        <v>521</v>
      </c>
      <c r="E190" s="17"/>
      <c r="F190" s="17"/>
      <c r="G190" s="17"/>
    </row>
    <row r="191" spans="1:7" x14ac:dyDescent="0.2">
      <c r="A191" s="17"/>
      <c r="B191" s="4" t="str">
        <f>IF(IS_FENCE="NO","!",IF(FENCE_TACACS1="!","!","key "&amp;TACACSkey))</f>
        <v>!</v>
      </c>
      <c r="C191" s="1"/>
      <c r="D191" s="89" t="s">
        <v>521</v>
      </c>
      <c r="E191" s="17"/>
      <c r="F191" s="17"/>
      <c r="G191" s="17"/>
    </row>
    <row r="192" spans="1:7" x14ac:dyDescent="0.2">
      <c r="A192" s="17"/>
      <c r="B192" s="4" t="str">
        <f>IF(IS_FENCE="NO","!",IF(FENCE_TACACS2="!","!","tacacs server "&amp;FENCE_TACACS2_NAME))</f>
        <v>!</v>
      </c>
      <c r="C192" s="1"/>
      <c r="D192" s="89" t="s">
        <v>521</v>
      </c>
      <c r="E192" s="17"/>
      <c r="F192" s="17"/>
      <c r="G192" s="17"/>
    </row>
    <row r="193" spans="1:7" x14ac:dyDescent="0.2">
      <c r="A193" s="17"/>
      <c r="B193" s="4" t="str">
        <f>IF(IS_FENCE="NO","!",IF(FENCE_TACACS2="!","!","address ipv4 "&amp;FENCE_TACACS2))</f>
        <v>!</v>
      </c>
      <c r="C193" s="1"/>
      <c r="D193" s="89" t="s">
        <v>521</v>
      </c>
      <c r="E193" s="17"/>
      <c r="F193" s="17"/>
      <c r="G193" s="17"/>
    </row>
    <row r="194" spans="1:7" x14ac:dyDescent="0.2">
      <c r="A194" s="17"/>
      <c r="B194" s="4" t="str">
        <f>IF(IS_FENCE="NO","!",IF(FENCE_TACACS2="!","!","key "&amp;TACACSkey))</f>
        <v>!</v>
      </c>
      <c r="C194" s="1"/>
      <c r="D194" s="89" t="s">
        <v>521</v>
      </c>
      <c r="E194" s="17"/>
      <c r="F194" s="17"/>
      <c r="G194" s="17"/>
    </row>
    <row r="195" spans="1:7" x14ac:dyDescent="0.2">
      <c r="A195" s="17"/>
      <c r="B195" s="4" t="str">
        <f>IF(IS_FENCE="NO","!",IF(FENCE_TACACS3="!","!","tacacs server "&amp;FENCE_TACACS3_NAME))</f>
        <v>!</v>
      </c>
      <c r="C195" s="1"/>
      <c r="D195" s="89" t="s">
        <v>521</v>
      </c>
      <c r="E195" s="17"/>
      <c r="F195" s="17"/>
      <c r="G195" s="17"/>
    </row>
    <row r="196" spans="1:7" x14ac:dyDescent="0.2">
      <c r="A196" s="17"/>
      <c r="B196" s="4" t="str">
        <f>IF(IS_FENCE="NO","!",IF(FENCE_TACACS3="!","!","address ipv4 "&amp;FENCE_TACACS3))</f>
        <v>!</v>
      </c>
      <c r="C196" s="1"/>
      <c r="D196" s="89" t="s">
        <v>521</v>
      </c>
      <c r="E196" s="17"/>
      <c r="F196" s="17"/>
      <c r="G196" s="17"/>
    </row>
    <row r="197" spans="1:7" x14ac:dyDescent="0.2">
      <c r="A197" s="17"/>
      <c r="B197" s="4" t="str">
        <f>IF(IS_FENCE="NO","!",IF(FENCE_TACACS3="!","!","key "&amp;TACACSkey))</f>
        <v>!</v>
      </c>
      <c r="C197" s="1"/>
      <c r="D197" s="89" t="s">
        <v>521</v>
      </c>
      <c r="E197" s="17"/>
      <c r="F197" s="17"/>
      <c r="G197" s="17"/>
    </row>
    <row r="198" spans="1:7" x14ac:dyDescent="0.2">
      <c r="A198" s="17"/>
      <c r="B198" s="17" t="s">
        <v>306</v>
      </c>
      <c r="C198" s="1"/>
      <c r="D198" s="89"/>
      <c r="E198" s="17"/>
      <c r="F198" s="17"/>
      <c r="G198" s="17"/>
    </row>
    <row r="199" spans="1:7" x14ac:dyDescent="0.2">
      <c r="A199" s="17"/>
      <c r="B199" s="17" t="s">
        <v>522</v>
      </c>
      <c r="C199" s="1"/>
      <c r="D199" s="89" t="s">
        <v>523</v>
      </c>
      <c r="E199" s="17"/>
      <c r="F199" s="17"/>
      <c r="G199" s="17"/>
    </row>
    <row r="200" spans="1:7" x14ac:dyDescent="0.2">
      <c r="A200" s="17"/>
      <c r="B200" s="17" t="s">
        <v>306</v>
      </c>
      <c r="C200" s="1"/>
      <c r="D200" s="89"/>
      <c r="E200" s="17"/>
      <c r="F200" s="17"/>
      <c r="G200" s="17"/>
    </row>
    <row r="201" spans="1:7" x14ac:dyDescent="0.2">
      <c r="A201" s="17"/>
      <c r="B201" s="17" t="s">
        <v>306</v>
      </c>
      <c r="C201" s="1"/>
      <c r="D201" s="89"/>
      <c r="E201" s="17"/>
      <c r="F201" s="17"/>
      <c r="G201" s="17"/>
    </row>
    <row r="202" spans="1:7" x14ac:dyDescent="0.2">
      <c r="A202" s="17"/>
      <c r="B202" s="17" t="s">
        <v>524</v>
      </c>
      <c r="C202" s="1"/>
      <c r="D202" s="89" t="s">
        <v>525</v>
      </c>
      <c r="E202" s="17"/>
      <c r="F202" s="17"/>
      <c r="G202" s="17"/>
    </row>
    <row r="203" spans="1:7" x14ac:dyDescent="0.2">
      <c r="A203" s="17"/>
      <c r="B203" s="17" t="s">
        <v>526</v>
      </c>
      <c r="C203" s="1"/>
      <c r="D203" s="89"/>
      <c r="E203" s="17"/>
      <c r="F203" s="17"/>
      <c r="G203" s="17"/>
    </row>
    <row r="204" spans="1:7" x14ac:dyDescent="0.2">
      <c r="A204" s="17"/>
      <c r="B204" s="4" t="str">
        <f>"Location:     "&amp;Location</f>
        <v>Location:     Bartlesville</v>
      </c>
      <c r="C204" s="1"/>
      <c r="D204" s="89"/>
      <c r="E204" s="17"/>
      <c r="F204" s="17"/>
      <c r="G204" s="17"/>
    </row>
    <row r="205" spans="1:7" x14ac:dyDescent="0.2">
      <c r="A205" s="17"/>
      <c r="B205" s="4" t="str">
        <f>"Type:         "&amp;DeviceType</f>
        <v>Type:         Switch</v>
      </c>
      <c r="C205" s="1"/>
      <c r="D205" s="89"/>
      <c r="E205" s="17"/>
      <c r="F205" s="17"/>
      <c r="G205" s="17"/>
    </row>
    <row r="206" spans="1:7" x14ac:dyDescent="0.2">
      <c r="A206" s="17"/>
      <c r="B206" s="4" t="s">
        <v>527</v>
      </c>
      <c r="C206" s="1"/>
      <c r="D206" s="89"/>
      <c r="E206" s="17"/>
      <c r="F206" s="17"/>
      <c r="G206" s="17"/>
    </row>
    <row r="207" spans="1:7" x14ac:dyDescent="0.2">
      <c r="A207" s="17"/>
      <c r="B207" s="4" t="str">
        <f>"Model:        "&amp;BannerModel</f>
        <v xml:space="preserve">Model:        </v>
      </c>
      <c r="C207" s="1"/>
      <c r="D207" s="89"/>
      <c r="E207" s="17"/>
      <c r="F207" s="17"/>
      <c r="G207" s="17"/>
    </row>
    <row r="208" spans="1:7" x14ac:dyDescent="0.2">
      <c r="A208" s="17"/>
      <c r="B208" s="4" t="str">
        <f>"Serial No:    "&amp;SerialNumber</f>
        <v xml:space="preserve">Serial No:    </v>
      </c>
      <c r="C208" s="1"/>
      <c r="D208" s="89"/>
      <c r="E208" s="17"/>
      <c r="F208" s="17"/>
      <c r="G208" s="17"/>
    </row>
    <row r="209" spans="1:7" x14ac:dyDescent="0.2">
      <c r="A209" s="17"/>
      <c r="B209" s="17" t="s">
        <v>526</v>
      </c>
      <c r="C209" s="1"/>
      <c r="D209" s="89"/>
      <c r="E209" s="17"/>
      <c r="F209" s="17"/>
      <c r="G209" s="17"/>
    </row>
    <row r="210" spans="1:7" x14ac:dyDescent="0.2">
      <c r="A210" s="17"/>
      <c r="B210" s="17" t="s">
        <v>528</v>
      </c>
      <c r="C210" s="1"/>
      <c r="D210" s="89"/>
      <c r="E210" s="17"/>
      <c r="F210" s="17"/>
      <c r="G210" s="17"/>
    </row>
    <row r="211" spans="1:7" x14ac:dyDescent="0.2">
      <c r="A211" s="17"/>
      <c r="B211" s="17" t="s">
        <v>306</v>
      </c>
      <c r="C211" s="1"/>
      <c r="D211" s="89"/>
      <c r="E211" s="17"/>
      <c r="F211" s="17"/>
      <c r="G211" s="17"/>
    </row>
    <row r="212" spans="1:7" x14ac:dyDescent="0.2">
      <c r="A212" s="17"/>
      <c r="B212" s="17" t="s">
        <v>306</v>
      </c>
      <c r="C212" s="1"/>
      <c r="D212" s="89"/>
      <c r="E212" s="17"/>
      <c r="F212" s="17"/>
      <c r="G212" s="17"/>
    </row>
    <row r="213" spans="1:7" x14ac:dyDescent="0.2">
      <c r="A213" s="17"/>
      <c r="B213" s="17" t="s">
        <v>529</v>
      </c>
      <c r="C213" s="1"/>
      <c r="D213" s="89" t="s">
        <v>530</v>
      </c>
      <c r="E213" s="17"/>
      <c r="F213" s="17"/>
      <c r="G213" s="17"/>
    </row>
    <row r="214" spans="1:7" x14ac:dyDescent="0.2">
      <c r="A214" s="17"/>
      <c r="B214" s="17" t="s">
        <v>531</v>
      </c>
      <c r="C214" s="1"/>
      <c r="D214" s="89"/>
      <c r="E214" s="17"/>
      <c r="F214" s="17"/>
      <c r="G214" s="17"/>
    </row>
    <row r="215" spans="1:7" x14ac:dyDescent="0.2">
      <c r="A215" s="17"/>
      <c r="B215" s="17"/>
      <c r="C215" s="1"/>
      <c r="D215" s="89"/>
      <c r="E215" s="17"/>
      <c r="F215" s="17"/>
      <c r="G215" s="17"/>
    </row>
    <row r="216" spans="1:7" x14ac:dyDescent="0.2">
      <c r="A216" s="17"/>
      <c r="B216" s="17" t="s">
        <v>532</v>
      </c>
      <c r="C216" s="1"/>
      <c r="D216" s="89"/>
      <c r="E216" s="17"/>
      <c r="F216" s="17"/>
      <c r="G216" s="17"/>
    </row>
    <row r="217" spans="1:7" x14ac:dyDescent="0.2">
      <c r="A217" s="17"/>
      <c r="B217" s="17" t="s">
        <v>533</v>
      </c>
      <c r="C217" s="1"/>
      <c r="D217" s="89"/>
      <c r="E217" s="17"/>
      <c r="F217" s="17"/>
      <c r="G217" s="17"/>
    </row>
    <row r="218" spans="1:7" x14ac:dyDescent="0.2">
      <c r="A218" s="17"/>
      <c r="B218" s="17" t="s">
        <v>534</v>
      </c>
      <c r="C218" s="1"/>
      <c r="D218" s="89"/>
      <c r="E218" s="17"/>
      <c r="F218" s="17"/>
      <c r="G218" s="17"/>
    </row>
    <row r="219" spans="1:7" x14ac:dyDescent="0.2">
      <c r="A219" s="17"/>
      <c r="B219" s="17" t="s">
        <v>535</v>
      </c>
      <c r="C219" s="1"/>
      <c r="D219" s="89"/>
      <c r="E219" s="17"/>
      <c r="F219" s="17"/>
      <c r="G219" s="17"/>
    </row>
    <row r="220" spans="1:7" x14ac:dyDescent="0.2">
      <c r="A220" s="17"/>
      <c r="B220" s="17"/>
      <c r="C220" s="1"/>
      <c r="D220" s="89"/>
      <c r="E220" s="17"/>
      <c r="F220" s="17"/>
      <c r="G220" s="17"/>
    </row>
    <row r="221" spans="1:7" x14ac:dyDescent="0.2">
      <c r="A221" s="17"/>
      <c r="B221" s="17" t="s">
        <v>536</v>
      </c>
      <c r="C221" s="1"/>
      <c r="D221" s="89"/>
      <c r="E221" s="17"/>
      <c r="F221" s="17"/>
      <c r="G221" s="17"/>
    </row>
    <row r="222" spans="1:7" x14ac:dyDescent="0.2">
      <c r="A222" s="17"/>
      <c r="B222" s="17" t="s">
        <v>537</v>
      </c>
      <c r="C222" s="1"/>
      <c r="D222" s="89"/>
      <c r="E222" s="17"/>
      <c r="F222" s="17"/>
      <c r="G222" s="17"/>
    </row>
    <row r="223" spans="1:7" x14ac:dyDescent="0.2">
      <c r="A223" s="17"/>
      <c r="B223" s="17" t="s">
        <v>538</v>
      </c>
      <c r="C223" s="1"/>
      <c r="D223" s="89"/>
      <c r="E223" s="17"/>
      <c r="F223" s="17"/>
      <c r="G223" s="17"/>
    </row>
    <row r="224" spans="1:7" x14ac:dyDescent="0.2">
      <c r="A224" s="17"/>
      <c r="B224" s="17" t="s">
        <v>539</v>
      </c>
      <c r="C224" s="1"/>
      <c r="D224" s="89"/>
      <c r="E224" s="17"/>
      <c r="F224" s="17"/>
      <c r="G224" s="17"/>
    </row>
    <row r="225" spans="1:7" x14ac:dyDescent="0.2">
      <c r="A225" s="17"/>
      <c r="B225" s="17" t="s">
        <v>540</v>
      </c>
      <c r="C225" s="1"/>
      <c r="D225" s="89"/>
      <c r="E225" s="17"/>
      <c r="F225" s="17"/>
      <c r="G225" s="17"/>
    </row>
    <row r="226" spans="1:7" x14ac:dyDescent="0.2">
      <c r="A226" s="17"/>
      <c r="B226" s="17" t="s">
        <v>541</v>
      </c>
      <c r="C226" s="1"/>
      <c r="D226" s="89"/>
      <c r="E226" s="17"/>
      <c r="F226" s="17"/>
      <c r="G226" s="17"/>
    </row>
    <row r="227" spans="1:7" x14ac:dyDescent="0.2">
      <c r="A227" s="17"/>
      <c r="B227" s="17"/>
      <c r="C227" s="1"/>
      <c r="D227" s="89"/>
      <c r="E227" s="17"/>
      <c r="F227" s="17"/>
      <c r="G227" s="17"/>
    </row>
    <row r="228" spans="1:7" x14ac:dyDescent="0.2">
      <c r="A228" s="17"/>
      <c r="B228" s="17" t="s">
        <v>542</v>
      </c>
      <c r="C228" s="1"/>
      <c r="D228" s="89"/>
      <c r="E228" s="17"/>
      <c r="F228" s="17"/>
      <c r="G228" s="17"/>
    </row>
    <row r="229" spans="1:7" x14ac:dyDescent="0.2">
      <c r="A229" s="17"/>
      <c r="B229" s="17" t="s">
        <v>543</v>
      </c>
      <c r="C229" s="1"/>
      <c r="D229" s="89"/>
      <c r="E229" s="17"/>
      <c r="F229" s="17"/>
      <c r="G229" s="17"/>
    </row>
    <row r="230" spans="1:7" x14ac:dyDescent="0.2">
      <c r="A230" s="17"/>
      <c r="B230" s="17" t="s">
        <v>544</v>
      </c>
      <c r="C230" s="1"/>
      <c r="D230" s="89"/>
      <c r="E230" s="17"/>
      <c r="F230" s="17"/>
      <c r="G230" s="17"/>
    </row>
    <row r="231" spans="1:7" x14ac:dyDescent="0.2">
      <c r="A231" s="17"/>
      <c r="B231" s="17" t="s">
        <v>545</v>
      </c>
      <c r="C231" s="1"/>
      <c r="D231" s="89"/>
      <c r="E231" s="17"/>
      <c r="F231" s="17"/>
      <c r="G231" s="17"/>
    </row>
    <row r="232" spans="1:7" x14ac:dyDescent="0.2">
      <c r="A232" s="17"/>
      <c r="B232" s="17" t="s">
        <v>546</v>
      </c>
      <c r="C232" s="1"/>
      <c r="D232" s="89"/>
      <c r="E232" s="17"/>
      <c r="F232" s="17"/>
      <c r="G232" s="17"/>
    </row>
    <row r="233" spans="1:7" x14ac:dyDescent="0.2">
      <c r="A233" s="17"/>
      <c r="B233" s="17"/>
      <c r="C233" s="1"/>
      <c r="D233" s="89"/>
      <c r="E233" s="17"/>
      <c r="F233" s="17"/>
      <c r="G233" s="17"/>
    </row>
    <row r="234" spans="1:7" x14ac:dyDescent="0.2">
      <c r="A234" s="17"/>
      <c r="B234" s="17" t="s">
        <v>547</v>
      </c>
      <c r="C234" s="1"/>
      <c r="D234" s="89"/>
      <c r="E234" s="17"/>
      <c r="F234" s="17"/>
      <c r="G234" s="17"/>
    </row>
    <row r="235" spans="1:7" x14ac:dyDescent="0.2">
      <c r="A235" s="17"/>
      <c r="B235" s="17" t="s">
        <v>528</v>
      </c>
      <c r="C235" s="1"/>
      <c r="D235" s="89"/>
      <c r="E235" s="17"/>
      <c r="F235" s="17"/>
      <c r="G235" s="17"/>
    </row>
    <row r="236" spans="1:7" x14ac:dyDescent="0.2">
      <c r="A236" s="17"/>
      <c r="B236" s="17" t="s">
        <v>306</v>
      </c>
      <c r="C236" s="1"/>
      <c r="D236" s="89"/>
      <c r="E236" s="17"/>
      <c r="F236" s="17"/>
      <c r="G236" s="17"/>
    </row>
    <row r="237" spans="1:7" x14ac:dyDescent="0.2">
      <c r="A237" s="17"/>
      <c r="B237" s="17" t="s">
        <v>548</v>
      </c>
      <c r="C237" s="1"/>
      <c r="D237" s="89"/>
      <c r="E237" s="17"/>
      <c r="F237" s="17"/>
      <c r="G237" s="17"/>
    </row>
    <row r="238" spans="1:7" x14ac:dyDescent="0.2">
      <c r="A238" s="17"/>
      <c r="B238" s="17" t="s">
        <v>549</v>
      </c>
      <c r="C238" s="1"/>
      <c r="D238" s="89" t="s">
        <v>550</v>
      </c>
      <c r="E238" s="17"/>
      <c r="F238" s="17"/>
      <c r="G238" s="17"/>
    </row>
    <row r="239" spans="1:7" x14ac:dyDescent="0.2">
      <c r="A239" s="17"/>
      <c r="B239" s="4" t="str">
        <f>" password 7 "&amp;VTYPassword</f>
        <v xml:space="preserve"> password 7 </v>
      </c>
      <c r="C239" s="1"/>
      <c r="D239" s="89" t="s">
        <v>551</v>
      </c>
      <c r="E239" s="17"/>
      <c r="F239" s="17"/>
      <c r="G239" s="17"/>
    </row>
    <row r="240" spans="1:7" x14ac:dyDescent="0.2">
      <c r="A240" s="17"/>
      <c r="B240" s="17" t="s">
        <v>552</v>
      </c>
      <c r="C240" s="1"/>
      <c r="D240" s="89" t="s">
        <v>553</v>
      </c>
      <c r="E240" s="17"/>
      <c r="F240" s="17"/>
      <c r="G240" s="17"/>
    </row>
    <row r="241" spans="1:7" x14ac:dyDescent="0.2">
      <c r="A241" s="17"/>
      <c r="B241" s="1" t="s">
        <v>554</v>
      </c>
      <c r="C241" s="1"/>
      <c r="D241" s="89" t="s">
        <v>555</v>
      </c>
      <c r="E241" s="17"/>
      <c r="F241" s="17"/>
      <c r="G241" s="17"/>
    </row>
    <row r="242" spans="1:7" x14ac:dyDescent="0.2">
      <c r="A242" s="17"/>
      <c r="B242" s="17" t="s">
        <v>556</v>
      </c>
      <c r="C242" s="1"/>
      <c r="D242" s="89"/>
      <c r="E242" s="17"/>
      <c r="F242" s="17"/>
      <c r="G242" s="17"/>
    </row>
    <row r="243" spans="1:7" x14ac:dyDescent="0.2">
      <c r="A243" s="17"/>
      <c r="B243" s="17" t="s">
        <v>306</v>
      </c>
      <c r="C243" s="1"/>
      <c r="D243" s="89"/>
      <c r="E243" s="17"/>
      <c r="F243" s="17"/>
      <c r="G243" s="17"/>
    </row>
    <row r="244" spans="1:7" x14ac:dyDescent="0.2">
      <c r="A244" s="17"/>
      <c r="B244" s="17" t="s">
        <v>557</v>
      </c>
      <c r="C244" s="1"/>
      <c r="D244" s="89"/>
      <c r="E244" s="17"/>
      <c r="F244" s="17"/>
      <c r="G244" s="17"/>
    </row>
    <row r="245" spans="1:7" x14ac:dyDescent="0.2">
      <c r="A245" s="17"/>
      <c r="B245" s="17" t="s">
        <v>558</v>
      </c>
      <c r="C245" s="1"/>
      <c r="D245" s="89" t="s">
        <v>559</v>
      </c>
      <c r="E245" s="17"/>
      <c r="F245" s="17"/>
      <c r="G245" s="17"/>
    </row>
    <row r="246" spans="1:7" x14ac:dyDescent="0.2">
      <c r="A246" s="17"/>
      <c r="B246" s="17" t="s">
        <v>549</v>
      </c>
      <c r="C246" s="1"/>
      <c r="D246" s="89" t="s">
        <v>550</v>
      </c>
      <c r="E246" s="17"/>
      <c r="F246" s="17"/>
      <c r="G246" s="17"/>
    </row>
    <row r="247" spans="1:7" x14ac:dyDescent="0.2">
      <c r="A247" s="17"/>
      <c r="B247" s="4" t="str">
        <f>" password 7 "&amp;VTYPassword</f>
        <v xml:space="preserve"> password 7 </v>
      </c>
      <c r="C247" s="1"/>
      <c r="D247" s="89" t="s">
        <v>551</v>
      </c>
      <c r="E247" s="17"/>
      <c r="F247" s="17"/>
      <c r="G247" s="17"/>
    </row>
    <row r="248" spans="1:7" x14ac:dyDescent="0.2">
      <c r="A248" s="17"/>
      <c r="B248" s="17" t="s">
        <v>552</v>
      </c>
      <c r="C248" s="1"/>
      <c r="D248" s="89" t="s">
        <v>553</v>
      </c>
      <c r="E248" s="17"/>
      <c r="F248" s="17"/>
      <c r="G248" s="17"/>
    </row>
    <row r="249" spans="1:7" x14ac:dyDescent="0.2">
      <c r="A249" s="17"/>
      <c r="B249" s="17" t="s">
        <v>560</v>
      </c>
      <c r="C249" s="1"/>
      <c r="D249" s="89" t="s">
        <v>561</v>
      </c>
      <c r="E249" s="17"/>
      <c r="F249" s="17"/>
      <c r="G249" s="17"/>
    </row>
    <row r="250" spans="1:7" x14ac:dyDescent="0.2">
      <c r="A250" s="17"/>
      <c r="B250" s="1" t="s">
        <v>562</v>
      </c>
      <c r="C250" s="1"/>
      <c r="D250" s="89" t="s">
        <v>563</v>
      </c>
      <c r="E250" s="17"/>
      <c r="F250" s="17"/>
      <c r="G250" s="17"/>
    </row>
    <row r="251" spans="1:7" x14ac:dyDescent="0.2">
      <c r="A251" s="17"/>
      <c r="B251" s="1" t="s">
        <v>564</v>
      </c>
      <c r="C251" s="1"/>
      <c r="D251" s="89"/>
      <c r="E251" s="17"/>
      <c r="F251" s="17"/>
      <c r="G251" s="17"/>
    </row>
    <row r="252" spans="1:7" x14ac:dyDescent="0.2">
      <c r="A252" s="17"/>
      <c r="B252" s="17" t="s">
        <v>306</v>
      </c>
      <c r="C252" s="1"/>
      <c r="D252" s="89"/>
      <c r="E252" s="17"/>
      <c r="F252" s="17"/>
      <c r="G252" s="17"/>
    </row>
    <row r="253" spans="1:7" x14ac:dyDescent="0.2">
      <c r="A253" s="17"/>
      <c r="B253" s="17" t="s">
        <v>565</v>
      </c>
      <c r="C253" s="1"/>
      <c r="D253" s="89"/>
      <c r="E253" s="17"/>
      <c r="F253" s="17"/>
      <c r="G253" s="17"/>
    </row>
    <row r="254" spans="1:7" x14ac:dyDescent="0.2">
      <c r="A254" s="17"/>
      <c r="B254" s="17" t="s">
        <v>558</v>
      </c>
      <c r="C254" s="1"/>
      <c r="D254" s="89" t="s">
        <v>559</v>
      </c>
      <c r="E254" s="17"/>
      <c r="F254" s="17"/>
      <c r="G254" s="17"/>
    </row>
    <row r="255" spans="1:7" x14ac:dyDescent="0.2">
      <c r="A255" s="17"/>
      <c r="B255" s="17" t="s">
        <v>549</v>
      </c>
      <c r="C255" s="1"/>
      <c r="D255" s="89" t="s">
        <v>550</v>
      </c>
      <c r="E255" s="17"/>
      <c r="F255" s="17"/>
      <c r="G255" s="17"/>
    </row>
    <row r="256" spans="1:7" x14ac:dyDescent="0.2">
      <c r="A256" s="17"/>
      <c r="B256" s="4" t="str">
        <f>" password 7 "&amp;VTYPassword</f>
        <v xml:space="preserve"> password 7 </v>
      </c>
      <c r="C256" s="1"/>
      <c r="D256" s="89" t="s">
        <v>551</v>
      </c>
      <c r="E256" s="17"/>
      <c r="F256" s="17"/>
      <c r="G256" s="17"/>
    </row>
    <row r="257" spans="1:7" x14ac:dyDescent="0.2">
      <c r="A257" s="17"/>
      <c r="B257" s="17" t="s">
        <v>552</v>
      </c>
      <c r="C257" s="1"/>
      <c r="D257" s="89" t="s">
        <v>553</v>
      </c>
      <c r="E257" s="17"/>
      <c r="F257" s="17"/>
      <c r="G257" s="17"/>
    </row>
    <row r="258" spans="1:7" x14ac:dyDescent="0.2">
      <c r="A258" s="17"/>
      <c r="B258" s="17" t="s">
        <v>560</v>
      </c>
      <c r="C258" s="1"/>
      <c r="D258" s="89" t="s">
        <v>561</v>
      </c>
      <c r="E258" s="17"/>
      <c r="F258" s="17"/>
      <c r="G258" s="17"/>
    </row>
    <row r="259" spans="1:7" x14ac:dyDescent="0.2">
      <c r="A259" s="17"/>
      <c r="B259" s="1" t="s">
        <v>562</v>
      </c>
      <c r="C259" s="1"/>
      <c r="D259" s="89" t="s">
        <v>563</v>
      </c>
      <c r="E259" s="17"/>
      <c r="F259" s="17"/>
      <c r="G259" s="17"/>
    </row>
    <row r="260" spans="1:7" x14ac:dyDescent="0.2">
      <c r="A260" s="17"/>
      <c r="B260" s="1" t="s">
        <v>564</v>
      </c>
      <c r="C260" s="1"/>
      <c r="D260" s="89"/>
      <c r="E260" s="17"/>
      <c r="F260" s="17"/>
      <c r="G260" s="17"/>
    </row>
    <row r="261" spans="1:7" x14ac:dyDescent="0.2">
      <c r="A261" s="17"/>
      <c r="B261" s="36" t="s">
        <v>566</v>
      </c>
      <c r="C261" s="1"/>
      <c r="D261" s="89"/>
      <c r="E261" s="17"/>
      <c r="F261" s="17"/>
      <c r="G261" s="17"/>
    </row>
    <row r="262" spans="1:7" x14ac:dyDescent="0.2">
      <c r="A262" s="17"/>
      <c r="B262" s="25" t="str">
        <f>IF(VTYExtended="yes","line vty 16 98","!")</f>
        <v>!</v>
      </c>
      <c r="C262" s="1"/>
      <c r="D262" s="89"/>
      <c r="E262" s="17"/>
      <c r="F262" s="17"/>
      <c r="G262" s="17"/>
    </row>
    <row r="263" spans="1:7" x14ac:dyDescent="0.2">
      <c r="A263" s="17"/>
      <c r="B263" s="25" t="str">
        <f>IF(VTYExtended="yes"," session-timeout 30","!")</f>
        <v>!</v>
      </c>
      <c r="C263" s="1"/>
      <c r="D263" s="89"/>
      <c r="E263" s="17"/>
      <c r="F263" s="17"/>
      <c r="G263" s="17"/>
    </row>
    <row r="264" spans="1:7" x14ac:dyDescent="0.2">
      <c r="A264" s="17"/>
      <c r="B264" s="25" t="str">
        <f>IF(VTYExtended="yes"," exec-timeout 30 0","!")</f>
        <v>!</v>
      </c>
      <c r="C264" s="1"/>
      <c r="D264" s="89"/>
      <c r="E264" s="17"/>
      <c r="F264" s="17"/>
      <c r="G264" s="17"/>
    </row>
    <row r="265" spans="1:7" x14ac:dyDescent="0.2">
      <c r="A265" s="17"/>
      <c r="B265" s="24" t="str">
        <f>IF(VTYExtended="yes"," password 7 "&amp;VTYPassword,"!")</f>
        <v>!</v>
      </c>
      <c r="C265" s="1"/>
      <c r="D265" s="89"/>
      <c r="E265" s="17"/>
      <c r="F265" s="17"/>
      <c r="G265" s="17"/>
    </row>
    <row r="266" spans="1:7" x14ac:dyDescent="0.2">
      <c r="A266" s="17"/>
      <c r="B266" s="25" t="str">
        <f>IF(VTYExtended="yes","  logging synchronous","!")</f>
        <v>!</v>
      </c>
      <c r="C266" s="1"/>
      <c r="D266" s="89"/>
      <c r="E266" s="17"/>
      <c r="F266" s="17"/>
      <c r="G266" s="17"/>
    </row>
    <row r="267" spans="1:7" x14ac:dyDescent="0.2">
      <c r="A267" s="17"/>
      <c r="B267" s="24" t="str">
        <f>IF(VTYExtended="yes"," transport input ssh","!")</f>
        <v>!</v>
      </c>
      <c r="C267" s="1"/>
      <c r="D267" s="89"/>
      <c r="E267" s="17"/>
      <c r="F267" s="17"/>
      <c r="G267" s="17"/>
    </row>
    <row r="268" spans="1:7" x14ac:dyDescent="0.2">
      <c r="A268" s="17"/>
      <c r="B268" s="24" t="str">
        <f>IF(VTYExtended="yes"," default escape-character","!")</f>
        <v>!</v>
      </c>
      <c r="C268" s="1"/>
      <c r="D268" s="89"/>
      <c r="E268" s="17"/>
      <c r="F268" s="17"/>
      <c r="G268" s="17"/>
    </row>
    <row r="269" spans="1:7" x14ac:dyDescent="0.2">
      <c r="A269" s="17"/>
      <c r="B269" s="24" t="str">
        <f>IF(VTYExtended="yes"," exit","!")</f>
        <v>!</v>
      </c>
      <c r="C269" s="1"/>
      <c r="D269" s="89"/>
      <c r="E269" s="17"/>
      <c r="F269" s="17"/>
      <c r="G269" s="17"/>
    </row>
    <row r="270" spans="1:7" x14ac:dyDescent="0.2">
      <c r="A270" s="17"/>
      <c r="B270" t="s">
        <v>306</v>
      </c>
      <c r="C270" s="17"/>
      <c r="D270" s="89"/>
      <c r="E270" s="17"/>
      <c r="F270" s="17"/>
      <c r="G270" s="17"/>
    </row>
    <row r="271" spans="1:7" x14ac:dyDescent="0.2">
      <c r="A271" s="17"/>
      <c r="B271" s="1" t="s">
        <v>567</v>
      </c>
      <c r="C271" s="17"/>
      <c r="D271" s="87" t="s">
        <v>568</v>
      </c>
      <c r="E271" s="17"/>
      <c r="F271" s="17"/>
      <c r="G271" s="17"/>
    </row>
    <row r="272" spans="1:7" x14ac:dyDescent="0.2">
      <c r="A272" s="17"/>
      <c r="B272" s="4" t="str">
        <f>"ntp source "&amp;SourceInt</f>
        <v xml:space="preserve">ntp source </v>
      </c>
      <c r="C272" s="17"/>
      <c r="D272" s="91" t="s">
        <v>569</v>
      </c>
      <c r="E272" s="17"/>
      <c r="F272" s="17"/>
      <c r="G272" s="17"/>
    </row>
    <row r="273" spans="1:7" x14ac:dyDescent="0.2">
      <c r="A273" s="17"/>
      <c r="B273" s="4" t="str">
        <f>IF(RegionChoice="Norway TDE-CDE","!",IF(_NTP1="!","!","ntp server "&amp;_NTP1))</f>
        <v>ntp server 155.191.128.133</v>
      </c>
      <c r="C273" s="17"/>
      <c r="D273" s="91" t="s">
        <v>570</v>
      </c>
      <c r="E273" s="17"/>
      <c r="F273" s="17"/>
      <c r="G273" s="17"/>
    </row>
    <row r="274" spans="1:7" x14ac:dyDescent="0.2">
      <c r="A274" s="17"/>
      <c r="B274" s="4" t="str">
        <f>IF(RegionChoice="Norway TDE-CDE","!",IF(_NTP2="!","!","ntp server "&amp;_NTP2))</f>
        <v>ntp server 155.191.128.134</v>
      </c>
      <c r="C274" s="17"/>
      <c r="D274" s="91" t="s">
        <v>571</v>
      </c>
      <c r="E274" s="17"/>
      <c r="F274" s="17"/>
      <c r="G274" s="17"/>
    </row>
    <row r="275" spans="1:7" x14ac:dyDescent="0.2">
      <c r="A275" s="17"/>
      <c r="B275" s="4" t="str">
        <f>IF(RegionChoice="Norway TDE-CDE","!",IF(_NTP3="!","!","ntp server "&amp;_NTP3))</f>
        <v>ntp server 158.139.0.139</v>
      </c>
      <c r="C275" s="17"/>
      <c r="D275" s="91" t="s">
        <v>572</v>
      </c>
      <c r="E275" s="17"/>
      <c r="F275" s="17"/>
      <c r="G275" s="17"/>
    </row>
    <row r="276" spans="1:7" x14ac:dyDescent="0.2">
      <c r="A276" s="17"/>
      <c r="B276" s="4" t="str">
        <f>IF(RegionChoice="Norway TDE-CDE","!",IF(_NTP4="!","!","ntp server "&amp;_NTP4))</f>
        <v>ntp server 158.139.0.137</v>
      </c>
      <c r="C276" s="17"/>
      <c r="D276" s="91" t="s">
        <v>573</v>
      </c>
      <c r="E276" s="17"/>
      <c r="F276" s="17"/>
      <c r="G276" s="17"/>
    </row>
    <row r="277" spans="1:7" x14ac:dyDescent="0.2">
      <c r="A277" s="17"/>
      <c r="B277" s="1" t="s">
        <v>306</v>
      </c>
      <c r="C277" s="17"/>
      <c r="D277" s="91"/>
      <c r="E277" s="17"/>
      <c r="F277" s="17"/>
      <c r="G277" s="17"/>
    </row>
    <row r="278" spans="1:7" x14ac:dyDescent="0.2">
      <c r="A278" s="17"/>
      <c r="B278" s="17" t="s">
        <v>574</v>
      </c>
      <c r="C278" s="17"/>
      <c r="D278" s="89" t="s">
        <v>575</v>
      </c>
      <c r="E278" s="17"/>
      <c r="F278" s="17"/>
      <c r="G278" s="17"/>
    </row>
    <row r="279" spans="1:7" x14ac:dyDescent="0.2">
      <c r="A279" s="17"/>
      <c r="B279" s="18">
        <v>2048</v>
      </c>
      <c r="C279" s="1"/>
      <c r="D279" s="89" t="s">
        <v>576</v>
      </c>
      <c r="E279" s="17"/>
      <c r="F279" s="17"/>
      <c r="G279" s="17"/>
    </row>
    <row r="280" spans="1:7" x14ac:dyDescent="0.2">
      <c r="A280" s="17"/>
      <c r="B280" s="17"/>
      <c r="C280" s="1"/>
      <c r="D280" s="89"/>
      <c r="E280" s="17"/>
      <c r="F280" s="17"/>
      <c r="G280" s="17"/>
    </row>
    <row r="281" spans="1:7" x14ac:dyDescent="0.2">
      <c r="A281" s="17"/>
      <c r="B281" s="17"/>
      <c r="C281" s="1"/>
      <c r="D281" s="89"/>
      <c r="E281" s="17"/>
      <c r="F281" s="17"/>
      <c r="G281" s="17"/>
    </row>
    <row r="282" spans="1:7" x14ac:dyDescent="0.2">
      <c r="A282" s="17"/>
      <c r="B282" s="17"/>
      <c r="C282" s="1"/>
      <c r="D282" s="89"/>
      <c r="E282" s="17"/>
      <c r="F282" s="17"/>
      <c r="G282" s="17"/>
    </row>
    <row r="283" spans="1:7" x14ac:dyDescent="0.2">
      <c r="A283" s="17"/>
      <c r="B283" s="1" t="s">
        <v>577</v>
      </c>
      <c r="C283" s="1"/>
      <c r="D283" s="89" t="s">
        <v>578</v>
      </c>
      <c r="E283" s="17"/>
      <c r="F283" s="17"/>
      <c r="G283" s="17"/>
    </row>
    <row r="284" spans="1:7" x14ac:dyDescent="0.2">
      <c r="A284" s="17"/>
      <c r="B284" s="17" t="s">
        <v>579</v>
      </c>
      <c r="C284" s="1"/>
      <c r="D284" s="89" t="s">
        <v>580</v>
      </c>
      <c r="E284" s="17"/>
      <c r="F284" s="17"/>
      <c r="G284" s="17"/>
    </row>
    <row r="285" spans="1:7" x14ac:dyDescent="0.2">
      <c r="A285" s="17"/>
      <c r="B285" s="17" t="s">
        <v>581</v>
      </c>
      <c r="C285" s="1"/>
      <c r="D285" s="89" t="s">
        <v>582</v>
      </c>
      <c r="E285" s="17"/>
      <c r="F285" s="17"/>
      <c r="G285" s="17"/>
    </row>
    <row r="286" spans="1:7" x14ac:dyDescent="0.2">
      <c r="A286" s="17"/>
      <c r="B286" s="17" t="s">
        <v>306</v>
      </c>
      <c r="C286" s="1"/>
      <c r="D286" s="89"/>
      <c r="E286" s="17"/>
      <c r="F286" s="17"/>
      <c r="G286" s="17"/>
    </row>
    <row r="287" spans="1:7" x14ac:dyDescent="0.2">
      <c r="A287" s="17"/>
      <c r="B287" s="106" t="s">
        <v>583</v>
      </c>
      <c r="C287" s="1"/>
      <c r="D287" s="89"/>
      <c r="E287" s="17"/>
      <c r="F287" s="17"/>
      <c r="G287" s="17"/>
    </row>
    <row r="288" spans="1:7" x14ac:dyDescent="0.2">
      <c r="A288" s="17"/>
      <c r="B288" s="106" t="s">
        <v>584</v>
      </c>
      <c r="C288" s="1"/>
      <c r="D288" s="89"/>
      <c r="E288" s="17"/>
      <c r="F288" s="17"/>
      <c r="G288" s="17"/>
    </row>
    <row r="289" spans="1:7" x14ac:dyDescent="0.2">
      <c r="A289" s="17"/>
      <c r="B289" s="106" t="s">
        <v>558</v>
      </c>
      <c r="C289" s="1"/>
      <c r="D289" s="89" t="s">
        <v>559</v>
      </c>
      <c r="E289" s="17"/>
      <c r="F289" s="17"/>
      <c r="G289" s="17"/>
    </row>
    <row r="290" spans="1:7" x14ac:dyDescent="0.2">
      <c r="A290" s="17"/>
      <c r="B290" s="106" t="s">
        <v>549</v>
      </c>
      <c r="C290" s="17"/>
      <c r="D290" s="89" t="s">
        <v>550</v>
      </c>
      <c r="E290" s="17"/>
      <c r="F290" s="17"/>
      <c r="G290" s="17"/>
    </row>
    <row r="291" spans="1:7" x14ac:dyDescent="0.2">
      <c r="A291" s="17"/>
      <c r="B291" s="107" t="str">
        <f>" password 7 "&amp;VTYPassword</f>
        <v xml:space="preserve"> password 7 </v>
      </c>
      <c r="C291" s="4"/>
      <c r="D291" s="89" t="s">
        <v>551</v>
      </c>
      <c r="E291" s="17"/>
      <c r="F291" s="17"/>
      <c r="G291" s="17"/>
    </row>
    <row r="292" spans="1:7" x14ac:dyDescent="0.2">
      <c r="A292" s="17"/>
      <c r="B292" s="106" t="s">
        <v>552</v>
      </c>
      <c r="C292" s="4"/>
      <c r="D292" s="89" t="s">
        <v>553</v>
      </c>
      <c r="E292" s="17"/>
      <c r="F292" s="17"/>
      <c r="G292" s="17"/>
    </row>
    <row r="293" spans="1:7" x14ac:dyDescent="0.2">
      <c r="A293" s="17"/>
      <c r="B293" s="106" t="s">
        <v>554</v>
      </c>
      <c r="C293" s="4"/>
      <c r="D293" s="89" t="s">
        <v>555</v>
      </c>
      <c r="E293" s="17"/>
      <c r="F293" s="17"/>
      <c r="G293" s="17"/>
    </row>
    <row r="294" spans="1:7" x14ac:dyDescent="0.2">
      <c r="A294" s="17"/>
      <c r="B294" s="106" t="s">
        <v>564</v>
      </c>
      <c r="C294" s="4"/>
      <c r="D294" s="89"/>
      <c r="E294" s="17"/>
      <c r="F294" s="17"/>
      <c r="G294" s="17"/>
    </row>
    <row r="295" spans="1:7" x14ac:dyDescent="0.2">
      <c r="A295" s="17"/>
      <c r="B295" s="1" t="str">
        <f>IF(VTYExtended="yes"," exit","!")</f>
        <v>!</v>
      </c>
      <c r="C295" s="1"/>
      <c r="D295" s="89"/>
      <c r="E295" s="17"/>
      <c r="F295" s="17"/>
      <c r="G295" s="17"/>
    </row>
    <row r="296" spans="1:7" x14ac:dyDescent="0.2">
      <c r="A296" s="17"/>
      <c r="B296" s="17" t="s">
        <v>306</v>
      </c>
      <c r="C296" s="17"/>
      <c r="D296" s="89"/>
      <c r="E296" s="17"/>
      <c r="F296" s="17"/>
      <c r="G296" s="17"/>
    </row>
    <row r="297" spans="1:7" x14ac:dyDescent="0.2">
      <c r="A297" s="17"/>
      <c r="B297" s="17" t="s">
        <v>585</v>
      </c>
      <c r="C297" s="17"/>
      <c r="D297" s="89"/>
      <c r="E297" s="17"/>
      <c r="F297" s="17"/>
      <c r="G297" s="17"/>
    </row>
  </sheetData>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E293"/>
  <sheetViews>
    <sheetView tabSelected="1" topLeftCell="A153" zoomScaleNormal="100" workbookViewId="0">
      <selection activeCell="B178" sqref="B178"/>
    </sheetView>
  </sheetViews>
  <sheetFormatPr defaultRowHeight="12.75" x14ac:dyDescent="0.2"/>
  <cols>
    <col min="1" max="1" width="1.7109375" customWidth="1"/>
    <col min="2" max="2" width="70.7109375" customWidth="1"/>
    <col min="3" max="3" width="1.7109375" customWidth="1"/>
    <col min="4" max="4" width="81" style="86" customWidth="1"/>
    <col min="5" max="5" width="49.28515625" bestFit="1" customWidth="1"/>
  </cols>
  <sheetData>
    <row r="1" spans="2:4" x14ac:dyDescent="0.2">
      <c r="B1" s="102" t="s">
        <v>586</v>
      </c>
    </row>
    <row r="2" spans="2:4" x14ac:dyDescent="0.2">
      <c r="B2" t="s">
        <v>306</v>
      </c>
    </row>
    <row r="3" spans="2:4" ht="25.5" x14ac:dyDescent="0.2">
      <c r="B3" s="112" t="s">
        <v>340</v>
      </c>
      <c r="D3" s="129" t="s">
        <v>587</v>
      </c>
    </row>
    <row r="4" spans="2:4" x14ac:dyDescent="0.2">
      <c r="B4" t="s">
        <v>361</v>
      </c>
      <c r="D4" s="89" t="s">
        <v>362</v>
      </c>
    </row>
    <row r="5" spans="2:4" x14ac:dyDescent="0.2">
      <c r="B5" s="1" t="s">
        <v>363</v>
      </c>
      <c r="C5" s="2"/>
      <c r="D5" s="89" t="s">
        <v>364</v>
      </c>
    </row>
    <row r="6" spans="2:4" x14ac:dyDescent="0.2">
      <c r="B6" s="1" t="s">
        <v>365</v>
      </c>
      <c r="C6" s="2"/>
      <c r="D6" s="86" t="s">
        <v>366</v>
      </c>
    </row>
    <row r="7" spans="2:4" x14ac:dyDescent="0.2">
      <c r="B7" s="1" t="s">
        <v>367</v>
      </c>
      <c r="C7" s="2"/>
      <c r="D7" s="86" t="s">
        <v>368</v>
      </c>
    </row>
    <row r="8" spans="2:4" x14ac:dyDescent="0.2">
      <c r="B8" s="103" t="s">
        <v>588</v>
      </c>
      <c r="C8" s="2"/>
      <c r="D8" s="87" t="s">
        <v>589</v>
      </c>
    </row>
    <row r="9" spans="2:4" x14ac:dyDescent="0.2">
      <c r="B9" s="1" t="s">
        <v>369</v>
      </c>
      <c r="C9" s="2"/>
      <c r="D9" s="86" t="s">
        <v>370</v>
      </c>
    </row>
    <row r="10" spans="2:4" x14ac:dyDescent="0.2">
      <c r="B10" s="1" t="s">
        <v>371</v>
      </c>
      <c r="C10" s="2"/>
      <c r="D10" s="86" t="s">
        <v>372</v>
      </c>
    </row>
    <row r="11" spans="2:4" x14ac:dyDescent="0.2">
      <c r="B11" s="1" t="s">
        <v>383</v>
      </c>
      <c r="C11" s="2"/>
      <c r="D11" s="87" t="s">
        <v>590</v>
      </c>
    </row>
    <row r="12" spans="2:4" x14ac:dyDescent="0.2">
      <c r="B12" s="1" t="s">
        <v>379</v>
      </c>
      <c r="C12" s="2"/>
      <c r="D12" s="86" t="s">
        <v>380</v>
      </c>
    </row>
    <row r="13" spans="2:4" x14ac:dyDescent="0.2">
      <c r="B13" s="1" t="s">
        <v>381</v>
      </c>
      <c r="C13" s="2"/>
      <c r="D13" s="86" t="s">
        <v>382</v>
      </c>
    </row>
    <row r="14" spans="2:4" x14ac:dyDescent="0.2">
      <c r="B14" s="1" t="s">
        <v>373</v>
      </c>
      <c r="C14" s="2"/>
      <c r="D14" s="86" t="s">
        <v>374</v>
      </c>
    </row>
    <row r="15" spans="2:4" x14ac:dyDescent="0.2">
      <c r="B15" s="1" t="s">
        <v>375</v>
      </c>
      <c r="C15" s="2"/>
      <c r="D15" s="86" t="s">
        <v>376</v>
      </c>
    </row>
    <row r="16" spans="2:4" x14ac:dyDescent="0.2">
      <c r="B16" s="1" t="s">
        <v>377</v>
      </c>
      <c r="C16" s="2"/>
      <c r="D16" s="86" t="s">
        <v>378</v>
      </c>
    </row>
    <row r="17" spans="2:5" x14ac:dyDescent="0.2">
      <c r="B17" s="103" t="s">
        <v>591</v>
      </c>
      <c r="C17" s="2"/>
      <c r="D17" s="87" t="s">
        <v>592</v>
      </c>
    </row>
    <row r="18" spans="2:5" x14ac:dyDescent="0.2">
      <c r="B18" s="1" t="s">
        <v>387</v>
      </c>
      <c r="C18" s="2"/>
      <c r="D18" s="86" t="s">
        <v>388</v>
      </c>
    </row>
    <row r="19" spans="2:5" x14ac:dyDescent="0.2">
      <c r="B19" s="4" t="str">
        <f>"hostname "&amp;Hostname</f>
        <v xml:space="preserve">hostname </v>
      </c>
      <c r="C19" s="2"/>
      <c r="D19" s="86" t="s">
        <v>389</v>
      </c>
    </row>
    <row r="20" spans="2:5" x14ac:dyDescent="0.2">
      <c r="B20" s="1" t="s">
        <v>306</v>
      </c>
      <c r="C20" s="2"/>
      <c r="D20" s="88"/>
    </row>
    <row r="21" spans="2:5" x14ac:dyDescent="0.2">
      <c r="B21" s="1" t="s">
        <v>349</v>
      </c>
      <c r="C21" s="2"/>
      <c r="D21" s="89" t="s">
        <v>350</v>
      </c>
    </row>
    <row r="22" spans="2:5" x14ac:dyDescent="0.2">
      <c r="B22" s="1" t="s">
        <v>351</v>
      </c>
      <c r="C22" s="2"/>
      <c r="D22" s="89" t="s">
        <v>352</v>
      </c>
    </row>
    <row r="23" spans="2:5" x14ac:dyDescent="0.2">
      <c r="B23" s="1" t="s">
        <v>306</v>
      </c>
      <c r="C23" s="2"/>
      <c r="D23" s="89"/>
    </row>
    <row r="24" spans="2:5" x14ac:dyDescent="0.2">
      <c r="B24" s="1" t="s">
        <v>353</v>
      </c>
      <c r="C24" s="2"/>
      <c r="D24" s="89" t="s">
        <v>354</v>
      </c>
    </row>
    <row r="25" spans="2:5" x14ac:dyDescent="0.2">
      <c r="B25" s="1" t="s">
        <v>355</v>
      </c>
      <c r="C25" s="2"/>
      <c r="D25" s="89" t="s">
        <v>356</v>
      </c>
    </row>
    <row r="26" spans="2:5" x14ac:dyDescent="0.2">
      <c r="B26" s="1" t="s">
        <v>357</v>
      </c>
      <c r="C26" s="2"/>
      <c r="D26" s="89" t="s">
        <v>358</v>
      </c>
    </row>
    <row r="27" spans="2:5" x14ac:dyDescent="0.2">
      <c r="B27" s="1" t="s">
        <v>359</v>
      </c>
      <c r="C27" s="2"/>
      <c r="D27" s="89" t="s">
        <v>360</v>
      </c>
    </row>
    <row r="28" spans="2:5" x14ac:dyDescent="0.2">
      <c r="B28" s="1" t="s">
        <v>306</v>
      </c>
      <c r="C28" s="2"/>
      <c r="D28" s="88"/>
    </row>
    <row r="29" spans="2:5" x14ac:dyDescent="0.2">
      <c r="B29" s="1" t="s">
        <v>392</v>
      </c>
      <c r="C29" s="1"/>
      <c r="D29" s="87" t="s">
        <v>593</v>
      </c>
      <c r="E29" s="19" t="s">
        <v>594</v>
      </c>
    </row>
    <row r="30" spans="2:5" x14ac:dyDescent="0.2">
      <c r="B30" s="1" t="s">
        <v>394</v>
      </c>
      <c r="C30" s="1"/>
      <c r="D30" s="87" t="s">
        <v>595</v>
      </c>
    </row>
    <row r="31" spans="2:5" x14ac:dyDescent="0.2">
      <c r="B31" s="1" t="s">
        <v>396</v>
      </c>
      <c r="C31" s="1"/>
      <c r="D31" s="88" t="s">
        <v>397</v>
      </c>
    </row>
    <row r="32" spans="2:5" x14ac:dyDescent="0.2">
      <c r="B32" s="103" t="s">
        <v>596</v>
      </c>
      <c r="C32" s="1"/>
      <c r="D32" s="87" t="s">
        <v>597</v>
      </c>
    </row>
    <row r="33" spans="2:5" x14ac:dyDescent="0.2">
      <c r="B33" s="1" t="s">
        <v>306</v>
      </c>
      <c r="C33" s="1"/>
      <c r="D33" s="88"/>
    </row>
    <row r="34" spans="2:5" x14ac:dyDescent="0.2">
      <c r="B34" s="1" t="s">
        <v>399</v>
      </c>
      <c r="C34" s="1"/>
      <c r="D34" s="87" t="s">
        <v>598</v>
      </c>
    </row>
    <row r="35" spans="2:5" ht="25.5" x14ac:dyDescent="0.2">
      <c r="B35" s="4" t="str">
        <f>"enable secret 9 "&amp;Enable_Secret</f>
        <v>enable secret 9 XXXXXXXXXXXXXXXXXXXXXXXXXXXXXXXXXXXXXXXX</v>
      </c>
      <c r="C35" s="1"/>
      <c r="D35" s="88" t="s">
        <v>599</v>
      </c>
    </row>
    <row r="36" spans="2:5" ht="25.5" x14ac:dyDescent="0.2">
      <c r="B36" s="4" t="str">
        <f>"username tombstone privilege 15 secret 9 "&amp; Enable_Secret</f>
        <v>username tombstone privilege 15 secret 9 XXXXXXXXXXXXXXXXXXXXXXXXXXXXXXXXXXXXXXXX</v>
      </c>
      <c r="C36" s="1"/>
      <c r="D36" s="89" t="s">
        <v>402</v>
      </c>
    </row>
    <row r="37" spans="2:5" x14ac:dyDescent="0.2">
      <c r="B37" s="1" t="s">
        <v>306</v>
      </c>
      <c r="C37" s="1"/>
      <c r="D37" s="88"/>
    </row>
    <row r="38" spans="2:5" x14ac:dyDescent="0.2">
      <c r="B38" s="4" t="str">
        <f>IF(Timezone="!", "!","clock timezone "&amp;Timezone&amp;" "&amp;Offset)</f>
        <v>clock timezone CST -6 0</v>
      </c>
      <c r="C38" s="1"/>
      <c r="D38" s="88" t="s">
        <v>411</v>
      </c>
    </row>
    <row r="39" spans="2:5" x14ac:dyDescent="0.2">
      <c r="B39" s="4" t="str">
        <f>IF(SummerTimezone="!","!", "clock summer-time "&amp;SummerTimezone&amp; " "&amp;TimeRecurrence)</f>
        <v>clock summer-time CDT 2 sun mar 02:00 1 sun nov 02:00</v>
      </c>
      <c r="C39" s="1"/>
      <c r="D39" s="88" t="s">
        <v>412</v>
      </c>
    </row>
    <row r="40" spans="2:5" x14ac:dyDescent="0.2">
      <c r="B40" s="4" t="str">
        <f>IF(SummerTimezone="!","!", "clock summer-time "&amp;SummerTimezone&amp; " recurring "&amp;TimeRecurrence)</f>
        <v>clock summer-time CDT recurring 2 sun mar 02:00 1 sun nov 02:00</v>
      </c>
      <c r="C40" s="1"/>
      <c r="D40" s="88" t="s">
        <v>412</v>
      </c>
    </row>
    <row r="41" spans="2:5" x14ac:dyDescent="0.2">
      <c r="B41" s="1" t="s">
        <v>306</v>
      </c>
      <c r="C41" s="1"/>
      <c r="D41" s="88"/>
    </row>
    <row r="42" spans="2:5" x14ac:dyDescent="0.2">
      <c r="B42" s="1" t="str">
        <f>IF(RegionChoice="Norway TCE-CDE","!","aaa new-model")</f>
        <v>aaa new-model</v>
      </c>
      <c r="C42" s="1"/>
      <c r="D42" s="35" t="s">
        <v>403</v>
      </c>
    </row>
    <row r="43" spans="2:5" x14ac:dyDescent="0.2">
      <c r="B43" s="1" t="str">
        <f>IF(RegionChoice="Norway TCE-CDE","!","aaa authentication login default group tacacs+ local line")</f>
        <v>aaa authentication login default group tacacs+ local line</v>
      </c>
      <c r="C43" s="1"/>
      <c r="D43" s="89" t="s">
        <v>600</v>
      </c>
      <c r="E43" s="19"/>
    </row>
    <row r="44" spans="2:5" x14ac:dyDescent="0.2">
      <c r="B44" s="1" t="str">
        <f>IF(RegionChoice="Norway TCE-CDE","!","aaa authentication login NO-TACACS line")</f>
        <v>aaa authentication login NO-TACACS line</v>
      </c>
      <c r="C44" s="1"/>
      <c r="D44" s="89" t="s">
        <v>405</v>
      </c>
      <c r="E44" s="19" t="s">
        <v>601</v>
      </c>
    </row>
    <row r="45" spans="2:5" x14ac:dyDescent="0.2">
      <c r="B45" s="1" t="str">
        <f>IF(RegionChoice="Norway TCE-CDE","!","aaa authorization exec default group tacacs+ if-authenticated ")</f>
        <v xml:space="preserve">aaa authorization exec default group tacacs+ if-authenticated </v>
      </c>
      <c r="C45" s="1"/>
      <c r="D45" s="89" t="s">
        <v>602</v>
      </c>
      <c r="E45" s="19"/>
    </row>
    <row r="46" spans="2:5" x14ac:dyDescent="0.2">
      <c r="B46" s="1" t="str">
        <f>IF(RegionChoice="Norway TCE-CDE","!","aaa authorization commands 0 default group tacacs+ local none")</f>
        <v>aaa authorization commands 0 default group tacacs+ local none</v>
      </c>
      <c r="C46" s="1"/>
      <c r="D46" s="89" t="s">
        <v>603</v>
      </c>
      <c r="E46" s="19"/>
    </row>
    <row r="47" spans="2:5" x14ac:dyDescent="0.2">
      <c r="B47" s="1" t="str">
        <f>IF(RegionChoice="Norway TCE-CDE","!","aaa authorization commands 1 default group tacacs+ local none ")</f>
        <v xml:space="preserve">aaa authorization commands 1 default group tacacs+ local none </v>
      </c>
      <c r="C47" s="1"/>
      <c r="D47" s="89" t="s">
        <v>603</v>
      </c>
      <c r="E47" s="19"/>
    </row>
    <row r="48" spans="2:5" x14ac:dyDescent="0.2">
      <c r="B48" s="1" t="str">
        <f>IF(RegionChoice="Norway TCE-CDE","!","aaa authorization commands 15 default group tacacs+ local none")</f>
        <v>aaa authorization commands 15 default group tacacs+ local none</v>
      </c>
      <c r="C48" s="1"/>
      <c r="D48" s="89" t="s">
        <v>603</v>
      </c>
      <c r="E48" s="19"/>
    </row>
    <row r="49" spans="2:5" x14ac:dyDescent="0.2">
      <c r="B49" s="1" t="str">
        <f>IF(RegionChoice="Norway TCE-CDE","!","aaa accounting exec default start-stop group tacacs+")</f>
        <v>aaa accounting exec default start-stop group tacacs+</v>
      </c>
      <c r="C49" s="1"/>
      <c r="D49" s="89" t="s">
        <v>604</v>
      </c>
      <c r="E49" s="19"/>
    </row>
    <row r="50" spans="2:5" x14ac:dyDescent="0.2">
      <c r="B50" s="1" t="str">
        <f>IF(RegionChoice="Norway TCE-CDE","!","aaa accounting commands 1 default start-stop group tacacs+")</f>
        <v>aaa accounting commands 1 default start-stop group tacacs+</v>
      </c>
      <c r="C50" s="1"/>
      <c r="D50" s="89" t="s">
        <v>409</v>
      </c>
      <c r="E50" s="19"/>
    </row>
    <row r="51" spans="2:5" x14ac:dyDescent="0.2">
      <c r="B51" s="1" t="str">
        <f>IF(RegionChoice="Norway TCE-CDE","!","aaa accounting commands 5 default start-stop group tacacs+")</f>
        <v>aaa accounting commands 5 default start-stop group tacacs+</v>
      </c>
      <c r="C51" s="1"/>
      <c r="D51" s="89" t="s">
        <v>409</v>
      </c>
      <c r="E51" s="19"/>
    </row>
    <row r="52" spans="2:5" x14ac:dyDescent="0.2">
      <c r="B52" s="1" t="str">
        <f>IF(RegionChoice="Norway TCE-CDE","!","aaa accounting commands 15 default start-stop group tacacs+")</f>
        <v>aaa accounting commands 15 default start-stop group tacacs+</v>
      </c>
      <c r="C52" s="1"/>
      <c r="D52" s="89" t="s">
        <v>409</v>
      </c>
      <c r="E52" s="19"/>
    </row>
    <row r="53" spans="2:5" x14ac:dyDescent="0.2">
      <c r="B53" s="1" t="s">
        <v>306</v>
      </c>
      <c r="C53" s="1"/>
      <c r="D53" s="88"/>
    </row>
    <row r="54" spans="2:5" x14ac:dyDescent="0.2">
      <c r="B54" s="1" t="s">
        <v>415</v>
      </c>
      <c r="C54" s="1"/>
      <c r="D54" s="89" t="s">
        <v>416</v>
      </c>
    </row>
    <row r="55" spans="2:5" x14ac:dyDescent="0.2">
      <c r="B55" s="1" t="s">
        <v>417</v>
      </c>
      <c r="C55" s="1"/>
      <c r="D55" s="89" t="s">
        <v>418</v>
      </c>
    </row>
    <row r="56" spans="2:5" x14ac:dyDescent="0.2">
      <c r="B56" s="109" t="s">
        <v>419</v>
      </c>
      <c r="C56" s="1"/>
      <c r="D56" s="89" t="s">
        <v>420</v>
      </c>
    </row>
    <row r="57" spans="2:5" x14ac:dyDescent="0.2">
      <c r="B57" s="1" t="s">
        <v>421</v>
      </c>
      <c r="C57" s="1"/>
      <c r="D57" s="86" t="s">
        <v>422</v>
      </c>
    </row>
    <row r="58" spans="2:5" x14ac:dyDescent="0.2">
      <c r="B58" t="s">
        <v>423</v>
      </c>
      <c r="C58" s="1"/>
      <c r="D58" s="86" t="s">
        <v>424</v>
      </c>
    </row>
    <row r="59" spans="2:5" x14ac:dyDescent="0.2">
      <c r="B59" s="104" t="s">
        <v>605</v>
      </c>
      <c r="C59" s="1"/>
      <c r="D59" s="87" t="s">
        <v>606</v>
      </c>
    </row>
    <row r="60" spans="2:5" x14ac:dyDescent="0.2">
      <c r="B60" s="104" t="s">
        <v>607</v>
      </c>
      <c r="C60" s="1"/>
      <c r="D60" s="87" t="s">
        <v>608</v>
      </c>
    </row>
    <row r="61" spans="2:5" x14ac:dyDescent="0.2">
      <c r="C61" s="1"/>
      <c r="D61" s="88"/>
    </row>
    <row r="62" spans="2:5" x14ac:dyDescent="0.2">
      <c r="B62" s="4" t="str">
        <f>"ip tftp source-interface "&amp;SourceInt</f>
        <v xml:space="preserve">ip tftp source-interface </v>
      </c>
      <c r="C62" s="1"/>
      <c r="D62" s="86" t="s">
        <v>425</v>
      </c>
    </row>
    <row r="63" spans="2:5" x14ac:dyDescent="0.2">
      <c r="B63" s="25" t="str">
        <f>"ip ftp source-interface "&amp;SourceInt</f>
        <v xml:space="preserve">ip ftp source-interface </v>
      </c>
      <c r="C63" s="1"/>
      <c r="D63" s="86" t="s">
        <v>426</v>
      </c>
    </row>
    <row r="64" spans="2:5" x14ac:dyDescent="0.2">
      <c r="B64" s="25" t="str">
        <f>"ip ssh source-interface "&amp;SourceInt</f>
        <v xml:space="preserve">ip ssh source-interface </v>
      </c>
      <c r="C64" s="1"/>
      <c r="D64" s="86" t="s">
        <v>427</v>
      </c>
    </row>
    <row r="65" spans="2:4" x14ac:dyDescent="0.2">
      <c r="B65" s="4" t="str">
        <f>IF(IS_MULTICAST_REQ="No","!","ip multicast-routing")</f>
        <v>!</v>
      </c>
      <c r="C65" s="1"/>
      <c r="D65" s="87" t="s">
        <v>609</v>
      </c>
    </row>
    <row r="66" spans="2:4" x14ac:dyDescent="0.2">
      <c r="B66" s="4" t="str">
        <f>IF(RegionChoice="Norway TDE-CDE","!",IF(IS_MULTICAST_REQ="No","!","ip pim rp-address "&amp;McastRP&amp;" override"))</f>
        <v>!</v>
      </c>
      <c r="C66" s="1"/>
      <c r="D66" s="90" t="s">
        <v>610</v>
      </c>
    </row>
    <row r="67" spans="2:4" x14ac:dyDescent="0.2">
      <c r="B67" s="1" t="s">
        <v>306</v>
      </c>
      <c r="C67" s="2"/>
      <c r="D67" s="88"/>
    </row>
    <row r="68" spans="2:4" x14ac:dyDescent="0.2">
      <c r="B68" s="4" t="str">
        <f>IF(NameServer1="!","!","ip name-server "&amp;NameServer1)</f>
        <v>ip name-server 155.191.182.135</v>
      </c>
      <c r="C68" s="2"/>
      <c r="D68" s="86" t="s">
        <v>428</v>
      </c>
    </row>
    <row r="69" spans="2:4" x14ac:dyDescent="0.2">
      <c r="B69" s="4" t="str">
        <f>IF(NameServer2="!","!","ip name-server "&amp;NameServer2)</f>
        <v>ip name-server 158.139.212.31</v>
      </c>
      <c r="C69" s="2"/>
      <c r="D69" s="86" t="s">
        <v>429</v>
      </c>
    </row>
    <row r="70" spans="2:4" x14ac:dyDescent="0.2">
      <c r="B70" s="4" t="str">
        <f>IF(NameServer3="!","!","ip name-server "&amp;NameServer3)</f>
        <v>!</v>
      </c>
      <c r="C70" s="2"/>
      <c r="D70" s="88" t="s">
        <v>430</v>
      </c>
    </row>
    <row r="71" spans="2:4" x14ac:dyDescent="0.2">
      <c r="B71" s="1" t="s">
        <v>431</v>
      </c>
      <c r="C71" s="1"/>
      <c r="D71" s="86" t="s">
        <v>432</v>
      </c>
    </row>
    <row r="72" spans="2:4" x14ac:dyDescent="0.2">
      <c r="B72" s="1" t="s">
        <v>306</v>
      </c>
      <c r="C72" s="2"/>
      <c r="D72" s="88"/>
    </row>
    <row r="73" spans="2:4" x14ac:dyDescent="0.2">
      <c r="B73" s="1" t="s">
        <v>433</v>
      </c>
      <c r="C73" s="2"/>
      <c r="D73" s="86" t="s">
        <v>434</v>
      </c>
    </row>
    <row r="74" spans="2:4" x14ac:dyDescent="0.2">
      <c r="B74" s="1" t="s">
        <v>435</v>
      </c>
      <c r="C74" s="2"/>
      <c r="D74" s="86" t="s">
        <v>436</v>
      </c>
    </row>
    <row r="75" spans="2:4" x14ac:dyDescent="0.2">
      <c r="B75" s="1" t="s">
        <v>437</v>
      </c>
      <c r="C75" s="2"/>
      <c r="D75" s="86" t="s">
        <v>436</v>
      </c>
    </row>
    <row r="76" spans="2:4" x14ac:dyDescent="0.2">
      <c r="B76" s="1" t="s">
        <v>439</v>
      </c>
      <c r="C76" s="2"/>
      <c r="D76" s="87" t="s">
        <v>611</v>
      </c>
    </row>
    <row r="77" spans="2:4" x14ac:dyDescent="0.2">
      <c r="B77" s="4" t="str">
        <f>"ip domain-lookup source-interface "&amp;SourceInt</f>
        <v xml:space="preserve">ip domain-lookup source-interface </v>
      </c>
      <c r="C77" s="2"/>
      <c r="D77" s="86" t="s">
        <v>438</v>
      </c>
    </row>
    <row r="78" spans="2:4" x14ac:dyDescent="0.2">
      <c r="B78" s="1" t="s">
        <v>306</v>
      </c>
      <c r="C78" s="2"/>
      <c r="D78" s="88"/>
    </row>
    <row r="79" spans="2:4" x14ac:dyDescent="0.2">
      <c r="B79" s="1" t="s">
        <v>441</v>
      </c>
      <c r="C79" s="1"/>
      <c r="D79" s="89" t="s">
        <v>442</v>
      </c>
    </row>
    <row r="80" spans="2:4" x14ac:dyDescent="0.2">
      <c r="B80" s="17" t="s">
        <v>443</v>
      </c>
      <c r="C80" s="1"/>
      <c r="D80" s="89" t="s">
        <v>442</v>
      </c>
    </row>
    <row r="81" spans="2:4" x14ac:dyDescent="0.2">
      <c r="B81" s="17" t="s">
        <v>444</v>
      </c>
      <c r="C81" s="1"/>
      <c r="D81" s="89" t="s">
        <v>442</v>
      </c>
    </row>
    <row r="82" spans="2:4" x14ac:dyDescent="0.2">
      <c r="B82" s="4" t="str">
        <f>"ip domain lookup source-interface "&amp;SourceInt</f>
        <v xml:space="preserve">ip domain lookup source-interface </v>
      </c>
      <c r="C82" s="1"/>
      <c r="D82" s="89" t="s">
        <v>442</v>
      </c>
    </row>
    <row r="83" spans="2:4" x14ac:dyDescent="0.2">
      <c r="B83" s="1" t="s">
        <v>445</v>
      </c>
      <c r="C83" s="1"/>
      <c r="D83" s="89" t="s">
        <v>442</v>
      </c>
    </row>
    <row r="84" spans="2:4" x14ac:dyDescent="0.2">
      <c r="B84" s="1" t="s">
        <v>306</v>
      </c>
      <c r="C84" s="2"/>
      <c r="D84" s="88"/>
    </row>
    <row r="85" spans="2:4" x14ac:dyDescent="0.2">
      <c r="B85" s="1" t="s">
        <v>446</v>
      </c>
      <c r="C85" s="2"/>
      <c r="D85" s="87" t="s">
        <v>612</v>
      </c>
    </row>
    <row r="86" spans="2:4" x14ac:dyDescent="0.2">
      <c r="B86" s="1" t="s">
        <v>448</v>
      </c>
      <c r="C86" s="2"/>
      <c r="D86" s="87" t="s">
        <v>613</v>
      </c>
    </row>
    <row r="87" spans="2:4" x14ac:dyDescent="0.2">
      <c r="B87" s="1" t="s">
        <v>306</v>
      </c>
      <c r="C87" s="2"/>
      <c r="D87" s="88"/>
    </row>
    <row r="88" spans="2:4" x14ac:dyDescent="0.2">
      <c r="B88" s="4" t="str">
        <f>"ip tacacs source-interface "&amp;SourceInt</f>
        <v xml:space="preserve">ip tacacs source-interface </v>
      </c>
      <c r="C88" s="2"/>
      <c r="D88" s="86" t="s">
        <v>450</v>
      </c>
    </row>
    <row r="89" spans="2:4" x14ac:dyDescent="0.2">
      <c r="B89" s="1" t="s">
        <v>451</v>
      </c>
      <c r="C89" s="2"/>
      <c r="D89" s="86" t="s">
        <v>452</v>
      </c>
    </row>
    <row r="90" spans="2:4" x14ac:dyDescent="0.2">
      <c r="B90" s="1" t="s">
        <v>453</v>
      </c>
      <c r="C90" s="2"/>
      <c r="D90" s="86" t="s">
        <v>454</v>
      </c>
    </row>
    <row r="91" spans="2:4" x14ac:dyDescent="0.2">
      <c r="B91" s="1" t="s">
        <v>306</v>
      </c>
      <c r="C91" s="2"/>
      <c r="D91" s="88"/>
    </row>
    <row r="92" spans="2:4" x14ac:dyDescent="0.2">
      <c r="B92" s="1" t="s">
        <v>455</v>
      </c>
      <c r="C92" s="1"/>
      <c r="D92" s="87" t="s">
        <v>614</v>
      </c>
    </row>
    <row r="93" spans="2:4" x14ac:dyDescent="0.2">
      <c r="B93" s="1" t="s">
        <v>390</v>
      </c>
      <c r="C93" s="1"/>
      <c r="D93" s="87" t="s">
        <v>615</v>
      </c>
    </row>
    <row r="94" spans="2:4" x14ac:dyDescent="0.2">
      <c r="B94" s="4" t="str">
        <f>"logging source-interface "&amp;SourceInt</f>
        <v xml:space="preserve">logging source-interface </v>
      </c>
      <c r="C94" s="1"/>
      <c r="D94" s="86" t="s">
        <v>457</v>
      </c>
    </row>
    <row r="95" spans="2:4" x14ac:dyDescent="0.2">
      <c r="B95" s="4" t="str">
        <f>IF(RegionChoice="Norway TDE-CDE","!",IF(OR(IS_DMZ="Yes",PRIME="!"),"!","logging "&amp;PRIME))</f>
        <v>logging 158.139.170.25</v>
      </c>
      <c r="C95" s="1"/>
      <c r="D95" s="86" t="s">
        <v>458</v>
      </c>
    </row>
    <row r="96" spans="2:4" x14ac:dyDescent="0.2">
      <c r="B96" s="4" t="str">
        <f>IF(RegionChoice="Norway TDE-CDE","!",IF(OR(IS_DMZ="Yes",PRIME_SECONDARY="!"),"!","logging "&amp;PRIME_SECONDARY))</f>
        <v>logging 158.139.2.218</v>
      </c>
      <c r="C96" s="1"/>
      <c r="D96" s="86" t="s">
        <v>458</v>
      </c>
    </row>
    <row r="97" spans="2:5" x14ac:dyDescent="0.2">
      <c r="B97" s="4" t="str">
        <f>IF(OR(IS_DMZ="Yes",LoggingServer1="!"),"!","logging "&amp;LoggingServer1)</f>
        <v>!</v>
      </c>
      <c r="C97" s="1"/>
      <c r="D97" s="86" t="s">
        <v>458</v>
      </c>
    </row>
    <row r="98" spans="2:5" x14ac:dyDescent="0.2">
      <c r="B98" s="4" t="str">
        <f>IF(OR(IS_DMZ="Yes",LoggingServer2="!"),"!","logging "&amp;LoggingServer2)</f>
        <v>!</v>
      </c>
      <c r="C98" s="1"/>
      <c r="D98" s="86" t="s">
        <v>458</v>
      </c>
    </row>
    <row r="99" spans="2:5" x14ac:dyDescent="0.2">
      <c r="B99" s="4" t="str">
        <f>IF(OR(IS_DMZ="Yes",LoggingServer3="!"),"!","logging "&amp;LoggingServer3)</f>
        <v>!</v>
      </c>
      <c r="C99" s="1"/>
      <c r="D99" s="86" t="s">
        <v>458</v>
      </c>
      <c r="E99" s="19"/>
    </row>
    <row r="100" spans="2:5" x14ac:dyDescent="0.2">
      <c r="B100" s="4" t="str">
        <f>IF(IS_DMZ="No","!","logging "&amp;DMZ_PRIME_IP)</f>
        <v>!</v>
      </c>
      <c r="C100" s="1"/>
      <c r="D100" s="89" t="s">
        <v>459</v>
      </c>
      <c r="E100" s="19"/>
    </row>
    <row r="101" spans="2:5" x14ac:dyDescent="0.2">
      <c r="B101" s="1" t="s">
        <v>306</v>
      </c>
      <c r="C101" s="1"/>
      <c r="D101" s="89"/>
      <c r="E101" s="19"/>
    </row>
    <row r="102" spans="2:5" x14ac:dyDescent="0.2">
      <c r="B102" s="1" t="s">
        <v>462</v>
      </c>
      <c r="C102" s="1"/>
      <c r="D102" s="89" t="s">
        <v>463</v>
      </c>
      <c r="E102" s="19"/>
    </row>
    <row r="103" spans="2:5" x14ac:dyDescent="0.2">
      <c r="B103" s="1" t="s">
        <v>464</v>
      </c>
      <c r="C103" s="1"/>
      <c r="D103" s="89" t="s">
        <v>465</v>
      </c>
      <c r="E103" s="19"/>
    </row>
    <row r="104" spans="2:5" x14ac:dyDescent="0.2">
      <c r="B104" s="1" t="s">
        <v>466</v>
      </c>
      <c r="C104" s="1"/>
      <c r="D104" s="86" t="s">
        <v>467</v>
      </c>
      <c r="E104" s="19"/>
    </row>
    <row r="105" spans="2:5" x14ac:dyDescent="0.2">
      <c r="B105" s="1" t="s">
        <v>468</v>
      </c>
      <c r="C105" s="1"/>
      <c r="D105" s="86" t="s">
        <v>469</v>
      </c>
      <c r="E105" s="19"/>
    </row>
    <row r="106" spans="2:5" x14ac:dyDescent="0.2">
      <c r="B106" s="1" t="s">
        <v>470</v>
      </c>
      <c r="C106" s="1"/>
      <c r="D106" s="86" t="s">
        <v>471</v>
      </c>
      <c r="E106" s="19"/>
    </row>
    <row r="107" spans="2:5" x14ac:dyDescent="0.2">
      <c r="B107" s="1" t="s">
        <v>472</v>
      </c>
      <c r="C107" s="1"/>
      <c r="D107" s="86" t="s">
        <v>473</v>
      </c>
      <c r="E107" s="19"/>
    </row>
    <row r="108" spans="2:5" x14ac:dyDescent="0.2">
      <c r="B108" s="29" t="s">
        <v>306</v>
      </c>
      <c r="C108" s="2"/>
      <c r="D108" s="88"/>
    </row>
    <row r="109" spans="2:5" x14ac:dyDescent="0.2">
      <c r="B109" s="24" t="str">
        <f>IF(SNMPRO1="!","!","access-list 66 permit "&amp;SNMPRO1)</f>
        <v>access-list 66 permit 158.139.195.0 0.0.0.255</v>
      </c>
      <c r="C109" s="2"/>
      <c r="D109" s="88" t="s">
        <v>481</v>
      </c>
    </row>
    <row r="110" spans="2:5" x14ac:dyDescent="0.2">
      <c r="B110" s="24" t="str">
        <f>IF(SNMPRO2="!","!","access-list 66 permit "&amp;SNMPRO2)</f>
        <v>access-list 66 permit 158.139.170.0 0.0.0.63</v>
      </c>
      <c r="C110" s="2"/>
      <c r="D110" s="88" t="s">
        <v>481</v>
      </c>
    </row>
    <row r="111" spans="2:5" x14ac:dyDescent="0.2">
      <c r="B111" s="24" t="str">
        <f>IF(SNMPRO3="!","!","access-list 66 permit "&amp;SNMPRO3)</f>
        <v>access-list 66 permit 158.139.162.0 0.0.0.127</v>
      </c>
      <c r="C111" s="2"/>
      <c r="D111" s="88" t="s">
        <v>481</v>
      </c>
    </row>
    <row r="112" spans="2:5" x14ac:dyDescent="0.2">
      <c r="B112" s="24" t="str">
        <f>IF(SNMPRO4="!","!","access-list 66 permit "&amp;SNMPRO4)</f>
        <v>access-list 66 permit 155.191.128.0 0.0.0.15</v>
      </c>
      <c r="C112" s="2"/>
      <c r="D112" s="88" t="s">
        <v>481</v>
      </c>
    </row>
    <row r="113" spans="2:4" x14ac:dyDescent="0.2">
      <c r="B113" s="24" t="str">
        <f>IF(SNMPRO5="!","!","access-list 66 permit "&amp;SNMPRO5)</f>
        <v>access-list 66 permit 155.191.129.228</v>
      </c>
      <c r="C113" s="2"/>
      <c r="D113" s="88" t="s">
        <v>481</v>
      </c>
    </row>
    <row r="114" spans="2:4" x14ac:dyDescent="0.2">
      <c r="B114" s="24" t="str">
        <f>IF(SNMPRO6="!","!","access-list 66 permit "&amp;SNMPRO6)</f>
        <v>access-list 66 permit 155.191.192.148</v>
      </c>
      <c r="C114" s="2"/>
      <c r="D114" s="88" t="s">
        <v>481</v>
      </c>
    </row>
    <row r="115" spans="2:4" x14ac:dyDescent="0.2">
      <c r="B115" s="24" t="str">
        <f>IF(SNMPRO7="!","!","access-list 66 permit "&amp;SNMPRO7)</f>
        <v>access-list 66 permit 155.191.185.128</v>
      </c>
      <c r="C115" s="2"/>
      <c r="D115" s="88" t="s">
        <v>481</v>
      </c>
    </row>
    <row r="116" spans="2:4" x14ac:dyDescent="0.2">
      <c r="B116" s="24" t="str">
        <f>IF(SNMPRO8="!","!","access-list 66 permit "&amp;SNMPRO8)</f>
        <v>access-list 66 permit 155.191.182.156 0.0.0.3</v>
      </c>
      <c r="C116" s="2"/>
      <c r="D116" s="88" t="s">
        <v>481</v>
      </c>
    </row>
    <row r="117" spans="2:4" x14ac:dyDescent="0.2">
      <c r="B117" s="24" t="str">
        <f>IF(SNMPRO9="!","!","access-list 66 permit "&amp;SNMPRO9)</f>
        <v>access-list 66 permit 158.139.104.8 0.0.0.7</v>
      </c>
      <c r="C117" s="2"/>
      <c r="D117" s="88" t="s">
        <v>481</v>
      </c>
    </row>
    <row r="118" spans="2:4" x14ac:dyDescent="0.2">
      <c r="B118" s="24" t="str">
        <f>IF(SNMPRO10="!","!","access-list 66 permit "&amp;SNMPRO10)</f>
        <v>access-list 66 permit 158.139.49.48 0.0.0.15</v>
      </c>
      <c r="C118" s="2"/>
      <c r="D118" s="88" t="s">
        <v>481</v>
      </c>
    </row>
    <row r="119" spans="2:4" x14ac:dyDescent="0.2">
      <c r="B119" s="24" t="str">
        <f>IF(SNMPRO11="!","!","access-list 66 permit "&amp;SNMPRO11)</f>
        <v>access-list 66 permit 10.25.32.7</v>
      </c>
      <c r="C119" s="2"/>
      <c r="D119" s="88" t="s">
        <v>481</v>
      </c>
    </row>
    <row r="120" spans="2:4" x14ac:dyDescent="0.2">
      <c r="B120" s="24" t="str">
        <f>IF(SNMPRO12="!","!","access-list 66 permit "&amp;SNMPRO12)</f>
        <v>access-list 66 permit 158.139.198.247</v>
      </c>
      <c r="C120" s="2"/>
      <c r="D120" s="88" t="s">
        <v>481</v>
      </c>
    </row>
    <row r="121" spans="2:4" x14ac:dyDescent="0.2">
      <c r="B121" s="24" t="str">
        <f>IF(SNMPRO13="!","!","access-list 66 permit "&amp;SNMPRO13)</f>
        <v>access-list 66 permit 153.15.98.64 0.0.0.31</v>
      </c>
      <c r="C121" s="2"/>
      <c r="D121" s="88" t="s">
        <v>481</v>
      </c>
    </row>
    <row r="122" spans="2:4" x14ac:dyDescent="0.2">
      <c r="B122" s="24" t="str">
        <f>IF(SNMPRO14="!","!","access-list 66 permit "&amp;SNMPRO14)</f>
        <v>access-list 66 permit 158.139.2.192 0.0.0.63</v>
      </c>
      <c r="C122" s="2"/>
      <c r="D122" s="88" t="s">
        <v>481</v>
      </c>
    </row>
    <row r="123" spans="2:4" x14ac:dyDescent="0.2">
      <c r="B123" s="24" t="str">
        <f>IF(SNMPRO15="!","!","access-list 66 permit "&amp;SNMPRO15)</f>
        <v>access-list 66 permit 158.139.112.117</v>
      </c>
      <c r="C123" s="2"/>
      <c r="D123" s="88" t="s">
        <v>481</v>
      </c>
    </row>
    <row r="124" spans="2:4" x14ac:dyDescent="0.2">
      <c r="B124" s="24" t="str">
        <f>IF(SNMPRO16="!","!","access-list 66 permit "&amp;SNMPRO16)</f>
        <v>!</v>
      </c>
      <c r="C124" s="2"/>
      <c r="D124" s="88" t="s">
        <v>481</v>
      </c>
    </row>
    <row r="125" spans="2:4" x14ac:dyDescent="0.2">
      <c r="B125" s="24" t="str">
        <f>IF(SNMPRO17="!","!","access-list 66 permit "&amp;SNMPRO17)</f>
        <v>!</v>
      </c>
      <c r="C125" s="2"/>
      <c r="D125" s="88" t="s">
        <v>481</v>
      </c>
    </row>
    <row r="126" spans="2:4" x14ac:dyDescent="0.2">
      <c r="B126" s="24" t="str">
        <f>IF(SNMPRO18="!","!","access-list 66 permit "&amp;SNMPRO18)</f>
        <v>!</v>
      </c>
      <c r="C126" s="2"/>
      <c r="D126" s="88" t="s">
        <v>481</v>
      </c>
    </row>
    <row r="127" spans="2:4" x14ac:dyDescent="0.2">
      <c r="B127" s="24" t="str">
        <f>IF(SNMPRO19="!","!","access-list 66 permit "&amp;SNMPRO19)</f>
        <v>!</v>
      </c>
      <c r="C127" s="2"/>
      <c r="D127" s="88" t="s">
        <v>481</v>
      </c>
    </row>
    <row r="128" spans="2:4" x14ac:dyDescent="0.2">
      <c r="B128" s="24" t="str">
        <f>IF(SNMPRO20="!","!","access-list 66 permit "&amp;SNMPRO20)</f>
        <v>!</v>
      </c>
      <c r="C128" s="2"/>
      <c r="D128" s="88" t="s">
        <v>481</v>
      </c>
    </row>
    <row r="129" spans="2:5" x14ac:dyDescent="0.2">
      <c r="B129" s="24" t="str">
        <f>IF(IS_DMZ="No","!","access-list 66 permit "&amp;DMZ_PRIME_IP)</f>
        <v>!</v>
      </c>
      <c r="C129" s="2"/>
      <c r="D129" s="88" t="s">
        <v>483</v>
      </c>
    </row>
    <row r="130" spans="2:5" x14ac:dyDescent="0.2">
      <c r="B130" s="1" t="s">
        <v>306</v>
      </c>
      <c r="C130" s="2"/>
      <c r="D130" s="88"/>
    </row>
    <row r="131" spans="2:5" x14ac:dyDescent="0.2">
      <c r="B131" s="4" t="str">
        <f>IF(OR(SNMPRW1="!",IS_DMZ="Yes"),"!","access-list 67 permit "&amp;SNMPRW1)</f>
        <v>access-list 67 permit 158.139.170.24 0.0.0.3</v>
      </c>
      <c r="C131" s="2"/>
      <c r="D131" s="91" t="s">
        <v>484</v>
      </c>
    </row>
    <row r="132" spans="2:5" x14ac:dyDescent="0.2">
      <c r="B132" s="4" t="str">
        <f>IF(OR(SNMPRW2="!",IS_DMZ="Yes"),"!","access-list 67 permit "&amp;SNMPRW2)</f>
        <v>access-list 67 permit 158.139.2.218</v>
      </c>
      <c r="C132" s="2"/>
      <c r="D132" s="91" t="s">
        <v>484</v>
      </c>
      <c r="E132" s="19"/>
    </row>
    <row r="133" spans="2:5" x14ac:dyDescent="0.2">
      <c r="B133" s="4" t="str">
        <f>IF(OR(SNMPRW3="!",IS_DMZ="Yes"),"!","access-list 67 permit "&amp;SNMPRW3)</f>
        <v>!</v>
      </c>
      <c r="C133" s="2"/>
      <c r="D133" s="91" t="s">
        <v>484</v>
      </c>
      <c r="E133" s="19"/>
    </row>
    <row r="134" spans="2:5" x14ac:dyDescent="0.2">
      <c r="B134" s="4" t="str">
        <f>IF(OR(DMZ_PRIME_IP="!",IS_DMZ="No"),"!","access-list 67 permit "&amp;DMZ_PRIME_IP)</f>
        <v>!</v>
      </c>
      <c r="C134" s="2"/>
      <c r="D134" s="89" t="s">
        <v>485</v>
      </c>
      <c r="E134" s="19"/>
    </row>
    <row r="135" spans="2:5" x14ac:dyDescent="0.2">
      <c r="B135" s="132" t="s">
        <v>306</v>
      </c>
      <c r="C135" s="2"/>
      <c r="D135" s="89"/>
      <c r="E135" s="19"/>
    </row>
    <row r="136" spans="2:5" x14ac:dyDescent="0.2">
      <c r="B136" s="132" t="s">
        <v>486</v>
      </c>
      <c r="C136" s="2"/>
      <c r="D136" s="89" t="s">
        <v>487</v>
      </c>
      <c r="E136" s="19"/>
    </row>
    <row r="137" spans="2:5" x14ac:dyDescent="0.2">
      <c r="B137" s="132" t="s">
        <v>488</v>
      </c>
      <c r="C137" s="2"/>
      <c r="D137" s="89" t="s">
        <v>489</v>
      </c>
      <c r="E137" s="19"/>
    </row>
    <row r="138" spans="2:5" x14ac:dyDescent="0.2">
      <c r="B138" s="1" t="s">
        <v>306</v>
      </c>
      <c r="C138" s="2"/>
      <c r="D138" s="88"/>
    </row>
    <row r="139" spans="2:5" x14ac:dyDescent="0.2">
      <c r="B139" s="17" t="s">
        <v>1002</v>
      </c>
      <c r="C139" s="2"/>
      <c r="D139" s="89" t="s">
        <v>499</v>
      </c>
    </row>
    <row r="140" spans="2:5" x14ac:dyDescent="0.2">
      <c r="B140" t="s">
        <v>1003</v>
      </c>
      <c r="C140" s="2"/>
      <c r="D140" s="89" t="s">
        <v>500</v>
      </c>
    </row>
    <row r="141" spans="2:5" x14ac:dyDescent="0.2">
      <c r="B141" t="s">
        <v>1004</v>
      </c>
      <c r="C141" s="2"/>
      <c r="D141" s="89" t="s">
        <v>499</v>
      </c>
    </row>
    <row r="142" spans="2:5" x14ac:dyDescent="0.2">
      <c r="B142" s="4" t="str">
        <f>"snmp-server trap-source "&amp;SourceInt</f>
        <v xml:space="preserve">snmp-server trap-source </v>
      </c>
      <c r="C142" s="2"/>
      <c r="D142" s="89" t="s">
        <v>501</v>
      </c>
    </row>
    <row r="143" spans="2:5" x14ac:dyDescent="0.2">
      <c r="B143" s="1" t="s">
        <v>306</v>
      </c>
      <c r="C143" s="2"/>
      <c r="D143" s="88"/>
    </row>
    <row r="144" spans="2:5" x14ac:dyDescent="0.2">
      <c r="B144" s="1" t="s">
        <v>306</v>
      </c>
      <c r="C144" s="2"/>
      <c r="D144" s="88"/>
      <c r="E144" s="19"/>
    </row>
    <row r="145" spans="2:4" ht="14.25" x14ac:dyDescent="0.2">
      <c r="B145" s="43" t="s">
        <v>306</v>
      </c>
      <c r="C145" s="2"/>
      <c r="D145" s="88"/>
    </row>
    <row r="146" spans="2:4" ht="14.25" x14ac:dyDescent="0.2">
      <c r="B146" s="105" t="s">
        <v>616</v>
      </c>
      <c r="C146" s="2"/>
      <c r="D146" s="87" t="s">
        <v>617</v>
      </c>
    </row>
    <row r="147" spans="2:4" ht="14.25" x14ac:dyDescent="0.2">
      <c r="B147" s="43" t="s">
        <v>503</v>
      </c>
      <c r="C147" s="2"/>
      <c r="D147" s="87" t="s">
        <v>618</v>
      </c>
    </row>
    <row r="148" spans="2:4" ht="14.25" x14ac:dyDescent="0.2">
      <c r="B148" s="105" t="s">
        <v>619</v>
      </c>
      <c r="C148" s="1"/>
      <c r="D148" s="88" t="s">
        <v>620</v>
      </c>
    </row>
    <row r="149" spans="2:4" ht="14.25" x14ac:dyDescent="0.2">
      <c r="B149" s="105" t="s">
        <v>621</v>
      </c>
      <c r="C149" s="1"/>
      <c r="D149" s="88" t="s">
        <v>620</v>
      </c>
    </row>
    <row r="150" spans="2:4" ht="14.25" x14ac:dyDescent="0.2">
      <c r="B150" s="105" t="s">
        <v>622</v>
      </c>
      <c r="C150" s="1"/>
      <c r="D150" s="88" t="s">
        <v>620</v>
      </c>
    </row>
    <row r="151" spans="2:4" ht="14.25" x14ac:dyDescent="0.2">
      <c r="B151" s="105" t="s">
        <v>623</v>
      </c>
      <c r="C151" s="1"/>
      <c r="D151" s="88" t="s">
        <v>624</v>
      </c>
    </row>
    <row r="152" spans="2:4" ht="14.25" x14ac:dyDescent="0.2">
      <c r="B152" s="43" t="s">
        <v>507</v>
      </c>
      <c r="C152" s="1"/>
      <c r="D152" s="86" t="s">
        <v>508</v>
      </c>
    </row>
    <row r="153" spans="2:4" ht="14.25" x14ac:dyDescent="0.2">
      <c r="B153" s="43" t="s">
        <v>509</v>
      </c>
      <c r="C153" s="1"/>
      <c r="D153" s="86" t="s">
        <v>510</v>
      </c>
    </row>
    <row r="154" spans="2:4" x14ac:dyDescent="0.2">
      <c r="B154" s="25" t="str">
        <f>IF(IS_DMZ="Yes","!","snmp-server host 158.139.195.19 XXXXXXXXXXX")</f>
        <v>snmp-server host 158.139.195.19 XXXXXXXXXXX</v>
      </c>
      <c r="C154" s="1"/>
      <c r="D154" s="86" t="s">
        <v>511</v>
      </c>
    </row>
    <row r="155" spans="2:4" x14ac:dyDescent="0.2">
      <c r="B155" s="25" t="str">
        <f>IF(IS_DMZ="Yes","!","snmp-server host 158.139.195.20 XXXXXXXXXXX")</f>
        <v>snmp-server host 158.139.195.20 XXXXXXXXXXX</v>
      </c>
      <c r="C155" s="1"/>
      <c r="D155" s="86" t="s">
        <v>511</v>
      </c>
    </row>
    <row r="156" spans="2:4" x14ac:dyDescent="0.2">
      <c r="B156" s="25" t="str">
        <f>IF(IS_DMZ="Yes","!","snmp-server host 158.139.170.25 XXXXXXXXXXX")</f>
        <v>snmp-server host 158.139.170.25 XXXXXXXXXXX</v>
      </c>
      <c r="C156" s="1"/>
      <c r="D156" s="86" t="s">
        <v>511</v>
      </c>
    </row>
    <row r="157" spans="2:4" x14ac:dyDescent="0.2">
      <c r="B157" s="25" t="str">
        <f>IF(IS_DMZ="Yes","!","snmp-server host 158.139.2.218 XXXXXXXXXXX")</f>
        <v>snmp-server host 158.139.2.218 XXXXXXXXXXX</v>
      </c>
      <c r="C157" s="1"/>
      <c r="D157" s="86" t="s">
        <v>511</v>
      </c>
    </row>
    <row r="158" spans="2:4" x14ac:dyDescent="0.2">
      <c r="B158" s="25" t="str">
        <f>IF(RegionChoice="Norway","snmp-server host 10.161.54.52 S1mPl3@miNds","!")</f>
        <v>!</v>
      </c>
      <c r="C158" s="1"/>
      <c r="D158" s="86" t="s">
        <v>512</v>
      </c>
    </row>
    <row r="159" spans="2:4" x14ac:dyDescent="0.2">
      <c r="B159" s="25" t="str">
        <f>IF(IS_DMZ="No","!","snmp server host "&amp;DMZ_PRIME_IP &amp;" S1mPl3@miNds")</f>
        <v>!</v>
      </c>
      <c r="C159" s="1"/>
      <c r="D159" s="89" t="s">
        <v>513</v>
      </c>
    </row>
    <row r="160" spans="2:4" x14ac:dyDescent="0.2">
      <c r="B160" s="17" t="s">
        <v>306</v>
      </c>
      <c r="C160" s="1"/>
      <c r="D160" s="89"/>
    </row>
    <row r="161" spans="2:4" ht="14.25" x14ac:dyDescent="0.2">
      <c r="B161" s="46" t="str">
        <f>"snmp-server location "&amp;SNMPLOC</f>
        <v>snmp-server location Canada</v>
      </c>
      <c r="C161" s="1"/>
      <c r="D161" s="89" t="s">
        <v>502</v>
      </c>
    </row>
    <row r="162" spans="2:4" x14ac:dyDescent="0.2">
      <c r="B162" s="1" t="s">
        <v>306</v>
      </c>
      <c r="C162" s="1"/>
      <c r="D162" s="89"/>
    </row>
    <row r="163" spans="2:4" x14ac:dyDescent="0.2">
      <c r="B163" s="17" t="s">
        <v>514</v>
      </c>
      <c r="C163" s="1"/>
      <c r="D163" s="89" t="s">
        <v>515</v>
      </c>
    </row>
    <row r="164" spans="2:4" x14ac:dyDescent="0.2">
      <c r="B164" s="25" t="str">
        <f>_xlfn.CONCAT("key config-key password-encrypt ",TACACS_key_plaintext)</f>
        <v>key config-key password-encrypt XXXXXXXXXX</v>
      </c>
      <c r="C164" s="1"/>
      <c r="D164" s="89" t="s">
        <v>516</v>
      </c>
    </row>
    <row r="165" spans="2:4" x14ac:dyDescent="0.2">
      <c r="B165" s="1" t="s">
        <v>306</v>
      </c>
      <c r="C165" s="1"/>
      <c r="D165" s="35" t="s">
        <v>517</v>
      </c>
    </row>
    <row r="166" spans="2:4" x14ac:dyDescent="0.2">
      <c r="B166" s="4" t="str">
        <f>IF(RegionChoice="Norway TDE-CDE","!",IF(IS_FENCE="YES","!",IF(TACACS1="!","!","tacacs server "&amp;TACACS1_Name)))</f>
        <v>!</v>
      </c>
      <c r="C166" s="17"/>
      <c r="D166" s="89" t="s">
        <v>518</v>
      </c>
    </row>
    <row r="167" spans="2:4" x14ac:dyDescent="0.2">
      <c r="B167" s="4" t="str">
        <f>IF(RegionChoice="Norway TDE-CDE","!",IF(IS_FENCE="YES","!",IF(TACACS1="!","!","address ipv4 "&amp;TACACS1)))</f>
        <v>!</v>
      </c>
      <c r="C167" s="17"/>
      <c r="D167" s="89" t="s">
        <v>519</v>
      </c>
    </row>
    <row r="168" spans="2:4" x14ac:dyDescent="0.2">
      <c r="B168" s="4" t="str">
        <f>IF(RegionChoice="Norway TDE-CDE","!",IF(IS_FENCE="YES","!",IF(TACACS1="!","!","key "&amp;TACACSkey)))</f>
        <v>!</v>
      </c>
      <c r="C168" s="17"/>
      <c r="D168" s="89" t="s">
        <v>520</v>
      </c>
    </row>
    <row r="169" spans="2:4" x14ac:dyDescent="0.2">
      <c r="B169" s="4" t="str">
        <f>IF(RegionChoice="Norway TDE-CDE","!",IF(IS_FENCE="YES","!",IF(TACACS2="!","!","tacacs server "&amp;TACACS2_Name)))</f>
        <v>!</v>
      </c>
      <c r="C169" s="1"/>
      <c r="D169" s="89" t="s">
        <v>518</v>
      </c>
    </row>
    <row r="170" spans="2:4" x14ac:dyDescent="0.2">
      <c r="B170" s="4" t="str">
        <f>IF(RegionChoice="Norway TDE-CDE","!",IF(IS_FENCE="YES","!",IF(TACACS2="!","!","address ipv4 "&amp;TACACS2)))</f>
        <v>!</v>
      </c>
      <c r="C170" s="1"/>
      <c r="D170" s="89" t="s">
        <v>519</v>
      </c>
    </row>
    <row r="171" spans="2:4" x14ac:dyDescent="0.2">
      <c r="B171" s="4" t="str">
        <f>IF(RegionChoice="Norway TDE-CDE","!",IF(IS_FENCE="YES","!",IF(TACACS2="!","!","key "&amp;TACACSkey)))</f>
        <v>!</v>
      </c>
      <c r="C171" s="1"/>
      <c r="D171" s="89" t="s">
        <v>520</v>
      </c>
    </row>
    <row r="172" spans="2:4" x14ac:dyDescent="0.2">
      <c r="B172" s="4" t="str">
        <f>IF(RegionChoice="Norway TDE-CDE","!",IF(IS_FENCE="YES","!",IF(TACACS3="!","!","tacacs server "&amp;TACACS3_Name)))</f>
        <v>!</v>
      </c>
      <c r="C172" s="1"/>
      <c r="D172" s="89" t="s">
        <v>518</v>
      </c>
    </row>
    <row r="173" spans="2:4" x14ac:dyDescent="0.2">
      <c r="B173" s="4" t="str">
        <f>IF(RegionChoice="Norway TDE-CDE","!",IF(IS_FENCE="YES","!",IF(TACACS3="!","!","address ipv4 "&amp;TACACS3)))</f>
        <v>!</v>
      </c>
      <c r="C173" s="1"/>
      <c r="D173" s="89" t="s">
        <v>519</v>
      </c>
    </row>
    <row r="174" spans="2:4" x14ac:dyDescent="0.2">
      <c r="B174" s="4" t="str">
        <f>IF(RegionChoice="Norway TDE-CDE","!",IF(IS_FENCE="YES","!",IF(TACACS3="!","!","key "&amp;TACACSkey)))</f>
        <v>!</v>
      </c>
      <c r="C174" s="1"/>
      <c r="D174" s="89" t="s">
        <v>520</v>
      </c>
    </row>
    <row r="175" spans="2:4" x14ac:dyDescent="0.2">
      <c r="B175" s="4" t="s">
        <v>306</v>
      </c>
      <c r="C175" s="1"/>
      <c r="D175" s="88"/>
    </row>
    <row r="176" spans="2:4" x14ac:dyDescent="0.2">
      <c r="B176" s="4" t="str">
        <f>IF(IS_FENCE="NO","!",IF(FENCE_TACACS1="!","!","tacacs server "&amp;FENCE_TACACS1_NAME))</f>
        <v>!</v>
      </c>
      <c r="C176" s="1"/>
      <c r="D176" s="89" t="s">
        <v>521</v>
      </c>
    </row>
    <row r="177" spans="2:4" x14ac:dyDescent="0.2">
      <c r="B177" s="4" t="str">
        <f>IF(IS_FENCE="NO","!",IF(FENCE_TACACS1="!","!","address ipv4 "&amp;FENCE_TACACS1))</f>
        <v>!</v>
      </c>
      <c r="C177" s="1"/>
      <c r="D177" s="89" t="s">
        <v>521</v>
      </c>
    </row>
    <row r="178" spans="2:4" x14ac:dyDescent="0.2">
      <c r="B178" s="4" t="str">
        <f>IF(IS_FENCE="NO","!",IF(FENCE_TACACS1="!","!","key "&amp;TACACSkey))</f>
        <v>!</v>
      </c>
      <c r="C178" s="1"/>
      <c r="D178" s="89" t="s">
        <v>521</v>
      </c>
    </row>
    <row r="179" spans="2:4" x14ac:dyDescent="0.2">
      <c r="B179" s="4" t="str">
        <f>IF(IS_FENCE="NO","!",IF(FENCE_TACACS2="!","!","tacacs server "&amp;FENCE_TACACS2_NAME))</f>
        <v>!</v>
      </c>
      <c r="C179" s="1"/>
      <c r="D179" s="89" t="s">
        <v>521</v>
      </c>
    </row>
    <row r="180" spans="2:4" x14ac:dyDescent="0.2">
      <c r="B180" s="4" t="str">
        <f>IF(IS_FENCE="NO","!",IF(FENCE_TACACS2="!","!","address ipv4 "&amp;FENCE_TACACS2))</f>
        <v>!</v>
      </c>
      <c r="C180" s="1"/>
      <c r="D180" s="89" t="s">
        <v>521</v>
      </c>
    </row>
    <row r="181" spans="2:4" x14ac:dyDescent="0.2">
      <c r="B181" s="4" t="str">
        <f>IF(IS_FENCE="NO","!",IF(FENCE_TACACS2="!","!","key "&amp;TACACSkey))</f>
        <v>!</v>
      </c>
      <c r="C181" s="1"/>
      <c r="D181" s="89" t="s">
        <v>521</v>
      </c>
    </row>
    <row r="182" spans="2:4" x14ac:dyDescent="0.2">
      <c r="B182" s="4" t="str">
        <f>IF(IS_FENCE="NO","!",IF(FENCE_TACACS3="!","!","tacacs server "&amp;FENCE_TACACS3_NAME))</f>
        <v>!</v>
      </c>
      <c r="C182" s="1"/>
      <c r="D182" s="89" t="s">
        <v>521</v>
      </c>
    </row>
    <row r="183" spans="2:4" x14ac:dyDescent="0.2">
      <c r="B183" s="4" t="str">
        <f>IF(IS_FENCE="NO","!",IF(FENCE_TACACS3="!","!","address ipv4 "&amp;FENCE_TACACS3))</f>
        <v>!</v>
      </c>
      <c r="C183" s="1"/>
      <c r="D183" s="89" t="s">
        <v>521</v>
      </c>
    </row>
    <row r="184" spans="2:4" x14ac:dyDescent="0.2">
      <c r="B184" s="4" t="str">
        <f>IF(IS_FENCE="NO","!",IF(FENCE_TACACS3="!","!","key "&amp;TACACSkey))</f>
        <v>!</v>
      </c>
      <c r="C184" s="1"/>
      <c r="D184" s="89" t="s">
        <v>521</v>
      </c>
    </row>
    <row r="185" spans="2:4" x14ac:dyDescent="0.2">
      <c r="B185" s="1" t="s">
        <v>306</v>
      </c>
      <c r="C185" s="2"/>
      <c r="D185" s="88"/>
    </row>
    <row r="186" spans="2:4" x14ac:dyDescent="0.2">
      <c r="B186" s="1" t="s">
        <v>522</v>
      </c>
      <c r="C186" s="1"/>
      <c r="D186" s="87" t="s">
        <v>625</v>
      </c>
    </row>
    <row r="187" spans="2:4" x14ac:dyDescent="0.2">
      <c r="B187" s="1" t="s">
        <v>306</v>
      </c>
      <c r="C187" s="2"/>
      <c r="D187" s="88"/>
    </row>
    <row r="188" spans="2:4" x14ac:dyDescent="0.2">
      <c r="B188" s="1" t="s">
        <v>306</v>
      </c>
      <c r="C188" s="2"/>
      <c r="D188" s="88"/>
    </row>
    <row r="189" spans="2:4" x14ac:dyDescent="0.2">
      <c r="B189" s="1" t="s">
        <v>524</v>
      </c>
      <c r="C189" s="2"/>
      <c r="D189" s="89" t="s">
        <v>525</v>
      </c>
    </row>
    <row r="190" spans="2:4" x14ac:dyDescent="0.2">
      <c r="B190" s="1" t="s">
        <v>526</v>
      </c>
      <c r="C190" s="2"/>
      <c r="D190" s="88"/>
    </row>
    <row r="191" spans="2:4" x14ac:dyDescent="0.2">
      <c r="B191" s="4" t="str">
        <f>"Location:     "&amp;Location</f>
        <v>Location:     Bartlesville</v>
      </c>
      <c r="C191" s="2"/>
      <c r="D191" s="88"/>
    </row>
    <row r="192" spans="2:4" x14ac:dyDescent="0.2">
      <c r="B192" s="4" t="str">
        <f>"Type:         "&amp;DeviceType</f>
        <v>Type:         Switch</v>
      </c>
      <c r="C192" s="2"/>
      <c r="D192" s="88"/>
    </row>
    <row r="193" spans="2:4" x14ac:dyDescent="0.2">
      <c r="B193" s="4" t="s">
        <v>527</v>
      </c>
      <c r="C193" s="2"/>
      <c r="D193" s="88"/>
    </row>
    <row r="194" spans="2:4" x14ac:dyDescent="0.2">
      <c r="B194" s="4" t="str">
        <f>"Model:        "&amp;BannerModel</f>
        <v xml:space="preserve">Model:        </v>
      </c>
      <c r="C194" s="2"/>
      <c r="D194" s="88"/>
    </row>
    <row r="195" spans="2:4" x14ac:dyDescent="0.2">
      <c r="B195" s="4" t="str">
        <f>"Serial No:    "&amp;SerialNumber</f>
        <v xml:space="preserve">Serial No:    </v>
      </c>
      <c r="C195" s="2"/>
      <c r="D195" s="88"/>
    </row>
    <row r="196" spans="2:4" x14ac:dyDescent="0.2">
      <c r="B196" s="1" t="s">
        <v>526</v>
      </c>
      <c r="C196" s="2"/>
      <c r="D196" s="88"/>
    </row>
    <row r="197" spans="2:4" x14ac:dyDescent="0.2">
      <c r="B197" s="1" t="s">
        <v>528</v>
      </c>
      <c r="C197" s="2"/>
      <c r="D197" s="88"/>
    </row>
    <row r="198" spans="2:4" x14ac:dyDescent="0.2">
      <c r="B198" s="1" t="s">
        <v>306</v>
      </c>
      <c r="C198" s="2"/>
      <c r="D198" s="88"/>
    </row>
    <row r="199" spans="2:4" x14ac:dyDescent="0.2">
      <c r="B199" s="1" t="s">
        <v>306</v>
      </c>
      <c r="C199" s="2"/>
      <c r="D199" s="88"/>
    </row>
    <row r="200" spans="2:4" x14ac:dyDescent="0.2">
      <c r="B200" s="1" t="s">
        <v>529</v>
      </c>
      <c r="C200" s="2"/>
      <c r="D200" s="89" t="s">
        <v>530</v>
      </c>
    </row>
    <row r="201" spans="2:4" x14ac:dyDescent="0.2">
      <c r="B201" s="1" t="s">
        <v>531</v>
      </c>
      <c r="C201" s="2"/>
      <c r="D201" s="88"/>
    </row>
    <row r="202" spans="2:4" x14ac:dyDescent="0.2">
      <c r="B202" s="1"/>
      <c r="C202" s="2"/>
      <c r="D202" s="88"/>
    </row>
    <row r="203" spans="2:4" x14ac:dyDescent="0.2">
      <c r="B203" s="1" t="s">
        <v>532</v>
      </c>
      <c r="C203" s="2"/>
      <c r="D203" s="88"/>
    </row>
    <row r="204" spans="2:4" x14ac:dyDescent="0.2">
      <c r="B204" s="1" t="s">
        <v>533</v>
      </c>
      <c r="C204" s="2"/>
      <c r="D204" s="88"/>
    </row>
    <row r="205" spans="2:4" x14ac:dyDescent="0.2">
      <c r="B205" s="1" t="s">
        <v>534</v>
      </c>
      <c r="C205" s="2"/>
      <c r="D205" s="88"/>
    </row>
    <row r="206" spans="2:4" x14ac:dyDescent="0.2">
      <c r="B206" s="1" t="s">
        <v>535</v>
      </c>
      <c r="C206" s="2"/>
      <c r="D206" s="88"/>
    </row>
    <row r="207" spans="2:4" x14ac:dyDescent="0.2">
      <c r="B207" s="1"/>
      <c r="C207" s="2"/>
      <c r="D207" s="88"/>
    </row>
    <row r="208" spans="2:4" x14ac:dyDescent="0.2">
      <c r="B208" s="1" t="s">
        <v>536</v>
      </c>
      <c r="C208" s="2"/>
      <c r="D208" s="88"/>
    </row>
    <row r="209" spans="2:4" x14ac:dyDescent="0.2">
      <c r="B209" s="1" t="s">
        <v>537</v>
      </c>
      <c r="C209" s="2"/>
      <c r="D209" s="88"/>
    </row>
    <row r="210" spans="2:4" x14ac:dyDescent="0.2">
      <c r="B210" s="1" t="s">
        <v>538</v>
      </c>
      <c r="C210" s="2"/>
      <c r="D210" s="88"/>
    </row>
    <row r="211" spans="2:4" x14ac:dyDescent="0.2">
      <c r="B211" s="1" t="s">
        <v>539</v>
      </c>
      <c r="C211" s="2"/>
      <c r="D211" s="88"/>
    </row>
    <row r="212" spans="2:4" x14ac:dyDescent="0.2">
      <c r="B212" s="1" t="s">
        <v>540</v>
      </c>
      <c r="C212" s="2"/>
      <c r="D212" s="88"/>
    </row>
    <row r="213" spans="2:4" x14ac:dyDescent="0.2">
      <c r="B213" s="1" t="s">
        <v>541</v>
      </c>
      <c r="C213" s="2"/>
      <c r="D213" s="88"/>
    </row>
    <row r="214" spans="2:4" x14ac:dyDescent="0.2">
      <c r="B214" s="1"/>
      <c r="C214" s="2"/>
      <c r="D214" s="88"/>
    </row>
    <row r="215" spans="2:4" x14ac:dyDescent="0.2">
      <c r="B215" s="1" t="s">
        <v>542</v>
      </c>
      <c r="C215" s="2"/>
      <c r="D215" s="88"/>
    </row>
    <row r="216" spans="2:4" x14ac:dyDescent="0.2">
      <c r="B216" s="1" t="s">
        <v>543</v>
      </c>
      <c r="C216" s="2"/>
      <c r="D216" s="88"/>
    </row>
    <row r="217" spans="2:4" x14ac:dyDescent="0.2">
      <c r="B217" s="1" t="s">
        <v>544</v>
      </c>
      <c r="C217" s="2"/>
      <c r="D217" s="88"/>
    </row>
    <row r="218" spans="2:4" x14ac:dyDescent="0.2">
      <c r="B218" s="1" t="s">
        <v>545</v>
      </c>
      <c r="C218" s="2"/>
      <c r="D218" s="88"/>
    </row>
    <row r="219" spans="2:4" x14ac:dyDescent="0.2">
      <c r="B219" s="1" t="s">
        <v>546</v>
      </c>
      <c r="C219" s="2"/>
      <c r="D219" s="88"/>
    </row>
    <row r="220" spans="2:4" x14ac:dyDescent="0.2">
      <c r="B220" s="1"/>
      <c r="C220" s="2"/>
      <c r="D220" s="88"/>
    </row>
    <row r="221" spans="2:4" x14ac:dyDescent="0.2">
      <c r="B221" s="1" t="s">
        <v>547</v>
      </c>
      <c r="C221" s="2"/>
      <c r="D221" s="88"/>
    </row>
    <row r="222" spans="2:4" x14ac:dyDescent="0.2">
      <c r="B222" s="1" t="s">
        <v>528</v>
      </c>
      <c r="C222" s="2"/>
      <c r="D222" s="88"/>
    </row>
    <row r="223" spans="2:4" x14ac:dyDescent="0.2">
      <c r="B223" s="1" t="s">
        <v>306</v>
      </c>
      <c r="C223" s="2"/>
      <c r="D223" s="88"/>
    </row>
    <row r="224" spans="2:4" x14ac:dyDescent="0.2">
      <c r="B224" s="1" t="s">
        <v>548</v>
      </c>
      <c r="C224" s="2"/>
      <c r="D224" s="88"/>
    </row>
    <row r="225" spans="2:4" x14ac:dyDescent="0.2">
      <c r="B225" s="1" t="s">
        <v>549</v>
      </c>
      <c r="C225" s="2"/>
      <c r="D225" s="89" t="s">
        <v>550</v>
      </c>
    </row>
    <row r="226" spans="2:4" x14ac:dyDescent="0.2">
      <c r="B226" s="4" t="str">
        <f>" password 7 "&amp;VTYPassword</f>
        <v xml:space="preserve"> password 7 </v>
      </c>
      <c r="C226" s="2"/>
      <c r="D226" s="89" t="s">
        <v>551</v>
      </c>
    </row>
    <row r="227" spans="2:4" x14ac:dyDescent="0.2">
      <c r="B227" s="1" t="s">
        <v>552</v>
      </c>
      <c r="C227" s="2"/>
      <c r="D227" s="89" t="s">
        <v>553</v>
      </c>
    </row>
    <row r="228" spans="2:4" x14ac:dyDescent="0.2">
      <c r="B228" s="1" t="s">
        <v>554</v>
      </c>
      <c r="C228" s="2"/>
      <c r="D228" s="89" t="s">
        <v>555</v>
      </c>
    </row>
    <row r="229" spans="2:4" x14ac:dyDescent="0.2">
      <c r="B229" s="1" t="s">
        <v>564</v>
      </c>
      <c r="C229" s="2"/>
      <c r="D229" s="88"/>
    </row>
    <row r="230" spans="2:4" x14ac:dyDescent="0.2">
      <c r="B230" s="1" t="s">
        <v>306</v>
      </c>
      <c r="C230" s="2"/>
      <c r="D230" s="88"/>
    </row>
    <row r="231" spans="2:4" x14ac:dyDescent="0.2">
      <c r="B231" s="1" t="s">
        <v>557</v>
      </c>
      <c r="C231" s="2"/>
      <c r="D231" s="88" t="s">
        <v>626</v>
      </c>
    </row>
    <row r="232" spans="2:4" x14ac:dyDescent="0.2">
      <c r="B232" s="1" t="s">
        <v>558</v>
      </c>
      <c r="C232" s="2"/>
      <c r="D232" s="89" t="s">
        <v>559</v>
      </c>
    </row>
    <row r="233" spans="2:4" x14ac:dyDescent="0.2">
      <c r="B233" s="1" t="s">
        <v>549</v>
      </c>
      <c r="C233" s="2"/>
      <c r="D233" s="89" t="s">
        <v>550</v>
      </c>
    </row>
    <row r="234" spans="2:4" x14ac:dyDescent="0.2">
      <c r="B234" s="4" t="str">
        <f>" password 7 "&amp;VTYPassword</f>
        <v xml:space="preserve"> password 7 </v>
      </c>
      <c r="C234" s="2"/>
      <c r="D234" s="89" t="s">
        <v>551</v>
      </c>
    </row>
    <row r="235" spans="2:4" x14ac:dyDescent="0.2">
      <c r="B235" s="1" t="s">
        <v>552</v>
      </c>
      <c r="C235" s="2"/>
      <c r="D235" s="89" t="s">
        <v>553</v>
      </c>
    </row>
    <row r="236" spans="2:4" x14ac:dyDescent="0.2">
      <c r="B236" s="1" t="s">
        <v>560</v>
      </c>
      <c r="C236" s="2"/>
      <c r="D236" s="89" t="s">
        <v>561</v>
      </c>
    </row>
    <row r="237" spans="2:4" x14ac:dyDescent="0.2">
      <c r="B237" s="1" t="s">
        <v>562</v>
      </c>
      <c r="C237" s="2"/>
      <c r="D237" s="89" t="s">
        <v>563</v>
      </c>
    </row>
    <row r="238" spans="2:4" x14ac:dyDescent="0.2">
      <c r="B238" s="1" t="s">
        <v>564</v>
      </c>
      <c r="C238" s="2"/>
      <c r="D238" s="88"/>
    </row>
    <row r="239" spans="2:4" x14ac:dyDescent="0.2">
      <c r="B239" s="1" t="s">
        <v>306</v>
      </c>
      <c r="C239" s="2"/>
      <c r="D239" s="88"/>
    </row>
    <row r="240" spans="2:4" x14ac:dyDescent="0.2">
      <c r="B240" s="1" t="s">
        <v>565</v>
      </c>
      <c r="C240" s="2"/>
      <c r="D240" s="88" t="s">
        <v>627</v>
      </c>
    </row>
    <row r="241" spans="2:4" x14ac:dyDescent="0.2">
      <c r="B241" s="1" t="s">
        <v>558</v>
      </c>
      <c r="C241" s="2"/>
      <c r="D241" s="89" t="s">
        <v>559</v>
      </c>
    </row>
    <row r="242" spans="2:4" x14ac:dyDescent="0.2">
      <c r="B242" s="1" t="s">
        <v>549</v>
      </c>
      <c r="C242" s="2"/>
      <c r="D242" s="89" t="s">
        <v>550</v>
      </c>
    </row>
    <row r="243" spans="2:4" x14ac:dyDescent="0.2">
      <c r="B243" s="4" t="str">
        <f>" password 7 "&amp;VTYPassword</f>
        <v xml:space="preserve"> password 7 </v>
      </c>
      <c r="C243" s="2"/>
      <c r="D243" s="89" t="s">
        <v>551</v>
      </c>
    </row>
    <row r="244" spans="2:4" x14ac:dyDescent="0.2">
      <c r="B244" s="1" t="s">
        <v>552</v>
      </c>
      <c r="C244" s="2"/>
      <c r="D244" s="89" t="s">
        <v>553</v>
      </c>
    </row>
    <row r="245" spans="2:4" x14ac:dyDescent="0.2">
      <c r="B245" s="1" t="s">
        <v>560</v>
      </c>
      <c r="C245" s="2"/>
      <c r="D245" s="89" t="s">
        <v>628</v>
      </c>
    </row>
    <row r="246" spans="2:4" x14ac:dyDescent="0.2">
      <c r="B246" s="1" t="s">
        <v>562</v>
      </c>
      <c r="C246" s="2"/>
      <c r="D246" s="87" t="s">
        <v>629</v>
      </c>
    </row>
    <row r="247" spans="2:4" x14ac:dyDescent="0.2">
      <c r="B247" s="1" t="s">
        <v>564</v>
      </c>
      <c r="C247" s="2"/>
      <c r="D247" s="88"/>
    </row>
    <row r="248" spans="2:4" x14ac:dyDescent="0.2">
      <c r="B248" s="36" t="s">
        <v>566</v>
      </c>
      <c r="C248" s="2"/>
      <c r="D248" s="88"/>
    </row>
    <row r="249" spans="2:4" x14ac:dyDescent="0.2">
      <c r="B249" s="25" t="str">
        <f>IF(VTYExtended="yes","line vty 16 98","!")</f>
        <v>!</v>
      </c>
      <c r="C249" s="2"/>
      <c r="D249" s="88"/>
    </row>
    <row r="250" spans="2:4" x14ac:dyDescent="0.2">
      <c r="B250" s="25" t="str">
        <f>IF(VTYExtended="yes"," session-timeout 30","!")</f>
        <v>!</v>
      </c>
      <c r="C250" s="2"/>
      <c r="D250" s="88"/>
    </row>
    <row r="251" spans="2:4" x14ac:dyDescent="0.2">
      <c r="B251" s="25" t="str">
        <f>IF(VTYExtended="yes"," exec-timeout 30 0","!")</f>
        <v>!</v>
      </c>
      <c r="C251" s="2"/>
      <c r="D251" s="88"/>
    </row>
    <row r="252" spans="2:4" x14ac:dyDescent="0.2">
      <c r="B252" s="24" t="str">
        <f>IF(VTYExtended="yes"," password 7 "&amp;VTYPassword,"!")</f>
        <v>!</v>
      </c>
      <c r="C252" s="2"/>
      <c r="D252" s="88"/>
    </row>
    <row r="253" spans="2:4" x14ac:dyDescent="0.2">
      <c r="B253" s="25" t="str">
        <f>IF(VTYExtended="yes","  logging synchronous","!")</f>
        <v>!</v>
      </c>
      <c r="C253" s="2"/>
      <c r="D253" s="88"/>
    </row>
    <row r="254" spans="2:4" x14ac:dyDescent="0.2">
      <c r="B254" s="24" t="str">
        <f>IF(VTYExtended="yes"," transport input ssh","!")</f>
        <v>!</v>
      </c>
      <c r="C254" s="2"/>
      <c r="D254" s="88"/>
    </row>
    <row r="255" spans="2:4" x14ac:dyDescent="0.2">
      <c r="B255" s="24" t="str">
        <f>IF(VTYExtended="yes"," default escape-character","!")</f>
        <v>!</v>
      </c>
      <c r="C255" s="2"/>
      <c r="D255" s="88"/>
    </row>
    <row r="256" spans="2:4" x14ac:dyDescent="0.2">
      <c r="B256" s="24" t="str">
        <f>IF(VTYExtended="yes"," exit","!")</f>
        <v>!</v>
      </c>
      <c r="C256" s="2"/>
      <c r="D256" s="88"/>
    </row>
    <row r="257" spans="2:4" x14ac:dyDescent="0.2">
      <c r="B257" s="53" t="s">
        <v>306</v>
      </c>
      <c r="C257" s="2"/>
      <c r="D257" s="88"/>
    </row>
    <row r="258" spans="2:4" x14ac:dyDescent="0.2">
      <c r="B258" s="25" t="str">
        <f>IF(VTYExtended="yes","line vty 99 1510","!")</f>
        <v>!</v>
      </c>
      <c r="C258" s="2"/>
      <c r="D258" s="88"/>
    </row>
    <row r="259" spans="2:4" x14ac:dyDescent="0.2">
      <c r="B259" s="25" t="str">
        <f>IF(VTYExtended="yes"," session-timeout 30","!")</f>
        <v>!</v>
      </c>
      <c r="C259" s="2"/>
      <c r="D259" s="88"/>
    </row>
    <row r="260" spans="2:4" x14ac:dyDescent="0.2">
      <c r="B260" s="25" t="str">
        <f>IF(VTYExtended="yes"," exec-timeout 30 0","!")</f>
        <v>!</v>
      </c>
      <c r="C260" s="2"/>
      <c r="D260" s="88"/>
    </row>
    <row r="261" spans="2:4" x14ac:dyDescent="0.2">
      <c r="B261" s="24" t="str">
        <f>IF(VTYExtended="yes"," password 7 "&amp;VTYPassword,"!")</f>
        <v>!</v>
      </c>
      <c r="C261" s="2"/>
      <c r="D261" s="88"/>
    </row>
    <row r="262" spans="2:4" x14ac:dyDescent="0.2">
      <c r="B262" s="25" t="str">
        <f>IF(VTYExtended="yes","  logging synchronous","!")</f>
        <v>!</v>
      </c>
      <c r="C262" s="2"/>
      <c r="D262" s="88"/>
    </row>
    <row r="263" spans="2:4" x14ac:dyDescent="0.2">
      <c r="B263" s="24" t="str">
        <f>IF(VTYExtended="yes"," transport input ssh","!")</f>
        <v>!</v>
      </c>
      <c r="C263" s="2"/>
      <c r="D263" s="88"/>
    </row>
    <row r="264" spans="2:4" x14ac:dyDescent="0.2">
      <c r="B264" s="24" t="str">
        <f>IF(VTYExtended="yes"," default escape-character","!")</f>
        <v>!</v>
      </c>
      <c r="C264" s="2"/>
      <c r="D264" s="88"/>
    </row>
    <row r="265" spans="2:4" x14ac:dyDescent="0.2">
      <c r="B265" s="24" t="str">
        <f>IF(VTYExtended="yes"," exit","!")</f>
        <v>!</v>
      </c>
      <c r="C265" s="2"/>
      <c r="D265" s="88"/>
    </row>
    <row r="266" spans="2:4" x14ac:dyDescent="0.2">
      <c r="B266" t="s">
        <v>306</v>
      </c>
      <c r="C266" s="2"/>
      <c r="D266" s="88"/>
    </row>
    <row r="267" spans="2:4" x14ac:dyDescent="0.2">
      <c r="B267" s="1" t="s">
        <v>306</v>
      </c>
      <c r="C267" s="1"/>
      <c r="D267" s="88"/>
    </row>
    <row r="268" spans="2:4" x14ac:dyDescent="0.2">
      <c r="B268" s="1" t="s">
        <v>567</v>
      </c>
      <c r="C268" s="1"/>
      <c r="D268" s="87" t="s">
        <v>568</v>
      </c>
    </row>
    <row r="269" spans="2:4" x14ac:dyDescent="0.2">
      <c r="B269" s="103" t="s">
        <v>630</v>
      </c>
      <c r="C269" s="1"/>
      <c r="D269" s="87" t="s">
        <v>631</v>
      </c>
    </row>
    <row r="270" spans="2:4" x14ac:dyDescent="0.2">
      <c r="B270" s="4" t="str">
        <f>"ntp source "&amp;SourceInt</f>
        <v xml:space="preserve">ntp source </v>
      </c>
      <c r="C270" s="1"/>
      <c r="D270" s="91" t="s">
        <v>569</v>
      </c>
    </row>
    <row r="271" spans="2:4" x14ac:dyDescent="0.2">
      <c r="B271" s="4" t="str">
        <f>IF(_NTP1="!","!","ntp server "&amp;_NTP1)</f>
        <v>ntp server 155.191.128.133</v>
      </c>
      <c r="C271" s="1"/>
      <c r="D271" s="91" t="s">
        <v>570</v>
      </c>
    </row>
    <row r="272" spans="2:4" x14ac:dyDescent="0.2">
      <c r="B272" s="4" t="str">
        <f>IF(_NTP2="!","!","ntp server "&amp;_NTP2)</f>
        <v>ntp server 155.191.128.134</v>
      </c>
      <c r="C272" s="1"/>
      <c r="D272" s="91" t="s">
        <v>571</v>
      </c>
    </row>
    <row r="273" spans="2:4" x14ac:dyDescent="0.2">
      <c r="B273" s="4" t="str">
        <f>IF(_NTP3="!","!","ntp server "&amp;_NTP3)</f>
        <v>ntp server 158.139.0.139</v>
      </c>
      <c r="C273" s="1"/>
      <c r="D273" s="91" t="s">
        <v>572</v>
      </c>
    </row>
    <row r="274" spans="2:4" x14ac:dyDescent="0.2">
      <c r="B274" s="4" t="str">
        <f>IF(_NTP4="!","!","ntp server "&amp;_NTP4)</f>
        <v>ntp server 158.139.0.137</v>
      </c>
      <c r="C274" s="1"/>
      <c r="D274" s="91" t="s">
        <v>573</v>
      </c>
    </row>
    <row r="275" spans="2:4" x14ac:dyDescent="0.2">
      <c r="B275" t="s">
        <v>306</v>
      </c>
      <c r="C275" s="1"/>
      <c r="D275" s="88"/>
    </row>
    <row r="276" spans="2:4" x14ac:dyDescent="0.2">
      <c r="B276" t="s">
        <v>574</v>
      </c>
      <c r="D276" s="89" t="s">
        <v>632</v>
      </c>
    </row>
    <row r="277" spans="2:4" x14ac:dyDescent="0.2">
      <c r="B277" s="115">
        <v>2048</v>
      </c>
      <c r="D277" s="89" t="s">
        <v>633</v>
      </c>
    </row>
    <row r="278" spans="2:4" x14ac:dyDescent="0.2">
      <c r="D278" s="89" t="s">
        <v>634</v>
      </c>
    </row>
    <row r="279" spans="2:4" x14ac:dyDescent="0.2">
      <c r="D279" s="89" t="s">
        <v>634</v>
      </c>
    </row>
    <row r="281" spans="2:4" x14ac:dyDescent="0.2">
      <c r="B281" s="1" t="s">
        <v>577</v>
      </c>
      <c r="D281" s="89" t="s">
        <v>635</v>
      </c>
    </row>
    <row r="282" spans="2:4" x14ac:dyDescent="0.2">
      <c r="B282" t="s">
        <v>579</v>
      </c>
      <c r="D282" s="89" t="s">
        <v>636</v>
      </c>
    </row>
    <row r="283" spans="2:4" x14ac:dyDescent="0.2">
      <c r="B283" t="s">
        <v>581</v>
      </c>
      <c r="D283" s="89" t="s">
        <v>637</v>
      </c>
    </row>
    <row r="284" spans="2:4" x14ac:dyDescent="0.2">
      <c r="B284" s="1" t="s">
        <v>306</v>
      </c>
      <c r="C284" s="1"/>
      <c r="D284" s="88"/>
    </row>
    <row r="285" spans="2:4" x14ac:dyDescent="0.2">
      <c r="B285" s="106" t="s">
        <v>583</v>
      </c>
      <c r="C285" s="1"/>
      <c r="D285" s="88"/>
    </row>
    <row r="286" spans="2:4" x14ac:dyDescent="0.2">
      <c r="B286" s="106" t="s">
        <v>584</v>
      </c>
      <c r="C286" s="1"/>
      <c r="D286" s="88"/>
    </row>
    <row r="287" spans="2:4" x14ac:dyDescent="0.2">
      <c r="B287" s="106" t="s">
        <v>558</v>
      </c>
      <c r="C287" s="1"/>
      <c r="D287" s="89" t="s">
        <v>559</v>
      </c>
    </row>
    <row r="288" spans="2:4" x14ac:dyDescent="0.2">
      <c r="B288" s="106" t="s">
        <v>549</v>
      </c>
      <c r="C288" s="1"/>
      <c r="D288" s="89" t="s">
        <v>550</v>
      </c>
    </row>
    <row r="289" spans="2:4" x14ac:dyDescent="0.2">
      <c r="B289" s="107" t="str">
        <f>" password 7 "&amp;VTYPassword</f>
        <v xml:space="preserve"> password 7 </v>
      </c>
      <c r="C289" s="1"/>
      <c r="D289" s="89" t="s">
        <v>551</v>
      </c>
    </row>
    <row r="290" spans="2:4" x14ac:dyDescent="0.2">
      <c r="B290" s="106" t="s">
        <v>552</v>
      </c>
      <c r="C290" s="1"/>
      <c r="D290" s="89" t="s">
        <v>553</v>
      </c>
    </row>
    <row r="291" spans="2:4" x14ac:dyDescent="0.2">
      <c r="B291" s="106" t="s">
        <v>554</v>
      </c>
      <c r="C291" s="1"/>
      <c r="D291" s="89" t="s">
        <v>555</v>
      </c>
    </row>
    <row r="292" spans="2:4" x14ac:dyDescent="0.2">
      <c r="B292" s="106" t="s">
        <v>564</v>
      </c>
      <c r="C292" s="1"/>
      <c r="D292" s="88"/>
    </row>
    <row r="293" spans="2:4" x14ac:dyDescent="0.2">
      <c r="B293" t="s">
        <v>585</v>
      </c>
    </row>
  </sheetData>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7"/>
  <sheetViews>
    <sheetView topLeftCell="A103" zoomScale="85" zoomScaleNormal="85" workbookViewId="0">
      <selection activeCell="A71" sqref="A71"/>
    </sheetView>
  </sheetViews>
  <sheetFormatPr defaultColWidth="9.140625" defaultRowHeight="12.75" x14ac:dyDescent="0.2"/>
  <cols>
    <col min="1" max="1" width="82" style="61" bestFit="1" customWidth="1"/>
    <col min="2" max="2" width="22.85546875" style="61" bestFit="1" customWidth="1"/>
    <col min="3" max="3" width="60.28515625" style="93" customWidth="1"/>
    <col min="4" max="16384" width="9.140625" style="61"/>
  </cols>
  <sheetData>
    <row r="1" spans="1:3" ht="15" x14ac:dyDescent="0.2">
      <c r="A1" s="83" t="str">
        <f>"hostname "&amp;Hostname</f>
        <v xml:space="preserve">hostname </v>
      </c>
      <c r="B1" s="1"/>
      <c r="C1" s="86" t="s">
        <v>389</v>
      </c>
    </row>
    <row r="2" spans="1:3" x14ac:dyDescent="0.2">
      <c r="A2" s="1"/>
      <c r="B2" s="1"/>
      <c r="C2" s="87"/>
    </row>
    <row r="3" spans="1:3" x14ac:dyDescent="0.2">
      <c r="A3" s="1"/>
      <c r="B3" s="1" t="s">
        <v>638</v>
      </c>
      <c r="C3" s="87"/>
    </row>
    <row r="4" spans="1:3" x14ac:dyDescent="0.2">
      <c r="A4" s="1" t="s">
        <v>639</v>
      </c>
      <c r="B4" s="1"/>
      <c r="C4" s="87" t="s">
        <v>640</v>
      </c>
    </row>
    <row r="5" spans="1:3" x14ac:dyDescent="0.2">
      <c r="A5" s="1" t="s">
        <v>641</v>
      </c>
      <c r="B5" s="4" t="s">
        <v>642</v>
      </c>
      <c r="C5" s="87" t="s">
        <v>643</v>
      </c>
    </row>
    <row r="6" spans="1:3" x14ac:dyDescent="0.2">
      <c r="A6" s="1" t="s">
        <v>644</v>
      </c>
      <c r="B6" s="1"/>
      <c r="C6" s="87" t="s">
        <v>645</v>
      </c>
    </row>
    <row r="7" spans="1:3" x14ac:dyDescent="0.2">
      <c r="A7" s="1" t="s">
        <v>646</v>
      </c>
      <c r="B7" s="1"/>
      <c r="C7" s="87" t="s">
        <v>647</v>
      </c>
    </row>
    <row r="8" spans="1:3" x14ac:dyDescent="0.2">
      <c r="A8" s="1" t="s">
        <v>648</v>
      </c>
      <c r="B8" s="1"/>
      <c r="C8" s="87" t="s">
        <v>649</v>
      </c>
    </row>
    <row r="9" spans="1:3" x14ac:dyDescent="0.2">
      <c r="A9" s="1" t="s">
        <v>650</v>
      </c>
      <c r="B9" s="1"/>
      <c r="C9" s="87" t="s">
        <v>651</v>
      </c>
    </row>
    <row r="10" spans="1:3" x14ac:dyDescent="0.2">
      <c r="A10" s="1" t="s">
        <v>652</v>
      </c>
      <c r="B10" s="1"/>
      <c r="C10" s="87" t="s">
        <v>653</v>
      </c>
    </row>
    <row r="11" spans="1:3" ht="12" customHeight="1" x14ac:dyDescent="0.2">
      <c r="A11" s="1" t="s">
        <v>654</v>
      </c>
      <c r="B11" s="1" t="s">
        <v>655</v>
      </c>
      <c r="C11" s="87" t="s">
        <v>656</v>
      </c>
    </row>
    <row r="12" spans="1:3" ht="12" customHeight="1" x14ac:dyDescent="0.2">
      <c r="A12" s="1" t="s">
        <v>657</v>
      </c>
      <c r="B12" s="1" t="s">
        <v>658</v>
      </c>
      <c r="C12" s="87" t="s">
        <v>659</v>
      </c>
    </row>
    <row r="13" spans="1:3" ht="12" customHeight="1" x14ac:dyDescent="0.2">
      <c r="A13" s="1" t="s">
        <v>660</v>
      </c>
      <c r="B13" s="1"/>
      <c r="C13" s="89" t="s">
        <v>661</v>
      </c>
    </row>
    <row r="14" spans="1:3" x14ac:dyDescent="0.2">
      <c r="A14" s="1"/>
      <c r="B14" s="1"/>
      <c r="C14" s="87"/>
    </row>
    <row r="15" spans="1:3" x14ac:dyDescent="0.2">
      <c r="A15" s="1" t="s">
        <v>394</v>
      </c>
      <c r="B15" s="1"/>
      <c r="C15" s="87" t="s">
        <v>395</v>
      </c>
    </row>
    <row r="16" spans="1:3" x14ac:dyDescent="0.2">
      <c r="A16" s="1" t="s">
        <v>662</v>
      </c>
      <c r="B16" s="1"/>
      <c r="C16" s="87" t="s">
        <v>663</v>
      </c>
    </row>
    <row r="17" spans="1:3" ht="15" x14ac:dyDescent="0.2">
      <c r="A17" s="83" t="str">
        <f>IF(OR(IS_DMZ="Yes",PRIME="!"),"!","logging server "&amp;PRIME&amp;" use-vrf default")</f>
        <v>logging server 158.139.170.25 use-vrf default</v>
      </c>
      <c r="B17" s="1"/>
      <c r="C17" s="87" t="s">
        <v>664</v>
      </c>
    </row>
    <row r="18" spans="1:3" ht="15" x14ac:dyDescent="0.2">
      <c r="A18" s="83" t="str">
        <f>IF(OR(IS_DMZ="Yes",PRIME_SECONDARY="!"),"!","logging server "&amp;PRIME_SECONDARY&amp;" use-vrf default")</f>
        <v>logging server 158.139.2.218 use-vrf default</v>
      </c>
      <c r="B18" s="1"/>
      <c r="C18" s="87" t="s">
        <v>664</v>
      </c>
    </row>
    <row r="19" spans="1:3" ht="15" x14ac:dyDescent="0.2">
      <c r="A19" s="83" t="str">
        <f>IF(OR(IS_DMZ="No",DMZ_PRIME_IP="!"),"!","logging server "&amp;DMZ_PRIME_IP&amp;" use-vrf default")</f>
        <v>!</v>
      </c>
      <c r="B19" s="1"/>
      <c r="C19" s="87" t="s">
        <v>665</v>
      </c>
    </row>
    <row r="20" spans="1:3" ht="15" x14ac:dyDescent="0.2">
      <c r="A20" s="83" t="str">
        <f>IF(LoggingServer1="!","!","logging server "&amp;LoggingServer1&amp;" use-vrf default")</f>
        <v>!</v>
      </c>
      <c r="B20" s="1"/>
      <c r="C20" s="91"/>
    </row>
    <row r="21" spans="1:3" ht="15" x14ac:dyDescent="0.2">
      <c r="A21" s="83" t="str">
        <f>IF(LoggingServer2="!","!","logging server "&amp;LoggingServer2&amp;" use-vrf default")</f>
        <v>!</v>
      </c>
      <c r="B21" s="1"/>
      <c r="C21" s="91"/>
    </row>
    <row r="22" spans="1:3" ht="15" x14ac:dyDescent="0.2">
      <c r="A22" s="83" t="str">
        <f>IF(LoggingServer3="!","!","logging server "&amp;LoggingServer3&amp;" use-vrf default")</f>
        <v>!</v>
      </c>
      <c r="B22" s="1"/>
      <c r="C22" s="91"/>
    </row>
    <row r="23" spans="1:3" ht="12" customHeight="1" x14ac:dyDescent="0.2">
      <c r="A23" s="83" t="str">
        <f xml:space="preserve"> "logging source-interface "&amp; SourceInt</f>
        <v xml:space="preserve">logging source-interface </v>
      </c>
      <c r="B23" s="24" t="s">
        <v>655</v>
      </c>
      <c r="C23" s="87" t="s">
        <v>666</v>
      </c>
    </row>
    <row r="24" spans="1:3" x14ac:dyDescent="0.2">
      <c r="A24" s="1" t="s">
        <v>667</v>
      </c>
      <c r="B24" s="1"/>
      <c r="C24" s="87" t="s">
        <v>668</v>
      </c>
    </row>
    <row r="25" spans="1:3" x14ac:dyDescent="0.2">
      <c r="A25" s="1"/>
      <c r="B25" s="1"/>
      <c r="C25" s="87"/>
    </row>
    <row r="26" spans="1:3" ht="15" x14ac:dyDescent="0.2">
      <c r="A26" s="83" t="str">
        <f>"username admin password 5 "&amp;Enable_Secret_NEXUS&amp; " role network-admin"</f>
        <v>username admin password 5 XXXXXXXXXXXXXXXXXXXXXXXXXXXXXXXXXXXXXXXXXXXXXX role network-admin</v>
      </c>
      <c r="B26" s="1"/>
      <c r="C26" s="87" t="s">
        <v>669</v>
      </c>
    </row>
    <row r="27" spans="1:3" ht="30" x14ac:dyDescent="0.2">
      <c r="A27" s="83" t="str">
        <f>"username tombstone password 5 "&amp;Enable_Secret_NEXUS&amp; " role network-admin"</f>
        <v>username tombstone password 5 XXXXXXXXXXXXXXXXXXXXXXXXXXXXXXXXXXXXXXXXXXXXXX role network-admin</v>
      </c>
      <c r="B27" s="1"/>
      <c r="C27" s="87" t="s">
        <v>669</v>
      </c>
    </row>
    <row r="28" spans="1:3" ht="15" x14ac:dyDescent="0.2">
      <c r="A28" s="83"/>
      <c r="B28" s="1"/>
      <c r="C28" s="87"/>
    </row>
    <row r="29" spans="1:3" ht="15" x14ac:dyDescent="0.2">
      <c r="A29" s="83" t="str">
        <f>IF(Timezone="!","!","clock timezone "&amp;Timezone &amp;" "&amp;Offset)</f>
        <v>clock timezone CST -6 0</v>
      </c>
      <c r="B29" s="1"/>
      <c r="C29" s="87" t="s">
        <v>670</v>
      </c>
    </row>
    <row r="30" spans="1:3" ht="15" x14ac:dyDescent="0.2">
      <c r="A30" s="83" t="str">
        <f>IF(SummerTimezone="!","!","clock summer-time " &amp;SummerTimezone&amp; " "&amp; TimeRecurrence&amp;" 60")</f>
        <v>clock summer-time CDT 2 sun mar 02:00 1 sun nov 02:00 60</v>
      </c>
      <c r="B30" s="1"/>
      <c r="C30" s="87" t="s">
        <v>671</v>
      </c>
    </row>
    <row r="31" spans="1:3" ht="15" x14ac:dyDescent="0.2">
      <c r="A31" s="83" t="str">
        <f>"ntp source-interface "&amp;SourceInt</f>
        <v xml:space="preserve">ntp source-interface </v>
      </c>
      <c r="B31" s="1"/>
      <c r="C31" s="87" t="s">
        <v>672</v>
      </c>
    </row>
    <row r="32" spans="1:3" ht="15" x14ac:dyDescent="0.2">
      <c r="A32" s="83"/>
      <c r="B32" s="1"/>
      <c r="C32" s="87"/>
    </row>
    <row r="33" spans="1:3" ht="15" x14ac:dyDescent="0.2">
      <c r="A33" s="83" t="str">
        <f>"tacacs-server key "&amp;TACACSkeyNexus</f>
        <v>tacacs-server key 7 "XXXXXXXXXXX"</v>
      </c>
      <c r="B33" s="1"/>
      <c r="C33" s="89" t="s">
        <v>673</v>
      </c>
    </row>
    <row r="34" spans="1:3" ht="15" x14ac:dyDescent="0.2">
      <c r="A34" s="83" t="str">
        <f>IF(RegionChoice="Norway TDE-CDE","!",IF(IS_FENCE="YES","!",IF(TACACS1="!","!","tacacs-server host "&amp;TACACS1)))</f>
        <v>!</v>
      </c>
      <c r="B34" s="1"/>
      <c r="C34" s="89" t="s">
        <v>674</v>
      </c>
    </row>
    <row r="35" spans="1:3" ht="15" x14ac:dyDescent="0.2">
      <c r="A35" s="83" t="str">
        <f>IF(RegionChoice="Norway TDE-CDE","!",IF(IS_FENCE="YES","!",IF(TACACS2="!","!","tacacs-server host "&amp;TACACS2)))</f>
        <v>!</v>
      </c>
      <c r="B35" s="1"/>
      <c r="C35" s="89" t="s">
        <v>674</v>
      </c>
    </row>
    <row r="36" spans="1:3" ht="15" x14ac:dyDescent="0.2">
      <c r="A36" s="83" t="str">
        <f>IF(RegionChoice="Norway TDE-CDE","!",IF(IS_FENCE="YES","!",IF(TACACS3="!","!","tacacs-server host "&amp;TACACS3)))</f>
        <v>!</v>
      </c>
      <c r="B36" s="1"/>
      <c r="C36" s="89" t="s">
        <v>674</v>
      </c>
    </row>
    <row r="37" spans="1:3" ht="15" x14ac:dyDescent="0.2">
      <c r="A37" s="83" t="s">
        <v>306</v>
      </c>
      <c r="B37" s="1"/>
      <c r="C37" s="91"/>
    </row>
    <row r="38" spans="1:3" ht="15" x14ac:dyDescent="0.2">
      <c r="A38" s="83" t="str">
        <f>IF(IS_FENCE="NO","!",IF(FENCE_TACACS1="!","!","tacacs-server host "&amp;FENCE_TACACS1))</f>
        <v>!</v>
      </c>
      <c r="B38" s="1"/>
      <c r="C38" s="91"/>
    </row>
    <row r="39" spans="1:3" ht="15" x14ac:dyDescent="0.2">
      <c r="A39" s="83" t="str">
        <f>IF(IS_FENCE="NO","!",IF(FENCE_TACACS2="!","!","tacacs-server host "&amp;FENCE_TACACS2))</f>
        <v>!</v>
      </c>
      <c r="B39" s="1"/>
      <c r="C39" s="91"/>
    </row>
    <row r="40" spans="1:3" ht="15" x14ac:dyDescent="0.2">
      <c r="A40" s="83" t="str">
        <f>IF(IS_FENCE="NO","!",IF(FENCE_TACACS3="!","!","tacacs-server host "&amp;FENCE_TACACS3))</f>
        <v>!</v>
      </c>
      <c r="B40" s="1"/>
      <c r="C40" s="91"/>
    </row>
    <row r="41" spans="1:3" x14ac:dyDescent="0.2">
      <c r="A41" s="1" t="s">
        <v>675</v>
      </c>
      <c r="B41" s="1"/>
      <c r="C41" s="87" t="s">
        <v>676</v>
      </c>
    </row>
    <row r="42" spans="1:3" ht="15" x14ac:dyDescent="0.2">
      <c r="A42" s="83" t="str">
        <f xml:space="preserve"> " server "&amp;TACACS1</f>
        <v xml:space="preserve"> server 155.191.182.137</v>
      </c>
      <c r="B42" s="1"/>
      <c r="C42" s="87" t="s">
        <v>677</v>
      </c>
    </row>
    <row r="43" spans="1:3" ht="15" x14ac:dyDescent="0.2">
      <c r="A43" s="83" t="str">
        <f xml:space="preserve"> " server "&amp;TACACS2</f>
        <v xml:space="preserve"> server 158.139.170.16</v>
      </c>
      <c r="B43" s="1"/>
      <c r="C43" s="87" t="s">
        <v>677</v>
      </c>
    </row>
    <row r="44" spans="1:3" ht="15" x14ac:dyDescent="0.2">
      <c r="A44" s="83" t="str">
        <f xml:space="preserve"> " server "&amp;TACACS3</f>
        <v xml:space="preserve"> server 10.26.60.20</v>
      </c>
      <c r="B44" s="1"/>
      <c r="C44" s="87" t="s">
        <v>677</v>
      </c>
    </row>
    <row r="45" spans="1:3" ht="15" x14ac:dyDescent="0.2">
      <c r="A45" s="84" t="str">
        <f>" source-interface " &amp;SourceInt</f>
        <v xml:space="preserve"> source-interface </v>
      </c>
      <c r="B45" s="1"/>
      <c r="C45" s="87" t="s">
        <v>678</v>
      </c>
    </row>
    <row r="46" spans="1:3" x14ac:dyDescent="0.2">
      <c r="A46" s="1" t="s">
        <v>679</v>
      </c>
      <c r="B46" s="1"/>
      <c r="C46" s="87" t="s">
        <v>680</v>
      </c>
    </row>
    <row r="47" spans="1:3" x14ac:dyDescent="0.2">
      <c r="A47" s="1" t="s">
        <v>681</v>
      </c>
      <c r="B47" s="1"/>
      <c r="C47" s="87" t="s">
        <v>682</v>
      </c>
    </row>
    <row r="48" spans="1:3" x14ac:dyDescent="0.2">
      <c r="A48" s="1" t="s">
        <v>683</v>
      </c>
      <c r="B48" s="1"/>
      <c r="C48" s="87" t="s">
        <v>684</v>
      </c>
    </row>
    <row r="49" spans="1:3" x14ac:dyDescent="0.2">
      <c r="A49" s="1" t="s">
        <v>685</v>
      </c>
      <c r="B49" s="1"/>
      <c r="C49" s="87" t="s">
        <v>686</v>
      </c>
    </row>
    <row r="53" spans="1:3" x14ac:dyDescent="0.2">
      <c r="A53" s="1" t="s">
        <v>433</v>
      </c>
      <c r="B53" s="1"/>
      <c r="C53" s="86" t="s">
        <v>434</v>
      </c>
    </row>
    <row r="54" spans="1:3" x14ac:dyDescent="0.2">
      <c r="A54" s="1" t="s">
        <v>435</v>
      </c>
      <c r="B54" s="1"/>
      <c r="C54" s="86" t="s">
        <v>436</v>
      </c>
    </row>
    <row r="55" spans="1:3" x14ac:dyDescent="0.2">
      <c r="A55" s="1" t="s">
        <v>437</v>
      </c>
      <c r="B55" s="1"/>
      <c r="C55" s="86" t="s">
        <v>436</v>
      </c>
    </row>
    <row r="57" spans="1:3" ht="15" x14ac:dyDescent="0.2">
      <c r="A57" s="83" t="str">
        <f>IF(NameServer1="!","!","ip name-server "&amp;NameServer1)</f>
        <v>ip name-server 155.191.182.135</v>
      </c>
      <c r="B57" s="1"/>
      <c r="C57" s="86" t="s">
        <v>428</v>
      </c>
    </row>
    <row r="58" spans="1:3" ht="15" x14ac:dyDescent="0.2">
      <c r="A58" s="83" t="str">
        <f>IF(NameServer2="!","!","ip name-server "&amp;NameServer2)</f>
        <v>ip name-server 158.139.212.31</v>
      </c>
      <c r="B58" s="1"/>
      <c r="C58" s="86" t="s">
        <v>429</v>
      </c>
    </row>
    <row r="59" spans="1:3" ht="15" x14ac:dyDescent="0.2">
      <c r="A59" s="83" t="str">
        <f>IF(NameServer3="!","!","ip name-server "&amp;NameServer3)</f>
        <v>!</v>
      </c>
      <c r="B59" s="1"/>
      <c r="C59" s="87" t="s">
        <v>430</v>
      </c>
    </row>
    <row r="61" spans="1:3" ht="15" x14ac:dyDescent="0.2">
      <c r="A61" s="83" t="str">
        <f>"snmp-server location "&amp;Location</f>
        <v>snmp-server location Bartlesville</v>
      </c>
      <c r="B61" s="1"/>
      <c r="C61" s="89" t="s">
        <v>502</v>
      </c>
    </row>
    <row r="62" spans="1:3" ht="15" x14ac:dyDescent="0.2">
      <c r="A62" s="83" t="str">
        <f>"snmp-server chassis-id "&amp;SerialNumber</f>
        <v xml:space="preserve">snmp-server chassis-id </v>
      </c>
      <c r="B62" s="1"/>
      <c r="C62" s="87" t="s">
        <v>687</v>
      </c>
    </row>
    <row r="63" spans="1:3" x14ac:dyDescent="0.2">
      <c r="A63" s="62" t="s">
        <v>503</v>
      </c>
      <c r="B63" s="1"/>
      <c r="C63" s="87" t="s">
        <v>618</v>
      </c>
    </row>
    <row r="64" spans="1:3" x14ac:dyDescent="0.2">
      <c r="A64" s="62" t="s">
        <v>505</v>
      </c>
      <c r="B64" s="1"/>
      <c r="C64" s="86" t="s">
        <v>506</v>
      </c>
    </row>
    <row r="65" spans="1:3" ht="15" x14ac:dyDescent="0.2">
      <c r="A65" s="83" t="str">
        <f>"snmp-server source-interface trap " &amp;SourceInt</f>
        <v xml:space="preserve">snmp-server source-interface trap </v>
      </c>
      <c r="B65" s="1"/>
      <c r="C65" s="87" t="s">
        <v>688</v>
      </c>
    </row>
    <row r="67" spans="1:3" x14ac:dyDescent="0.2">
      <c r="A67" s="1" t="s">
        <v>995</v>
      </c>
      <c r="B67" s="1"/>
      <c r="C67" s="87" t="s">
        <v>689</v>
      </c>
    </row>
    <row r="68" spans="1:3" x14ac:dyDescent="0.2">
      <c r="A68" s="1" t="s">
        <v>996</v>
      </c>
      <c r="B68" s="1"/>
      <c r="C68" s="87" t="s">
        <v>689</v>
      </c>
    </row>
    <row r="69" spans="1:3" ht="15" x14ac:dyDescent="0.2">
      <c r="A69" s="64" t="str">
        <f>IF(OR(IS_DMZ="Yes",DMZ_PRIME_IP="!"),"!","snmp-server host " &amp; PRIME &amp; " traps version 2c XXXXXXXXXXX ")</f>
        <v xml:space="preserve">snmp-server host 158.139.170.25 traps version 2c XXXXXXXXXXX </v>
      </c>
      <c r="B69" s="1"/>
      <c r="C69" s="87" t="s">
        <v>689</v>
      </c>
    </row>
    <row r="70" spans="1:3" ht="15" x14ac:dyDescent="0.2">
      <c r="A70" s="64" t="str">
        <f>IF(OR(IS_DMZ="Yes",DMZ_PRIME_IP="!"),"!","snmp-server host " &amp; PRIME_SECONDARY &amp; " traps version 2c XXXXXXXXXXX ")</f>
        <v xml:space="preserve">snmp-server host 158.139.2.218 traps version 2c XXXXXXXXXXX </v>
      </c>
      <c r="B70" s="1"/>
      <c r="C70" s="87" t="s">
        <v>689</v>
      </c>
    </row>
    <row r="71" spans="1:3" ht="15" x14ac:dyDescent="0.2">
      <c r="A71" s="64" t="str">
        <f>IF(OR(IS_DMZ="No",DMZ_PRIME_IP="!"),"!","snmp-server host "&amp;DMZ_PRIME_IP&amp; " traps version 2c S1mPl3@miNds")</f>
        <v>!</v>
      </c>
      <c r="B71" s="1"/>
      <c r="C71" s="87" t="s">
        <v>690</v>
      </c>
    </row>
    <row r="73" spans="1:3" ht="15" x14ac:dyDescent="0.2">
      <c r="A73" s="32" t="s">
        <v>997</v>
      </c>
      <c r="B73" s="1"/>
      <c r="C73" s="87" t="s">
        <v>691</v>
      </c>
    </row>
    <row r="74" spans="1:3" ht="15" x14ac:dyDescent="0.2">
      <c r="A74" s="32" t="s">
        <v>998</v>
      </c>
      <c r="B74" s="1"/>
      <c r="C74" s="87" t="s">
        <v>691</v>
      </c>
    </row>
    <row r="75" spans="1:3" ht="15" x14ac:dyDescent="0.2">
      <c r="A75" s="32" t="s">
        <v>998</v>
      </c>
      <c r="B75" s="1"/>
      <c r="C75" s="87" t="s">
        <v>691</v>
      </c>
    </row>
    <row r="76" spans="1:3" ht="15" x14ac:dyDescent="0.2">
      <c r="A76" s="32" t="s">
        <v>999</v>
      </c>
      <c r="B76" s="1"/>
      <c r="C76" s="87" t="s">
        <v>692</v>
      </c>
    </row>
    <row r="77" spans="1:3" ht="15" x14ac:dyDescent="0.2">
      <c r="A77" s="32" t="s">
        <v>1000</v>
      </c>
      <c r="B77" s="1"/>
      <c r="C77" s="87" t="s">
        <v>692</v>
      </c>
    </row>
    <row r="78" spans="1:3" ht="15" x14ac:dyDescent="0.2">
      <c r="A78" s="32" t="s">
        <v>1001</v>
      </c>
      <c r="B78" s="1"/>
      <c r="C78" s="87" t="s">
        <v>692</v>
      </c>
    </row>
    <row r="79" spans="1:3" ht="15" x14ac:dyDescent="0.2">
      <c r="A79" s="83" t="str">
        <f>"snmp-server location "&amp;SNMPLOC</f>
        <v>snmp-server location Canada</v>
      </c>
      <c r="B79" s="1"/>
      <c r="C79" s="89" t="s">
        <v>502</v>
      </c>
    </row>
    <row r="81" spans="1:3" x14ac:dyDescent="0.2">
      <c r="A81" s="1" t="s">
        <v>693</v>
      </c>
      <c r="B81" s="1"/>
      <c r="C81" s="87" t="s">
        <v>694</v>
      </c>
    </row>
    <row r="82" spans="1:3" ht="15" x14ac:dyDescent="0.2">
      <c r="A82" s="83" t="str">
        <f>IF(NEXUSSNMPRO1="!","!","permit ip "&amp;NEXUSSNMPRO1&amp;" any")</f>
        <v>permit ip 158.139.195.0/24 any</v>
      </c>
      <c r="B82" s="1"/>
      <c r="C82" s="87" t="s">
        <v>694</v>
      </c>
    </row>
    <row r="83" spans="1:3" ht="15" x14ac:dyDescent="0.2">
      <c r="A83" s="83" t="str">
        <f>IF(NEXUSSNMPRO2="!","!","permit ip "&amp;NEXUSSNMPRO2&amp;" any")</f>
        <v>permit ip 158.139.170.0/26 any</v>
      </c>
      <c r="B83" s="1"/>
      <c r="C83" s="87" t="s">
        <v>694</v>
      </c>
    </row>
    <row r="84" spans="1:3" ht="15" x14ac:dyDescent="0.2">
      <c r="A84" s="83" t="str">
        <f>IF(NEXUSSNMPRO3="!","!","permit ip "&amp;NEXUSSNMPRO3&amp;" any")</f>
        <v>permit ip 158.139.162.0/25 any</v>
      </c>
      <c r="B84" s="1"/>
      <c r="C84" s="87" t="s">
        <v>694</v>
      </c>
    </row>
    <row r="85" spans="1:3" ht="15" x14ac:dyDescent="0.2">
      <c r="A85" s="83" t="str">
        <f>IF(NEXUSSNMPRO4="!","!","permit ip "&amp;NEXUSSNMPRO4&amp;" any")</f>
        <v>permit ip 155.191.128.0/28 any</v>
      </c>
      <c r="B85" s="1"/>
      <c r="C85" s="87" t="s">
        <v>694</v>
      </c>
    </row>
    <row r="86" spans="1:3" ht="15" x14ac:dyDescent="0.2">
      <c r="A86" s="83" t="str">
        <f>IF(NEXUSSNMPRO5="!","!","permit ip "&amp;NEXUSSNMPRO5&amp;" any")</f>
        <v>permit ip 155.191.129.228/32 any</v>
      </c>
      <c r="B86" s="1"/>
      <c r="C86" s="87" t="s">
        <v>694</v>
      </c>
    </row>
    <row r="87" spans="1:3" ht="15" x14ac:dyDescent="0.2">
      <c r="A87" s="83" t="str">
        <f>IF(NEXUSSNMPRO6="!","!","permit ip "&amp;NEXUSSNMPRO6&amp;" any")</f>
        <v>permit ip 155.191.192.148/32 any</v>
      </c>
      <c r="B87" s="1"/>
      <c r="C87" s="87" t="s">
        <v>694</v>
      </c>
    </row>
    <row r="88" spans="1:3" ht="15" x14ac:dyDescent="0.2">
      <c r="A88" s="83" t="str">
        <f>IF(NEXUSSNMPRO7="!","!","permit ip "&amp;NEXUSSNMPRO7&amp;" any")</f>
        <v>permit ip 155.191.185.128/32 any</v>
      </c>
      <c r="B88" s="1"/>
      <c r="C88" s="87" t="s">
        <v>694</v>
      </c>
    </row>
    <row r="89" spans="1:3" ht="15" x14ac:dyDescent="0.2">
      <c r="A89" s="83" t="str">
        <f>IF(NEXUSSNMPRO8="!","!","permit ip "&amp;NEXUSSNMPRO8&amp;" any")</f>
        <v>permit ip 155.191.182.156/30 any</v>
      </c>
      <c r="B89" s="1"/>
      <c r="C89" s="87" t="s">
        <v>694</v>
      </c>
    </row>
    <row r="90" spans="1:3" ht="15" x14ac:dyDescent="0.2">
      <c r="A90" s="83" t="str">
        <f>IF(NEXUSSNMPRO9="!","!","permit ip "&amp;NEXUSSNMPRO9&amp;" any")</f>
        <v>permit ip 158.139.104.8/29 any</v>
      </c>
      <c r="B90" s="1"/>
      <c r="C90" s="87" t="s">
        <v>694</v>
      </c>
    </row>
    <row r="91" spans="1:3" ht="15" x14ac:dyDescent="0.2">
      <c r="A91" s="83" t="str">
        <f>IF(NEXUSSNMPRO10="!","!","permit ip "&amp;NEXUSSNMPRO10&amp;" any")</f>
        <v>permit ip 158.139.49.48/28 any</v>
      </c>
      <c r="B91" s="1"/>
      <c r="C91" s="87" t="s">
        <v>694</v>
      </c>
    </row>
    <row r="92" spans="1:3" ht="15" x14ac:dyDescent="0.2">
      <c r="A92" s="83" t="str">
        <f>IF(NEXUSSNMPRO11="!","!","permit ip "&amp;NEXUSSNMPRO11&amp;" any")</f>
        <v>permit ip 10.25.32.7/32 any</v>
      </c>
      <c r="B92" s="1"/>
      <c r="C92" s="87" t="s">
        <v>694</v>
      </c>
    </row>
    <row r="93" spans="1:3" ht="15" x14ac:dyDescent="0.2">
      <c r="A93" s="83" t="str">
        <f>IF(NEXUSSNMPRO12="!","!","permit ip "&amp;NEXUSSNMPRO12&amp;" any")</f>
        <v>permit ip 158.139.198.247/32 any</v>
      </c>
      <c r="B93" s="1"/>
      <c r="C93" s="87" t="s">
        <v>694</v>
      </c>
    </row>
    <row r="94" spans="1:3" ht="15" x14ac:dyDescent="0.2">
      <c r="A94" s="83" t="str">
        <f>IF(NEXUSSNMPRO13="!","!","permit ip "&amp;NEXUSSNMPRO13&amp;" any")</f>
        <v>permit ip 153.15.98.64/27 any</v>
      </c>
      <c r="B94" s="1"/>
      <c r="C94" s="91"/>
    </row>
    <row r="95" spans="1:3" ht="15" x14ac:dyDescent="0.2">
      <c r="A95" s="83" t="str">
        <f>IF(NEXUSSNMPRO14="!","!","permit ip "&amp;NEXUSSNMPRO14&amp;" any")</f>
        <v>permit ip 158.139.2.192/26 any</v>
      </c>
      <c r="B95" s="1"/>
      <c r="C95" s="91"/>
    </row>
    <row r="96" spans="1:3" ht="15" x14ac:dyDescent="0.2">
      <c r="A96" s="83" t="str">
        <f>IF(NEXUSSNMPRO15="!","!","permit ip "&amp;NEXUSSNMPRO15&amp;" any")</f>
        <v>permit ip 158.139.112.117/32 any</v>
      </c>
      <c r="B96" s="1"/>
      <c r="C96" s="91"/>
    </row>
    <row r="97" spans="1:3" ht="15" x14ac:dyDescent="0.2">
      <c r="A97" s="83" t="str">
        <f>IF(NEXUSSNMPRO16="!","!","permit ip "&amp;NEXUSSNMPRO16&amp;" any")</f>
        <v>!</v>
      </c>
      <c r="B97" s="1"/>
      <c r="C97" s="91"/>
    </row>
    <row r="98" spans="1:3" ht="15" x14ac:dyDescent="0.2">
      <c r="A98" s="83" t="str">
        <f>IF(NEXUSSNMPRO17="!","!","permit ip "&amp;NEXUSSNMPRO17&amp;" any")</f>
        <v>!</v>
      </c>
      <c r="B98" s="1"/>
      <c r="C98" s="91"/>
    </row>
    <row r="99" spans="1:3" ht="15" x14ac:dyDescent="0.2">
      <c r="A99" s="83" t="str">
        <f>IF(NEXUSSNMPRO18="!","!","permit ip "&amp;NEXUSSNMPRO18&amp;" any")</f>
        <v>!</v>
      </c>
      <c r="B99" s="1"/>
      <c r="C99" s="91"/>
    </row>
    <row r="100" spans="1:3" ht="15" x14ac:dyDescent="0.2">
      <c r="A100" s="83" t="str">
        <f>IF(NEXUSSNMPRO19="!","!","permit ip "&amp;NEXUSSNMPRO19&amp;" any")</f>
        <v>!</v>
      </c>
      <c r="B100" s="1"/>
      <c r="C100" s="91"/>
    </row>
    <row r="101" spans="1:3" ht="15" x14ac:dyDescent="0.2">
      <c r="A101" s="83" t="str">
        <f>IF(NEXUSSNMPRO20="!","!","permit ip "&amp;NEXUSSNMPRO20&amp;" any")</f>
        <v>!</v>
      </c>
      <c r="B101" s="1"/>
      <c r="C101" s="91"/>
    </row>
    <row r="102" spans="1:3" ht="15" x14ac:dyDescent="0.2">
      <c r="A102" s="83" t="str">
        <f>IF(OR(IS_DMZ="No",DMZ_PRIME_IP="!"),"!","permit ip "&amp;DMZ_PRIME_IP&amp;"/32 any")</f>
        <v>!</v>
      </c>
      <c r="B102" s="1"/>
      <c r="C102" s="91"/>
    </row>
    <row r="103" spans="1:3" x14ac:dyDescent="0.2">
      <c r="A103" s="1" t="s">
        <v>695</v>
      </c>
      <c r="B103" s="1"/>
      <c r="C103" s="87" t="s">
        <v>484</v>
      </c>
    </row>
    <row r="104" spans="1:3" ht="15" x14ac:dyDescent="0.2">
      <c r="A104" s="83" t="str">
        <f>IF(OR(IS_DMZ="Yes",NEXUSSNMPRW1="!"),"!","permit ip "&amp;NEXUSSNMPRW1&amp;" any")</f>
        <v>permit ip 158.139.170.24/30 any</v>
      </c>
      <c r="B104" s="1"/>
      <c r="C104" s="87" t="s">
        <v>484</v>
      </c>
    </row>
    <row r="105" spans="1:3" ht="15" x14ac:dyDescent="0.2">
      <c r="A105" s="83" t="str">
        <f>IF(OR(IS_DMZ="Yes",NEXUSSNMPRW2="!"),"!","permit ip "&amp;NEXUSSNMPRW2&amp;" any")</f>
        <v>permit ip 158.139.2.218/32 any</v>
      </c>
      <c r="B105" s="1"/>
      <c r="C105" s="91"/>
    </row>
    <row r="106" spans="1:3" ht="15" x14ac:dyDescent="0.2">
      <c r="A106" s="83" t="str">
        <f>IF(OR(IS_DMZ="Yes",NEXUSSNMPRW3="!"),"!","permit ip "&amp;NEXUSSNMPRW3&amp;" any")</f>
        <v>!</v>
      </c>
      <c r="B106" s="1"/>
      <c r="C106" s="91"/>
    </row>
    <row r="107" spans="1:3" ht="15" x14ac:dyDescent="0.2">
      <c r="A107" s="83" t="str">
        <f>IF(OR(IS_DMZ="Yes",NEXUSSNMPRW4="!"),"!","permit ip "&amp;NEXUSSNMPRW4&amp;" any")</f>
        <v>!</v>
      </c>
      <c r="B107" s="1"/>
      <c r="C107" s="91"/>
    </row>
    <row r="108" spans="1:3" ht="15" x14ac:dyDescent="0.2">
      <c r="A108" s="83" t="str">
        <f>IF(OR(IS_DMZ="No",DMZ_PRIME_IP="!"),"!","permit ip "&amp;DMZ_PRIME_IP&amp;"/32 any")</f>
        <v>!</v>
      </c>
      <c r="B108" s="1"/>
      <c r="C108" s="91"/>
    </row>
    <row r="109" spans="1:3" x14ac:dyDescent="0.2">
      <c r="A109" s="1" t="s">
        <v>306</v>
      </c>
      <c r="B109" s="1"/>
      <c r="C109" s="91"/>
    </row>
    <row r="110" spans="1:3" x14ac:dyDescent="0.2">
      <c r="A110" s="1" t="s">
        <v>696</v>
      </c>
      <c r="B110" s="1"/>
      <c r="C110" s="89" t="s">
        <v>487</v>
      </c>
    </row>
    <row r="111" spans="1:3" x14ac:dyDescent="0.2">
      <c r="A111" s="1" t="s">
        <v>697</v>
      </c>
      <c r="B111" s="1"/>
      <c r="C111" s="89" t="s">
        <v>698</v>
      </c>
    </row>
    <row r="112" spans="1:3" x14ac:dyDescent="0.2">
      <c r="A112" s="1" t="s">
        <v>699</v>
      </c>
      <c r="B112" s="1"/>
      <c r="C112" s="89" t="s">
        <v>698</v>
      </c>
    </row>
    <row r="113" spans="1:3" x14ac:dyDescent="0.2">
      <c r="A113" s="1" t="s">
        <v>700</v>
      </c>
      <c r="B113" s="1"/>
      <c r="C113" s="89" t="s">
        <v>698</v>
      </c>
    </row>
    <row r="114" spans="1:3" x14ac:dyDescent="0.2">
      <c r="A114" s="1" t="s">
        <v>306</v>
      </c>
      <c r="B114" s="1"/>
      <c r="C114" s="91"/>
    </row>
    <row r="115" spans="1:3" x14ac:dyDescent="0.2">
      <c r="A115" s="1" t="s">
        <v>306</v>
      </c>
      <c r="B115" s="1"/>
      <c r="C115" s="91"/>
    </row>
    <row r="116" spans="1:3" x14ac:dyDescent="0.2">
      <c r="A116" s="1" t="s">
        <v>701</v>
      </c>
      <c r="B116" s="1"/>
      <c r="C116" s="87" t="s">
        <v>702</v>
      </c>
    </row>
    <row r="117" spans="1:3" x14ac:dyDescent="0.2">
      <c r="A117" s="1" t="s">
        <v>531</v>
      </c>
      <c r="B117" s="1"/>
      <c r="C117" s="91"/>
    </row>
    <row r="119" spans="1:3" x14ac:dyDescent="0.2">
      <c r="A119" s="1" t="s">
        <v>532</v>
      </c>
      <c r="B119" s="1"/>
      <c r="C119" s="91"/>
    </row>
    <row r="120" spans="1:3" x14ac:dyDescent="0.2">
      <c r="A120" s="1" t="s">
        <v>533</v>
      </c>
      <c r="B120" s="1"/>
      <c r="C120" s="91"/>
    </row>
    <row r="121" spans="1:3" x14ac:dyDescent="0.2">
      <c r="A121" s="1" t="s">
        <v>534</v>
      </c>
      <c r="B121" s="1"/>
      <c r="C121" s="91"/>
    </row>
    <row r="122" spans="1:3" x14ac:dyDescent="0.2">
      <c r="A122" s="1" t="s">
        <v>535</v>
      </c>
      <c r="B122" s="1"/>
      <c r="C122" s="91"/>
    </row>
    <row r="124" spans="1:3" x14ac:dyDescent="0.2">
      <c r="A124" s="1" t="s">
        <v>536</v>
      </c>
      <c r="B124" s="1"/>
      <c r="C124" s="91"/>
    </row>
    <row r="125" spans="1:3" x14ac:dyDescent="0.2">
      <c r="A125" s="1" t="s">
        <v>537</v>
      </c>
      <c r="B125" s="1"/>
      <c r="C125" s="91"/>
    </row>
    <row r="126" spans="1:3" x14ac:dyDescent="0.2">
      <c r="A126" s="1" t="s">
        <v>538</v>
      </c>
      <c r="B126" s="1"/>
      <c r="C126" s="91"/>
    </row>
    <row r="127" spans="1:3" x14ac:dyDescent="0.2">
      <c r="A127" s="1" t="s">
        <v>539</v>
      </c>
      <c r="B127" s="1"/>
      <c r="C127" s="91"/>
    </row>
    <row r="128" spans="1:3" x14ac:dyDescent="0.2">
      <c r="A128" s="1" t="s">
        <v>540</v>
      </c>
      <c r="B128" s="1"/>
      <c r="C128" s="91"/>
    </row>
    <row r="129" spans="1:3" x14ac:dyDescent="0.2">
      <c r="A129" s="1" t="s">
        <v>541</v>
      </c>
      <c r="B129" s="1"/>
      <c r="C129" s="91"/>
    </row>
    <row r="130" spans="1:3" x14ac:dyDescent="0.2">
      <c r="A130" s="1"/>
      <c r="B130" s="1"/>
      <c r="C130" s="91"/>
    </row>
    <row r="131" spans="1:3" x14ac:dyDescent="0.2">
      <c r="A131" s="1" t="s">
        <v>542</v>
      </c>
      <c r="B131" s="1"/>
      <c r="C131" s="91"/>
    </row>
    <row r="132" spans="1:3" x14ac:dyDescent="0.2">
      <c r="A132" s="1" t="s">
        <v>543</v>
      </c>
      <c r="B132" s="1"/>
      <c r="C132" s="91"/>
    </row>
    <row r="133" spans="1:3" x14ac:dyDescent="0.2">
      <c r="A133" s="1" t="s">
        <v>544</v>
      </c>
      <c r="B133" s="1"/>
      <c r="C133" s="91"/>
    </row>
    <row r="134" spans="1:3" x14ac:dyDescent="0.2">
      <c r="A134" s="1" t="s">
        <v>545</v>
      </c>
      <c r="B134" s="1"/>
      <c r="C134" s="91"/>
    </row>
    <row r="135" spans="1:3" x14ac:dyDescent="0.2">
      <c r="A135" s="1" t="s">
        <v>546</v>
      </c>
      <c r="B135" s="1"/>
      <c r="C135" s="91"/>
    </row>
    <row r="137" spans="1:3" x14ac:dyDescent="0.2">
      <c r="A137" s="1" t="s">
        <v>547</v>
      </c>
      <c r="B137" s="1"/>
      <c r="C137" s="91"/>
    </row>
    <row r="138" spans="1:3" x14ac:dyDescent="0.2">
      <c r="A138" s="1" t="s">
        <v>528</v>
      </c>
      <c r="B138" s="1"/>
      <c r="C138" s="91"/>
    </row>
    <row r="140" spans="1:3" ht="15" x14ac:dyDescent="0.2">
      <c r="A140" s="83" t="str">
        <f>IF(_NTP1="!","!","ntp server "&amp;_NTP1)</f>
        <v>ntp server 155.191.128.133</v>
      </c>
      <c r="B140" s="1"/>
      <c r="C140" s="89" t="s">
        <v>703</v>
      </c>
    </row>
    <row r="141" spans="1:3" ht="15" x14ac:dyDescent="0.2">
      <c r="A141" s="83" t="str">
        <f>IF(_NTP2="!","!","ntp server "&amp;_NTP2)</f>
        <v>ntp server 155.191.128.134</v>
      </c>
      <c r="B141" s="1"/>
      <c r="C141" s="89" t="s">
        <v>704</v>
      </c>
    </row>
    <row r="142" spans="1:3" ht="15" x14ac:dyDescent="0.2">
      <c r="A142" s="83" t="str">
        <f>IF(_NTP3="!","!","ntp server "&amp;_NTP3)</f>
        <v>ntp server 158.139.0.139</v>
      </c>
      <c r="B142" s="1"/>
      <c r="C142" s="87"/>
    </row>
    <row r="143" spans="1:3" ht="15" x14ac:dyDescent="0.2">
      <c r="A143" s="83" t="str">
        <f>IF(_NTP4="!","!","ntp server "&amp;_NTP4)</f>
        <v>ntp server 158.139.0.137</v>
      </c>
      <c r="B143" s="1"/>
      <c r="C143" s="87"/>
    </row>
    <row r="144" spans="1:3" ht="15" x14ac:dyDescent="0.2">
      <c r="A144" s="83" t="str">
        <f>"ntp source-interface "&amp;SourceInt</f>
        <v xml:space="preserve">ntp source-interface </v>
      </c>
      <c r="B144" s="1"/>
      <c r="C144" s="87" t="s">
        <v>569</v>
      </c>
    </row>
    <row r="145" spans="1:3" x14ac:dyDescent="0.2">
      <c r="A145" s="1"/>
      <c r="B145" s="1"/>
      <c r="C145" s="87"/>
    </row>
    <row r="146" spans="1:3" x14ac:dyDescent="0.2">
      <c r="A146" s="1" t="s">
        <v>705</v>
      </c>
      <c r="B146" s="1"/>
      <c r="C146" s="87"/>
    </row>
    <row r="147" spans="1:3" x14ac:dyDescent="0.2">
      <c r="A147" s="1" t="s">
        <v>706</v>
      </c>
      <c r="B147" s="1"/>
      <c r="C147" s="89" t="s">
        <v>550</v>
      </c>
    </row>
  </sheetData>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1:G45"/>
  <sheetViews>
    <sheetView topLeftCell="C14" workbookViewId="0">
      <selection activeCell="D23" sqref="D23"/>
    </sheetView>
  </sheetViews>
  <sheetFormatPr defaultRowHeight="12.75" x14ac:dyDescent="0.2"/>
  <cols>
    <col min="1" max="1" width="2" customWidth="1"/>
    <col min="2" max="2" width="46" customWidth="1"/>
    <col min="3" max="3" width="39.7109375" customWidth="1"/>
    <col min="4" max="4" width="47.5703125" bestFit="1" customWidth="1"/>
    <col min="5" max="5" width="38.7109375" bestFit="1" customWidth="1"/>
    <col min="6" max="6" width="30.42578125" customWidth="1"/>
  </cols>
  <sheetData>
    <row r="1" spans="2:4" ht="9" customHeight="1" x14ac:dyDescent="0.2"/>
    <row r="2" spans="2:4" ht="18" x14ac:dyDescent="0.25">
      <c r="B2" s="137" t="s">
        <v>707</v>
      </c>
      <c r="C2" s="137"/>
      <c r="D2" s="137"/>
    </row>
    <row r="3" spans="2:4" ht="12.75" customHeight="1" x14ac:dyDescent="0.25">
      <c r="B3" s="116"/>
      <c r="C3" s="116"/>
      <c r="D3" s="116"/>
    </row>
    <row r="4" spans="2:4" ht="15.75" x14ac:dyDescent="0.25">
      <c r="B4" s="135" t="s">
        <v>708</v>
      </c>
      <c r="C4" s="138"/>
      <c r="D4" s="138"/>
    </row>
    <row r="5" spans="2:4" ht="12.75" customHeight="1" x14ac:dyDescent="0.25">
      <c r="B5" s="116"/>
      <c r="C5" s="116"/>
      <c r="D5" s="116"/>
    </row>
    <row r="6" spans="2:4" ht="12.75" customHeight="1" x14ac:dyDescent="0.25">
      <c r="B6" s="17"/>
      <c r="C6" s="19"/>
      <c r="D6" s="116"/>
    </row>
    <row r="7" spans="2:4" ht="12.75" customHeight="1" x14ac:dyDescent="0.25">
      <c r="B7" s="17"/>
      <c r="C7" s="17"/>
      <c r="D7" s="116"/>
    </row>
    <row r="8" spans="2:4" ht="12.75" customHeight="1" x14ac:dyDescent="0.25">
      <c r="B8" s="17" t="s">
        <v>709</v>
      </c>
      <c r="C8" s="19" t="s">
        <v>710</v>
      </c>
      <c r="D8" s="116"/>
    </row>
    <row r="9" spans="2:4" ht="12.75" customHeight="1" x14ac:dyDescent="0.25">
      <c r="B9" s="17" t="s">
        <v>711</v>
      </c>
      <c r="C9" s="19" t="s">
        <v>712</v>
      </c>
      <c r="D9" s="116"/>
    </row>
    <row r="10" spans="2:4" ht="12.75" customHeight="1" x14ac:dyDescent="0.25">
      <c r="B10" s="17" t="s">
        <v>713</v>
      </c>
      <c r="C10" s="19" t="s">
        <v>714</v>
      </c>
      <c r="D10" s="116"/>
    </row>
    <row r="11" spans="2:4" ht="12.75" customHeight="1" x14ac:dyDescent="0.25">
      <c r="B11" s="17"/>
      <c r="C11" s="17"/>
      <c r="D11" s="116"/>
    </row>
    <row r="12" spans="2:4" ht="12.75" customHeight="1" x14ac:dyDescent="0.25">
      <c r="B12" s="116"/>
      <c r="C12" s="116"/>
      <c r="D12" s="116"/>
    </row>
    <row r="13" spans="2:4" ht="15.75" x14ac:dyDescent="0.25">
      <c r="B13" s="135" t="s">
        <v>715</v>
      </c>
      <c r="C13" s="135"/>
      <c r="D13" s="136"/>
    </row>
    <row r="14" spans="2:4" ht="15.75" x14ac:dyDescent="0.25">
      <c r="B14" s="114"/>
      <c r="C14" s="114"/>
      <c r="D14" s="115"/>
    </row>
    <row r="15" spans="2:4" ht="15.75" x14ac:dyDescent="0.25">
      <c r="B15" s="114" t="s">
        <v>716</v>
      </c>
      <c r="C15" s="114"/>
      <c r="D15" s="115"/>
    </row>
    <row r="16" spans="2:4" ht="15.75" x14ac:dyDescent="0.25">
      <c r="B16" s="16"/>
      <c r="C16" s="16"/>
    </row>
    <row r="17" spans="2:7" x14ac:dyDescent="0.2">
      <c r="B17" s="7" t="s">
        <v>717</v>
      </c>
      <c r="C17" s="7" t="s">
        <v>718</v>
      </c>
      <c r="D17" s="7" t="s">
        <v>719</v>
      </c>
      <c r="E17" s="7" t="s">
        <v>720</v>
      </c>
    </row>
    <row r="18" spans="2:7" x14ac:dyDescent="0.2">
      <c r="B18" s="7" t="s">
        <v>721</v>
      </c>
      <c r="C18" s="7" t="s">
        <v>721</v>
      </c>
      <c r="D18" s="7" t="s">
        <v>721</v>
      </c>
      <c r="E18" s="7" t="s">
        <v>721</v>
      </c>
    </row>
    <row r="19" spans="2:7" x14ac:dyDescent="0.2">
      <c r="B19" t="s">
        <v>722</v>
      </c>
      <c r="C19" t="s">
        <v>723</v>
      </c>
      <c r="D19" s="17" t="s">
        <v>724</v>
      </c>
      <c r="E19" t="s">
        <v>722</v>
      </c>
      <c r="F19" s="19" t="s">
        <v>725</v>
      </c>
      <c r="G19" t="s">
        <v>726</v>
      </c>
    </row>
    <row r="20" spans="2:7" x14ac:dyDescent="0.2">
      <c r="B20" t="s">
        <v>727</v>
      </c>
      <c r="C20" t="s">
        <v>727</v>
      </c>
      <c r="D20" s="17" t="s">
        <v>728</v>
      </c>
      <c r="E20" t="s">
        <v>729</v>
      </c>
      <c r="F20" s="19"/>
    </row>
    <row r="21" spans="2:7" x14ac:dyDescent="0.2">
      <c r="B21" t="s">
        <v>730</v>
      </c>
      <c r="C21" t="s">
        <v>731</v>
      </c>
      <c r="D21" t="s">
        <v>732</v>
      </c>
      <c r="E21" t="s">
        <v>733</v>
      </c>
      <c r="F21" s="19" t="s">
        <v>734</v>
      </c>
    </row>
    <row r="22" spans="2:7" x14ac:dyDescent="0.2">
      <c r="B22" t="s">
        <v>735</v>
      </c>
      <c r="C22" t="s">
        <v>735</v>
      </c>
      <c r="D22" s="17" t="s">
        <v>736</v>
      </c>
      <c r="E22" t="s">
        <v>737</v>
      </c>
      <c r="F22" s="19" t="s">
        <v>725</v>
      </c>
    </row>
    <row r="23" spans="2:7" x14ac:dyDescent="0.2">
      <c r="B23" t="s">
        <v>738</v>
      </c>
      <c r="C23" t="s">
        <v>738</v>
      </c>
      <c r="D23" t="s">
        <v>738</v>
      </c>
      <c r="E23" t="s">
        <v>732</v>
      </c>
    </row>
    <row r="24" spans="2:7" x14ac:dyDescent="0.2">
      <c r="B24" t="s">
        <v>739</v>
      </c>
      <c r="C24" t="s">
        <v>739</v>
      </c>
      <c r="D24" t="s">
        <v>740</v>
      </c>
      <c r="E24" t="s">
        <v>735</v>
      </c>
    </row>
    <row r="25" spans="2:7" x14ac:dyDescent="0.2">
      <c r="B25" t="s">
        <v>741</v>
      </c>
      <c r="C25" t="s">
        <v>741</v>
      </c>
      <c r="D25" t="s">
        <v>742</v>
      </c>
      <c r="E25" s="17" t="s">
        <v>743</v>
      </c>
    </row>
    <row r="26" spans="2:7" x14ac:dyDescent="0.2">
      <c r="B26" t="s">
        <v>744</v>
      </c>
      <c r="C26" t="s">
        <v>744</v>
      </c>
      <c r="D26" t="s">
        <v>743</v>
      </c>
      <c r="E26" s="17" t="s">
        <v>745</v>
      </c>
    </row>
    <row r="27" spans="2:7" x14ac:dyDescent="0.2">
      <c r="B27" t="s">
        <v>746</v>
      </c>
      <c r="C27" t="s">
        <v>746</v>
      </c>
      <c r="E27" s="17" t="s">
        <v>747</v>
      </c>
    </row>
    <row r="28" spans="2:7" x14ac:dyDescent="0.2">
      <c r="B28" s="18" t="s">
        <v>748</v>
      </c>
      <c r="C28" t="s">
        <v>740</v>
      </c>
      <c r="E28" s="17" t="s">
        <v>749</v>
      </c>
    </row>
    <row r="29" spans="2:7" x14ac:dyDescent="0.2">
      <c r="B29" s="18" t="s">
        <v>750</v>
      </c>
      <c r="C29" s="18" t="s">
        <v>742</v>
      </c>
      <c r="E29" s="17" t="s">
        <v>751</v>
      </c>
    </row>
    <row r="30" spans="2:7" x14ac:dyDescent="0.2">
      <c r="B30" s="18" t="s">
        <v>752</v>
      </c>
      <c r="C30" t="s">
        <v>753</v>
      </c>
      <c r="E30" s="18" t="s">
        <v>754</v>
      </c>
    </row>
    <row r="31" spans="2:7" x14ac:dyDescent="0.2">
      <c r="B31" s="18" t="s">
        <v>755</v>
      </c>
      <c r="C31" s="18" t="s">
        <v>756</v>
      </c>
      <c r="E31" s="18" t="s">
        <v>757</v>
      </c>
    </row>
    <row r="32" spans="2:7" x14ac:dyDescent="0.2">
      <c r="B32" s="18" t="s">
        <v>758</v>
      </c>
      <c r="E32" s="18" t="s">
        <v>759</v>
      </c>
    </row>
    <row r="33" spans="2:5" x14ac:dyDescent="0.2">
      <c r="B33" s="18" t="s">
        <v>760</v>
      </c>
      <c r="E33" s="18" t="s">
        <v>761</v>
      </c>
    </row>
    <row r="34" spans="2:5" x14ac:dyDescent="0.2">
      <c r="B34" s="18" t="s">
        <v>742</v>
      </c>
      <c r="E34" s="18" t="s">
        <v>762</v>
      </c>
    </row>
    <row r="35" spans="2:5" x14ac:dyDescent="0.2">
      <c r="B35" t="s">
        <v>756</v>
      </c>
      <c r="E35" s="18" t="s">
        <v>763</v>
      </c>
    </row>
    <row r="36" spans="2:5" x14ac:dyDescent="0.2">
      <c r="B36" s="18"/>
      <c r="E36" s="18" t="s">
        <v>764</v>
      </c>
    </row>
    <row r="37" spans="2:5" ht="18" x14ac:dyDescent="0.25">
      <c r="B37" s="116" t="s">
        <v>765</v>
      </c>
      <c r="C37" s="116"/>
    </row>
    <row r="40" spans="2:5" x14ac:dyDescent="0.2">
      <c r="B40" s="7" t="s">
        <v>766</v>
      </c>
      <c r="D40" s="7" t="s">
        <v>767</v>
      </c>
    </row>
    <row r="41" spans="2:5" x14ac:dyDescent="0.2">
      <c r="B41" t="s">
        <v>768</v>
      </c>
      <c r="D41" s="17" t="s">
        <v>769</v>
      </c>
      <c r="E41" s="19" t="s">
        <v>770</v>
      </c>
    </row>
    <row r="42" spans="2:5" x14ac:dyDescent="0.2">
      <c r="B42" t="s">
        <v>771</v>
      </c>
      <c r="D42" s="17" t="s">
        <v>772</v>
      </c>
      <c r="E42" s="19" t="s">
        <v>773</v>
      </c>
    </row>
    <row r="43" spans="2:5" x14ac:dyDescent="0.2">
      <c r="B43" t="s">
        <v>774</v>
      </c>
      <c r="D43" s="17" t="s">
        <v>775</v>
      </c>
    </row>
    <row r="44" spans="2:5" x14ac:dyDescent="0.2">
      <c r="B44" t="s">
        <v>776</v>
      </c>
      <c r="D44" s="17" t="s">
        <v>777</v>
      </c>
    </row>
    <row r="45" spans="2:5" x14ac:dyDescent="0.2">
      <c r="B45" s="17" t="s">
        <v>778</v>
      </c>
      <c r="C45" s="19" t="s">
        <v>779</v>
      </c>
    </row>
  </sheetData>
  <mergeCells count="3">
    <mergeCell ref="B13:D13"/>
    <mergeCell ref="B2:D2"/>
    <mergeCell ref="B4:D4"/>
  </mergeCells>
  <phoneticPr fontId="4"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K134"/>
  <sheetViews>
    <sheetView zoomScaleNormal="100" workbookViewId="0">
      <pane xSplit="1" ySplit="2" topLeftCell="B56" activePane="bottomRight" state="frozen"/>
      <selection pane="topRight" activeCell="B1" sqref="B1"/>
      <selection pane="bottomLeft" activeCell="A3" sqref="A3"/>
      <selection pane="bottomRight" activeCell="F93" sqref="F93"/>
    </sheetView>
  </sheetViews>
  <sheetFormatPr defaultRowHeight="12.75" x14ac:dyDescent="0.2"/>
  <cols>
    <col min="1" max="1" width="39.140625" customWidth="1"/>
    <col min="2" max="2" width="24.42578125" customWidth="1"/>
    <col min="3" max="4" width="21.85546875" bestFit="1" customWidth="1"/>
    <col min="5" max="5" width="34.7109375" customWidth="1"/>
    <col min="6" max="7" width="21.85546875" bestFit="1" customWidth="1"/>
    <col min="8" max="11" width="21.85546875" customWidth="1"/>
  </cols>
  <sheetData>
    <row r="1" spans="1:11" x14ac:dyDescent="0.2">
      <c r="B1" s="133" t="s">
        <v>169</v>
      </c>
      <c r="C1" s="133"/>
      <c r="D1" s="133"/>
      <c r="E1" s="133"/>
      <c r="F1" s="133"/>
      <c r="G1" s="133"/>
      <c r="H1" s="133"/>
      <c r="I1" s="133"/>
      <c r="J1" s="133"/>
      <c r="K1" s="133"/>
    </row>
    <row r="2" spans="1:11" ht="13.5" thickBot="1" x14ac:dyDescent="0.25">
      <c r="A2" s="5"/>
      <c r="B2" s="6" t="s">
        <v>170</v>
      </c>
      <c r="C2" s="7" t="s">
        <v>780</v>
      </c>
      <c r="D2" s="6" t="s">
        <v>781</v>
      </c>
      <c r="E2" s="6" t="s">
        <v>782</v>
      </c>
      <c r="F2" s="6" t="s">
        <v>783</v>
      </c>
      <c r="G2" s="6" t="s">
        <v>784</v>
      </c>
      <c r="H2" s="6" t="s">
        <v>785</v>
      </c>
      <c r="I2" s="6" t="s">
        <v>786</v>
      </c>
      <c r="J2" s="6" t="s">
        <v>787</v>
      </c>
      <c r="K2" s="6" t="s">
        <v>788</v>
      </c>
    </row>
    <row r="3" spans="1:11" x14ac:dyDescent="0.2">
      <c r="A3" s="143" t="s">
        <v>789</v>
      </c>
      <c r="B3" s="14" t="s">
        <v>790</v>
      </c>
      <c r="C3" s="27" t="s">
        <v>791</v>
      </c>
      <c r="D3" s="10" t="s">
        <v>792</v>
      </c>
      <c r="E3" s="10" t="s">
        <v>793</v>
      </c>
      <c r="F3" s="27" t="s">
        <v>794</v>
      </c>
      <c r="G3" s="27" t="s">
        <v>794</v>
      </c>
      <c r="H3" s="27" t="s">
        <v>794</v>
      </c>
      <c r="I3" s="10" t="s">
        <v>795</v>
      </c>
      <c r="J3" s="10" t="s">
        <v>796</v>
      </c>
      <c r="K3" s="10" t="s">
        <v>797</v>
      </c>
    </row>
    <row r="4" spans="1:11" x14ac:dyDescent="0.2">
      <c r="A4" s="144"/>
      <c r="B4" s="8" t="s">
        <v>791</v>
      </c>
      <c r="C4" s="13" t="s">
        <v>790</v>
      </c>
      <c r="D4" s="8" t="s">
        <v>798</v>
      </c>
      <c r="E4" s="8" t="s">
        <v>790</v>
      </c>
      <c r="F4" s="13" t="s">
        <v>799</v>
      </c>
      <c r="G4" s="13" t="s">
        <v>799</v>
      </c>
      <c r="H4" s="108" t="s">
        <v>799</v>
      </c>
      <c r="I4" s="8" t="s">
        <v>797</v>
      </c>
      <c r="J4" s="8" t="s">
        <v>797</v>
      </c>
      <c r="K4" s="8" t="s">
        <v>795</v>
      </c>
    </row>
    <row r="5" spans="1:11" x14ac:dyDescent="0.2">
      <c r="A5" s="144"/>
      <c r="B5" s="11"/>
      <c r="C5" s="11"/>
      <c r="D5" s="9"/>
      <c r="E5" s="9"/>
      <c r="F5" s="11"/>
      <c r="G5" s="11"/>
      <c r="H5" s="11"/>
      <c r="I5" s="9"/>
      <c r="J5" s="9"/>
      <c r="K5" s="9"/>
    </row>
    <row r="6" spans="1:11" ht="16.5" customHeight="1" x14ac:dyDescent="0.2">
      <c r="A6" s="145" t="s">
        <v>800</v>
      </c>
      <c r="B6" s="8"/>
      <c r="C6" s="8"/>
      <c r="D6" s="15" t="s">
        <v>801</v>
      </c>
      <c r="E6" s="8"/>
      <c r="F6" s="8"/>
      <c r="G6" s="8"/>
      <c r="H6" s="15" t="s">
        <v>802</v>
      </c>
      <c r="I6" s="8"/>
      <c r="J6" s="8"/>
      <c r="K6" s="8"/>
    </row>
    <row r="7" spans="1:11" ht="17.25" customHeight="1" x14ac:dyDescent="0.2">
      <c r="A7" s="146"/>
      <c r="D7" s="28" t="s">
        <v>803</v>
      </c>
      <c r="H7" s="13"/>
    </row>
    <row r="8" spans="1:11" ht="20.25" customHeight="1" thickBot="1" x14ac:dyDescent="0.25">
      <c r="A8" s="146"/>
      <c r="B8" s="8"/>
      <c r="D8" s="8"/>
      <c r="E8" s="8"/>
      <c r="F8" s="13"/>
      <c r="G8" s="13"/>
      <c r="H8" s="13"/>
      <c r="I8" s="8"/>
      <c r="J8" s="8"/>
      <c r="K8" s="8"/>
    </row>
    <row r="9" spans="1:11" x14ac:dyDescent="0.2">
      <c r="A9" s="147" t="s">
        <v>804</v>
      </c>
      <c r="B9" s="99" t="s">
        <v>805</v>
      </c>
      <c r="C9" s="99" t="s">
        <v>805</v>
      </c>
      <c r="D9" s="94" t="s">
        <v>806</v>
      </c>
      <c r="E9" s="94" t="s">
        <v>807</v>
      </c>
      <c r="F9" s="94" t="s">
        <v>808</v>
      </c>
      <c r="G9" s="94" t="s">
        <v>808</v>
      </c>
      <c r="H9" s="94" t="s">
        <v>808</v>
      </c>
      <c r="I9" s="94" t="s">
        <v>809</v>
      </c>
      <c r="J9" s="94" t="s">
        <v>809</v>
      </c>
      <c r="K9" s="94" t="s">
        <v>809</v>
      </c>
    </row>
    <row r="10" spans="1:11" x14ac:dyDescent="0.2">
      <c r="A10" s="147"/>
      <c r="B10" s="101" t="s">
        <v>810</v>
      </c>
      <c r="C10" s="98" t="s">
        <v>810</v>
      </c>
      <c r="D10" s="95" t="s">
        <v>811</v>
      </c>
      <c r="E10" s="95" t="s">
        <v>812</v>
      </c>
      <c r="F10" s="95" t="s">
        <v>813</v>
      </c>
      <c r="G10" s="95" t="s">
        <v>813</v>
      </c>
      <c r="H10" s="95" t="s">
        <v>813</v>
      </c>
      <c r="I10" s="95" t="s">
        <v>814</v>
      </c>
      <c r="J10" s="95" t="s">
        <v>814</v>
      </c>
      <c r="K10" s="95" t="s">
        <v>814</v>
      </c>
    </row>
    <row r="11" spans="1:11" x14ac:dyDescent="0.2">
      <c r="A11" s="147"/>
      <c r="B11" s="94" t="s">
        <v>807</v>
      </c>
      <c r="C11" s="94" t="s">
        <v>807</v>
      </c>
      <c r="D11" s="99" t="s">
        <v>805</v>
      </c>
      <c r="E11" s="99" t="s">
        <v>805</v>
      </c>
      <c r="F11" s="99" t="s">
        <v>805</v>
      </c>
      <c r="G11" s="99" t="s">
        <v>805</v>
      </c>
      <c r="H11" s="99" t="s">
        <v>805</v>
      </c>
      <c r="I11" s="99" t="s">
        <v>805</v>
      </c>
      <c r="J11" s="99" t="s">
        <v>805</v>
      </c>
      <c r="K11" s="99" t="s">
        <v>805</v>
      </c>
    </row>
    <row r="12" spans="1:11" x14ac:dyDescent="0.2">
      <c r="A12" s="147"/>
      <c r="B12" s="101" t="s">
        <v>812</v>
      </c>
      <c r="C12" s="98" t="s">
        <v>812</v>
      </c>
      <c r="D12" s="95" t="s">
        <v>810</v>
      </c>
      <c r="E12" s="95" t="s">
        <v>810</v>
      </c>
      <c r="F12" s="95" t="s">
        <v>810</v>
      </c>
      <c r="G12" s="95" t="s">
        <v>810</v>
      </c>
      <c r="H12" s="95" t="s">
        <v>810</v>
      </c>
      <c r="I12" s="95" t="s">
        <v>810</v>
      </c>
      <c r="J12" s="95" t="s">
        <v>810</v>
      </c>
      <c r="K12" s="95" t="s">
        <v>810</v>
      </c>
    </row>
    <row r="13" spans="1:11" x14ac:dyDescent="0.2">
      <c r="A13" s="147"/>
      <c r="B13" s="94" t="s">
        <v>806</v>
      </c>
      <c r="C13" s="94" t="s">
        <v>806</v>
      </c>
      <c r="D13" s="94" t="s">
        <v>807</v>
      </c>
      <c r="E13" s="94" t="s">
        <v>806</v>
      </c>
      <c r="F13" s="94" t="s">
        <v>807</v>
      </c>
      <c r="G13" s="94" t="s">
        <v>807</v>
      </c>
      <c r="H13" s="94" t="s">
        <v>807</v>
      </c>
      <c r="I13" s="94" t="s">
        <v>807</v>
      </c>
      <c r="J13" s="94" t="s">
        <v>807</v>
      </c>
      <c r="K13" s="94" t="s">
        <v>807</v>
      </c>
    </row>
    <row r="14" spans="1:11" x14ac:dyDescent="0.2">
      <c r="A14" s="148"/>
      <c r="B14" s="100" t="s">
        <v>811</v>
      </c>
      <c r="C14" s="98" t="s">
        <v>811</v>
      </c>
      <c r="D14" s="95" t="s">
        <v>812</v>
      </c>
      <c r="E14" s="95" t="s">
        <v>811</v>
      </c>
      <c r="F14" s="95" t="s">
        <v>812</v>
      </c>
      <c r="G14" s="95" t="s">
        <v>812</v>
      </c>
      <c r="H14" s="95" t="s">
        <v>812</v>
      </c>
      <c r="I14" s="95" t="s">
        <v>812</v>
      </c>
      <c r="J14" s="95" t="s">
        <v>812</v>
      </c>
      <c r="K14" s="95" t="s">
        <v>812</v>
      </c>
    </row>
    <row r="15" spans="1:11" x14ac:dyDescent="0.2">
      <c r="A15" s="149" t="s">
        <v>815</v>
      </c>
      <c r="B15" s="8" t="s">
        <v>816</v>
      </c>
      <c r="C15" s="8" t="s">
        <v>817</v>
      </c>
      <c r="D15" s="8" t="s">
        <v>817</v>
      </c>
      <c r="E15" t="s">
        <v>818</v>
      </c>
      <c r="F15" s="13" t="s">
        <v>819</v>
      </c>
      <c r="G15" s="13" t="s">
        <v>819</v>
      </c>
      <c r="H15" s="13" t="s">
        <v>819</v>
      </c>
      <c r="I15" s="8" t="s">
        <v>820</v>
      </c>
      <c r="J15" s="8" t="s">
        <v>820</v>
      </c>
      <c r="K15" s="8" t="s">
        <v>820</v>
      </c>
    </row>
    <row r="16" spans="1:11" x14ac:dyDescent="0.2">
      <c r="A16" s="149"/>
      <c r="B16" s="8" t="s">
        <v>821</v>
      </c>
      <c r="C16" s="8" t="s">
        <v>822</v>
      </c>
      <c r="D16" s="8" t="s">
        <v>822</v>
      </c>
      <c r="E16" t="s">
        <v>823</v>
      </c>
      <c r="F16" s="13" t="s">
        <v>824</v>
      </c>
      <c r="G16" s="13" t="s">
        <v>824</v>
      </c>
      <c r="H16" s="13" t="s">
        <v>824</v>
      </c>
      <c r="I16" s="8" t="s">
        <v>825</v>
      </c>
      <c r="J16" s="8" t="s">
        <v>825</v>
      </c>
      <c r="K16" s="8" t="s">
        <v>825</v>
      </c>
    </row>
    <row r="17" spans="1:11" x14ac:dyDescent="0.2">
      <c r="A17" s="149"/>
      <c r="B17" s="33" t="s">
        <v>817</v>
      </c>
      <c r="C17" s="33" t="s">
        <v>816</v>
      </c>
      <c r="D17" s="33" t="s">
        <v>816</v>
      </c>
      <c r="E17" s="33" t="s">
        <v>817</v>
      </c>
      <c r="F17" s="13"/>
      <c r="G17" s="13"/>
      <c r="H17" s="13"/>
      <c r="I17" s="8"/>
      <c r="J17" s="8"/>
      <c r="K17" s="8"/>
    </row>
    <row r="18" spans="1:11" x14ac:dyDescent="0.2">
      <c r="A18" s="149"/>
      <c r="B18" s="110" t="s">
        <v>822</v>
      </c>
      <c r="C18" s="110" t="s">
        <v>821</v>
      </c>
      <c r="D18" s="110" t="s">
        <v>821</v>
      </c>
      <c r="E18" s="111" t="s">
        <v>816</v>
      </c>
      <c r="F18" s="13"/>
      <c r="G18" s="13"/>
      <c r="H18" s="13"/>
      <c r="I18" s="9"/>
      <c r="J18" s="9"/>
      <c r="K18" s="9"/>
    </row>
    <row r="19" spans="1:11" x14ac:dyDescent="0.2">
      <c r="A19" s="150" t="s">
        <v>826</v>
      </c>
      <c r="B19" s="28" t="s">
        <v>827</v>
      </c>
      <c r="C19" s="31" t="s">
        <v>827</v>
      </c>
      <c r="D19" s="13" t="s">
        <v>827</v>
      </c>
      <c r="E19" s="13" t="s">
        <v>827</v>
      </c>
      <c r="F19" s="13" t="s">
        <v>827</v>
      </c>
      <c r="G19" s="13" t="s">
        <v>827</v>
      </c>
      <c r="H19" s="13" t="s">
        <v>827</v>
      </c>
      <c r="I19" s="13" t="s">
        <v>827</v>
      </c>
      <c r="J19" s="13" t="s">
        <v>827</v>
      </c>
      <c r="K19" s="13" t="s">
        <v>827</v>
      </c>
    </row>
    <row r="20" spans="1:11" x14ac:dyDescent="0.2">
      <c r="A20" s="151"/>
      <c r="B20" s="28" t="s">
        <v>272</v>
      </c>
      <c r="C20" s="28" t="s">
        <v>272</v>
      </c>
      <c r="D20" s="28" t="s">
        <v>272</v>
      </c>
      <c r="E20" s="28" t="s">
        <v>272</v>
      </c>
      <c r="F20" s="28" t="s">
        <v>272</v>
      </c>
      <c r="G20" s="28" t="s">
        <v>272</v>
      </c>
      <c r="H20" s="28" t="s">
        <v>272</v>
      </c>
      <c r="I20" s="28" t="s">
        <v>272</v>
      </c>
      <c r="J20" s="28" t="s">
        <v>272</v>
      </c>
      <c r="K20" s="28" t="s">
        <v>272</v>
      </c>
    </row>
    <row r="21" spans="1:11" x14ac:dyDescent="0.2">
      <c r="A21" s="151"/>
      <c r="B21" s="13"/>
      <c r="C21" s="13"/>
      <c r="D21" s="13"/>
      <c r="E21" s="13"/>
      <c r="F21" s="13"/>
      <c r="G21" s="13"/>
      <c r="H21" s="13"/>
      <c r="I21" s="13"/>
      <c r="J21" s="13"/>
      <c r="K21" s="13"/>
    </row>
    <row r="22" spans="1:11" x14ac:dyDescent="0.2">
      <c r="A22" s="152"/>
      <c r="B22" s="11"/>
      <c r="C22" s="11"/>
      <c r="D22" s="11"/>
      <c r="E22" s="11"/>
      <c r="F22" s="11"/>
      <c r="G22" s="11"/>
      <c r="H22" s="11"/>
      <c r="I22" s="11"/>
      <c r="J22" s="11"/>
      <c r="K22" s="11"/>
    </row>
    <row r="23" spans="1:11" x14ac:dyDescent="0.2">
      <c r="A23" s="153" t="s">
        <v>828</v>
      </c>
      <c r="B23" s="28"/>
      <c r="C23" s="28"/>
      <c r="D23" s="28"/>
      <c r="E23" s="30" t="s">
        <v>829</v>
      </c>
      <c r="F23" s="28"/>
      <c r="G23" s="28"/>
      <c r="H23" s="28"/>
      <c r="I23" s="28"/>
      <c r="J23" s="28"/>
      <c r="K23" s="28"/>
    </row>
    <row r="24" spans="1:11" x14ac:dyDescent="0.2">
      <c r="A24" s="154"/>
      <c r="B24" s="28"/>
      <c r="C24" s="28"/>
      <c r="D24" s="28"/>
      <c r="E24" s="30" t="s">
        <v>830</v>
      </c>
      <c r="F24" s="28"/>
      <c r="G24" s="28"/>
      <c r="H24" s="28"/>
      <c r="I24" s="28"/>
      <c r="J24" s="28"/>
      <c r="K24" s="28"/>
    </row>
    <row r="25" spans="1:11" x14ac:dyDescent="0.2">
      <c r="A25" s="154"/>
      <c r="B25" s="28"/>
      <c r="C25" s="28"/>
      <c r="D25" s="28"/>
      <c r="E25" s="28"/>
      <c r="F25" s="28"/>
      <c r="G25" s="28"/>
      <c r="H25" s="28"/>
      <c r="I25" s="28"/>
      <c r="J25" s="28"/>
      <c r="K25" s="28"/>
    </row>
    <row r="26" spans="1:11" x14ac:dyDescent="0.2">
      <c r="A26" s="155"/>
      <c r="B26" s="28"/>
      <c r="C26" s="28"/>
      <c r="D26" s="28"/>
      <c r="E26" s="28"/>
      <c r="F26" s="28"/>
      <c r="G26" s="28"/>
      <c r="H26" s="28"/>
      <c r="I26" s="28"/>
      <c r="J26" s="28"/>
      <c r="K26" s="28"/>
    </row>
    <row r="27" spans="1:11" ht="12.75" customHeight="1" x14ac:dyDescent="0.2">
      <c r="A27" s="139" t="s">
        <v>831</v>
      </c>
      <c r="B27" s="31" t="s">
        <v>832</v>
      </c>
      <c r="C27" s="31" t="s">
        <v>833</v>
      </c>
      <c r="D27" s="31" t="s">
        <v>323</v>
      </c>
      <c r="E27" s="31" t="s">
        <v>834</v>
      </c>
      <c r="F27" s="31" t="s">
        <v>835</v>
      </c>
      <c r="G27" s="31" t="s">
        <v>835</v>
      </c>
      <c r="H27" s="31" t="s">
        <v>835</v>
      </c>
      <c r="I27" s="31" t="s">
        <v>836</v>
      </c>
      <c r="J27" s="31" t="s">
        <v>837</v>
      </c>
      <c r="K27" s="31" t="s">
        <v>837</v>
      </c>
    </row>
    <row r="28" spans="1:11" x14ac:dyDescent="0.2">
      <c r="A28" s="140"/>
      <c r="B28" s="28" t="s">
        <v>838</v>
      </c>
      <c r="C28" s="28" t="s">
        <v>839</v>
      </c>
      <c r="D28" s="28" t="s">
        <v>833</v>
      </c>
      <c r="E28" s="28" t="s">
        <v>840</v>
      </c>
      <c r="F28" s="28" t="s">
        <v>841</v>
      </c>
      <c r="G28" s="28" t="s">
        <v>841</v>
      </c>
      <c r="H28" s="28" t="s">
        <v>841</v>
      </c>
      <c r="I28" s="28" t="s">
        <v>837</v>
      </c>
      <c r="J28" s="31" t="s">
        <v>836</v>
      </c>
      <c r="K28" s="31" t="s">
        <v>836</v>
      </c>
    </row>
    <row r="29" spans="1:11" x14ac:dyDescent="0.2">
      <c r="A29" s="140"/>
      <c r="B29" s="28" t="s">
        <v>833</v>
      </c>
      <c r="C29" s="28" t="s">
        <v>840</v>
      </c>
      <c r="D29" s="28" t="s">
        <v>839</v>
      </c>
      <c r="E29" s="28" t="s">
        <v>839</v>
      </c>
      <c r="F29" s="28" t="s">
        <v>842</v>
      </c>
      <c r="G29" s="28" t="s">
        <v>842</v>
      </c>
      <c r="H29" s="28" t="s">
        <v>842</v>
      </c>
      <c r="I29" s="28"/>
      <c r="J29" s="31"/>
      <c r="K29" s="28"/>
    </row>
    <row r="30" spans="1:11" x14ac:dyDescent="0.2">
      <c r="A30" s="141"/>
      <c r="B30" s="13"/>
      <c r="C30" s="13"/>
      <c r="D30" s="13"/>
      <c r="E30" s="13"/>
      <c r="F30" s="13"/>
      <c r="G30" s="13"/>
      <c r="H30" s="13"/>
      <c r="I30" s="28"/>
      <c r="J30" s="73"/>
      <c r="K30" s="73"/>
    </row>
    <row r="31" spans="1:11" x14ac:dyDescent="0.2">
      <c r="A31" s="22" t="s">
        <v>843</v>
      </c>
      <c r="B31" s="34" t="s">
        <v>844</v>
      </c>
      <c r="C31" s="34" t="s">
        <v>844</v>
      </c>
      <c r="D31" s="31" t="s">
        <v>845</v>
      </c>
      <c r="E31" s="31" t="s">
        <v>846</v>
      </c>
      <c r="F31" s="31" t="s">
        <v>847</v>
      </c>
      <c r="G31" s="31" t="s">
        <v>847</v>
      </c>
      <c r="H31" s="31" t="s">
        <v>848</v>
      </c>
      <c r="I31" s="26" t="s">
        <v>849</v>
      </c>
      <c r="J31" s="26" t="s">
        <v>849</v>
      </c>
      <c r="K31" s="26" t="s">
        <v>849</v>
      </c>
    </row>
    <row r="32" spans="1:11" x14ac:dyDescent="0.2">
      <c r="A32" s="23" t="s">
        <v>222</v>
      </c>
      <c r="B32" s="37" t="s">
        <v>991</v>
      </c>
      <c r="C32" s="37" t="s">
        <v>991</v>
      </c>
      <c r="D32" s="37" t="s">
        <v>991</v>
      </c>
      <c r="E32" s="37" t="s">
        <v>991</v>
      </c>
      <c r="F32" s="37" t="s">
        <v>991</v>
      </c>
      <c r="G32" s="37" t="s">
        <v>991</v>
      </c>
      <c r="H32" s="37" t="s">
        <v>991</v>
      </c>
      <c r="I32" s="37" t="s">
        <v>991</v>
      </c>
      <c r="J32" s="37" t="s">
        <v>991</v>
      </c>
      <c r="K32" s="37" t="s">
        <v>991</v>
      </c>
    </row>
    <row r="33" spans="1:11" x14ac:dyDescent="0.2">
      <c r="A33" s="23" t="s">
        <v>850</v>
      </c>
      <c r="B33" s="20" t="s">
        <v>992</v>
      </c>
      <c r="C33" s="20" t="s">
        <v>992</v>
      </c>
      <c r="D33" s="20" t="s">
        <v>992</v>
      </c>
      <c r="E33" s="20" t="s">
        <v>992</v>
      </c>
      <c r="F33" s="20" t="s">
        <v>992</v>
      </c>
      <c r="G33" s="20" t="s">
        <v>992</v>
      </c>
      <c r="H33" s="20" t="s">
        <v>992</v>
      </c>
      <c r="I33" s="20" t="s">
        <v>992</v>
      </c>
      <c r="J33" s="20" t="s">
        <v>992</v>
      </c>
      <c r="K33" s="20" t="s">
        <v>992</v>
      </c>
    </row>
    <row r="34" spans="1:11" x14ac:dyDescent="0.2">
      <c r="A34" s="117" t="s">
        <v>851</v>
      </c>
      <c r="B34" s="20" t="s">
        <v>852</v>
      </c>
      <c r="C34" s="20" t="s">
        <v>853</v>
      </c>
      <c r="D34" s="20"/>
      <c r="E34" s="20"/>
      <c r="F34" s="20"/>
      <c r="G34" s="20" t="s">
        <v>854</v>
      </c>
      <c r="H34" s="20" t="s">
        <v>854</v>
      </c>
      <c r="I34" s="20"/>
      <c r="J34" s="20"/>
      <c r="K34" s="20"/>
    </row>
    <row r="35" spans="1:11" ht="25.5" customHeight="1" x14ac:dyDescent="0.2">
      <c r="A35" s="139" t="s">
        <v>855</v>
      </c>
      <c r="B35" s="38" t="s">
        <v>856</v>
      </c>
      <c r="C35" s="38" t="s">
        <v>856</v>
      </c>
      <c r="D35" s="38" t="s">
        <v>856</v>
      </c>
      <c r="E35" s="38" t="s">
        <v>856</v>
      </c>
      <c r="F35" s="38" t="s">
        <v>856</v>
      </c>
      <c r="G35" s="15" t="s">
        <v>856</v>
      </c>
      <c r="H35" s="38" t="s">
        <v>856</v>
      </c>
      <c r="I35" s="15" t="s">
        <v>856</v>
      </c>
      <c r="J35" s="15" t="s">
        <v>856</v>
      </c>
      <c r="K35" s="15" t="s">
        <v>856</v>
      </c>
    </row>
    <row r="36" spans="1:11" x14ac:dyDescent="0.2">
      <c r="A36" s="140"/>
      <c r="B36" s="13" t="s">
        <v>857</v>
      </c>
      <c r="C36" s="12" t="s">
        <v>857</v>
      </c>
      <c r="D36" s="12" t="s">
        <v>857</v>
      </c>
      <c r="E36" s="12" t="s">
        <v>857</v>
      </c>
      <c r="F36" s="12" t="s">
        <v>857</v>
      </c>
      <c r="G36" s="13" t="s">
        <v>857</v>
      </c>
      <c r="H36" s="12" t="s">
        <v>857</v>
      </c>
      <c r="I36" s="13" t="s">
        <v>857</v>
      </c>
      <c r="J36" s="13" t="s">
        <v>857</v>
      </c>
      <c r="K36" s="13" t="s">
        <v>857</v>
      </c>
    </row>
    <row r="37" spans="1:11" x14ac:dyDescent="0.2">
      <c r="A37" s="140"/>
      <c r="B37" s="13" t="s">
        <v>858</v>
      </c>
      <c r="C37" s="12" t="s">
        <v>858</v>
      </c>
      <c r="D37" s="12" t="s">
        <v>858</v>
      </c>
      <c r="E37" s="12" t="s">
        <v>858</v>
      </c>
      <c r="F37" s="12" t="s">
        <v>858</v>
      </c>
      <c r="G37" s="13" t="s">
        <v>858</v>
      </c>
      <c r="H37" s="12" t="s">
        <v>858</v>
      </c>
      <c r="I37" s="13" t="s">
        <v>858</v>
      </c>
      <c r="J37" s="13" t="s">
        <v>858</v>
      </c>
      <c r="K37" s="13" t="s">
        <v>858</v>
      </c>
    </row>
    <row r="38" spans="1:11" x14ac:dyDescent="0.2">
      <c r="A38" s="140"/>
      <c r="B38" s="12" t="s">
        <v>317</v>
      </c>
      <c r="C38" s="12" t="s">
        <v>317</v>
      </c>
      <c r="D38" t="s">
        <v>803</v>
      </c>
      <c r="E38" s="12" t="s">
        <v>859</v>
      </c>
      <c r="F38" s="12" t="s">
        <v>860</v>
      </c>
      <c r="G38" s="13" t="s">
        <v>860</v>
      </c>
      <c r="H38" s="12" t="s">
        <v>860</v>
      </c>
      <c r="I38" s="28" t="s">
        <v>837</v>
      </c>
      <c r="J38" s="28" t="s">
        <v>837</v>
      </c>
      <c r="K38" s="28" t="s">
        <v>837</v>
      </c>
    </row>
    <row r="39" spans="1:11" x14ac:dyDescent="0.2">
      <c r="A39" s="140"/>
      <c r="B39" s="13" t="s">
        <v>319</v>
      </c>
      <c r="C39" t="s">
        <v>319</v>
      </c>
      <c r="D39" s="12" t="s">
        <v>317</v>
      </c>
      <c r="E39" s="12" t="s">
        <v>829</v>
      </c>
      <c r="F39" s="12" t="s">
        <v>335</v>
      </c>
      <c r="G39" s="13" t="s">
        <v>335</v>
      </c>
      <c r="H39" s="40" t="s">
        <v>861</v>
      </c>
      <c r="I39" s="28" t="s">
        <v>836</v>
      </c>
      <c r="J39" s="28" t="s">
        <v>836</v>
      </c>
      <c r="K39" s="28" t="s">
        <v>836</v>
      </c>
    </row>
    <row r="40" spans="1:11" x14ac:dyDescent="0.2">
      <c r="A40" s="140"/>
      <c r="B40" s="13" t="s">
        <v>321</v>
      </c>
      <c r="C40" s="8" t="s">
        <v>321</v>
      </c>
      <c r="D40" t="s">
        <v>319</v>
      </c>
      <c r="E40" s="12" t="s">
        <v>830</v>
      </c>
      <c r="F40" s="12" t="s">
        <v>337</v>
      </c>
      <c r="G40" s="13" t="s">
        <v>337</v>
      </c>
      <c r="H40" s="40" t="s">
        <v>862</v>
      </c>
      <c r="I40" s="28" t="s">
        <v>861</v>
      </c>
      <c r="J40" s="28" t="s">
        <v>861</v>
      </c>
      <c r="K40" s="28" t="s">
        <v>861</v>
      </c>
    </row>
    <row r="41" spans="1:11" x14ac:dyDescent="0.2">
      <c r="A41" s="140"/>
      <c r="B41" s="12" t="s">
        <v>323</v>
      </c>
      <c r="C41" s="12" t="s">
        <v>323</v>
      </c>
      <c r="D41" t="s">
        <v>321</v>
      </c>
      <c r="E41" s="12" t="s">
        <v>863</v>
      </c>
      <c r="F41" s="17" t="s">
        <v>861</v>
      </c>
      <c r="G41" s="28" t="s">
        <v>861</v>
      </c>
      <c r="H41" s="28" t="s">
        <v>842</v>
      </c>
      <c r="I41" s="13" t="s">
        <v>864</v>
      </c>
      <c r="J41" s="13" t="s">
        <v>864</v>
      </c>
      <c r="K41" s="13" t="s">
        <v>864</v>
      </c>
    </row>
    <row r="42" spans="1:11" x14ac:dyDescent="0.2">
      <c r="A42" s="140"/>
      <c r="B42" s="12" t="s">
        <v>865</v>
      </c>
      <c r="C42" s="12" t="s">
        <v>865</v>
      </c>
      <c r="D42" s="13" t="s">
        <v>323</v>
      </c>
      <c r="E42" s="13" t="s">
        <v>317</v>
      </c>
      <c r="F42" t="s">
        <v>864</v>
      </c>
      <c r="G42" s="13" t="s">
        <v>864</v>
      </c>
      <c r="I42" s="13" t="s">
        <v>866</v>
      </c>
      <c r="J42" s="13" t="s">
        <v>866</v>
      </c>
      <c r="K42" s="13" t="s">
        <v>866</v>
      </c>
    </row>
    <row r="43" spans="1:11" x14ac:dyDescent="0.2">
      <c r="A43" s="140"/>
      <c r="B43" s="40" t="s">
        <v>861</v>
      </c>
      <c r="C43" s="40" t="s">
        <v>861</v>
      </c>
      <c r="D43" s="13" t="s">
        <v>865</v>
      </c>
      <c r="E43" s="13" t="s">
        <v>319</v>
      </c>
      <c r="F43" s="13" t="s">
        <v>867</v>
      </c>
      <c r="G43" s="13" t="s">
        <v>868</v>
      </c>
      <c r="H43" s="12"/>
      <c r="I43" s="13" t="s">
        <v>869</v>
      </c>
      <c r="J43" s="13" t="s">
        <v>869</v>
      </c>
      <c r="K43" s="13" t="s">
        <v>869</v>
      </c>
    </row>
    <row r="44" spans="1:11" x14ac:dyDescent="0.2">
      <c r="A44" s="140"/>
      <c r="B44" s="13" t="s">
        <v>870</v>
      </c>
      <c r="C44" s="13" t="s">
        <v>870</v>
      </c>
      <c r="D44" s="28" t="s">
        <v>861</v>
      </c>
      <c r="E44" s="13" t="s">
        <v>321</v>
      </c>
      <c r="F44" s="28" t="s">
        <v>842</v>
      </c>
      <c r="G44" s="28" t="s">
        <v>867</v>
      </c>
      <c r="H44" s="12"/>
      <c r="I44" s="28" t="s">
        <v>871</v>
      </c>
      <c r="J44" s="28" t="s">
        <v>871</v>
      </c>
      <c r="K44" s="28" t="s">
        <v>871</v>
      </c>
    </row>
    <row r="45" spans="1:11" x14ac:dyDescent="0.2">
      <c r="A45" s="140"/>
      <c r="B45" t="s">
        <v>864</v>
      </c>
      <c r="C45" t="s">
        <v>864</v>
      </c>
      <c r="D45" s="13" t="s">
        <v>870</v>
      </c>
      <c r="E45" s="13" t="s">
        <v>323</v>
      </c>
      <c r="F45" s="13"/>
      <c r="G45" s="28" t="s">
        <v>842</v>
      </c>
      <c r="I45" s="13"/>
      <c r="J45" s="13"/>
      <c r="K45" s="13"/>
    </row>
    <row r="46" spans="1:11" x14ac:dyDescent="0.2">
      <c r="A46" s="140"/>
      <c r="D46" t="s">
        <v>864</v>
      </c>
      <c r="E46" s="13" t="s">
        <v>865</v>
      </c>
      <c r="F46" s="13"/>
      <c r="H46" s="12"/>
      <c r="I46" s="28"/>
      <c r="J46" s="28"/>
      <c r="K46" s="28"/>
    </row>
    <row r="47" spans="1:11" x14ac:dyDescent="0.2">
      <c r="A47" s="140"/>
      <c r="B47" s="13"/>
      <c r="C47" s="12"/>
      <c r="D47" t="s">
        <v>872</v>
      </c>
      <c r="E47" s="28" t="s">
        <v>861</v>
      </c>
      <c r="F47" s="13"/>
      <c r="G47" s="13"/>
      <c r="H47" s="12"/>
      <c r="I47" s="13"/>
      <c r="J47" s="13"/>
      <c r="K47" s="13"/>
    </row>
    <row r="48" spans="1:11" x14ac:dyDescent="0.2">
      <c r="A48" s="140"/>
      <c r="D48" s="8" t="s">
        <v>873</v>
      </c>
      <c r="E48" s="13" t="s">
        <v>870</v>
      </c>
      <c r="F48" s="13"/>
      <c r="G48" s="13"/>
      <c r="H48" s="12"/>
      <c r="I48" s="13"/>
      <c r="J48" s="13"/>
      <c r="K48" s="13"/>
    </row>
    <row r="49" spans="1:11" x14ac:dyDescent="0.2">
      <c r="A49" s="140"/>
      <c r="D49" t="s">
        <v>801</v>
      </c>
      <c r="E49" s="13" t="s">
        <v>864</v>
      </c>
      <c r="F49" s="13"/>
      <c r="G49" s="13"/>
      <c r="H49" s="12"/>
      <c r="I49" s="13"/>
      <c r="J49" s="13"/>
      <c r="K49" s="13"/>
    </row>
    <row r="50" spans="1:11" x14ac:dyDescent="0.2">
      <c r="A50" s="140"/>
      <c r="B50" s="13"/>
      <c r="C50" s="12"/>
      <c r="D50" s="33" t="s">
        <v>874</v>
      </c>
      <c r="E50" s="13"/>
      <c r="F50" s="13"/>
      <c r="G50" s="13"/>
      <c r="H50" s="12"/>
      <c r="I50" s="13"/>
      <c r="J50" s="13"/>
      <c r="K50" s="13"/>
    </row>
    <row r="51" spans="1:11" x14ac:dyDescent="0.2">
      <c r="A51" s="140"/>
      <c r="B51" s="13"/>
      <c r="C51" s="12"/>
      <c r="E51" s="13"/>
      <c r="F51" s="13"/>
      <c r="G51" s="13"/>
      <c r="H51" s="12"/>
      <c r="I51" s="13"/>
      <c r="J51" s="13"/>
      <c r="K51" s="13"/>
    </row>
    <row r="52" spans="1:11" x14ac:dyDescent="0.2">
      <c r="A52" s="140"/>
      <c r="B52" s="13"/>
      <c r="C52" s="8"/>
      <c r="F52" s="13"/>
      <c r="G52" s="13"/>
      <c r="H52" s="12"/>
      <c r="I52" s="13"/>
      <c r="J52" s="13"/>
      <c r="K52" s="13"/>
    </row>
    <row r="53" spans="1:11" x14ac:dyDescent="0.2">
      <c r="A53" s="140"/>
      <c r="B53" s="13"/>
      <c r="C53" s="13"/>
      <c r="D53" s="13"/>
      <c r="F53" s="13"/>
      <c r="G53" s="13"/>
      <c r="H53" s="12"/>
      <c r="I53" s="13"/>
      <c r="J53" s="13"/>
      <c r="K53" s="13"/>
    </row>
    <row r="54" spans="1:11" x14ac:dyDescent="0.2">
      <c r="A54" s="141"/>
      <c r="B54" s="11"/>
      <c r="C54" s="11"/>
      <c r="D54" s="11"/>
      <c r="E54" s="11"/>
      <c r="F54" s="11"/>
      <c r="G54" s="11"/>
      <c r="H54" s="130"/>
      <c r="I54" s="11"/>
      <c r="J54" s="11"/>
      <c r="K54" s="11"/>
    </row>
    <row r="55" spans="1:11" ht="25.5" customHeight="1" x14ac:dyDescent="0.2">
      <c r="A55" s="139" t="s">
        <v>875</v>
      </c>
      <c r="B55" s="38" t="s">
        <v>876</v>
      </c>
      <c r="C55" s="38" t="s">
        <v>876</v>
      </c>
      <c r="D55" s="38" t="s">
        <v>876</v>
      </c>
      <c r="E55" s="38" t="s">
        <v>876</v>
      </c>
      <c r="F55" s="38" t="s">
        <v>876</v>
      </c>
      <c r="G55" s="38" t="s">
        <v>876</v>
      </c>
      <c r="H55" s="38" t="s">
        <v>876</v>
      </c>
      <c r="I55" s="15" t="s">
        <v>876</v>
      </c>
      <c r="J55" s="15" t="s">
        <v>876</v>
      </c>
      <c r="K55" s="15" t="s">
        <v>876</v>
      </c>
    </row>
    <row r="56" spans="1:11" x14ac:dyDescent="0.2">
      <c r="A56" s="140"/>
      <c r="B56" s="13" t="s">
        <v>877</v>
      </c>
      <c r="C56" s="13" t="s">
        <v>877</v>
      </c>
      <c r="D56" s="13" t="s">
        <v>877</v>
      </c>
      <c r="E56" s="13" t="s">
        <v>877</v>
      </c>
      <c r="F56" s="13" t="s">
        <v>877</v>
      </c>
      <c r="G56" s="13" t="s">
        <v>877</v>
      </c>
      <c r="H56" s="12" t="s">
        <v>877</v>
      </c>
      <c r="I56" s="13" t="s">
        <v>877</v>
      </c>
      <c r="J56" s="13" t="s">
        <v>877</v>
      </c>
      <c r="K56" s="13" t="s">
        <v>877</v>
      </c>
    </row>
    <row r="57" spans="1:11" x14ac:dyDescent="0.2">
      <c r="A57" s="140"/>
      <c r="B57" s="13" t="s">
        <v>878</v>
      </c>
      <c r="C57" s="13" t="s">
        <v>878</v>
      </c>
      <c r="D57" s="13" t="s">
        <v>878</v>
      </c>
      <c r="E57" s="13" t="s">
        <v>878</v>
      </c>
      <c r="F57" s="13" t="s">
        <v>878</v>
      </c>
      <c r="G57" s="13" t="s">
        <v>878</v>
      </c>
      <c r="H57" s="12" t="s">
        <v>878</v>
      </c>
      <c r="I57" s="13" t="s">
        <v>878</v>
      </c>
      <c r="J57" s="13" t="s">
        <v>878</v>
      </c>
      <c r="K57" s="13" t="s">
        <v>878</v>
      </c>
    </row>
    <row r="58" spans="1:11" x14ac:dyDescent="0.2">
      <c r="A58" s="140"/>
      <c r="B58" s="13" t="s">
        <v>879</v>
      </c>
      <c r="C58" s="13" t="s">
        <v>879</v>
      </c>
      <c r="D58" t="s">
        <v>880</v>
      </c>
      <c r="E58" s="12" t="s">
        <v>881</v>
      </c>
      <c r="F58" s="12" t="s">
        <v>882</v>
      </c>
      <c r="G58" s="12" t="s">
        <v>882</v>
      </c>
      <c r="H58" s="12" t="s">
        <v>882</v>
      </c>
      <c r="I58" s="28" t="s">
        <v>883</v>
      </c>
      <c r="J58" s="28" t="s">
        <v>883</v>
      </c>
      <c r="K58" s="28" t="s">
        <v>883</v>
      </c>
    </row>
    <row r="59" spans="1:11" x14ac:dyDescent="0.2">
      <c r="A59" s="140"/>
      <c r="B59" s="13" t="s">
        <v>884</v>
      </c>
      <c r="C59" s="13" t="s">
        <v>884</v>
      </c>
      <c r="D59" t="s">
        <v>879</v>
      </c>
      <c r="E59" s="12" t="s">
        <v>885</v>
      </c>
      <c r="F59" s="12" t="s">
        <v>886</v>
      </c>
      <c r="G59" s="13" t="s">
        <v>886</v>
      </c>
      <c r="H59" s="40" t="s">
        <v>887</v>
      </c>
      <c r="I59" s="28" t="s">
        <v>888</v>
      </c>
      <c r="J59" s="28" t="s">
        <v>888</v>
      </c>
      <c r="K59" s="28" t="s">
        <v>888</v>
      </c>
    </row>
    <row r="60" spans="1:11" x14ac:dyDescent="0.2">
      <c r="A60" s="140"/>
      <c r="B60" s="13" t="s">
        <v>889</v>
      </c>
      <c r="C60" s="13" t="s">
        <v>889</v>
      </c>
      <c r="D60" t="s">
        <v>884</v>
      </c>
      <c r="E60" s="12" t="s">
        <v>890</v>
      </c>
      <c r="F60" s="12" t="s">
        <v>891</v>
      </c>
      <c r="G60" s="13" t="s">
        <v>891</v>
      </c>
      <c r="H60" s="40" t="s">
        <v>892</v>
      </c>
      <c r="I60" s="28" t="s">
        <v>887</v>
      </c>
      <c r="J60" s="28" t="s">
        <v>887</v>
      </c>
      <c r="K60" s="28" t="s">
        <v>887</v>
      </c>
    </row>
    <row r="61" spans="1:11" x14ac:dyDescent="0.2">
      <c r="A61" s="140"/>
      <c r="B61" s="13" t="s">
        <v>893</v>
      </c>
      <c r="C61" s="13" t="s">
        <v>893</v>
      </c>
      <c r="D61" s="8" t="s">
        <v>889</v>
      </c>
      <c r="E61" s="12" t="s">
        <v>894</v>
      </c>
      <c r="F61" s="40" t="s">
        <v>887</v>
      </c>
      <c r="G61" s="40" t="s">
        <v>887</v>
      </c>
      <c r="H61" s="28" t="s">
        <v>895</v>
      </c>
      <c r="I61" s="13" t="s">
        <v>896</v>
      </c>
      <c r="J61" s="13" t="s">
        <v>896</v>
      </c>
      <c r="K61" s="13" t="s">
        <v>896</v>
      </c>
    </row>
    <row r="62" spans="1:11" x14ac:dyDescent="0.2">
      <c r="A62" s="140"/>
      <c r="B62" s="13" t="s">
        <v>897</v>
      </c>
      <c r="C62" s="13" t="s">
        <v>897</v>
      </c>
      <c r="D62" s="8" t="s">
        <v>893</v>
      </c>
      <c r="E62" t="s">
        <v>879</v>
      </c>
      <c r="F62" t="s">
        <v>896</v>
      </c>
      <c r="G62" t="s">
        <v>896</v>
      </c>
      <c r="H62" s="12"/>
      <c r="I62" s="13" t="s">
        <v>898</v>
      </c>
      <c r="J62" s="13" t="s">
        <v>898</v>
      </c>
      <c r="K62" s="13" t="s">
        <v>898</v>
      </c>
    </row>
    <row r="63" spans="1:11" x14ac:dyDescent="0.2">
      <c r="A63" s="140"/>
      <c r="B63" s="40" t="s">
        <v>887</v>
      </c>
      <c r="C63" s="40" t="s">
        <v>887</v>
      </c>
      <c r="D63" s="13" t="s">
        <v>897</v>
      </c>
      <c r="E63" t="s">
        <v>884</v>
      </c>
      <c r="F63" s="17" t="s">
        <v>899</v>
      </c>
      <c r="G63" s="13" t="s">
        <v>900</v>
      </c>
      <c r="H63" s="12"/>
      <c r="I63" s="13" t="s">
        <v>901</v>
      </c>
      <c r="J63" s="13" t="s">
        <v>901</v>
      </c>
      <c r="K63" s="13" t="s">
        <v>901</v>
      </c>
    </row>
    <row r="64" spans="1:11" x14ac:dyDescent="0.2">
      <c r="A64" s="140"/>
      <c r="B64" s="13" t="s">
        <v>902</v>
      </c>
      <c r="C64" s="13" t="s">
        <v>902</v>
      </c>
      <c r="D64" s="40" t="s">
        <v>887</v>
      </c>
      <c r="E64" s="8" t="s">
        <v>889</v>
      </c>
      <c r="F64" s="28" t="s">
        <v>895</v>
      </c>
      <c r="G64" t="s">
        <v>899</v>
      </c>
      <c r="H64" s="12"/>
      <c r="I64" s="28" t="s">
        <v>903</v>
      </c>
      <c r="J64" s="28" t="s">
        <v>903</v>
      </c>
      <c r="K64" s="28" t="s">
        <v>903</v>
      </c>
    </row>
    <row r="65" spans="1:11" x14ac:dyDescent="0.2">
      <c r="A65" s="140"/>
      <c r="B65" t="s">
        <v>896</v>
      </c>
      <c r="C65" t="s">
        <v>896</v>
      </c>
      <c r="D65" s="13" t="s">
        <v>902</v>
      </c>
      <c r="E65" s="12" t="s">
        <v>893</v>
      </c>
      <c r="F65" s="8"/>
      <c r="G65" s="28" t="s">
        <v>895</v>
      </c>
      <c r="I65" s="13"/>
      <c r="J65" s="13"/>
      <c r="K65" s="13"/>
    </row>
    <row r="66" spans="1:11" x14ac:dyDescent="0.2">
      <c r="A66" s="140"/>
      <c r="D66" t="s">
        <v>896</v>
      </c>
      <c r="E66" s="12" t="s">
        <v>897</v>
      </c>
      <c r="F66" s="12"/>
      <c r="H66" s="12"/>
      <c r="I66" s="28"/>
      <c r="J66" s="28"/>
      <c r="K66" s="28"/>
    </row>
    <row r="67" spans="1:11" x14ac:dyDescent="0.2">
      <c r="A67" s="140"/>
      <c r="B67" s="13"/>
      <c r="C67" s="12"/>
      <c r="D67" s="12" t="s">
        <v>904</v>
      </c>
      <c r="E67" s="40" t="s">
        <v>887</v>
      </c>
      <c r="F67" s="12"/>
      <c r="G67" s="13"/>
      <c r="H67" s="12"/>
      <c r="I67" s="13"/>
      <c r="J67" s="13"/>
      <c r="K67" s="13"/>
    </row>
    <row r="68" spans="1:11" x14ac:dyDescent="0.2">
      <c r="A68" s="140"/>
      <c r="D68" s="12" t="s">
        <v>905</v>
      </c>
      <c r="E68" s="13" t="s">
        <v>902</v>
      </c>
      <c r="F68" s="12"/>
      <c r="G68" s="13"/>
      <c r="H68" s="12"/>
      <c r="I68" s="13"/>
      <c r="J68" s="13"/>
      <c r="K68" s="13"/>
    </row>
    <row r="69" spans="1:11" x14ac:dyDescent="0.2">
      <c r="A69" s="140"/>
      <c r="D69" s="40" t="s">
        <v>906</v>
      </c>
      <c r="E69" t="s">
        <v>896</v>
      </c>
      <c r="F69" s="12"/>
      <c r="G69" s="13"/>
      <c r="H69" s="12"/>
      <c r="I69" s="13"/>
      <c r="J69" s="13"/>
      <c r="K69" s="13"/>
    </row>
    <row r="70" spans="1:11" x14ac:dyDescent="0.2">
      <c r="A70" s="140"/>
      <c r="B70" s="13"/>
      <c r="C70" s="12"/>
      <c r="D70" s="12"/>
      <c r="E70" s="13"/>
      <c r="F70" s="12"/>
      <c r="G70" s="13"/>
      <c r="H70" s="12"/>
      <c r="I70" s="13"/>
      <c r="J70" s="13"/>
      <c r="K70" s="13"/>
    </row>
    <row r="71" spans="1:11" x14ac:dyDescent="0.2">
      <c r="A71" s="140"/>
      <c r="B71" s="13"/>
      <c r="C71" s="12"/>
      <c r="F71" s="12"/>
      <c r="G71" s="13"/>
      <c r="H71" s="12"/>
      <c r="I71" s="13"/>
      <c r="J71" s="13"/>
      <c r="K71" s="13"/>
    </row>
    <row r="72" spans="1:11" x14ac:dyDescent="0.2">
      <c r="A72" s="140"/>
      <c r="B72" s="13"/>
      <c r="C72" s="12"/>
      <c r="F72" s="12"/>
      <c r="G72" s="13"/>
      <c r="H72" s="12"/>
      <c r="I72" s="13"/>
      <c r="J72" s="13"/>
      <c r="K72" s="13"/>
    </row>
    <row r="73" spans="1:11" x14ac:dyDescent="0.2">
      <c r="A73" s="140"/>
      <c r="B73" s="13"/>
      <c r="C73" s="8"/>
      <c r="D73" s="8"/>
      <c r="F73" s="8"/>
      <c r="G73" s="8"/>
      <c r="I73" s="13"/>
      <c r="J73" s="13"/>
      <c r="K73" s="13"/>
    </row>
    <row r="74" spans="1:11" x14ac:dyDescent="0.2">
      <c r="A74" s="141"/>
      <c r="B74" s="11"/>
      <c r="C74" s="11"/>
      <c r="D74" s="11"/>
      <c r="E74" s="11"/>
      <c r="F74" s="11"/>
      <c r="G74" s="11"/>
      <c r="H74" s="130"/>
      <c r="I74" s="11"/>
      <c r="J74" s="11"/>
      <c r="K74" s="11"/>
    </row>
    <row r="75" spans="1:11" x14ac:dyDescent="0.2">
      <c r="A75" s="139" t="s">
        <v>907</v>
      </c>
      <c r="B75" s="28" t="s">
        <v>908</v>
      </c>
      <c r="C75" s="17" t="s">
        <v>908</v>
      </c>
      <c r="D75" s="13" t="s">
        <v>908</v>
      </c>
      <c r="E75" t="s">
        <v>908</v>
      </c>
      <c r="F75" s="13" t="s">
        <v>908</v>
      </c>
      <c r="G75" s="13" t="s">
        <v>908</v>
      </c>
      <c r="H75" s="13" t="s">
        <v>908</v>
      </c>
      <c r="I75" s="13" t="s">
        <v>908</v>
      </c>
      <c r="J75" s="13" t="s">
        <v>908</v>
      </c>
      <c r="K75" s="13" t="s">
        <v>908</v>
      </c>
    </row>
    <row r="76" spans="1:11" x14ac:dyDescent="0.2">
      <c r="A76" s="156"/>
      <c r="B76" s="28" t="s">
        <v>909</v>
      </c>
      <c r="C76" s="28" t="s">
        <v>909</v>
      </c>
      <c r="D76" s="28" t="s">
        <v>909</v>
      </c>
      <c r="E76" s="28" t="s">
        <v>909</v>
      </c>
      <c r="F76" s="28" t="s">
        <v>909</v>
      </c>
      <c r="G76" s="28" t="s">
        <v>909</v>
      </c>
      <c r="H76" s="28" t="s">
        <v>909</v>
      </c>
      <c r="I76" s="28" t="s">
        <v>909</v>
      </c>
      <c r="J76" s="28" t="s">
        <v>909</v>
      </c>
      <c r="K76" s="28" t="s">
        <v>909</v>
      </c>
    </row>
    <row r="77" spans="1:11" x14ac:dyDescent="0.2">
      <c r="A77" s="156"/>
      <c r="B77" s="13"/>
      <c r="C77" s="13"/>
      <c r="D77" s="13"/>
      <c r="F77" s="13"/>
      <c r="G77" s="13"/>
      <c r="H77" s="13"/>
      <c r="I77" s="13"/>
      <c r="J77" s="13"/>
      <c r="K77" s="13"/>
    </row>
    <row r="78" spans="1:11" x14ac:dyDescent="0.2">
      <c r="A78" s="156"/>
      <c r="B78" s="13"/>
      <c r="C78" s="13"/>
      <c r="D78" s="13"/>
      <c r="E78" s="13"/>
      <c r="F78" s="13"/>
      <c r="G78" s="13"/>
      <c r="H78" s="13"/>
      <c r="I78" s="13"/>
      <c r="J78" s="13"/>
      <c r="K78" s="13"/>
    </row>
    <row r="79" spans="1:11" ht="25.5" x14ac:dyDescent="0.2">
      <c r="A79" s="45" t="s">
        <v>910</v>
      </c>
      <c r="B79" s="26" t="s">
        <v>911</v>
      </c>
      <c r="C79" s="26" t="s">
        <v>911</v>
      </c>
      <c r="D79" s="26" t="s">
        <v>781</v>
      </c>
      <c r="E79" s="26" t="s">
        <v>782</v>
      </c>
      <c r="F79" s="26" t="s">
        <v>783</v>
      </c>
      <c r="G79" s="26" t="s">
        <v>783</v>
      </c>
      <c r="H79" s="26" t="s">
        <v>783</v>
      </c>
      <c r="I79" s="26" t="s">
        <v>912</v>
      </c>
      <c r="J79" s="26" t="s">
        <v>912</v>
      </c>
      <c r="K79" s="26" t="s">
        <v>912</v>
      </c>
    </row>
    <row r="80" spans="1:11" ht="13.5" thickBot="1" x14ac:dyDescent="0.25">
      <c r="A80" s="45" t="s">
        <v>913</v>
      </c>
      <c r="B80" s="31" t="s">
        <v>914</v>
      </c>
      <c r="C80" s="31" t="s">
        <v>914</v>
      </c>
      <c r="D80" s="31" t="s">
        <v>914</v>
      </c>
      <c r="E80" s="31" t="s">
        <v>914</v>
      </c>
      <c r="F80" s="31" t="s">
        <v>914</v>
      </c>
      <c r="G80" s="31" t="s">
        <v>914</v>
      </c>
      <c r="H80" s="31" t="s">
        <v>914</v>
      </c>
      <c r="I80" s="31" t="s">
        <v>914</v>
      </c>
      <c r="J80" s="31" t="s">
        <v>914</v>
      </c>
      <c r="K80" s="31" t="s">
        <v>914</v>
      </c>
    </row>
    <row r="81" spans="1:11" x14ac:dyDescent="0.2">
      <c r="A81" s="157" t="s">
        <v>915</v>
      </c>
      <c r="B81" s="94" t="s">
        <v>916</v>
      </c>
      <c r="C81" s="94" t="s">
        <v>916</v>
      </c>
      <c r="D81" s="94"/>
      <c r="E81" s="94"/>
      <c r="F81" s="94"/>
      <c r="G81" s="94"/>
      <c r="H81" s="94"/>
      <c r="I81" s="94"/>
      <c r="J81" s="94"/>
      <c r="K81" s="94"/>
    </row>
    <row r="82" spans="1:11" ht="13.5" thickBot="1" x14ac:dyDescent="0.25">
      <c r="A82" s="158"/>
      <c r="B82" s="96" t="s">
        <v>917</v>
      </c>
      <c r="C82" s="96" t="s">
        <v>917</v>
      </c>
      <c r="D82" s="95"/>
      <c r="E82" s="95"/>
      <c r="F82" s="95"/>
      <c r="G82" s="95"/>
      <c r="H82" s="95"/>
      <c r="I82" s="95"/>
      <c r="J82" s="95"/>
      <c r="K82" s="95"/>
    </row>
    <row r="83" spans="1:11" x14ac:dyDescent="0.2">
      <c r="A83" s="158"/>
      <c r="B83" s="94" t="s">
        <v>918</v>
      </c>
      <c r="C83" s="94" t="s">
        <v>918</v>
      </c>
      <c r="D83" s="94"/>
      <c r="E83" s="94"/>
      <c r="F83" s="94"/>
      <c r="G83" s="94"/>
      <c r="H83" s="94"/>
      <c r="I83" s="94"/>
      <c r="J83" s="94"/>
      <c r="K83" s="94"/>
    </row>
    <row r="84" spans="1:11" ht="13.5" thickBot="1" x14ac:dyDescent="0.25">
      <c r="A84" s="158"/>
      <c r="B84" s="96" t="s">
        <v>919</v>
      </c>
      <c r="C84" s="96" t="s">
        <v>919</v>
      </c>
      <c r="D84" s="95"/>
      <c r="E84" s="95"/>
      <c r="F84" s="95"/>
      <c r="G84" s="95"/>
      <c r="H84" s="95"/>
      <c r="I84" s="95"/>
      <c r="J84" s="95"/>
      <c r="K84" s="95"/>
    </row>
    <row r="85" spans="1:11" x14ac:dyDescent="0.2">
      <c r="A85" s="158"/>
      <c r="B85" s="97"/>
      <c r="C85" s="97"/>
      <c r="D85" s="94"/>
      <c r="E85" s="94"/>
      <c r="F85" s="94"/>
      <c r="G85" s="94"/>
      <c r="H85" s="94"/>
      <c r="I85" s="94"/>
      <c r="J85" s="94"/>
      <c r="K85" s="94"/>
    </row>
    <row r="86" spans="1:11" ht="13.5" thickBot="1" x14ac:dyDescent="0.25">
      <c r="A86" s="159"/>
      <c r="B86" s="95"/>
      <c r="C86" s="95"/>
      <c r="D86" s="95"/>
      <c r="E86" s="95"/>
      <c r="F86" s="95"/>
      <c r="G86" s="95"/>
      <c r="H86" s="95"/>
      <c r="I86" s="95"/>
      <c r="J86" s="95"/>
      <c r="K86" s="95"/>
    </row>
    <row r="87" spans="1:11" x14ac:dyDescent="0.2">
      <c r="A87" s="113"/>
    </row>
    <row r="88" spans="1:11" x14ac:dyDescent="0.2">
      <c r="A88" s="113"/>
    </row>
    <row r="90" spans="1:11" x14ac:dyDescent="0.2">
      <c r="A90" s="142" t="s">
        <v>920</v>
      </c>
      <c r="B90" s="142"/>
      <c r="C90" s="7"/>
      <c r="D90" s="7"/>
      <c r="E90" s="7"/>
      <c r="F90" s="7"/>
      <c r="G90" s="7"/>
      <c r="H90" s="7"/>
      <c r="I90" s="7"/>
      <c r="J90" s="7"/>
      <c r="K90" s="7"/>
    </row>
    <row r="91" spans="1:11" ht="15" x14ac:dyDescent="0.2">
      <c r="A91" s="21" t="s">
        <v>921</v>
      </c>
      <c r="B91" s="32" t="s">
        <v>993</v>
      </c>
    </row>
    <row r="92" spans="1:11" x14ac:dyDescent="0.2">
      <c r="A92" s="21" t="s">
        <v>922</v>
      </c>
      <c r="B92" s="20" t="s">
        <v>994</v>
      </c>
    </row>
    <row r="93" spans="1:11" x14ac:dyDescent="0.2">
      <c r="A93" s="20"/>
      <c r="B93" s="20"/>
    </row>
    <row r="95" spans="1:11" x14ac:dyDescent="0.2">
      <c r="A95" t="s">
        <v>923</v>
      </c>
      <c r="B95" t="s">
        <v>990</v>
      </c>
    </row>
    <row r="99" spans="1:5" x14ac:dyDescent="0.2">
      <c r="A99" t="s">
        <v>184</v>
      </c>
      <c r="B99" t="s">
        <v>245</v>
      </c>
      <c r="C99" t="s">
        <v>924</v>
      </c>
      <c r="D99" t="s">
        <v>925</v>
      </c>
      <c r="E99" t="s">
        <v>926</v>
      </c>
    </row>
    <row r="100" spans="1:5" x14ac:dyDescent="0.2">
      <c r="A100" t="s">
        <v>927</v>
      </c>
      <c r="B100" t="s">
        <v>928</v>
      </c>
      <c r="C100" t="s">
        <v>929</v>
      </c>
      <c r="D100" t="s">
        <v>928</v>
      </c>
      <c r="E100" t="s">
        <v>930</v>
      </c>
    </row>
    <row r="101" spans="1:5" x14ac:dyDescent="0.2">
      <c r="A101" t="s">
        <v>931</v>
      </c>
      <c r="B101" t="s">
        <v>932</v>
      </c>
      <c r="C101" t="s">
        <v>933</v>
      </c>
      <c r="D101" t="s">
        <v>306</v>
      </c>
      <c r="E101" t="s">
        <v>306</v>
      </c>
    </row>
    <row r="102" spans="1:5" x14ac:dyDescent="0.2">
      <c r="A102" t="s">
        <v>934</v>
      </c>
      <c r="B102" t="s">
        <v>935</v>
      </c>
      <c r="C102" t="s">
        <v>936</v>
      </c>
      <c r="D102" t="s">
        <v>937</v>
      </c>
      <c r="E102" t="s">
        <v>938</v>
      </c>
    </row>
    <row r="103" spans="1:5" x14ac:dyDescent="0.2">
      <c r="A103" t="s">
        <v>183</v>
      </c>
      <c r="B103" t="s">
        <v>939</v>
      </c>
      <c r="C103" s="41" t="s">
        <v>940</v>
      </c>
      <c r="D103" t="s">
        <v>941</v>
      </c>
      <c r="E103" t="s">
        <v>942</v>
      </c>
    </row>
    <row r="104" spans="1:5" x14ac:dyDescent="0.2">
      <c r="A104" s="47" t="s">
        <v>943</v>
      </c>
      <c r="B104" s="47" t="s">
        <v>944</v>
      </c>
      <c r="C104" s="48" t="s">
        <v>945</v>
      </c>
      <c r="D104" s="47" t="s">
        <v>946</v>
      </c>
      <c r="E104" s="47" t="s">
        <v>942</v>
      </c>
    </row>
    <row r="105" spans="1:5" x14ac:dyDescent="0.2">
      <c r="A105" t="s">
        <v>947</v>
      </c>
      <c r="B105" t="s">
        <v>948</v>
      </c>
      <c r="C105" s="41" t="s">
        <v>949</v>
      </c>
      <c r="D105" t="s">
        <v>950</v>
      </c>
      <c r="E105" t="s">
        <v>942</v>
      </c>
    </row>
    <row r="106" spans="1:5" x14ac:dyDescent="0.2">
      <c r="A106" t="s">
        <v>951</v>
      </c>
      <c r="B106" t="s">
        <v>952</v>
      </c>
      <c r="C106" s="41" t="s">
        <v>953</v>
      </c>
      <c r="D106" t="s">
        <v>952</v>
      </c>
      <c r="E106" t="s">
        <v>942</v>
      </c>
    </row>
    <row r="107" spans="1:5" x14ac:dyDescent="0.2">
      <c r="A107" s="17" t="s">
        <v>954</v>
      </c>
      <c r="B107" s="17" t="s">
        <v>955</v>
      </c>
      <c r="C107" s="42" t="s">
        <v>956</v>
      </c>
      <c r="D107" s="17" t="s">
        <v>957</v>
      </c>
      <c r="E107" s="47" t="s">
        <v>942</v>
      </c>
    </row>
    <row r="108" spans="1:5" x14ac:dyDescent="0.2">
      <c r="A108" s="17" t="s">
        <v>958</v>
      </c>
      <c r="B108" s="17" t="s">
        <v>959</v>
      </c>
      <c r="C108" s="44" t="s">
        <v>960</v>
      </c>
      <c r="D108" s="17" t="s">
        <v>306</v>
      </c>
      <c r="E108" s="17" t="s">
        <v>306</v>
      </c>
    </row>
    <row r="109" spans="1:5" x14ac:dyDescent="0.2">
      <c r="A109" s="17" t="s">
        <v>961</v>
      </c>
      <c r="B109" s="17" t="s">
        <v>962</v>
      </c>
      <c r="C109" s="44" t="s">
        <v>929</v>
      </c>
      <c r="D109" s="17" t="s">
        <v>306</v>
      </c>
      <c r="E109" s="17" t="s">
        <v>306</v>
      </c>
    </row>
    <row r="110" spans="1:5" x14ac:dyDescent="0.2">
      <c r="A110" s="17" t="s">
        <v>963</v>
      </c>
      <c r="B110" s="17" t="s">
        <v>964</v>
      </c>
      <c r="C110" s="44" t="s">
        <v>965</v>
      </c>
      <c r="D110" s="17" t="s">
        <v>306</v>
      </c>
      <c r="E110" s="17" t="s">
        <v>306</v>
      </c>
    </row>
    <row r="111" spans="1:5" x14ac:dyDescent="0.2">
      <c r="A111" s="17" t="s">
        <v>966</v>
      </c>
      <c r="B111" s="17" t="s">
        <v>939</v>
      </c>
      <c r="C111" s="44" t="s">
        <v>967</v>
      </c>
      <c r="D111" s="17" t="s">
        <v>306</v>
      </c>
      <c r="E111" s="17" t="s">
        <v>306</v>
      </c>
    </row>
    <row r="112" spans="1:5" x14ac:dyDescent="0.2">
      <c r="A112" s="17" t="s">
        <v>968</v>
      </c>
      <c r="B112" s="17" t="s">
        <v>932</v>
      </c>
      <c r="C112" s="44" t="s">
        <v>933</v>
      </c>
      <c r="D112" s="17" t="s">
        <v>306</v>
      </c>
      <c r="E112" s="17" t="s">
        <v>306</v>
      </c>
    </row>
    <row r="113" spans="1:7" x14ac:dyDescent="0.2">
      <c r="A113" s="17" t="s">
        <v>969</v>
      </c>
      <c r="B113" s="17" t="s">
        <v>948</v>
      </c>
      <c r="C113" s="44" t="s">
        <v>967</v>
      </c>
      <c r="D113" s="17" t="s">
        <v>306</v>
      </c>
      <c r="E113" s="17" t="s">
        <v>306</v>
      </c>
    </row>
    <row r="114" spans="1:7" x14ac:dyDescent="0.2">
      <c r="A114" s="17" t="s">
        <v>970</v>
      </c>
      <c r="B114" s="17" t="s">
        <v>971</v>
      </c>
      <c r="C114" s="44" t="s">
        <v>967</v>
      </c>
      <c r="D114" s="17" t="s">
        <v>306</v>
      </c>
      <c r="E114" s="17" t="s">
        <v>306</v>
      </c>
    </row>
    <row r="115" spans="1:7" x14ac:dyDescent="0.2">
      <c r="A115" s="17" t="s">
        <v>972</v>
      </c>
      <c r="B115" s="17" t="s">
        <v>973</v>
      </c>
      <c r="C115" s="44" t="s">
        <v>967</v>
      </c>
      <c r="D115" s="17" t="s">
        <v>306</v>
      </c>
      <c r="E115" s="17" t="s">
        <v>306</v>
      </c>
    </row>
    <row r="116" spans="1:7" x14ac:dyDescent="0.2">
      <c r="A116" s="17" t="s">
        <v>974</v>
      </c>
      <c r="B116" s="17" t="s">
        <v>975</v>
      </c>
      <c r="C116" s="44" t="s">
        <v>976</v>
      </c>
      <c r="D116" s="17" t="s">
        <v>977</v>
      </c>
      <c r="E116" s="17" t="s">
        <v>978</v>
      </c>
    </row>
    <row r="117" spans="1:7" x14ac:dyDescent="0.2">
      <c r="A117" s="17" t="s">
        <v>979</v>
      </c>
      <c r="B117" s="17" t="s">
        <v>975</v>
      </c>
      <c r="C117" s="44" t="s">
        <v>976</v>
      </c>
      <c r="D117" s="17" t="s">
        <v>306</v>
      </c>
      <c r="E117" s="17" t="s">
        <v>306</v>
      </c>
    </row>
    <row r="118" spans="1:7" x14ac:dyDescent="0.2">
      <c r="A118" s="17" t="s">
        <v>980</v>
      </c>
      <c r="B118" s="17" t="s">
        <v>981</v>
      </c>
      <c r="C118" s="44" t="s">
        <v>982</v>
      </c>
      <c r="D118" s="17" t="s">
        <v>306</v>
      </c>
      <c r="E118" s="17" t="s">
        <v>306</v>
      </c>
    </row>
    <row r="119" spans="1:7" x14ac:dyDescent="0.2">
      <c r="A119" s="17" t="s">
        <v>983</v>
      </c>
      <c r="B119" s="17" t="s">
        <v>984</v>
      </c>
      <c r="C119" s="44" t="s">
        <v>985</v>
      </c>
      <c r="D119" s="17" t="s">
        <v>306</v>
      </c>
      <c r="E119" s="17" t="s">
        <v>306</v>
      </c>
    </row>
    <row r="120" spans="1:7" x14ac:dyDescent="0.2">
      <c r="A120" s="47" t="s">
        <v>986</v>
      </c>
      <c r="B120" s="47" t="s">
        <v>987</v>
      </c>
      <c r="C120" s="48" t="s">
        <v>985</v>
      </c>
      <c r="D120" s="47" t="s">
        <v>306</v>
      </c>
      <c r="E120" s="47" t="s">
        <v>306</v>
      </c>
    </row>
    <row r="121" spans="1:7" x14ac:dyDescent="0.2">
      <c r="A121" t="s">
        <v>988</v>
      </c>
      <c r="B121" t="s">
        <v>306</v>
      </c>
      <c r="C121" t="s">
        <v>306</v>
      </c>
      <c r="D121" t="s">
        <v>306</v>
      </c>
      <c r="E121" t="s">
        <v>306</v>
      </c>
    </row>
    <row r="128" spans="1:7" x14ac:dyDescent="0.2">
      <c r="G128" s="41"/>
    </row>
    <row r="129" spans="7:7" x14ac:dyDescent="0.2">
      <c r="G129" s="41"/>
    </row>
    <row r="130" spans="7:7" x14ac:dyDescent="0.2">
      <c r="G130" s="41"/>
    </row>
    <row r="131" spans="7:7" x14ac:dyDescent="0.2">
      <c r="G131" s="41"/>
    </row>
    <row r="132" spans="7:7" x14ac:dyDescent="0.2">
      <c r="G132" s="41"/>
    </row>
    <row r="133" spans="7:7" x14ac:dyDescent="0.2">
      <c r="G133" s="41"/>
    </row>
    <row r="134" spans="7:7" x14ac:dyDescent="0.2">
      <c r="G134" s="41"/>
    </row>
  </sheetData>
  <mergeCells count="13">
    <mergeCell ref="B1:K1"/>
    <mergeCell ref="A27:A30"/>
    <mergeCell ref="A90:B90"/>
    <mergeCell ref="A3:A5"/>
    <mergeCell ref="A6:A8"/>
    <mergeCell ref="A9:A14"/>
    <mergeCell ref="A15:A18"/>
    <mergeCell ref="A19:A22"/>
    <mergeCell ref="A23:A26"/>
    <mergeCell ref="A35:A54"/>
    <mergeCell ref="A55:A74"/>
    <mergeCell ref="A75:A78"/>
    <mergeCell ref="A81:A86"/>
  </mergeCells>
  <phoneticPr fontId="4"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DE9F48B0A9B549822F33DADB0DFF53" ma:contentTypeVersion="12" ma:contentTypeDescription="Create a new document." ma:contentTypeScope="" ma:versionID="1b34e0acb506497e78cf5a2c7efd2705">
  <xsd:schema xmlns:xsd="http://www.w3.org/2001/XMLSchema" xmlns:xs="http://www.w3.org/2001/XMLSchema" xmlns:p="http://schemas.microsoft.com/office/2006/metadata/properties" xmlns:ns2="0168f8ed-5921-4d12-afcf-909199544c35" xmlns:ns3="b2489833-8b1e-44ca-badd-e803b46be494" xmlns:ns4="4b4b1ce9-35f6-470f-9b1d-209728eff988" targetNamespace="http://schemas.microsoft.com/office/2006/metadata/properties" ma:root="true" ma:fieldsID="88baddd278cb8b849275bb17460aed90" ns2:_="" ns3:_="" ns4:_="">
    <xsd:import namespace="0168f8ed-5921-4d12-afcf-909199544c35"/>
    <xsd:import namespace="b2489833-8b1e-44ca-badd-e803b46be494"/>
    <xsd:import namespace="4b4b1ce9-35f6-470f-9b1d-209728eff9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68f8ed-5921-4d12-afcf-909199544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c9037a-fbb6-4836-a256-dd2a31f6de4f}" ma:internalName="TaxCatchAll" ma:showField="CatchAllData" ma:web="4b4b1ce9-35f6-470f-9b1d-209728eff98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b4b1ce9-35f6-470f-9b1d-209728eff98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2489833-8b1e-44ca-badd-e803b46be494" xsi:nil="true"/>
    <lcf76f155ced4ddcb4097134ff3c332f xmlns="0168f8ed-5921-4d12-afcf-909199544c35">
      <Terms xmlns="http://schemas.microsoft.com/office/infopath/2007/PartnerControls"/>
    </lcf76f155ced4ddcb4097134ff3c332f>
    <SharedWithUsers xmlns="4b4b1ce9-35f6-470f-9b1d-209728eff988">
      <UserInfo>
        <DisplayName>Beam, Austin</DisplayName>
        <AccountId>298</AccountId>
        <AccountType/>
      </UserInfo>
    </SharedWithUsers>
  </documentManagement>
</p:properties>
</file>

<file path=customXml/itemProps1.xml><?xml version="1.0" encoding="utf-8"?>
<ds:datastoreItem xmlns:ds="http://schemas.openxmlformats.org/officeDocument/2006/customXml" ds:itemID="{1AC90BD7-EAF2-41E5-A41C-5839E82A04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68f8ed-5921-4d12-afcf-909199544c35"/>
    <ds:schemaRef ds:uri="b2489833-8b1e-44ca-badd-e803b46be494"/>
    <ds:schemaRef ds:uri="4b4b1ce9-35f6-470f-9b1d-209728eff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2300D8-8103-4B99-97E0-AC38E69F0740}">
  <ds:schemaRefs>
    <ds:schemaRef ds:uri="http://schemas.microsoft.com/office/2006/metadata/longProperties"/>
  </ds:schemaRefs>
</ds:datastoreItem>
</file>

<file path=customXml/itemProps3.xml><?xml version="1.0" encoding="utf-8"?>
<ds:datastoreItem xmlns:ds="http://schemas.openxmlformats.org/officeDocument/2006/customXml" ds:itemID="{661D6AA8-46B2-4804-B91A-407C0E1ECCFB}">
  <ds:schemaRefs>
    <ds:schemaRef ds:uri="http://schemas.microsoft.com/sharepoint/v3/contenttype/forms"/>
  </ds:schemaRefs>
</ds:datastoreItem>
</file>

<file path=customXml/itemProps4.xml><?xml version="1.0" encoding="utf-8"?>
<ds:datastoreItem xmlns:ds="http://schemas.openxmlformats.org/officeDocument/2006/customXml" ds:itemID="{FE6661B0-A361-43D9-A166-31147E839B71}">
  <ds:schemaRefs>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4b4b1ce9-35f6-470f-9b1d-209728eff988"/>
    <ds:schemaRef ds:uri="b2489833-8b1e-44ca-badd-e803b46be494"/>
    <ds:schemaRef ds:uri="0168f8ed-5921-4d12-afcf-909199544c3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116</vt:i4>
      </vt:variant>
    </vt:vector>
  </HeadingPairs>
  <TitlesOfParts>
    <vt:vector size="124" baseType="lpstr">
      <vt:lpstr>Change Log</vt:lpstr>
      <vt:lpstr>Parameters</vt:lpstr>
      <vt:lpstr>SNMP reference</vt:lpstr>
      <vt:lpstr>Switch (L2) Config</vt:lpstr>
      <vt:lpstr>Router (L3) Config</vt:lpstr>
      <vt:lpstr>NxOS Config</vt:lpstr>
      <vt:lpstr>Interfaces</vt:lpstr>
      <vt:lpstr>Lookup Table</vt:lpstr>
      <vt:lpstr>_CER1</vt:lpstr>
      <vt:lpstr>_CER2</vt:lpstr>
      <vt:lpstr>_CER3</vt:lpstr>
      <vt:lpstr>_CER4</vt:lpstr>
      <vt:lpstr>_NTP1</vt:lpstr>
      <vt:lpstr>_NTP2</vt:lpstr>
      <vt:lpstr>_NTP3</vt:lpstr>
      <vt:lpstr>_NTP4</vt:lpstr>
      <vt:lpstr>APHubs</vt:lpstr>
      <vt:lpstr>BannerModel</vt:lpstr>
      <vt:lpstr>Beijing</vt:lpstr>
      <vt:lpstr>DeviceType</vt:lpstr>
      <vt:lpstr>DMZ_PRIME_IP</vt:lpstr>
      <vt:lpstr>Enable_Secret</vt:lpstr>
      <vt:lpstr>Enable_Secret_NEXUS</vt:lpstr>
      <vt:lpstr>FENCE_TACACS1</vt:lpstr>
      <vt:lpstr>FENCE_TACACS1_NAME</vt:lpstr>
      <vt:lpstr>FENCE_TACACS2</vt:lpstr>
      <vt:lpstr>FENCE_TACACS2_NAME</vt:lpstr>
      <vt:lpstr>FENCE_TACACS3</vt:lpstr>
      <vt:lpstr>FENCE_TACACS3_NAME</vt:lpstr>
      <vt:lpstr>Hostname</vt:lpstr>
      <vt:lpstr>IS_DMZ</vt:lpstr>
      <vt:lpstr>IS_FENCE</vt:lpstr>
      <vt:lpstr>IS_MULTICAST_REQ</vt:lpstr>
      <vt:lpstr>ISE_SERVER1</vt:lpstr>
      <vt:lpstr>ISE_SERVER2</vt:lpstr>
      <vt:lpstr>ISE_SERVER3</vt:lpstr>
      <vt:lpstr>Jakarta</vt:lpstr>
      <vt:lpstr>Location</vt:lpstr>
      <vt:lpstr>LoggingServer1</vt:lpstr>
      <vt:lpstr>LoggingServer2</vt:lpstr>
      <vt:lpstr>LoggingServer3</vt:lpstr>
      <vt:lpstr>LookupTableReference</vt:lpstr>
      <vt:lpstr>McastRP</vt:lpstr>
      <vt:lpstr>NACkey</vt:lpstr>
      <vt:lpstr>NameServer1</vt:lpstr>
      <vt:lpstr>NameServer2</vt:lpstr>
      <vt:lpstr>NameServer3</vt:lpstr>
      <vt:lpstr>NetflowServer</vt:lpstr>
      <vt:lpstr>NEXUSSNMPRO1</vt:lpstr>
      <vt:lpstr>NEXUSSNMPRO10</vt:lpstr>
      <vt:lpstr>NEXUSSNMPRO11</vt:lpstr>
      <vt:lpstr>NEXUSSNMPRO12</vt:lpstr>
      <vt:lpstr>NEXUSSNMPRO13</vt:lpstr>
      <vt:lpstr>NEXUSSNMPRO14</vt:lpstr>
      <vt:lpstr>NEXUSSNMPRO15</vt:lpstr>
      <vt:lpstr>NEXUSSNMPRO16</vt:lpstr>
      <vt:lpstr>NEXUSSNMPRO17</vt:lpstr>
      <vt:lpstr>NEXUSSNMPRO18</vt:lpstr>
      <vt:lpstr>NEXUSSNMPRO19</vt:lpstr>
      <vt:lpstr>NEXUSSNMPRO2</vt:lpstr>
      <vt:lpstr>NEXUSSNMPRO20</vt:lpstr>
      <vt:lpstr>NEXUSSNMPRO3</vt:lpstr>
      <vt:lpstr>NEXUSSNMPRO4</vt:lpstr>
      <vt:lpstr>NEXUSSNMPRO5</vt:lpstr>
      <vt:lpstr>NEXUSSNMPRO6</vt:lpstr>
      <vt:lpstr>NEXUSSNMPRO7</vt:lpstr>
      <vt:lpstr>NEXUSSNMPRO8</vt:lpstr>
      <vt:lpstr>NEXUSSNMPRO9</vt:lpstr>
      <vt:lpstr>NEXUSSNMPRW1</vt:lpstr>
      <vt:lpstr>NEXUSSNMPRW2</vt:lpstr>
      <vt:lpstr>NEXUSSNMPRW3</vt:lpstr>
      <vt:lpstr>NEXUSSNMPRW4</vt:lpstr>
      <vt:lpstr>Offset</vt:lpstr>
      <vt:lpstr>Perth</vt:lpstr>
      <vt:lpstr>PRIME</vt:lpstr>
      <vt:lpstr>PRIME_SECONDARY</vt:lpstr>
      <vt:lpstr>Region</vt:lpstr>
      <vt:lpstr>RegionChoice</vt:lpstr>
      <vt:lpstr>SerialNumber</vt:lpstr>
      <vt:lpstr>Singapore</vt:lpstr>
      <vt:lpstr>SNMPLOC</vt:lpstr>
      <vt:lpstr>SNMPRO1</vt:lpstr>
      <vt:lpstr>SNMPRO10</vt:lpstr>
      <vt:lpstr>SNMPRO11</vt:lpstr>
      <vt:lpstr>SNMPRO12</vt:lpstr>
      <vt:lpstr>SNMPRO13</vt:lpstr>
      <vt:lpstr>SNMPRO14</vt:lpstr>
      <vt:lpstr>SNMPRO15</vt:lpstr>
      <vt:lpstr>SNMPRO16</vt:lpstr>
      <vt:lpstr>SNMPRO17</vt:lpstr>
      <vt:lpstr>SNMPRO18</vt:lpstr>
      <vt:lpstr>SNMPRO19</vt:lpstr>
      <vt:lpstr>SNMPRO2</vt:lpstr>
      <vt:lpstr>SNMPRO20</vt:lpstr>
      <vt:lpstr>SNMPRO3</vt:lpstr>
      <vt:lpstr>SNMPRO4</vt:lpstr>
      <vt:lpstr>SNMPRO5</vt:lpstr>
      <vt:lpstr>SNMPRO6</vt:lpstr>
      <vt:lpstr>SNMPRO7</vt:lpstr>
      <vt:lpstr>SNMPRO8</vt:lpstr>
      <vt:lpstr>SNMPRO9</vt:lpstr>
      <vt:lpstr>SNMPRW1</vt:lpstr>
      <vt:lpstr>SNMPRW2</vt:lpstr>
      <vt:lpstr>SNMPRW3</vt:lpstr>
      <vt:lpstr>SNMPRW4</vt:lpstr>
      <vt:lpstr>SourceInt</vt:lpstr>
      <vt:lpstr>SummerTimezone</vt:lpstr>
      <vt:lpstr>TACACS_key_plaintext</vt:lpstr>
      <vt:lpstr>TACACS1</vt:lpstr>
      <vt:lpstr>TACACS1_Name</vt:lpstr>
      <vt:lpstr>TACACS2</vt:lpstr>
      <vt:lpstr>TACACS2_Name</vt:lpstr>
      <vt:lpstr>TACACS3</vt:lpstr>
      <vt:lpstr>TACACS3_Name</vt:lpstr>
      <vt:lpstr>TACACSkey</vt:lpstr>
      <vt:lpstr>TACACSkeyNexus</vt:lpstr>
      <vt:lpstr>TimeLookupTable2</vt:lpstr>
      <vt:lpstr>TimeLookupTableList2</vt:lpstr>
      <vt:lpstr>TimeRecurrence</vt:lpstr>
      <vt:lpstr>Timezone</vt:lpstr>
      <vt:lpstr>TimezonePick</vt:lpstr>
      <vt:lpstr>VTPmode</vt:lpstr>
      <vt:lpstr>VTYExtended</vt:lpstr>
      <vt:lpstr>VTYPassword</vt:lpstr>
    </vt:vector>
  </TitlesOfParts>
  <Manager/>
  <Company>ConocoPhillips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ortass</dc:creator>
  <cp:keywords/>
  <dc:description/>
  <cp:lastModifiedBy>Golden, Dan J</cp:lastModifiedBy>
  <cp:revision/>
  <dcterms:created xsi:type="dcterms:W3CDTF">2007-10-23T02:28:00Z</dcterms:created>
  <dcterms:modified xsi:type="dcterms:W3CDTF">2022-11-08T21:49:25Z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-1085598247</vt:i4>
  </property>
  <property fmtid="{D5CDD505-2E9C-101B-9397-08002B2CF9AE}" pid="3" name="_NewReviewCycle">
    <vt:lpwstr/>
  </property>
  <property fmtid="{D5CDD505-2E9C-101B-9397-08002B2CF9AE}" pid="4" name="_EmailSubject">
    <vt:lpwstr>GNS Config - Standard IOS Template.xls</vt:lpwstr>
  </property>
  <property fmtid="{D5CDD505-2E9C-101B-9397-08002B2CF9AE}" pid="5" name="_AuthorEmail">
    <vt:lpwstr>Sean.S.Orta@conocophillips.com</vt:lpwstr>
  </property>
  <property fmtid="{D5CDD505-2E9C-101B-9397-08002B2CF9AE}" pid="6" name="_AuthorEmailDisplayName">
    <vt:lpwstr>Orta, Sean S.</vt:lpwstr>
  </property>
  <property fmtid="{D5CDD505-2E9C-101B-9397-08002B2CF9AE}" pid="7" name="_PreviousAdHocReviewCycleID">
    <vt:i4>111824570</vt:i4>
  </property>
  <property fmtid="{D5CDD505-2E9C-101B-9397-08002B2CF9AE}" pid="8" name="_ReviewingToolsShownOnce">
    <vt:lpwstr/>
  </property>
  <property fmtid="{D5CDD505-2E9C-101B-9397-08002B2CF9AE}" pid="9" name="display_urn:schemas-microsoft-com:office:office#Editor">
    <vt:lpwstr>Orta, Sean S.</vt:lpwstr>
  </property>
  <property fmtid="{D5CDD505-2E9C-101B-9397-08002B2CF9AE}" pid="10" name="Order">
    <vt:lpwstr>1360000.00000000</vt:lpwstr>
  </property>
  <property fmtid="{D5CDD505-2E9C-101B-9397-08002B2CF9AE}" pid="11" name="display_urn:schemas-microsoft-com:office:office#Author">
    <vt:lpwstr>Moss, Richard</vt:lpwstr>
  </property>
  <property fmtid="{D5CDD505-2E9C-101B-9397-08002B2CF9AE}" pid="12" name="URL">
    <vt:lpwstr/>
  </property>
  <property fmtid="{D5CDD505-2E9C-101B-9397-08002B2CF9AE}" pid="13" name="ContentTypeId">
    <vt:lpwstr>0x01010059DE9F48B0A9B549822F33DADB0DFF53</vt:lpwstr>
  </property>
  <property fmtid="{D5CDD505-2E9C-101B-9397-08002B2CF9AE}" pid="14" name="AuthorIds_UIVersion_1025">
    <vt:lpwstr>33</vt:lpwstr>
  </property>
  <property fmtid="{D5CDD505-2E9C-101B-9397-08002B2CF9AE}" pid="15" name="AuthorIds_UIVersion_600">
    <vt:lpwstr>154</vt:lpwstr>
  </property>
  <property fmtid="{D5CDD505-2E9C-101B-9397-08002B2CF9AE}" pid="16" name="xd_ProgID">
    <vt:lpwstr/>
  </property>
  <property fmtid="{D5CDD505-2E9C-101B-9397-08002B2CF9AE}" pid="17" name="AuthorIds_UIVersion_601">
    <vt:lpwstr>154</vt:lpwstr>
  </property>
  <property fmtid="{D5CDD505-2E9C-101B-9397-08002B2CF9AE}" pid="18" name="ComplianceAssetId">
    <vt:lpwstr/>
  </property>
  <property fmtid="{D5CDD505-2E9C-101B-9397-08002B2CF9AE}" pid="19" name="TemplateUrl">
    <vt:lpwstr/>
  </property>
  <property fmtid="{D5CDD505-2E9C-101B-9397-08002B2CF9AE}" pid="20" name="_ExtendedDescription">
    <vt:lpwstr/>
  </property>
  <property fmtid="{D5CDD505-2E9C-101B-9397-08002B2CF9AE}" pid="21" name="TriggerFlowInfo">
    <vt:lpwstr/>
  </property>
  <property fmtid="{D5CDD505-2E9C-101B-9397-08002B2CF9AE}" pid="22" name="AuthorIds_UIVersion_602">
    <vt:lpwstr>33</vt:lpwstr>
  </property>
  <property fmtid="{D5CDD505-2E9C-101B-9397-08002B2CF9AE}" pid="23" name="xd_Signature">
    <vt:bool>false</vt:bool>
  </property>
  <property fmtid="{D5CDD505-2E9C-101B-9397-08002B2CF9AE}" pid="24" name="SharedWithUsers">
    <vt:lpwstr>298;#Beam, Austin</vt:lpwstr>
  </property>
  <property fmtid="{D5CDD505-2E9C-101B-9397-08002B2CF9AE}" pid="25" name="AuthorIds_UIVersion_603">
    <vt:lpwstr>33</vt:lpwstr>
  </property>
  <property fmtid="{D5CDD505-2E9C-101B-9397-08002B2CF9AE}" pid="26" name="MediaServiceImageTags">
    <vt:lpwstr/>
  </property>
</Properties>
</file>