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GERBER 8000-8999\8520L MedShift MS MOAG\"/>
    </mc:Choice>
  </mc:AlternateContent>
  <xr:revisionPtr revIDLastSave="0" documentId="13_ncr:1_{69FF261B-E39B-4EE3-86FD-A69DD8E89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Sheet1!$A$23:$M$23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3" i="1" l="1"/>
  <c r="R94" i="1"/>
  <c r="R95" i="1"/>
  <c r="R96" i="1"/>
  <c r="R97" i="1"/>
  <c r="R98" i="1"/>
  <c r="R99" i="1"/>
  <c r="R100" i="1"/>
  <c r="R101" i="1"/>
  <c r="R102" i="1"/>
  <c r="R103" i="1"/>
  <c r="J51" i="1" l="1"/>
  <c r="K51" i="1" s="1"/>
  <c r="L51" i="1"/>
  <c r="H51" i="1"/>
  <c r="H31" i="1"/>
  <c r="J31" i="1"/>
  <c r="K31" i="1"/>
  <c r="L31" i="1"/>
  <c r="H94" i="1" l="1"/>
  <c r="K94" i="1"/>
  <c r="L94" i="1"/>
  <c r="H95" i="1"/>
  <c r="K95" i="1"/>
  <c r="L95" i="1"/>
  <c r="H96" i="1"/>
  <c r="K96" i="1"/>
  <c r="L96" i="1"/>
  <c r="H97" i="1"/>
  <c r="K97" i="1"/>
  <c r="L97" i="1"/>
  <c r="H98" i="1"/>
  <c r="J98" i="1"/>
  <c r="K98" i="1" s="1"/>
  <c r="L98" i="1"/>
  <c r="H99" i="1"/>
  <c r="J99" i="1"/>
  <c r="K99" i="1" s="1"/>
  <c r="L99" i="1"/>
  <c r="H100" i="1"/>
  <c r="J100" i="1"/>
  <c r="K100" i="1" s="1"/>
  <c r="L100" i="1"/>
  <c r="H101" i="1"/>
  <c r="J101" i="1"/>
  <c r="K101" i="1" s="1"/>
  <c r="L101" i="1"/>
  <c r="R25" i="1"/>
  <c r="R26" i="1"/>
  <c r="R27" i="1"/>
  <c r="R28" i="1"/>
  <c r="R29" i="1"/>
  <c r="R30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50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24" i="1"/>
  <c r="J25" i="1" l="1"/>
  <c r="J26" i="1"/>
  <c r="J27" i="1"/>
  <c r="J28" i="1"/>
  <c r="J29" i="1"/>
  <c r="J30" i="1"/>
  <c r="J32" i="1"/>
  <c r="J33" i="1"/>
  <c r="J34" i="1"/>
  <c r="J35" i="1"/>
  <c r="J36" i="1"/>
  <c r="J37" i="1"/>
  <c r="J38" i="1"/>
  <c r="J39" i="1"/>
  <c r="J40" i="1"/>
  <c r="J41" i="1"/>
  <c r="J42" i="1"/>
  <c r="J43" i="1"/>
  <c r="J45" i="1"/>
  <c r="J46" i="1"/>
  <c r="J47" i="1"/>
  <c r="J48" i="1"/>
  <c r="J50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102" i="1"/>
  <c r="J24" i="1"/>
  <c r="D14" i="1"/>
  <c r="D13" i="1"/>
  <c r="D12" i="1"/>
  <c r="D11" i="1"/>
  <c r="D10" i="1"/>
  <c r="C14" i="1"/>
  <c r="C13" i="1"/>
  <c r="C12" i="1"/>
  <c r="C11" i="1"/>
  <c r="C10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5" i="1"/>
  <c r="H46" i="1"/>
  <c r="H47" i="1"/>
  <c r="H48" i="1"/>
  <c r="H50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102" i="1"/>
  <c r="H103" i="1"/>
  <c r="H24" i="1"/>
  <c r="B4" i="1" l="1"/>
  <c r="AR7" i="1"/>
  <c r="L25" i="1" l="1"/>
  <c r="L26" i="1"/>
  <c r="L27" i="1"/>
  <c r="L28" i="1"/>
  <c r="L29" i="1"/>
  <c r="L30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50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102" i="1"/>
  <c r="L103" i="1"/>
  <c r="L24" i="1"/>
  <c r="L22" i="1" l="1"/>
  <c r="K41" i="1"/>
  <c r="K28" i="1"/>
  <c r="K29" i="1"/>
  <c r="K30" i="1"/>
  <c r="K32" i="1"/>
  <c r="K33" i="1"/>
  <c r="K34" i="1"/>
  <c r="K35" i="1"/>
  <c r="K36" i="1"/>
  <c r="K37" i="1"/>
  <c r="K38" i="1"/>
  <c r="K39" i="1"/>
  <c r="K40" i="1"/>
  <c r="J107" i="1"/>
  <c r="J20" i="1" s="1"/>
  <c r="K27" i="1"/>
  <c r="K26" i="1"/>
  <c r="K25" i="1"/>
  <c r="I107" i="1"/>
  <c r="I20" i="1" s="1"/>
  <c r="I106" i="1"/>
  <c r="I19" i="1" s="1"/>
  <c r="K24" i="1"/>
  <c r="I22" i="1"/>
  <c r="J22" i="1"/>
  <c r="K22" i="1"/>
  <c r="K42" i="1"/>
  <c r="K43" i="1"/>
  <c r="K45" i="1"/>
  <c r="K46" i="1"/>
  <c r="K47" i="1"/>
  <c r="K48" i="1"/>
  <c r="K50" i="1"/>
  <c r="K52" i="1"/>
  <c r="K53" i="1"/>
  <c r="K54" i="1"/>
  <c r="K55" i="1"/>
  <c r="K56" i="1"/>
  <c r="K57" i="1"/>
  <c r="K58" i="1"/>
  <c r="K59" i="1"/>
  <c r="K60" i="1"/>
  <c r="K61" i="1"/>
  <c r="K62" i="1"/>
  <c r="K63" i="1"/>
  <c r="K65" i="1"/>
  <c r="K64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102" i="1"/>
  <c r="K103" i="1"/>
  <c r="K106" i="1" l="1"/>
  <c r="K107" i="1" s="1"/>
  <c r="K20" i="1" s="1"/>
  <c r="J106" i="1"/>
  <c r="J19" i="1" s="1"/>
  <c r="L110" i="1"/>
  <c r="K19" i="1" l="1"/>
  <c r="L106" i="1"/>
  <c r="L19" i="1" s="1"/>
  <c r="L20" i="1" s="1"/>
  <c r="L107" i="1" l="1"/>
</calcChain>
</file>

<file path=xl/sharedStrings.xml><?xml version="1.0" encoding="utf-8"?>
<sst xmlns="http://schemas.openxmlformats.org/spreadsheetml/2006/main" count="521" uniqueCount="325">
  <si>
    <t>Item#</t>
  </si>
  <si>
    <t>Description</t>
  </si>
  <si>
    <t>Mfg</t>
  </si>
  <si>
    <t>Mfg P/N</t>
  </si>
  <si>
    <t>Loc</t>
  </si>
  <si>
    <t>Qty</t>
  </si>
  <si>
    <t>Price</t>
  </si>
  <si>
    <t>Total</t>
  </si>
  <si>
    <t>Notes</t>
  </si>
  <si>
    <t>Adj. Total</t>
  </si>
  <si>
    <t>Longest Lead Time:</t>
  </si>
  <si>
    <t>QQTY</t>
  </si>
  <si>
    <t xml:space="preserve">Total Components: </t>
  </si>
  <si>
    <t>Multiplier ^</t>
  </si>
  <si>
    <t>SMT/TH</t>
  </si>
  <si>
    <t xml:space="preserve">SMT: </t>
  </si>
  <si>
    <t>Referral by:</t>
  </si>
  <si>
    <t xml:space="preserve">Hand Assy: </t>
  </si>
  <si>
    <t>Attr. Cost</t>
  </si>
  <si>
    <t>Total w/ atr</t>
  </si>
  <si>
    <t>Total attrition cost for run:</t>
  </si>
  <si>
    <t>weeks to ship</t>
  </si>
  <si>
    <t>Components</t>
  </si>
  <si>
    <t>TOTAL</t>
  </si>
  <si>
    <t>Lines</t>
  </si>
  <si>
    <t xml:space="preserve">Through Hole: </t>
  </si>
  <si>
    <t xml:space="preserve">Fine Pitch, QFN, or BGA: </t>
  </si>
  <si>
    <t>notes:</t>
  </si>
  <si>
    <t>CHECK FOR BLANK PRICING</t>
  </si>
  <si>
    <t>lines missing prices!</t>
  </si>
  <si>
    <t>8520L MEDSHIFT MS MOAG REV4 BOM QUOTE 03-01-23</t>
  </si>
  <si>
    <t>BATT HOLDER 18650 1 CELL SMD</t>
  </si>
  <si>
    <t>Keystone</t>
  </si>
  <si>
    <t>1042</t>
  </si>
  <si>
    <t>SMT</t>
  </si>
  <si>
    <t>BAT1</t>
  </si>
  <si>
    <t>FIXED IND 1UH 3A 59 MOHM SMD</t>
  </si>
  <si>
    <t>Murata</t>
  </si>
  <si>
    <t>1239AS-H-1R0M=P2</t>
  </si>
  <si>
    <t>L4</t>
  </si>
  <si>
    <t>IC RTC CLK/CALENDAR I2C 16-QFN</t>
  </si>
  <si>
    <t>Abracon</t>
  </si>
  <si>
    <t>AB1805-T3</t>
  </si>
  <si>
    <t>U4</t>
  </si>
  <si>
    <t>IC BATT CHG LI-ION 1CELL 24VQFN</t>
  </si>
  <si>
    <t>Texas Insturments</t>
  </si>
  <si>
    <t>BQ24195LRGET</t>
  </si>
  <si>
    <t>IC10</t>
  </si>
  <si>
    <t>CAP CER 0.1UF 50V X7R 0402</t>
  </si>
  <si>
    <t>GRM155R61H104ME14J</t>
  </si>
  <si>
    <t>C17, C66, C70, C75, C78, C80</t>
  </si>
  <si>
    <t>CAP CER 1UF 16V X5R 0402</t>
  </si>
  <si>
    <t>GRT155R61C105KE01J</t>
  </si>
  <si>
    <t>C15, C58</t>
  </si>
  <si>
    <t>CAP CER 39PF 50V COG 0402</t>
  </si>
  <si>
    <t>GRM1555C1E390JA01</t>
  </si>
  <si>
    <t>C6, C18, C22, C23, C24, C25, C26, C27, C28, C29, C30, C31, C32, C33, C34, C35, C37, C40, C42, C43, C46, C47, C49, C50, C51, C56, C57, C59, C60, C63, C69, C71, C76, C77, C79</t>
  </si>
  <si>
    <t>CAP CER 47NF 16V X5R 0402</t>
  </si>
  <si>
    <t>GRM155R61C473KA01D</t>
  </si>
  <si>
    <t>C38</t>
  </si>
  <si>
    <t>CAP CER 47PF 50V X5R 0402</t>
  </si>
  <si>
    <t>Yageo</t>
  </si>
  <si>
    <t>CC0402JRNPO9BN470</t>
  </si>
  <si>
    <t>C72</t>
  </si>
  <si>
    <t>CAP CER 4.7UF 16V X5R 0603</t>
  </si>
  <si>
    <t>Samsung</t>
  </si>
  <si>
    <t>CL10A475KO8NNNC</t>
  </si>
  <si>
    <t>C54</t>
  </si>
  <si>
    <t>CAP CER 10UF 50V X5R 1206</t>
  </si>
  <si>
    <t>GRT31CR61H106KE01L</t>
  </si>
  <si>
    <t>C11, C19, C20</t>
  </si>
  <si>
    <t>CAP CER 47UF 10V X5R 1206</t>
  </si>
  <si>
    <t>GRT31CR61A476ME13L</t>
  </si>
  <si>
    <t>C9</t>
  </si>
  <si>
    <t>GRM155R71H104KE14D</t>
  </si>
  <si>
    <t>C2, C3, C4, C7, C8, C12, C14, C39, C41</t>
  </si>
  <si>
    <t>CAP CER 10UF 16V X5R 0603</t>
  </si>
  <si>
    <t>Taiyo Yuden</t>
  </si>
  <si>
    <t>EMK107BBJ106MA-T</t>
  </si>
  <si>
    <t>C1, C5, C10, C13, C16, C21, C36, C48, C52, C53, C55, C61, C62, C64, C65</t>
  </si>
  <si>
    <t>CAP ALUM 47UF 20% 16V SMD</t>
  </si>
  <si>
    <t>Nicheon</t>
  </si>
  <si>
    <t>UWT1C470MCL1GB</t>
  </si>
  <si>
    <t>C44, C45</t>
  </si>
  <si>
    <t>MOSFET BVDSS: 25V-30V TSOT26</t>
  </si>
  <si>
    <t>Diodes</t>
  </si>
  <si>
    <t>DMC3060LVT-7</t>
  </si>
  <si>
    <t>Q2</t>
  </si>
  <si>
    <t>CONN MICRO SD CARD HINGED TYPE</t>
  </si>
  <si>
    <t>Hirose</t>
  </si>
  <si>
    <t>DM3CS-SF</t>
  </si>
  <si>
    <t>J3</t>
  </si>
  <si>
    <t>MOSFET BVDSS: 25V~30V POWERDI333</t>
  </si>
  <si>
    <t>Diodes Inc.</t>
  </si>
  <si>
    <t>DMP3011SFVW-7</t>
  </si>
  <si>
    <t>Q1</t>
  </si>
  <si>
    <t>CONN  PLUG 15P PNL MNT SLDR</t>
  </si>
  <si>
    <t>NorComp</t>
  </si>
  <si>
    <t>171-015-113R021</t>
  </si>
  <si>
    <t>X1</t>
  </si>
  <si>
    <t>RND STNDFF M2.5X0.45 STEEL 2.5MM</t>
  </si>
  <si>
    <t>Würth Elektronik</t>
  </si>
  <si>
    <t>9774025151R</t>
  </si>
  <si>
    <t>NUT1</t>
  </si>
  <si>
    <t>MACH SCREW PAN SLOTTED M2.5X0.45</t>
  </si>
  <si>
    <t>Keystone Electronics</t>
  </si>
  <si>
    <t>29300</t>
  </si>
  <si>
    <t>SCREW1</t>
  </si>
  <si>
    <t>DIODE SCHOTTKY 10 V 3A SURFACE MOUNT PG-SOD323-2</t>
  </si>
  <si>
    <t>Infineon</t>
  </si>
  <si>
    <t>BAT60AE6327HTSA1</t>
  </si>
  <si>
    <t>D1, D4, D5</t>
  </si>
  <si>
    <t>XTAL OSC XO 14.7456MHZ CMOS SMD</t>
  </si>
  <si>
    <t>Kyocera</t>
  </si>
  <si>
    <t>MC2520Z14.7456C19XSH</t>
  </si>
  <si>
    <t>Y1</t>
  </si>
  <si>
    <t>LED RED CLEAR 0603 SMD 
{POLARITY MARKING CATHODE}</t>
  </si>
  <si>
    <t>Wurth Elektronik</t>
  </si>
  <si>
    <t>150060RS7500</t>
  </si>
  <si>
    <t>D2</t>
  </si>
  <si>
    <t>LED RGB CLEAR 4PLCC SMD INC.
{FOR POLARITY MARKING, SEE PICTURE BELOW}</t>
  </si>
  <si>
    <t>CreeLED</t>
  </si>
  <si>
    <t>CLMVC-FKA-CL1D1L71BB7C3C3</t>
  </si>
  <si>
    <t>LED5</t>
  </si>
  <si>
    <t>IC TRANSCEIVER FULL 1/1 8UMAX</t>
  </si>
  <si>
    <t>Maxim</t>
  </si>
  <si>
    <t>MAX490CUA+</t>
  </si>
  <si>
    <t>IC1, IC2</t>
  </si>
  <si>
    <t>IC BATT MON LI-ION 1CELL 8TDFN</t>
  </si>
  <si>
    <t>MAX17048G+T10</t>
  </si>
  <si>
    <t>U9</t>
  </si>
  <si>
    <t>IC PWR SWITCH P-CHAN 1:1 4MLF</t>
  </si>
  <si>
    <t>Microchip</t>
  </si>
  <si>
    <t>MIC94040YF</t>
  </si>
  <si>
    <t>IC3, IC5</t>
  </si>
  <si>
    <t>ZSUB FOR ABOVE</t>
  </si>
  <si>
    <t>MIC94040YFL-TR</t>
  </si>
  <si>
    <t>N-CHANNEL 20V SURFACE MOUNT SOT-523</t>
  </si>
  <si>
    <t>Micro Commercial Co</t>
  </si>
  <si>
    <t>BSS138KT-TP</t>
  </si>
  <si>
    <t>Q5</t>
  </si>
  <si>
    <t>IC REG BUCK 3.3V 1A 6QFN</t>
  </si>
  <si>
    <t>MPS</t>
  </si>
  <si>
    <t>MP2148GQD-33-P</t>
  </si>
  <si>
    <t>IC4</t>
  </si>
  <si>
    <t>CONN EDGE DUAL FMALE 67POS 0.020</t>
  </si>
  <si>
    <t>TE Connectivity</t>
  </si>
  <si>
    <t>2199230-4</t>
  </si>
  <si>
    <t>SOM1</t>
  </si>
  <si>
    <t>TVS DIODE 5VWM 17VC 6UQFN</t>
  </si>
  <si>
    <t>STMicro</t>
  </si>
  <si>
    <t>USBULC6-2M6</t>
  </si>
  <si>
    <t>D10</t>
  </si>
  <si>
    <t>RES 0 OHM JUMPER 1/16W 0402</t>
  </si>
  <si>
    <t>Stackpole</t>
  </si>
  <si>
    <t>RMCF0402ZT0R00</t>
  </si>
  <si>
    <t>R9, R22, R38</t>
  </si>
  <si>
    <t>1 KOHMS ±1% 0.063W, 1/16W CHIP RES 0402</t>
  </si>
  <si>
    <t>RMCF0402FT1K00</t>
  </si>
  <si>
    <t>R10, R12, R14, R17, R32, R33, R34, R47</t>
  </si>
  <si>
    <t>2.2 KOHMS ±1% 0.063W, 1/16W CHIP RES 0402</t>
  </si>
  <si>
    <t>RMCF0402FT2K20</t>
  </si>
  <si>
    <t>R36</t>
  </si>
  <si>
    <t>3 KOHMS ±1% 0.063W, 1/16W CHIP RES 0402</t>
  </si>
  <si>
    <t>RMCF0402FT3K00</t>
  </si>
  <si>
    <t>R13</t>
  </si>
  <si>
    <t>5.1 KOHMS ±0.5% 0.063W, 1/16W CHIP RES 0402</t>
  </si>
  <si>
    <t>RNCF0402DTE5K10</t>
  </si>
  <si>
    <t>R26</t>
  </si>
  <si>
    <t>5.1 KOHMS ±1% 0.063W, 1/16W CHIP RES 0402</t>
  </si>
  <si>
    <t>RMCF0402FT5K10</t>
  </si>
  <si>
    <t>R62, R63</t>
  </si>
  <si>
    <t>10 KOHMS ±1% 0.063W, 1/16W CHIP RES 0402</t>
  </si>
  <si>
    <t>RMCF0402FT10K0</t>
  </si>
  <si>
    <t>R2, R8, R11, R15, R16, R20, R21, R23, R24, R25, R28, R30, R31, R35, R48, R49, R50, R53, R60, R65</t>
  </si>
  <si>
    <t>RES 31.2K OHM 0.1% 1/16W 0402</t>
  </si>
  <si>
    <t>stackpole</t>
  </si>
  <si>
    <t>RNCF0402BKE31K2</t>
  </si>
  <si>
    <t>R27</t>
  </si>
  <si>
    <t>Vishay Dale</t>
  </si>
  <si>
    <t>TNPW040231K2BEED</t>
  </si>
  <si>
    <t>RES 33 OHM 5% 1/16W 0402</t>
  </si>
  <si>
    <t>RMCF0402JT33R0</t>
  </si>
  <si>
    <t>R18, R19, R39, R42, R43, R44, R45, R46</t>
  </si>
  <si>
    <t>100 OHMS ±5% 0.063W, 1/16W CHIP RES 0402</t>
  </si>
  <si>
    <t>RMCF0402JT100R</t>
  </si>
  <si>
    <t>R4, R29</t>
  </si>
  <si>
    <t>100 KOHMS ±5% 0.063W, 1/16W CHIP RES 0402</t>
  </si>
  <si>
    <t>RMCF0402JT100K</t>
  </si>
  <si>
    <t>R40, R41</t>
  </si>
  <si>
    <t>330 OHMS ±1% 0.063W, 1/16W CHIP RES 0402</t>
  </si>
  <si>
    <t>RMCF0402FT330R</t>
  </si>
  <si>
    <t>R5</t>
  </si>
  <si>
    <t>332 OHMS ±0.1% 0.1W, 1/10W CHIP RES 0402</t>
  </si>
  <si>
    <t>RP73PF1E332RBTD</t>
  </si>
  <si>
    <t>R6</t>
  </si>
  <si>
    <t>430 OHMS ±0.1% 0.063W, 1/16W CHIP RES 0402</t>
  </si>
  <si>
    <t>Panasonic</t>
  </si>
  <si>
    <t>ERA-2AEB431X</t>
  </si>
  <si>
    <t>R7</t>
  </si>
  <si>
    <t>120 OHMS ±1% 0.25W, 1/4W CHIP RES 0603</t>
  </si>
  <si>
    <t>CRGP0603F120R</t>
  </si>
  <si>
    <t>R1, R3</t>
  </si>
  <si>
    <t>NTC THERMISTOR 10K 0402</t>
  </si>
  <si>
    <t>NCU15XH103F6SRC</t>
  </si>
  <si>
    <t>RT2</t>
  </si>
  <si>
    <t>IC UART SINGLE W/FIFO 24HVQFN</t>
  </si>
  <si>
    <t>NXP</t>
  </si>
  <si>
    <t>SC16IS760IBS,128</t>
  </si>
  <si>
    <t>IC6</t>
  </si>
  <si>
    <t>TVS DIODE 7V/12V 14V/26V SOT23-3</t>
  </si>
  <si>
    <t>Bourns</t>
  </si>
  <si>
    <t>CDSOT23-SM712</t>
  </si>
  <si>
    <t>TVS1, TVS2, TVS5, TVS6</t>
  </si>
  <si>
    <t>IC FF D-TYPE SNGL 1BIT SOT23-5</t>
  </si>
  <si>
    <t>Texas Instruments</t>
  </si>
  <si>
    <t>SN74LVC1G80DBVT</t>
  </si>
  <si>
    <t>IC8</t>
  </si>
  <si>
    <t>DIODE SCHOTTKY 30V 3A DO220AA</t>
  </si>
  <si>
    <t>Vishay</t>
  </si>
  <si>
    <t>SS3P3HM3/84A</t>
  </si>
  <si>
    <t>D3</t>
  </si>
  <si>
    <t>SWITCH TACT 4.5 X 4.5, 7.0 MM H, 1.0N {WASHABLE}</t>
  </si>
  <si>
    <t>C&amp;K</t>
  </si>
  <si>
    <t>PTS647SN70SMTR2LFS</t>
  </si>
  <si>
    <t>S1, S2</t>
  </si>
  <si>
    <t>IC BATT PROT LI-ION 1CELL 6WSON</t>
  </si>
  <si>
    <t>TI</t>
  </si>
  <si>
    <t>BQ29707</t>
  </si>
  <si>
    <t>U2</t>
  </si>
  <si>
    <t>BQ29707DSER</t>
  </si>
  <si>
    <t>MOSFET N-CH 25V 19A/60A 8VSON</t>
  </si>
  <si>
    <t>CSD16406Q3</t>
  </si>
  <si>
    <t>Q3, Q4</t>
  </si>
  <si>
    <t>IC REG LINEAR 3.3V 300MA SOT25
(ADD SOLID CORE WIRE ACROSS 2 PINS! SEE PICS BELOW!!!)</t>
  </si>
  <si>
    <t>Torex</t>
  </si>
  <si>
    <t>XC6215B332MR-G</t>
  </si>
  <si>
    <t>U3</t>
  </si>
  <si>
    <t>5.6 µH UNSHIELDED - INDUCTOR 3.5 A 90MOHM</t>
  </si>
  <si>
    <t>Traco Power</t>
  </si>
  <si>
    <t>TCK-141</t>
  </si>
  <si>
    <t>L1</t>
  </si>
  <si>
    <t>CONN RCPT USB2.0 TYPE C 24POS RA</t>
  </si>
  <si>
    <t>GCT</t>
  </si>
  <si>
    <t>USB4085-GF-A</t>
  </si>
  <si>
    <t>USB1</t>
  </si>
  <si>
    <t>FIXED IND 2.2UH 5A 37.7 MOHM SMD</t>
  </si>
  <si>
    <t>IHLP2020BZER2R2M11</t>
  </si>
  <si>
    <t>L2</t>
  </si>
  <si>
    <t>CRYSTAL 32.7680KHZ 7PF SMD</t>
  </si>
  <si>
    <t>Micro Crystal AG</t>
  </si>
  <si>
    <t>CM8V-T1A-32.768KHZ-7PF-20PPM-TA-QC</t>
  </si>
  <si>
    <t>Y2</t>
  </si>
  <si>
    <t>32GB 3D MICROSD CARD
(INSTALL AFTER ASSEMBLY)</t>
  </si>
  <si>
    <t>Delkin Devices, Inc.</t>
  </si>
  <si>
    <t>BUS WIRE (LENGTH 2MM, 
BETWEEN U3 LEADS 4 AND 5)</t>
  </si>
  <si>
    <t>Anixter</t>
  </si>
  <si>
    <t>BUS WIRE 22(1)TC</t>
  </si>
  <si>
    <t>BETWEEN_U3
_LEADS_ 4_ AND_ 5</t>
  </si>
  <si>
    <t>DNP</t>
  </si>
  <si>
    <t>U1</t>
  </si>
  <si>
    <t>HAND</t>
  </si>
  <si>
    <t>NOT INSTALLED</t>
  </si>
  <si>
    <t>QFN</t>
  </si>
  <si>
    <t>do not populate</t>
  </si>
  <si>
    <t>TH</t>
  </si>
  <si>
    <t>PARTICLE CELLULAR FLEX ANTENNA 2G/3G/LTE 4.7DBI
(INSTALL DURING FINAL ASSEMBLY, ATTACHED TO HOUSING, ANTENNA HAS AN ADHESIVE BACKING, SEE PCTURE BELOW FOR PLACEMENT)</t>
  </si>
  <si>
    <t>PARTICLE</t>
  </si>
  <si>
    <t>ANTCW2TY</t>
  </si>
  <si>
    <t>PARTICLE B402 SYSTEM-ON-MODULE B SERIES LTE 
(INSTALL DURING FINAL ASSEMBLY)</t>
  </si>
  <si>
    <t>B402MTY</t>
  </si>
  <si>
    <t>Battery SDI 3000mAh 15A</t>
  </si>
  <si>
    <t>INR18650-30Q</t>
  </si>
  <si>
    <t>ENCLOSURE</t>
  </si>
  <si>
    <t>Customer Supplied</t>
  </si>
  <si>
    <t>Customer Supplied340</t>
  </si>
  <si>
    <t>BAG</t>
  </si>
  <si>
    <t>McMaster Carr</t>
  </si>
  <si>
    <t>Steel Pan Head Screws
with External-Tooth Lock Washer, 4-40 Thread, 5/16" Long</t>
  </si>
  <si>
    <t>90402A107</t>
  </si>
  <si>
    <t>Steel Pan Head Screws
with External-Tooth Lock Washer, 6-32 Thread, 3/8" Long</t>
  </si>
  <si>
    <t>90402A146</t>
  </si>
  <si>
    <t>GLUE DOTS  1⁄2", Low Profile, High Tack</t>
  </si>
  <si>
    <t>ULINE</t>
  </si>
  <si>
    <t>S-6648</t>
  </si>
  <si>
    <t>PCBA LABEL</t>
  </si>
  <si>
    <t>PANDUIT</t>
  </si>
  <si>
    <t>C050X044YJT</t>
  </si>
  <si>
    <t>ENCLOSURE LABEL</t>
  </si>
  <si>
    <t>Customer Supplied370</t>
  </si>
  <si>
    <t>ANTENNA</t>
  </si>
  <si>
    <t>SCREW2</t>
  </si>
  <si>
    <t>GLUE DOTS</t>
  </si>
  <si>
    <t>PCBA</t>
  </si>
  <si>
    <t>1959T971</t>
  </si>
  <si>
    <t>CUSTOMER SUPPLIED</t>
  </si>
  <si>
    <t>Mouser</t>
  </si>
  <si>
    <t>Master Electronics</t>
  </si>
  <si>
    <t>Digi-Key</t>
  </si>
  <si>
    <t>Digi-reel(5000)</t>
  </si>
  <si>
    <t>Mousereel</t>
  </si>
  <si>
    <t>No Stock</t>
  </si>
  <si>
    <t>GRM1555C1E390JA01D</t>
  </si>
  <si>
    <t>Arrow</t>
  </si>
  <si>
    <t>Digi-reel</t>
  </si>
  <si>
    <t>12000(multiple of 4000)</t>
  </si>
  <si>
    <t>Verical</t>
  </si>
  <si>
    <t>multipla of 1000</t>
  </si>
  <si>
    <t>reel</t>
  </si>
  <si>
    <t>Digi-Reel</t>
  </si>
  <si>
    <t>Newark</t>
  </si>
  <si>
    <t>UK Stock</t>
  </si>
  <si>
    <t>Not Found</t>
  </si>
  <si>
    <t>Reel</t>
  </si>
  <si>
    <t>McMaster</t>
  </si>
  <si>
    <t>quantity 10000</t>
  </si>
  <si>
    <t>150060RS75000</t>
  </si>
  <si>
    <t>Vendor</t>
  </si>
  <si>
    <t>Packaging</t>
  </si>
  <si>
    <t>171-015-113R051</t>
  </si>
  <si>
    <t>12 week L/T</t>
  </si>
  <si>
    <t>17 week L/T</t>
  </si>
  <si>
    <t xml:space="preserve">typo? quoted USDCOEM-32GB </t>
  </si>
  <si>
    <t>USDCOEM-32GB</t>
  </si>
  <si>
    <t>KC2520K14.7456C1GE00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</si>
</sst>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2" fontId="1" fillId="0" borderId="1" xfId="0" applyNumberFormat="1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2" fontId="2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4" xfId="0" applyNumberFormat="1" applyFont="1" applyBorder="1"/>
    <xf numFmtId="2" fontId="1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2" fontId="1" fillId="0" borderId="10" xfId="0" applyNumberFormat="1" applyFont="1" applyBorder="1"/>
    <xf numFmtId="2" fontId="2" fillId="0" borderId="11" xfId="0" applyNumberFormat="1" applyFont="1" applyBorder="1"/>
    <xf numFmtId="2" fontId="1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10" fontId="2" fillId="0" borderId="6" xfId="0" applyNumberFormat="1" applyFont="1" applyBorder="1"/>
    <xf numFmtId="2" fontId="2" fillId="0" borderId="6" xfId="0" applyNumberFormat="1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1" xfId="0" applyFont="1" applyBorder="1"/>
    <xf numFmtId="0" fontId="4" fillId="0" borderId="22" xfId="0" applyFont="1" applyBorder="1"/>
    <xf numFmtId="0" fontId="4" fillId="0" borderId="0" xfId="0" applyFont="1" applyAlignment="1">
      <alignment horizontal="left"/>
    </xf>
    <xf numFmtId="0" fontId="4" fillId="0" borderId="3" xfId="0" applyFont="1" applyBorder="1"/>
    <xf numFmtId="0" fontId="4" fillId="0" borderId="23" xfId="0" applyFont="1" applyBorder="1" applyAlignment="1">
      <alignment horizontal="left"/>
    </xf>
    <xf numFmtId="0" fontId="4" fillId="0" borderId="23" xfId="0" applyFont="1" applyBorder="1"/>
    <xf numFmtId="0" fontId="4" fillId="0" borderId="6" xfId="0" applyFont="1" applyBorder="1"/>
    <xf numFmtId="0" fontId="5" fillId="2" borderId="3" xfId="0" applyFont="1" applyFill="1" applyBorder="1" applyAlignment="1" applyProtection="1">
      <alignment horizontal="center"/>
      <protection locked="0"/>
    </xf>
    <xf numFmtId="49" fontId="1" fillId="0" borderId="3" xfId="0" applyNumberFormat="1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49" fontId="5" fillId="0" borderId="3" xfId="0" applyNumberFormat="1" applyFont="1" applyBorder="1" applyAlignment="1" applyProtection="1">
      <alignment wrapText="1"/>
      <protection locked="0"/>
    </xf>
    <xf numFmtId="49" fontId="5" fillId="0" borderId="3" xfId="0" applyNumberFormat="1" applyFont="1" applyBorder="1" applyAlignment="1" applyProtection="1">
      <alignment horizontal="left" wrapText="1"/>
      <protection locked="0"/>
    </xf>
    <xf numFmtId="49" fontId="5" fillId="0" borderId="3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3" fillId="0" borderId="0" xfId="0" applyFont="1"/>
    <xf numFmtId="49" fontId="1" fillId="0" borderId="2" xfId="0" applyNumberFormat="1" applyFont="1" applyBorder="1"/>
    <xf numFmtId="49" fontId="1" fillId="0" borderId="3" xfId="0" applyNumberFormat="1" applyFont="1" applyBorder="1" applyAlignment="1" applyProtection="1">
      <alignment horizontal="left"/>
      <protection locked="0"/>
    </xf>
    <xf numFmtId="49" fontId="5" fillId="0" borderId="3" xfId="0" applyNumberFormat="1" applyFont="1" applyBorder="1" applyProtection="1">
      <protection locked="0"/>
    </xf>
    <xf numFmtId="49" fontId="1" fillId="0" borderId="0" xfId="0" applyNumberFormat="1" applyFont="1" applyProtection="1">
      <protection locked="0"/>
    </xf>
    <xf numFmtId="0" fontId="1" fillId="3" borderId="1" xfId="0" applyFont="1" applyFill="1" applyBorder="1" applyAlignment="1">
      <alignment horizontal="center"/>
    </xf>
    <xf numFmtId="49" fontId="1" fillId="3" borderId="2" xfId="0" applyNumberFormat="1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2" fontId="1" fillId="3" borderId="1" xfId="0" applyNumberFormat="1" applyFont="1" applyFill="1" applyBorder="1"/>
    <xf numFmtId="0" fontId="1" fillId="3" borderId="0" xfId="0" applyFont="1" applyFill="1"/>
    <xf numFmtId="0" fontId="4" fillId="3" borderId="18" xfId="0" applyFont="1" applyFill="1" applyBorder="1" applyAlignment="1">
      <alignment horizontal="right"/>
    </xf>
    <xf numFmtId="0" fontId="4" fillId="3" borderId="19" xfId="0" applyFont="1" applyFill="1" applyBorder="1"/>
    <xf numFmtId="0" fontId="4" fillId="3" borderId="20" xfId="0" applyFont="1" applyFill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3" xfId="0" applyFont="1" applyFill="1" applyBorder="1"/>
    <xf numFmtId="2" fontId="1" fillId="0" borderId="1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5</xdr:col>
      <xdr:colOff>304800</xdr:colOff>
      <xdr:row>20</xdr:row>
      <xdr:rowOff>219075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0525" y="1600200"/>
          <a:ext cx="52292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Line 120 - quoted substitute confirm</a:t>
          </a:r>
          <a:r>
            <a:rPr lang="en-US" sz="1400" baseline="0"/>
            <a:t> with customer </a:t>
          </a:r>
          <a:r>
            <a:rPr lang="en-US" sz="1400" baseline="0">
              <a:solidFill>
                <a:schemeClr val="accent1"/>
              </a:solidFill>
            </a:rPr>
            <a:t>Confirmed Abhi</a:t>
          </a:r>
        </a:p>
        <a:p>
          <a:r>
            <a:rPr lang="en-US" sz="1400" baseline="0"/>
            <a:t>USBCOEM-32GB could not be found quoted US</a:t>
          </a:r>
          <a:r>
            <a:rPr lang="en-US" sz="1400" b="1" baseline="0"/>
            <a:t>D</a:t>
          </a:r>
          <a:r>
            <a:rPr lang="en-US" sz="1400" baseline="0"/>
            <a:t>COEM-32GB (typo?) : </a:t>
          </a:r>
          <a:r>
            <a:rPr lang="en-US" sz="1400" baseline="0">
              <a:solidFill>
                <a:schemeClr val="accent1"/>
              </a:solidFill>
            </a:rPr>
            <a:t>Corrected Abhi</a:t>
          </a:r>
        </a:p>
        <a:p>
          <a:r>
            <a:rPr lang="en-US" sz="1400" baseline="0"/>
            <a:t>171-015-113R021 has 12 week L/T - </a:t>
          </a:r>
          <a:r>
            <a:rPr lang="en-US" sz="1400" baseline="0">
              <a:solidFill>
                <a:schemeClr val="accent1"/>
              </a:solidFill>
            </a:rPr>
            <a:t>added substitute 171-015-113R051 Abhi</a:t>
          </a:r>
        </a:p>
        <a:p>
          <a:r>
            <a:rPr lang="en-US" sz="1400" baseline="0"/>
            <a:t>MC2520Z14.7456C19XSH has 17 week L/T - </a:t>
          </a:r>
          <a:r>
            <a:rPr lang="en-US" sz="1400" baseline="0">
              <a:solidFill>
                <a:schemeClr val="accent1"/>
              </a:solidFill>
            </a:rPr>
            <a:t>added substitute KC2520K14.7456C1GE00 Abhi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i-serv2\purchasing\%23OPEN%23\attr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QTY</v>
          </cell>
          <cell r="B1" t="str">
            <v>COST</v>
          </cell>
        </row>
        <row r="2">
          <cell r="A2">
            <v>250</v>
          </cell>
          <cell r="B2">
            <v>1E-4</v>
          </cell>
        </row>
        <row r="3">
          <cell r="A3">
            <v>150</v>
          </cell>
          <cell r="B3">
            <v>0.04</v>
          </cell>
        </row>
        <row r="4">
          <cell r="A4">
            <v>100</v>
          </cell>
          <cell r="B4">
            <v>7.0000000000000007E-2</v>
          </cell>
        </row>
        <row r="5">
          <cell r="A5">
            <v>35</v>
          </cell>
          <cell r="B5">
            <v>0.15</v>
          </cell>
        </row>
        <row r="6">
          <cell r="A6">
            <v>20</v>
          </cell>
          <cell r="B6">
            <v>0.25</v>
          </cell>
        </row>
        <row r="7">
          <cell r="A7">
            <v>15</v>
          </cell>
          <cell r="B7">
            <v>0.35</v>
          </cell>
        </row>
        <row r="8">
          <cell r="A8">
            <v>10</v>
          </cell>
          <cell r="B8">
            <v>0.5</v>
          </cell>
        </row>
        <row r="9">
          <cell r="A9">
            <v>5</v>
          </cell>
          <cell r="B9">
            <v>1</v>
          </cell>
        </row>
        <row r="10">
          <cell r="A10">
            <v>5</v>
          </cell>
          <cell r="B10">
            <v>1.5</v>
          </cell>
        </row>
        <row r="11">
          <cell r="A11">
            <v>2</v>
          </cell>
          <cell r="B11">
            <v>2.5</v>
          </cell>
        </row>
        <row r="12">
          <cell r="A12">
            <v>0</v>
          </cell>
          <cell r="B12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U111"/>
  <sheetViews>
    <sheetView tabSelected="1" zoomScaleNormal="100" workbookViewId="0">
      <selection activeCell="B85" sqref="B85"/>
    </sheetView>
  </sheetViews>
  <sheetFormatPr defaultRowHeight="18" customHeight="1" x14ac:dyDescent="0.2"/>
  <cols>
    <col min="1" max="1" width="5.85546875" style="3" customWidth="1"/>
    <col min="2" max="2" width="80.42578125" style="1" customWidth="1"/>
    <col min="3" max="3" width="26.42578125" style="1" bestFit="1" customWidth="1"/>
    <col min="4" max="4" width="42.42578125" style="1" bestFit="1" customWidth="1"/>
    <col min="5" max="5" width="8.5703125" style="1" customWidth="1"/>
    <col min="6" max="6" width="9.28515625" style="1" bestFit="1" customWidth="1"/>
    <col min="7" max="7" width="17.85546875" style="1" customWidth="1"/>
    <col min="8" max="8" width="7.85546875" style="1" bestFit="1" customWidth="1"/>
    <col min="9" max="9" width="8.7109375" style="2" bestFit="1" customWidth="1"/>
    <col min="10" max="10" width="10.28515625" style="1" customWidth="1"/>
    <col min="11" max="11" width="9.42578125" style="1" bestFit="1" customWidth="1"/>
    <col min="12" max="12" width="9.42578125" style="1" customWidth="1"/>
    <col min="13" max="13" width="31.42578125" style="1" bestFit="1" customWidth="1"/>
    <col min="14" max="14" width="18.5703125" style="2" bestFit="1" customWidth="1"/>
    <col min="15" max="15" width="23.140625" style="1" bestFit="1" customWidth="1"/>
    <col min="16" max="16" width="9.42578125" style="1" bestFit="1" customWidth="1"/>
    <col min="17" max="17" width="9.42578125" style="1" customWidth="1"/>
    <col min="18" max="18" width="8.5703125" style="1" bestFit="1" customWidth="1"/>
    <col min="19" max="19" width="8.7109375" style="2" bestFit="1" customWidth="1"/>
    <col min="20" max="20" width="8.7109375" style="1" customWidth="1"/>
    <col min="21" max="21" width="9.42578125" style="1" bestFit="1" customWidth="1"/>
    <col min="22" max="22" width="9.42578125" style="1" customWidth="1"/>
    <col min="23" max="23" width="7.28515625" style="1" bestFit="1" customWidth="1"/>
    <col min="24" max="24" width="8.7109375" style="2" bestFit="1" customWidth="1"/>
    <col min="25" max="25" width="8.7109375" style="1" customWidth="1"/>
    <col min="26" max="26" width="9.42578125" style="1" bestFit="1" customWidth="1"/>
    <col min="27" max="27" width="9.42578125" style="1" customWidth="1"/>
    <col min="28" max="28" width="7.28515625" style="1" bestFit="1" customWidth="1"/>
    <col min="29" max="29" width="8.7109375" style="2" bestFit="1" customWidth="1"/>
    <col min="30" max="30" width="8.7109375" style="1" customWidth="1"/>
    <col min="31" max="31" width="9.42578125" style="1" bestFit="1" customWidth="1"/>
    <col min="32" max="32" width="9.42578125" style="1" customWidth="1"/>
    <col min="33" max="33" width="7.28515625" style="1" bestFit="1" customWidth="1"/>
    <col min="34" max="34" width="8.7109375" style="2" bestFit="1" customWidth="1"/>
    <col min="35" max="35" width="8.7109375" style="1" customWidth="1"/>
    <col min="36" max="36" width="9.42578125" style="1" bestFit="1" customWidth="1"/>
    <col min="37" max="37" width="9.42578125" style="1" customWidth="1"/>
    <col min="38" max="38" width="7.28515625" style="1" bestFit="1" customWidth="1"/>
    <col min="39" max="39" width="8.7109375" style="2" bestFit="1" customWidth="1"/>
    <col min="40" max="40" width="8.7109375" style="1" customWidth="1"/>
    <col min="41" max="41" width="9.42578125" style="1" bestFit="1" customWidth="1"/>
    <col min="42" max="42" width="9.42578125" style="1" customWidth="1"/>
    <col min="43" max="43" width="28.28515625" style="1" customWidth="1"/>
    <col min="44" max="16384" width="9.140625" style="1"/>
  </cols>
  <sheetData>
    <row r="2" spans="1:47" s="15" customFormat="1" ht="18" customHeight="1" x14ac:dyDescent="0.25">
      <c r="A2" s="14"/>
      <c r="B2" s="15" t="s">
        <v>30</v>
      </c>
      <c r="I2" s="16"/>
      <c r="N2" s="17"/>
      <c r="S2" s="17"/>
      <c r="X2" s="17"/>
      <c r="AC2" s="17"/>
      <c r="AH2" s="17"/>
      <c r="AM2" s="17"/>
    </row>
    <row r="3" spans="1:47" ht="18" customHeight="1" x14ac:dyDescent="0.2">
      <c r="B3" s="60"/>
      <c r="I3" s="9"/>
    </row>
    <row r="4" spans="1:47" ht="18" customHeight="1" x14ac:dyDescent="0.25">
      <c r="B4" s="48">
        <f>COUNTIF(R24:R103,"ERROR")</f>
        <v>0</v>
      </c>
      <c r="C4" s="49" t="s">
        <v>29</v>
      </c>
      <c r="D4" s="50"/>
      <c r="E4" s="51"/>
      <c r="I4" s="9"/>
    </row>
    <row r="5" spans="1:47" ht="18" customHeight="1" thickBot="1" x14ac:dyDescent="0.25">
      <c r="B5" s="60"/>
      <c r="I5" s="9"/>
    </row>
    <row r="6" spans="1:47" s="15" customFormat="1" ht="18" customHeight="1" thickBot="1" x14ac:dyDescent="0.3">
      <c r="A6" s="14"/>
      <c r="B6" s="43" t="s">
        <v>16</v>
      </c>
      <c r="C6" s="74"/>
      <c r="D6" s="75"/>
      <c r="I6" s="16"/>
      <c r="N6" s="17"/>
      <c r="S6" s="17"/>
      <c r="X6" s="17"/>
      <c r="AC6" s="17"/>
      <c r="AH6" s="17"/>
      <c r="AM6" s="17"/>
    </row>
    <row r="7" spans="1:47" s="15" customFormat="1" ht="18" customHeight="1" thickBot="1" x14ac:dyDescent="0.3">
      <c r="A7" s="14"/>
      <c r="B7" s="71" t="s">
        <v>10</v>
      </c>
      <c r="C7" s="72">
        <v>17</v>
      </c>
      <c r="D7" s="73" t="s">
        <v>21</v>
      </c>
      <c r="N7" s="17"/>
      <c r="S7" s="17"/>
      <c r="X7" s="17"/>
      <c r="AC7" s="17"/>
      <c r="AH7" s="17"/>
      <c r="AM7" s="17"/>
      <c r="AR7" s="48">
        <f>COUNTIF(R24:R103,"ERROR")</f>
        <v>0</v>
      </c>
      <c r="AS7" s="49" t="s">
        <v>29</v>
      </c>
      <c r="AT7" s="50"/>
      <c r="AU7" s="51"/>
    </row>
    <row r="8" spans="1:47" s="15" customFormat="1" ht="18" customHeight="1" thickBot="1" x14ac:dyDescent="0.3">
      <c r="A8" s="14"/>
      <c r="B8" s="44"/>
      <c r="C8" s="45"/>
      <c r="D8" s="46"/>
      <c r="I8" s="16"/>
      <c r="N8" s="17"/>
      <c r="S8" s="17"/>
      <c r="X8" s="17"/>
      <c r="AC8" s="17"/>
      <c r="AH8" s="17"/>
      <c r="AM8" s="17"/>
    </row>
    <row r="9" spans="1:47" s="15" customFormat="1" ht="18" customHeight="1" x14ac:dyDescent="0.25">
      <c r="A9" s="14"/>
      <c r="B9" s="35" t="s">
        <v>12</v>
      </c>
      <c r="C9" s="36" t="s">
        <v>22</v>
      </c>
      <c r="D9" s="37" t="s">
        <v>24</v>
      </c>
      <c r="I9" s="16"/>
      <c r="N9" s="17"/>
      <c r="S9" s="17"/>
      <c r="X9" s="17"/>
      <c r="AC9" s="17"/>
      <c r="AH9" s="17"/>
      <c r="AM9" s="17"/>
    </row>
    <row r="10" spans="1:47" s="15" customFormat="1" ht="18" customHeight="1" x14ac:dyDescent="0.25">
      <c r="A10" s="14"/>
      <c r="B10" s="38" t="s">
        <v>15</v>
      </c>
      <c r="C10" s="34">
        <f>SUMIF(F24:F103,"SMT",E24:E103)+SUMIF(F24:F103,"SMD",E24:E103)</f>
        <v>165</v>
      </c>
      <c r="D10" s="39">
        <f>COUNTIFS(F24:F103,"SMT")+COUNTIFS(F24:F103,"SMD")</f>
        <v>55</v>
      </c>
      <c r="I10" s="16"/>
      <c r="N10" s="17"/>
      <c r="S10" s="17"/>
      <c r="X10" s="17"/>
      <c r="AC10" s="17"/>
      <c r="AH10" s="17"/>
      <c r="AM10" s="17"/>
    </row>
    <row r="11" spans="1:47" s="15" customFormat="1" ht="18" customHeight="1" x14ac:dyDescent="0.25">
      <c r="A11" s="14"/>
      <c r="B11" s="38" t="s">
        <v>26</v>
      </c>
      <c r="C11" s="34">
        <f>SUMIF(F24:F103,"QFN",E24:E103)+SUMIF(F24:F103,"BGA",E24:E103)+SUMIF(F24:F103,"QFP",E24:E103)+SUMIF(F24:F103,"FINE PITCH",E24:E103)</f>
        <v>4</v>
      </c>
      <c r="D11" s="39">
        <f>COUNTIFS(F24:F103,"QFN",E24:E103,"&lt;&gt;")+COUNTIFS(F24:F103,"BGA",E24:E103,"&lt;&gt;")+COUNTIFS(F24:F103,"QFP",E24:E103,"&lt;&gt;")+COUNTIFS(F24:F103,"FINE PITCH",E24:E103,"&lt;&gt;")</f>
        <v>4</v>
      </c>
      <c r="I11" s="16"/>
      <c r="N11" s="17"/>
      <c r="S11" s="17"/>
      <c r="X11" s="17"/>
      <c r="AC11" s="17"/>
      <c r="AH11" s="17"/>
      <c r="AM11" s="17"/>
    </row>
    <row r="12" spans="1:47" s="15" customFormat="1" ht="18" customHeight="1" x14ac:dyDescent="0.25">
      <c r="A12" s="14"/>
      <c r="B12" s="38" t="s">
        <v>25</v>
      </c>
      <c r="C12" s="33">
        <f>SUMIF(F24:F103,"TH",E24:E103)</f>
        <v>2</v>
      </c>
      <c r="D12" s="39">
        <f>COUNTIFS(F24:F103,"TH",E24:E103,"&lt;&gt;")</f>
        <v>2</v>
      </c>
      <c r="I12" s="16"/>
      <c r="N12" s="17"/>
      <c r="S12" s="17"/>
      <c r="X12" s="17"/>
      <c r="AC12" s="17"/>
      <c r="AH12" s="17"/>
      <c r="AM12" s="17"/>
    </row>
    <row r="13" spans="1:47" s="15" customFormat="1" ht="18" customHeight="1" x14ac:dyDescent="0.25">
      <c r="A13" s="14"/>
      <c r="B13" s="38" t="s">
        <v>17</v>
      </c>
      <c r="C13" s="33">
        <f>SUMIF(F24:F103,"HAND",E24:E103)</f>
        <v>20</v>
      </c>
      <c r="D13" s="39">
        <f>COUNTIFS(F24:F103,"HAND",E24:E103,"&lt;&gt;")</f>
        <v>14</v>
      </c>
      <c r="I13" s="16"/>
      <c r="N13" s="17"/>
      <c r="S13" s="17"/>
      <c r="X13" s="17"/>
      <c r="AC13" s="17"/>
      <c r="AH13" s="17"/>
      <c r="AM13" s="17"/>
    </row>
    <row r="14" spans="1:47" s="15" customFormat="1" ht="18" customHeight="1" thickBot="1" x14ac:dyDescent="0.3">
      <c r="A14" s="14"/>
      <c r="B14" s="40" t="s">
        <v>23</v>
      </c>
      <c r="C14" s="41">
        <f>SUM(E24:E103)</f>
        <v>191</v>
      </c>
      <c r="D14" s="42">
        <f>COUNTIFS(E24:E103,"&gt;0",E24:E103,"&lt;&gt;")</f>
        <v>72</v>
      </c>
      <c r="I14" s="16"/>
      <c r="N14" s="17"/>
      <c r="S14" s="17"/>
      <c r="X14" s="17"/>
      <c r="AC14" s="17"/>
      <c r="AH14" s="17"/>
      <c r="AM14" s="17"/>
    </row>
    <row r="15" spans="1:47" ht="18" customHeight="1" x14ac:dyDescent="0.25">
      <c r="B15" s="47" t="s">
        <v>27</v>
      </c>
      <c r="C15" s="15"/>
      <c r="D15" s="15"/>
      <c r="I15" s="9"/>
    </row>
    <row r="16" spans="1:47" ht="18" customHeight="1" x14ac:dyDescent="0.2">
      <c r="B16" s="60"/>
      <c r="I16" s="9"/>
      <c r="S16" s="1"/>
      <c r="X16" s="1"/>
      <c r="AC16" s="1"/>
      <c r="AH16" s="1"/>
      <c r="AM16" s="1"/>
    </row>
    <row r="17" spans="1:39" ht="18" customHeight="1" thickBot="1" x14ac:dyDescent="0.25">
      <c r="B17" s="60"/>
      <c r="I17" s="9"/>
      <c r="N17" s="1"/>
      <c r="S17" s="1"/>
      <c r="X17" s="1"/>
      <c r="AC17" s="1"/>
      <c r="AH17" s="1"/>
      <c r="AM17" s="1"/>
    </row>
    <row r="18" spans="1:39" ht="18" customHeight="1" x14ac:dyDescent="0.25">
      <c r="B18" s="60"/>
      <c r="I18" s="20"/>
      <c r="J18" s="21" t="s">
        <v>7</v>
      </c>
      <c r="K18" s="22" t="s">
        <v>9</v>
      </c>
      <c r="L18" s="8" t="s">
        <v>19</v>
      </c>
      <c r="N18" s="1"/>
      <c r="S18" s="1"/>
      <c r="X18" s="1"/>
      <c r="AC18" s="1"/>
      <c r="AH18" s="1"/>
      <c r="AM18" s="1"/>
    </row>
    <row r="19" spans="1:39" ht="15" customHeight="1" x14ac:dyDescent="0.25">
      <c r="B19" s="60"/>
      <c r="I19" s="23" t="str">
        <f t="shared" ref="I19:K20" si="0">I106</f>
        <v>EA 750</v>
      </c>
      <c r="J19" s="7">
        <f t="shared" si="0"/>
        <v>46.956249999999997</v>
      </c>
      <c r="K19" s="30">
        <f t="shared" si="0"/>
        <v>46.956283333333332</v>
      </c>
      <c r="L19" s="29">
        <f>L106</f>
        <v>47.482058933333334</v>
      </c>
      <c r="N19" s="1"/>
      <c r="S19" s="1"/>
      <c r="X19" s="1"/>
      <c r="AC19" s="1"/>
      <c r="AH19" s="1"/>
      <c r="AM19" s="1"/>
    </row>
    <row r="20" spans="1:39" ht="18" customHeight="1" thickBot="1" x14ac:dyDescent="0.3">
      <c r="B20" s="60"/>
      <c r="I20" s="25" t="str">
        <f t="shared" si="0"/>
        <v>EA 750+</v>
      </c>
      <c r="J20" s="31">
        <f t="shared" si="0"/>
        <v>1.03</v>
      </c>
      <c r="K20" s="32">
        <f t="shared" si="0"/>
        <v>48.364971833333335</v>
      </c>
      <c r="L20" s="28">
        <f>1-J19/L19</f>
        <v>1.1073844419248857E-2</v>
      </c>
      <c r="N20" s="1"/>
      <c r="S20" s="1"/>
      <c r="X20" s="1"/>
      <c r="AC20" s="1"/>
      <c r="AH20" s="1"/>
      <c r="AM20" s="1"/>
    </row>
    <row r="21" spans="1:39" ht="18" customHeight="1" x14ac:dyDescent="0.2">
      <c r="B21" s="60"/>
      <c r="J21" s="9"/>
      <c r="N21" s="1"/>
      <c r="S21" s="1"/>
      <c r="X21" s="1"/>
      <c r="AC21" s="1"/>
      <c r="AH21" s="1"/>
      <c r="AM21" s="1"/>
    </row>
    <row r="22" spans="1:39" ht="18" customHeight="1" x14ac:dyDescent="0.2">
      <c r="H22" s="4" t="s">
        <v>11</v>
      </c>
      <c r="I22" s="11">
        <f>H23</f>
        <v>750</v>
      </c>
      <c r="J22" s="4">
        <f>H23</f>
        <v>750</v>
      </c>
      <c r="K22" s="4">
        <f>H23</f>
        <v>750</v>
      </c>
      <c r="L22" s="4">
        <f>H23</f>
        <v>750</v>
      </c>
      <c r="N22" s="1"/>
      <c r="S22" s="1"/>
      <c r="X22" s="1"/>
      <c r="AC22" s="1"/>
      <c r="AH22" s="1"/>
      <c r="AM22" s="1"/>
    </row>
    <row r="23" spans="1:39" ht="15" x14ac:dyDescent="0.25">
      <c r="A23" s="3" t="s">
        <v>0</v>
      </c>
      <c r="B23" s="1" t="s">
        <v>1</v>
      </c>
      <c r="C23" s="1" t="s">
        <v>2</v>
      </c>
      <c r="D23" s="1" t="s">
        <v>3</v>
      </c>
      <c r="E23" s="1" t="s">
        <v>5</v>
      </c>
      <c r="F23" s="8" t="s">
        <v>14</v>
      </c>
      <c r="G23" s="1" t="s">
        <v>4</v>
      </c>
      <c r="H23" s="12">
        <v>750</v>
      </c>
      <c r="I23" s="13" t="s">
        <v>6</v>
      </c>
      <c r="J23" s="4" t="s">
        <v>7</v>
      </c>
      <c r="K23" s="4" t="s">
        <v>9</v>
      </c>
      <c r="L23" s="4" t="s">
        <v>18</v>
      </c>
      <c r="M23" s="3" t="s">
        <v>8</v>
      </c>
      <c r="N23" s="1" t="s">
        <v>317</v>
      </c>
      <c r="O23" s="1" t="s">
        <v>318</v>
      </c>
      <c r="R23" s="1" t="s">
        <v>28</v>
      </c>
      <c r="S23" s="1"/>
      <c r="X23" s="1"/>
      <c r="AC23" s="1"/>
      <c r="AH23" s="1"/>
      <c r="AM23" s="1"/>
    </row>
    <row r="24" spans="1:39" ht="18" customHeight="1" x14ac:dyDescent="0.2">
      <c r="A24" s="4">
        <v>5</v>
      </c>
      <c r="B24" s="61" t="s">
        <v>31</v>
      </c>
      <c r="C24" s="5" t="s">
        <v>32</v>
      </c>
      <c r="D24" s="5" t="s">
        <v>33</v>
      </c>
      <c r="E24" s="5">
        <v>1</v>
      </c>
      <c r="F24" s="4" t="s">
        <v>34</v>
      </c>
      <c r="G24" s="6" t="s">
        <v>35</v>
      </c>
      <c r="H24" s="5">
        <f>$H$23*$E24</f>
        <v>750</v>
      </c>
      <c r="I24" s="7">
        <v>2.13</v>
      </c>
      <c r="J24" s="7">
        <f>I24*$E24</f>
        <v>2.13</v>
      </c>
      <c r="K24" s="7">
        <f>IF(J24&gt;0,IF(J24*$H$23&lt;2.5,2.5/$H$23,J24),0)</f>
        <v>2.13</v>
      </c>
      <c r="L24" s="7">
        <f>IFERROR(I24*INDEX([1]Sheet1!$A$1:$A$13,MATCH(I24,[1]Sheet1!$B$1:$B$13)),0)</f>
        <v>10.649999999999999</v>
      </c>
      <c r="N24" s="1" t="s">
        <v>296</v>
      </c>
      <c r="R24" s="1" t="str">
        <f>IF(E24&gt;0,(IF(I24&gt;0,"","ERROR")),"")</f>
        <v/>
      </c>
      <c r="S24" s="1"/>
      <c r="X24" s="1"/>
      <c r="AC24" s="1"/>
      <c r="AH24" s="1"/>
      <c r="AM24" s="1"/>
    </row>
    <row r="25" spans="1:39" ht="18" customHeight="1" x14ac:dyDescent="0.2">
      <c r="A25" s="4">
        <v>10</v>
      </c>
      <c r="B25" s="61" t="s">
        <v>36</v>
      </c>
      <c r="C25" s="5" t="s">
        <v>37</v>
      </c>
      <c r="D25" s="5" t="s">
        <v>38</v>
      </c>
      <c r="E25" s="5">
        <v>1</v>
      </c>
      <c r="F25" s="4" t="s">
        <v>34</v>
      </c>
      <c r="G25" s="6" t="s">
        <v>39</v>
      </c>
      <c r="H25" s="5">
        <f t="shared" ref="H25:H92" si="1">$H$23*$E25</f>
        <v>750</v>
      </c>
      <c r="I25" s="7">
        <v>0.19500000000000001</v>
      </c>
      <c r="J25" s="7">
        <f t="shared" ref="J25:J92" si="2">I25*$E25</f>
        <v>0.19500000000000001</v>
      </c>
      <c r="K25" s="7">
        <f>IF(J25&gt;0,IF(J25*$H$23&lt;2.5,2.5/$H$23,J25),0)</f>
        <v>0.19500000000000001</v>
      </c>
      <c r="L25" s="7">
        <f>IFERROR(I25*INDEX([1]Sheet1!$A$1:$A$13,MATCH(I25,[1]Sheet1!$B$1:$B$13)),0)</f>
        <v>6.8250000000000002</v>
      </c>
      <c r="N25" s="1" t="s">
        <v>296</v>
      </c>
      <c r="R25" s="1" t="str">
        <f t="shared" ref="R25:R93" si="3">IF(E25&gt;0,(IF(I25&gt;0,"","ERROR")),"")</f>
        <v/>
      </c>
      <c r="S25" s="1"/>
      <c r="X25" s="1"/>
      <c r="AC25" s="1"/>
      <c r="AH25" s="1"/>
      <c r="AM25" s="1"/>
    </row>
    <row r="26" spans="1:39" ht="18" customHeight="1" x14ac:dyDescent="0.2">
      <c r="A26" s="4">
        <v>15</v>
      </c>
      <c r="B26" s="61" t="s">
        <v>40</v>
      </c>
      <c r="C26" s="5" t="s">
        <v>41</v>
      </c>
      <c r="D26" s="5" t="s">
        <v>42</v>
      </c>
      <c r="E26" s="5">
        <v>1</v>
      </c>
      <c r="F26" s="4" t="s">
        <v>263</v>
      </c>
      <c r="G26" s="6" t="s">
        <v>43</v>
      </c>
      <c r="H26" s="5">
        <f t="shared" si="1"/>
        <v>750</v>
      </c>
      <c r="I26" s="7">
        <v>1.0209999999999999</v>
      </c>
      <c r="J26" s="7">
        <f t="shared" si="2"/>
        <v>1.0209999999999999</v>
      </c>
      <c r="K26" s="7">
        <f>IF(J26&gt;0,IF(J26*$H$23&lt;2.5,2.5/$H$23,J26),0)</f>
        <v>1.0209999999999999</v>
      </c>
      <c r="L26" s="7">
        <f>IFERROR(I26*INDEX([1]Sheet1!$A$1:$A$13,MATCH(I26,[1]Sheet1!$B$1:$B$13)),0)</f>
        <v>5.1049999999999995</v>
      </c>
      <c r="N26" s="1" t="s">
        <v>297</v>
      </c>
      <c r="R26" s="1" t="str">
        <f t="shared" si="3"/>
        <v/>
      </c>
      <c r="S26" s="1"/>
      <c r="X26" s="1"/>
      <c r="AC26" s="1"/>
      <c r="AH26" s="1"/>
      <c r="AM26" s="1"/>
    </row>
    <row r="27" spans="1:39" ht="18" customHeight="1" x14ac:dyDescent="0.2">
      <c r="A27" s="4">
        <v>20</v>
      </c>
      <c r="B27" s="61" t="s">
        <v>44</v>
      </c>
      <c r="C27" s="5" t="s">
        <v>45</v>
      </c>
      <c r="D27" s="5" t="s">
        <v>46</v>
      </c>
      <c r="E27" s="5">
        <v>1</v>
      </c>
      <c r="F27" s="4" t="s">
        <v>263</v>
      </c>
      <c r="G27" s="6" t="s">
        <v>47</v>
      </c>
      <c r="H27" s="5">
        <f t="shared" si="1"/>
        <v>750</v>
      </c>
      <c r="I27" s="7">
        <v>2.3860000000000001</v>
      </c>
      <c r="J27" s="7">
        <f t="shared" si="2"/>
        <v>2.3860000000000001</v>
      </c>
      <c r="K27" s="7">
        <f>IF(J27&gt;0,IF(J27*$H$23&lt;2.5,2.5/$H$23,J27),0)</f>
        <v>2.3860000000000001</v>
      </c>
      <c r="L27" s="7">
        <f>IFERROR(I27*INDEX([1]Sheet1!$A$1:$A$13,MATCH(I27,[1]Sheet1!$B$1:$B$13)),0)</f>
        <v>11.93</v>
      </c>
      <c r="N27" s="1" t="s">
        <v>298</v>
      </c>
      <c r="R27" s="1" t="str">
        <f t="shared" si="3"/>
        <v/>
      </c>
      <c r="S27" s="1"/>
      <c r="X27" s="1"/>
      <c r="AC27" s="1"/>
      <c r="AH27" s="1"/>
      <c r="AM27" s="1"/>
    </row>
    <row r="28" spans="1:39" ht="18" customHeight="1" x14ac:dyDescent="0.2">
      <c r="A28" s="4">
        <v>25</v>
      </c>
      <c r="B28" s="61" t="s">
        <v>48</v>
      </c>
      <c r="C28" s="5" t="s">
        <v>37</v>
      </c>
      <c r="D28" s="5" t="s">
        <v>49</v>
      </c>
      <c r="E28" s="5">
        <v>6</v>
      </c>
      <c r="F28" s="4" t="s">
        <v>34</v>
      </c>
      <c r="G28" s="6" t="s">
        <v>50</v>
      </c>
      <c r="H28" s="5">
        <f t="shared" si="1"/>
        <v>4500</v>
      </c>
      <c r="I28" s="7">
        <v>6.9800000000000001E-3</v>
      </c>
      <c r="J28" s="7">
        <f t="shared" si="2"/>
        <v>4.1880000000000001E-2</v>
      </c>
      <c r="K28" s="7">
        <f t="shared" ref="K28:K64" si="4">IF(J28&gt;0,IF(J28*$H$23&lt;2.5,2.5/$H$23,J28),0)</f>
        <v>4.1880000000000001E-2</v>
      </c>
      <c r="L28" s="7">
        <f>IFERROR(I28*INDEX([1]Sheet1!$A$1:$A$13,MATCH(I28,[1]Sheet1!$B$1:$B$13)),0)</f>
        <v>1.7450000000000001</v>
      </c>
      <c r="N28" s="1" t="s">
        <v>298</v>
      </c>
      <c r="O28" s="1" t="s">
        <v>299</v>
      </c>
      <c r="R28" s="1" t="str">
        <f t="shared" si="3"/>
        <v/>
      </c>
      <c r="S28" s="1"/>
      <c r="X28" s="1"/>
      <c r="AC28" s="1"/>
      <c r="AH28" s="1"/>
      <c r="AM28" s="1"/>
    </row>
    <row r="29" spans="1:39" ht="18" customHeight="1" x14ac:dyDescent="0.2">
      <c r="A29" s="4">
        <v>30</v>
      </c>
      <c r="B29" s="61" t="s">
        <v>51</v>
      </c>
      <c r="C29" s="5" t="s">
        <v>37</v>
      </c>
      <c r="D29" s="5" t="s">
        <v>52</v>
      </c>
      <c r="E29" s="5">
        <v>2</v>
      </c>
      <c r="F29" s="4" t="s">
        <v>34</v>
      </c>
      <c r="G29" s="6" t="s">
        <v>53</v>
      </c>
      <c r="H29" s="5">
        <f t="shared" si="1"/>
        <v>1500</v>
      </c>
      <c r="I29" s="7">
        <v>1.9E-2</v>
      </c>
      <c r="J29" s="7">
        <f t="shared" si="2"/>
        <v>3.7999999999999999E-2</v>
      </c>
      <c r="K29" s="7">
        <f t="shared" si="4"/>
        <v>3.7999999999999999E-2</v>
      </c>
      <c r="L29" s="7">
        <f>IFERROR(I29*INDEX([1]Sheet1!$A$1:$A$13,MATCH(I29,[1]Sheet1!$B$1:$B$13)),0)</f>
        <v>4.75</v>
      </c>
      <c r="N29" s="1" t="s">
        <v>296</v>
      </c>
      <c r="O29" s="1" t="s">
        <v>300</v>
      </c>
      <c r="R29" s="1" t="str">
        <f t="shared" si="3"/>
        <v/>
      </c>
      <c r="S29" s="1"/>
      <c r="X29" s="1"/>
      <c r="AC29" s="1"/>
      <c r="AH29" s="1"/>
      <c r="AM29" s="1"/>
    </row>
    <row r="30" spans="1:39" ht="18" customHeight="1" x14ac:dyDescent="0.2">
      <c r="A30" s="4">
        <v>35</v>
      </c>
      <c r="B30" s="61" t="s">
        <v>54</v>
      </c>
      <c r="C30" s="5" t="s">
        <v>37</v>
      </c>
      <c r="D30" s="5" t="s">
        <v>55</v>
      </c>
      <c r="E30" s="5"/>
      <c r="F30" s="4"/>
      <c r="G30" s="6"/>
      <c r="H30" s="5">
        <f t="shared" si="1"/>
        <v>0</v>
      </c>
      <c r="I30" s="7"/>
      <c r="J30" s="7">
        <f t="shared" si="2"/>
        <v>0</v>
      </c>
      <c r="K30" s="7">
        <f t="shared" si="4"/>
        <v>0</v>
      </c>
      <c r="L30" s="7">
        <f>IFERROR(I30*INDEX([1]Sheet1!$A$1:$A$13,MATCH(I30,[1]Sheet1!$B$1:$B$13)),0)</f>
        <v>0</v>
      </c>
      <c r="N30" s="1" t="s">
        <v>301</v>
      </c>
      <c r="R30" s="1" t="str">
        <f t="shared" si="3"/>
        <v/>
      </c>
      <c r="S30" s="1"/>
      <c r="X30" s="1"/>
      <c r="AC30" s="1"/>
      <c r="AH30" s="1"/>
      <c r="AM30" s="1"/>
    </row>
    <row r="31" spans="1:39" ht="18" customHeight="1" x14ac:dyDescent="0.2">
      <c r="A31" s="4"/>
      <c r="B31" s="61" t="s">
        <v>135</v>
      </c>
      <c r="C31" s="5" t="s">
        <v>37</v>
      </c>
      <c r="D31" s="5" t="s">
        <v>302</v>
      </c>
      <c r="E31" s="5">
        <v>35</v>
      </c>
      <c r="F31" s="4" t="s">
        <v>34</v>
      </c>
      <c r="G31" s="6" t="s">
        <v>56</v>
      </c>
      <c r="H31" s="5">
        <f t="shared" si="1"/>
        <v>26250</v>
      </c>
      <c r="I31" s="7">
        <v>5.0000000000000001E-3</v>
      </c>
      <c r="J31" s="7">
        <f t="shared" ref="J31" si="5">I31*$E31</f>
        <v>0.17500000000000002</v>
      </c>
      <c r="K31" s="7">
        <f t="shared" ref="K31" si="6">IF(J31&gt;0,IF(J31*$H$23&lt;2.5,2.5/$H$23,J31),0)</f>
        <v>0.17500000000000002</v>
      </c>
      <c r="L31" s="7">
        <f>IFERROR(I31*INDEX([1]Sheet1!$A$1:$A$13,MATCH(I31,[1]Sheet1!$B$1:$B$13)),0)</f>
        <v>1.25</v>
      </c>
      <c r="N31" s="1" t="s">
        <v>296</v>
      </c>
      <c r="S31" s="1"/>
      <c r="X31" s="1"/>
      <c r="AC31" s="1"/>
      <c r="AH31" s="1"/>
      <c r="AM31" s="1"/>
    </row>
    <row r="32" spans="1:39" ht="18" customHeight="1" x14ac:dyDescent="0.2">
      <c r="A32" s="4">
        <v>40</v>
      </c>
      <c r="B32" s="61" t="s">
        <v>57</v>
      </c>
      <c r="C32" s="5" t="s">
        <v>37</v>
      </c>
      <c r="D32" s="5" t="s">
        <v>58</v>
      </c>
      <c r="E32" s="5">
        <v>1</v>
      </c>
      <c r="F32" s="4" t="s">
        <v>34</v>
      </c>
      <c r="G32" s="6" t="s">
        <v>59</v>
      </c>
      <c r="H32" s="5">
        <f t="shared" si="1"/>
        <v>750</v>
      </c>
      <c r="I32" s="7">
        <v>1.4999999999999999E-2</v>
      </c>
      <c r="J32" s="7">
        <f t="shared" si="2"/>
        <v>1.4999999999999999E-2</v>
      </c>
      <c r="K32" s="7">
        <f t="shared" si="4"/>
        <v>1.4999999999999999E-2</v>
      </c>
      <c r="L32" s="7">
        <f>IFERROR(I32*INDEX([1]Sheet1!$A$1:$A$13,MATCH(I32,[1]Sheet1!$B$1:$B$13)),0)</f>
        <v>3.75</v>
      </c>
      <c r="N32" s="1" t="s">
        <v>296</v>
      </c>
      <c r="R32" s="1" t="str">
        <f t="shared" si="3"/>
        <v/>
      </c>
      <c r="S32" s="1"/>
      <c r="X32" s="1"/>
      <c r="AC32" s="1"/>
      <c r="AH32" s="1"/>
      <c r="AM32" s="1"/>
    </row>
    <row r="33" spans="1:39" ht="18" customHeight="1" x14ac:dyDescent="0.2">
      <c r="A33" s="4">
        <v>45</v>
      </c>
      <c r="B33" s="5" t="s">
        <v>60</v>
      </c>
      <c r="C33" s="5" t="s">
        <v>61</v>
      </c>
      <c r="D33" s="5" t="s">
        <v>62</v>
      </c>
      <c r="E33" s="5">
        <v>1</v>
      </c>
      <c r="F33" s="4" t="s">
        <v>34</v>
      </c>
      <c r="G33" s="6" t="s">
        <v>63</v>
      </c>
      <c r="H33" s="5">
        <f t="shared" si="1"/>
        <v>750</v>
      </c>
      <c r="I33" s="7">
        <v>3.7000000000000002E-3</v>
      </c>
      <c r="J33" s="7">
        <f t="shared" si="2"/>
        <v>3.7000000000000002E-3</v>
      </c>
      <c r="K33" s="7">
        <f t="shared" si="4"/>
        <v>3.7000000000000002E-3</v>
      </c>
      <c r="L33" s="7">
        <f>IFERROR(I33*INDEX([1]Sheet1!$A$1:$A$13,MATCH(I33,[1]Sheet1!$B$1:$B$13)),0)</f>
        <v>0.92500000000000004</v>
      </c>
      <c r="N33" s="1" t="s">
        <v>303</v>
      </c>
      <c r="R33" s="1" t="str">
        <f t="shared" si="3"/>
        <v/>
      </c>
      <c r="S33" s="1"/>
      <c r="X33" s="1"/>
      <c r="AC33" s="1"/>
      <c r="AH33" s="1"/>
      <c r="AM33" s="1"/>
    </row>
    <row r="34" spans="1:39" ht="18" customHeight="1" x14ac:dyDescent="0.2">
      <c r="A34" s="4">
        <v>50</v>
      </c>
      <c r="B34" s="5" t="s">
        <v>64</v>
      </c>
      <c r="C34" s="5" t="s">
        <v>65</v>
      </c>
      <c r="D34" s="5" t="s">
        <v>66</v>
      </c>
      <c r="E34" s="5">
        <v>1</v>
      </c>
      <c r="F34" s="4" t="s">
        <v>34</v>
      </c>
      <c r="G34" s="6" t="s">
        <v>67</v>
      </c>
      <c r="H34" s="5">
        <f t="shared" si="1"/>
        <v>750</v>
      </c>
      <c r="I34" s="7">
        <v>2.7640000000000001E-2</v>
      </c>
      <c r="J34" s="7">
        <f t="shared" si="2"/>
        <v>2.7640000000000001E-2</v>
      </c>
      <c r="K34" s="7">
        <f t="shared" si="4"/>
        <v>2.7640000000000001E-2</v>
      </c>
      <c r="L34" s="7">
        <f>IFERROR(I34*INDEX([1]Sheet1!$A$1:$A$13,MATCH(I34,[1]Sheet1!$B$1:$B$13)),0)</f>
        <v>6.91</v>
      </c>
      <c r="N34" s="1" t="s">
        <v>298</v>
      </c>
      <c r="R34" s="1" t="str">
        <f t="shared" si="3"/>
        <v/>
      </c>
      <c r="S34" s="1"/>
      <c r="X34" s="1"/>
      <c r="AC34" s="1"/>
      <c r="AH34" s="1"/>
      <c r="AM34" s="1"/>
    </row>
    <row r="35" spans="1:39" ht="18" customHeight="1" x14ac:dyDescent="0.2">
      <c r="A35" s="4">
        <v>55</v>
      </c>
      <c r="B35" s="61" t="s">
        <v>68</v>
      </c>
      <c r="C35" s="5" t="s">
        <v>37</v>
      </c>
      <c r="D35" s="5" t="s">
        <v>69</v>
      </c>
      <c r="E35" s="5">
        <v>3</v>
      </c>
      <c r="F35" s="4" t="s">
        <v>34</v>
      </c>
      <c r="G35" s="6" t="s">
        <v>70</v>
      </c>
      <c r="H35" s="5">
        <f t="shared" si="1"/>
        <v>2250</v>
      </c>
      <c r="I35" s="7">
        <v>0.15</v>
      </c>
      <c r="J35" s="7">
        <f t="shared" si="2"/>
        <v>0.44999999999999996</v>
      </c>
      <c r="K35" s="7">
        <f t="shared" si="4"/>
        <v>0.44999999999999996</v>
      </c>
      <c r="L35" s="7">
        <f>IFERROR(I35*INDEX([1]Sheet1!$A$1:$A$13,MATCH(I35,[1]Sheet1!$B$1:$B$13)),0)</f>
        <v>5.25</v>
      </c>
      <c r="N35" s="1" t="s">
        <v>296</v>
      </c>
      <c r="O35" s="1" t="s">
        <v>300</v>
      </c>
      <c r="R35" s="1" t="str">
        <f t="shared" si="3"/>
        <v/>
      </c>
      <c r="S35" s="1"/>
      <c r="X35" s="1"/>
      <c r="AC35" s="1"/>
      <c r="AH35" s="1"/>
      <c r="AM35" s="1"/>
    </row>
    <row r="36" spans="1:39" ht="18" customHeight="1" x14ac:dyDescent="0.2">
      <c r="A36" s="4">
        <v>60</v>
      </c>
      <c r="B36" s="61" t="s">
        <v>71</v>
      </c>
      <c r="C36" s="5" t="s">
        <v>37</v>
      </c>
      <c r="D36" s="5" t="s">
        <v>72</v>
      </c>
      <c r="E36" s="5">
        <v>1</v>
      </c>
      <c r="F36" s="4" t="s">
        <v>34</v>
      </c>
      <c r="G36" s="6" t="s">
        <v>73</v>
      </c>
      <c r="H36" s="5">
        <f t="shared" si="1"/>
        <v>750</v>
      </c>
      <c r="I36" s="7">
        <v>0.27900000000000003</v>
      </c>
      <c r="J36" s="7">
        <f t="shared" si="2"/>
        <v>0.27900000000000003</v>
      </c>
      <c r="K36" s="7">
        <f t="shared" si="4"/>
        <v>0.27900000000000003</v>
      </c>
      <c r="L36" s="7">
        <f>IFERROR(I36*INDEX([1]Sheet1!$A$1:$A$13,MATCH(I36,[1]Sheet1!$B$1:$B$13)),0)</f>
        <v>5.58</v>
      </c>
      <c r="N36" s="1" t="s">
        <v>296</v>
      </c>
      <c r="R36" s="1" t="str">
        <f t="shared" si="3"/>
        <v/>
      </c>
      <c r="S36" s="1"/>
      <c r="X36" s="1"/>
      <c r="AC36" s="1"/>
      <c r="AH36" s="1"/>
      <c r="AM36" s="1"/>
    </row>
    <row r="37" spans="1:39" ht="18" customHeight="1" x14ac:dyDescent="0.2">
      <c r="A37" s="4">
        <v>65</v>
      </c>
      <c r="B37" s="61" t="s">
        <v>48</v>
      </c>
      <c r="C37" s="5" t="s">
        <v>37</v>
      </c>
      <c r="D37" s="5" t="s">
        <v>74</v>
      </c>
      <c r="E37" s="5">
        <v>9</v>
      </c>
      <c r="F37" s="4" t="s">
        <v>34</v>
      </c>
      <c r="G37" s="6" t="s">
        <v>75</v>
      </c>
      <c r="H37" s="5">
        <f t="shared" si="1"/>
        <v>6750</v>
      </c>
      <c r="I37" s="7">
        <v>6.6400000000000001E-3</v>
      </c>
      <c r="J37" s="7">
        <f t="shared" si="2"/>
        <v>5.9760000000000001E-2</v>
      </c>
      <c r="K37" s="7">
        <f t="shared" si="4"/>
        <v>5.9760000000000001E-2</v>
      </c>
      <c r="L37" s="7">
        <f>IFERROR(I37*INDEX([1]Sheet1!$A$1:$A$13,MATCH(I37,[1]Sheet1!$B$1:$B$13)),0)</f>
        <v>1.66</v>
      </c>
      <c r="N37" s="1" t="s">
        <v>298</v>
      </c>
      <c r="O37" s="1" t="s">
        <v>304</v>
      </c>
      <c r="R37" s="1" t="str">
        <f t="shared" si="3"/>
        <v/>
      </c>
      <c r="S37" s="1"/>
      <c r="X37" s="1"/>
      <c r="AC37" s="1"/>
      <c r="AH37" s="1"/>
      <c r="AM37" s="1"/>
    </row>
    <row r="38" spans="1:39" ht="18" customHeight="1" x14ac:dyDescent="0.2">
      <c r="A38" s="4">
        <v>70</v>
      </c>
      <c r="B38" s="61" t="s">
        <v>76</v>
      </c>
      <c r="C38" s="5" t="s">
        <v>77</v>
      </c>
      <c r="D38" s="5" t="s">
        <v>78</v>
      </c>
      <c r="E38" s="5">
        <v>15</v>
      </c>
      <c r="F38" s="4" t="s">
        <v>34</v>
      </c>
      <c r="G38" s="6" t="s">
        <v>79</v>
      </c>
      <c r="H38" s="5">
        <f t="shared" si="1"/>
        <v>11250</v>
      </c>
      <c r="I38" s="7">
        <v>0.05</v>
      </c>
      <c r="J38" s="7">
        <f t="shared" si="2"/>
        <v>0.75</v>
      </c>
      <c r="K38" s="7">
        <f t="shared" si="4"/>
        <v>0.75</v>
      </c>
      <c r="L38" s="7">
        <f>IFERROR(I38*INDEX([1]Sheet1!$A$1:$A$13,MATCH(I38,[1]Sheet1!$B$1:$B$13)),0)</f>
        <v>7.5</v>
      </c>
      <c r="N38" s="1" t="s">
        <v>297</v>
      </c>
      <c r="O38" s="1" t="s">
        <v>305</v>
      </c>
      <c r="R38" s="1" t="str">
        <f t="shared" si="3"/>
        <v/>
      </c>
      <c r="S38" s="1"/>
      <c r="X38" s="1"/>
      <c r="AC38" s="1"/>
      <c r="AH38" s="1"/>
      <c r="AM38" s="1"/>
    </row>
    <row r="39" spans="1:39" ht="18" customHeight="1" x14ac:dyDescent="0.2">
      <c r="A39" s="4">
        <v>75</v>
      </c>
      <c r="B39" s="61" t="s">
        <v>80</v>
      </c>
      <c r="C39" s="5" t="s">
        <v>81</v>
      </c>
      <c r="D39" s="5" t="s">
        <v>82</v>
      </c>
      <c r="E39" s="5">
        <v>2</v>
      </c>
      <c r="F39" s="4" t="s">
        <v>34</v>
      </c>
      <c r="G39" s="6" t="s">
        <v>83</v>
      </c>
      <c r="H39" s="5">
        <f t="shared" si="1"/>
        <v>1500</v>
      </c>
      <c r="I39" s="7">
        <v>0.1206</v>
      </c>
      <c r="J39" s="7">
        <f t="shared" si="2"/>
        <v>0.2412</v>
      </c>
      <c r="K39" s="7">
        <f t="shared" si="4"/>
        <v>0.2412</v>
      </c>
      <c r="L39" s="7">
        <f>IFERROR(I39*INDEX([1]Sheet1!$A$1:$A$13,MATCH(I39,[1]Sheet1!$B$1:$B$13)),0)</f>
        <v>12.06</v>
      </c>
      <c r="N39" s="1" t="s">
        <v>306</v>
      </c>
      <c r="O39" s="1" t="s">
        <v>307</v>
      </c>
      <c r="R39" s="1" t="str">
        <f t="shared" si="3"/>
        <v/>
      </c>
      <c r="S39" s="1"/>
      <c r="X39" s="1"/>
      <c r="AC39" s="1"/>
      <c r="AH39" s="1"/>
      <c r="AM39" s="1"/>
    </row>
    <row r="40" spans="1:39" ht="18" customHeight="1" x14ac:dyDescent="0.2">
      <c r="A40" s="4">
        <v>80</v>
      </c>
      <c r="B40" s="61" t="s">
        <v>84</v>
      </c>
      <c r="C40" s="5" t="s">
        <v>85</v>
      </c>
      <c r="D40" s="5" t="s">
        <v>86</v>
      </c>
      <c r="E40" s="5">
        <v>1</v>
      </c>
      <c r="F40" s="4" t="s">
        <v>34</v>
      </c>
      <c r="G40" s="6" t="s">
        <v>87</v>
      </c>
      <c r="H40" s="5">
        <f t="shared" si="1"/>
        <v>750</v>
      </c>
      <c r="I40" s="7">
        <v>0.16800000000000001</v>
      </c>
      <c r="J40" s="7">
        <f t="shared" si="2"/>
        <v>0.16800000000000001</v>
      </c>
      <c r="K40" s="7">
        <f t="shared" si="4"/>
        <v>0.16800000000000001</v>
      </c>
      <c r="L40" s="7">
        <f>IFERROR(I40*INDEX([1]Sheet1!$A$1:$A$13,MATCH(I40,[1]Sheet1!$B$1:$B$13)),0)</f>
        <v>5.8800000000000008</v>
      </c>
      <c r="N40" s="1" t="s">
        <v>296</v>
      </c>
      <c r="R40" s="1" t="str">
        <f t="shared" si="3"/>
        <v/>
      </c>
      <c r="S40" s="1"/>
      <c r="X40" s="1"/>
      <c r="AC40" s="1"/>
      <c r="AH40" s="1"/>
      <c r="AM40" s="1"/>
    </row>
    <row r="41" spans="1:39" ht="18" customHeight="1" x14ac:dyDescent="0.2">
      <c r="A41" s="4">
        <v>85</v>
      </c>
      <c r="B41" s="61" t="s">
        <v>88</v>
      </c>
      <c r="C41" s="5" t="s">
        <v>89</v>
      </c>
      <c r="D41" s="5" t="s">
        <v>90</v>
      </c>
      <c r="E41" s="5">
        <v>1</v>
      </c>
      <c r="F41" s="4" t="s">
        <v>34</v>
      </c>
      <c r="G41" s="6" t="s">
        <v>91</v>
      </c>
      <c r="H41" s="5">
        <f t="shared" si="1"/>
        <v>750</v>
      </c>
      <c r="I41" s="7">
        <v>0.91200000000000003</v>
      </c>
      <c r="J41" s="7">
        <f t="shared" si="2"/>
        <v>0.91200000000000003</v>
      </c>
      <c r="K41" s="7">
        <f t="shared" si="4"/>
        <v>0.91200000000000003</v>
      </c>
      <c r="L41" s="7">
        <f>IFERROR(I41*INDEX([1]Sheet1!$A$1:$A$13,MATCH(I41,[1]Sheet1!$B$1:$B$13)),0)</f>
        <v>9.120000000000001</v>
      </c>
      <c r="N41" s="1" t="s">
        <v>296</v>
      </c>
      <c r="R41" s="1" t="str">
        <f t="shared" si="3"/>
        <v/>
      </c>
      <c r="S41" s="1"/>
      <c r="X41" s="1"/>
      <c r="AC41" s="1"/>
      <c r="AH41" s="1"/>
      <c r="AM41" s="1"/>
    </row>
    <row r="42" spans="1:39" ht="18" customHeight="1" x14ac:dyDescent="0.2">
      <c r="A42" s="4">
        <v>90</v>
      </c>
      <c r="B42" s="5" t="s">
        <v>92</v>
      </c>
      <c r="C42" s="5" t="s">
        <v>93</v>
      </c>
      <c r="D42" s="5" t="s">
        <v>94</v>
      </c>
      <c r="E42" s="5">
        <v>1</v>
      </c>
      <c r="F42" s="4" t="s">
        <v>34</v>
      </c>
      <c r="G42" s="6" t="s">
        <v>95</v>
      </c>
      <c r="H42" s="5">
        <f t="shared" si="1"/>
        <v>750</v>
      </c>
      <c r="I42" s="7">
        <v>0.34292</v>
      </c>
      <c r="J42" s="7">
        <f t="shared" si="2"/>
        <v>0.34292</v>
      </c>
      <c r="K42" s="7">
        <f t="shared" si="4"/>
        <v>0.34292</v>
      </c>
      <c r="L42" s="7">
        <f>IFERROR(I42*INDEX([1]Sheet1!$A$1:$A$13,MATCH(I42,[1]Sheet1!$B$1:$B$13)),0)</f>
        <v>6.8583999999999996</v>
      </c>
      <c r="N42" s="1" t="s">
        <v>298</v>
      </c>
      <c r="R42" s="1" t="str">
        <f t="shared" si="3"/>
        <v/>
      </c>
      <c r="S42" s="1"/>
      <c r="X42" s="1"/>
      <c r="AC42" s="1"/>
      <c r="AH42" s="1"/>
      <c r="AM42" s="1"/>
    </row>
    <row r="43" spans="1:39" s="70" customFormat="1" ht="18" customHeight="1" x14ac:dyDescent="0.2">
      <c r="A43" s="65">
        <v>95</v>
      </c>
      <c r="B43" s="66" t="s">
        <v>96</v>
      </c>
      <c r="C43" s="67" t="s">
        <v>97</v>
      </c>
      <c r="D43" s="67" t="s">
        <v>98</v>
      </c>
      <c r="E43" s="67">
        <v>1</v>
      </c>
      <c r="F43" s="65" t="s">
        <v>265</v>
      </c>
      <c r="G43" s="68" t="s">
        <v>99</v>
      </c>
      <c r="H43" s="67">
        <f t="shared" si="1"/>
        <v>750</v>
      </c>
      <c r="I43" s="69">
        <v>2.5499999999999998</v>
      </c>
      <c r="J43" s="69">
        <f t="shared" si="2"/>
        <v>2.5499999999999998</v>
      </c>
      <c r="K43" s="69">
        <f t="shared" si="4"/>
        <v>2.5499999999999998</v>
      </c>
      <c r="L43" s="69">
        <f>IFERROR(I43*INDEX([1]Sheet1!$A$1:$A$13,MATCH(I43,[1]Sheet1!$B$1:$B$13)),0)</f>
        <v>5.0999999999999996</v>
      </c>
      <c r="M43" s="70" t="s">
        <v>320</v>
      </c>
      <c r="N43" s="70" t="s">
        <v>301</v>
      </c>
      <c r="R43" s="70" t="str">
        <f t="shared" si="3"/>
        <v/>
      </c>
    </row>
    <row r="44" spans="1:39" ht="18" customHeight="1" x14ac:dyDescent="0.2">
      <c r="A44" s="4">
        <v>95</v>
      </c>
      <c r="B44" s="61" t="s">
        <v>135</v>
      </c>
      <c r="C44" s="5" t="s">
        <v>97</v>
      </c>
      <c r="D44" s="5" t="s">
        <v>319</v>
      </c>
      <c r="E44" s="5"/>
      <c r="F44" s="4" t="s">
        <v>265</v>
      </c>
      <c r="G44" s="6" t="s">
        <v>99</v>
      </c>
      <c r="H44" s="5"/>
      <c r="I44" s="7"/>
      <c r="J44" s="7"/>
      <c r="K44" s="7"/>
      <c r="L44" s="7"/>
      <c r="N44" s="1"/>
      <c r="S44" s="1"/>
      <c r="X44" s="1"/>
      <c r="AC44" s="1"/>
      <c r="AH44" s="1"/>
      <c r="AM44" s="1"/>
    </row>
    <row r="45" spans="1:39" ht="18" customHeight="1" x14ac:dyDescent="0.2">
      <c r="A45" s="4">
        <v>100</v>
      </c>
      <c r="B45" s="61" t="s">
        <v>100</v>
      </c>
      <c r="C45" s="5" t="s">
        <v>101</v>
      </c>
      <c r="D45" s="5" t="s">
        <v>102</v>
      </c>
      <c r="E45" s="5">
        <v>1</v>
      </c>
      <c r="F45" s="4" t="s">
        <v>261</v>
      </c>
      <c r="G45" s="6" t="s">
        <v>103</v>
      </c>
      <c r="H45" s="5">
        <f t="shared" si="1"/>
        <v>750</v>
      </c>
      <c r="I45" s="7">
        <v>0.68700000000000006</v>
      </c>
      <c r="J45" s="7">
        <f t="shared" si="2"/>
        <v>0.68700000000000006</v>
      </c>
      <c r="K45" s="7">
        <f t="shared" si="4"/>
        <v>0.68700000000000006</v>
      </c>
      <c r="L45" s="7">
        <f>IFERROR(I45*INDEX([1]Sheet1!$A$1:$A$13,MATCH(I45,[1]Sheet1!$B$1:$B$13)),0)</f>
        <v>6.870000000000001</v>
      </c>
      <c r="N45" s="1" t="s">
        <v>296</v>
      </c>
      <c r="R45" s="1" t="str">
        <f t="shared" si="3"/>
        <v/>
      </c>
      <c r="S45" s="1"/>
      <c r="X45" s="1"/>
      <c r="AC45" s="1"/>
      <c r="AH45" s="1"/>
      <c r="AM45" s="1"/>
    </row>
    <row r="46" spans="1:39" ht="18" customHeight="1" x14ac:dyDescent="0.2">
      <c r="A46" s="4">
        <v>105</v>
      </c>
      <c r="B46" s="61" t="s">
        <v>104</v>
      </c>
      <c r="C46" s="5" t="s">
        <v>105</v>
      </c>
      <c r="D46" s="5" t="s">
        <v>106</v>
      </c>
      <c r="E46" s="5">
        <v>1</v>
      </c>
      <c r="F46" s="4" t="s">
        <v>261</v>
      </c>
      <c r="G46" s="6" t="s">
        <v>107</v>
      </c>
      <c r="H46" s="5">
        <f t="shared" si="1"/>
        <v>750</v>
      </c>
      <c r="I46" s="7">
        <v>0.20300000000000001</v>
      </c>
      <c r="J46" s="7">
        <f t="shared" si="2"/>
        <v>0.20300000000000001</v>
      </c>
      <c r="K46" s="7">
        <f t="shared" si="4"/>
        <v>0.20300000000000001</v>
      </c>
      <c r="L46" s="7">
        <f>IFERROR(I46*INDEX([1]Sheet1!$A$1:$A$13,MATCH(I46,[1]Sheet1!$B$1:$B$13)),0)</f>
        <v>7.1050000000000004</v>
      </c>
      <c r="N46" s="1" t="s">
        <v>296</v>
      </c>
      <c r="R46" s="1" t="str">
        <f t="shared" si="3"/>
        <v/>
      </c>
      <c r="S46" s="1"/>
      <c r="X46" s="1"/>
      <c r="AC46" s="1"/>
      <c r="AH46" s="1"/>
      <c r="AM46" s="1"/>
    </row>
    <row r="47" spans="1:39" ht="18" customHeight="1" x14ac:dyDescent="0.2">
      <c r="A47" s="4">
        <v>110</v>
      </c>
      <c r="B47" s="61" t="s">
        <v>108</v>
      </c>
      <c r="C47" s="5" t="s">
        <v>109</v>
      </c>
      <c r="D47" s="5" t="s">
        <v>110</v>
      </c>
      <c r="E47" s="5">
        <v>3</v>
      </c>
      <c r="F47" s="4" t="s">
        <v>34</v>
      </c>
      <c r="G47" s="6" t="s">
        <v>111</v>
      </c>
      <c r="H47" s="5">
        <f t="shared" si="1"/>
        <v>2250</v>
      </c>
      <c r="I47" s="7">
        <v>0.15981000000000001</v>
      </c>
      <c r="J47" s="7">
        <f t="shared" si="2"/>
        <v>0.47943000000000002</v>
      </c>
      <c r="K47" s="7">
        <f t="shared" si="4"/>
        <v>0.47943000000000002</v>
      </c>
      <c r="L47" s="7">
        <f>IFERROR(I47*INDEX([1]Sheet1!$A$1:$A$13,MATCH(I47,[1]Sheet1!$B$1:$B$13)),0)</f>
        <v>5.59335</v>
      </c>
      <c r="N47" s="1" t="s">
        <v>298</v>
      </c>
      <c r="R47" s="1" t="str">
        <f t="shared" si="3"/>
        <v/>
      </c>
      <c r="S47" s="1"/>
      <c r="X47" s="1"/>
      <c r="AC47" s="1"/>
      <c r="AH47" s="1"/>
      <c r="AM47" s="1"/>
    </row>
    <row r="48" spans="1:39" s="70" customFormat="1" ht="18" customHeight="1" x14ac:dyDescent="0.2">
      <c r="A48" s="65">
        <v>115</v>
      </c>
      <c r="B48" s="67" t="s">
        <v>112</v>
      </c>
      <c r="C48" s="67" t="s">
        <v>113</v>
      </c>
      <c r="D48" s="67" t="s">
        <v>114</v>
      </c>
      <c r="E48" s="67">
        <v>1</v>
      </c>
      <c r="F48" s="65" t="s">
        <v>34</v>
      </c>
      <c r="G48" s="68" t="s">
        <v>115</v>
      </c>
      <c r="H48" s="67">
        <f t="shared" si="1"/>
        <v>750</v>
      </c>
      <c r="I48" s="69">
        <v>1.07</v>
      </c>
      <c r="J48" s="69">
        <f t="shared" si="2"/>
        <v>1.07</v>
      </c>
      <c r="K48" s="69">
        <f t="shared" si="4"/>
        <v>1.07</v>
      </c>
      <c r="L48" s="69">
        <f>IFERROR(I48*INDEX([1]Sheet1!$A$1:$A$13,MATCH(I48,[1]Sheet1!$B$1:$B$13)),0)</f>
        <v>5.3500000000000005</v>
      </c>
      <c r="M48" s="70" t="s">
        <v>321</v>
      </c>
      <c r="N48" s="70" t="s">
        <v>301</v>
      </c>
      <c r="R48" s="70" t="str">
        <f t="shared" si="3"/>
        <v/>
      </c>
    </row>
    <row r="49" spans="1:39" s="80" customFormat="1" ht="18" customHeight="1" x14ac:dyDescent="0.2">
      <c r="A49" s="76"/>
      <c r="B49" s="77"/>
      <c r="C49" s="77"/>
      <c r="D49" s="77" t="s">
        <v>324</v>
      </c>
      <c r="E49" s="77"/>
      <c r="F49" s="76"/>
      <c r="G49" s="78"/>
      <c r="H49" s="77"/>
      <c r="I49" s="79"/>
      <c r="J49" s="79"/>
      <c r="K49" s="79"/>
      <c r="L49" s="79"/>
    </row>
    <row r="50" spans="1:39" ht="18" customHeight="1" x14ac:dyDescent="0.2">
      <c r="A50" s="4">
        <v>120</v>
      </c>
      <c r="B50" s="5" t="s">
        <v>116</v>
      </c>
      <c r="C50" s="5" t="s">
        <v>117</v>
      </c>
      <c r="D50" s="5" t="s">
        <v>118</v>
      </c>
      <c r="E50" s="5"/>
      <c r="F50" s="4"/>
      <c r="G50" s="6"/>
      <c r="H50" s="5">
        <f t="shared" si="1"/>
        <v>0</v>
      </c>
      <c r="I50" s="7"/>
      <c r="J50" s="7">
        <f t="shared" si="2"/>
        <v>0</v>
      </c>
      <c r="K50" s="7">
        <f t="shared" si="4"/>
        <v>0</v>
      </c>
      <c r="L50" s="7">
        <f>IFERROR(I50*INDEX([1]Sheet1!$A$1:$A$13,MATCH(I50,[1]Sheet1!$B$1:$B$13)),0)</f>
        <v>0</v>
      </c>
      <c r="N50" s="1" t="s">
        <v>301</v>
      </c>
      <c r="R50" s="1" t="str">
        <f t="shared" si="3"/>
        <v/>
      </c>
      <c r="S50" s="1"/>
      <c r="X50" s="1"/>
      <c r="AC50" s="1"/>
      <c r="AH50" s="1"/>
      <c r="AM50" s="1"/>
    </row>
    <row r="51" spans="1:39" ht="18" customHeight="1" x14ac:dyDescent="0.2">
      <c r="A51" s="4"/>
      <c r="B51" s="5" t="s">
        <v>135</v>
      </c>
      <c r="C51" s="5"/>
      <c r="D51" s="5" t="s">
        <v>316</v>
      </c>
      <c r="E51" s="5">
        <v>1</v>
      </c>
      <c r="F51" s="4" t="s">
        <v>34</v>
      </c>
      <c r="G51" s="6" t="s">
        <v>119</v>
      </c>
      <c r="H51" s="5">
        <f t="shared" si="1"/>
        <v>750</v>
      </c>
      <c r="I51" s="7">
        <v>0.105</v>
      </c>
      <c r="J51" s="7">
        <f t="shared" ref="J51" si="7">I51*$E51</f>
        <v>0.105</v>
      </c>
      <c r="K51" s="7">
        <f t="shared" ref="K51" si="8">IF(J51&gt;0,IF(J51*$H$23&lt;2.5,2.5/$H$23,J51),0)</f>
        <v>0.105</v>
      </c>
      <c r="L51" s="7">
        <f>IFERROR(I51*INDEX([1]Sheet1!$A$1:$A$13,MATCH(I51,[1]Sheet1!$B$1:$B$13)),0)</f>
        <v>10.5</v>
      </c>
      <c r="N51" s="1" t="s">
        <v>298</v>
      </c>
      <c r="S51" s="1"/>
      <c r="X51" s="1"/>
      <c r="AC51" s="1"/>
      <c r="AH51" s="1"/>
      <c r="AM51" s="1"/>
    </row>
    <row r="52" spans="1:39" ht="18" customHeight="1" x14ac:dyDescent="0.2">
      <c r="A52" s="4">
        <v>125</v>
      </c>
      <c r="B52" s="5" t="s">
        <v>120</v>
      </c>
      <c r="C52" s="5" t="s">
        <v>121</v>
      </c>
      <c r="D52" s="5" t="s">
        <v>122</v>
      </c>
      <c r="E52" s="5">
        <v>1</v>
      </c>
      <c r="F52" s="4" t="s">
        <v>34</v>
      </c>
      <c r="G52" s="6" t="s">
        <v>123</v>
      </c>
      <c r="H52" s="5">
        <f t="shared" si="1"/>
        <v>750</v>
      </c>
      <c r="I52" s="7">
        <v>0.17199999999999999</v>
      </c>
      <c r="J52" s="7">
        <f t="shared" si="2"/>
        <v>0.17199999999999999</v>
      </c>
      <c r="K52" s="7">
        <f t="shared" si="4"/>
        <v>0.17199999999999999</v>
      </c>
      <c r="L52" s="7">
        <f>IFERROR(I52*INDEX([1]Sheet1!$A$1:$A$13,MATCH(I52,[1]Sheet1!$B$1:$B$13)),0)</f>
        <v>6.02</v>
      </c>
      <c r="N52" s="1" t="s">
        <v>296</v>
      </c>
      <c r="R52" s="1" t="str">
        <f t="shared" si="3"/>
        <v/>
      </c>
      <c r="S52" s="1"/>
      <c r="X52" s="1"/>
      <c r="AC52" s="1"/>
      <c r="AH52" s="1"/>
      <c r="AM52" s="1"/>
    </row>
    <row r="53" spans="1:39" ht="18" customHeight="1" x14ac:dyDescent="0.2">
      <c r="A53" s="4">
        <v>130</v>
      </c>
      <c r="B53" s="61" t="s">
        <v>124</v>
      </c>
      <c r="C53" s="5" t="s">
        <v>125</v>
      </c>
      <c r="D53" s="5" t="s">
        <v>126</v>
      </c>
      <c r="E53" s="5">
        <v>2</v>
      </c>
      <c r="F53" s="4" t="s">
        <v>34</v>
      </c>
      <c r="G53" s="6" t="s">
        <v>127</v>
      </c>
      <c r="H53" s="5">
        <f t="shared" si="1"/>
        <v>1500</v>
      </c>
      <c r="I53" s="7">
        <v>2.2799999999999998</v>
      </c>
      <c r="J53" s="7">
        <f t="shared" si="2"/>
        <v>4.5599999999999996</v>
      </c>
      <c r="K53" s="7">
        <f t="shared" si="4"/>
        <v>4.5599999999999996</v>
      </c>
      <c r="L53" s="7">
        <f>IFERROR(I53*INDEX([1]Sheet1!$A$1:$A$13,MATCH(I53,[1]Sheet1!$B$1:$B$13)),0)</f>
        <v>11.399999999999999</v>
      </c>
      <c r="N53" s="1" t="s">
        <v>298</v>
      </c>
      <c r="R53" s="1" t="str">
        <f t="shared" si="3"/>
        <v/>
      </c>
      <c r="S53" s="1"/>
      <c r="X53" s="1"/>
      <c r="AC53" s="1"/>
      <c r="AH53" s="1"/>
      <c r="AM53" s="1"/>
    </row>
    <row r="54" spans="1:39" ht="18" customHeight="1" x14ac:dyDescent="0.2">
      <c r="A54" s="4">
        <v>135</v>
      </c>
      <c r="B54" s="5" t="s">
        <v>128</v>
      </c>
      <c r="C54" s="5" t="s">
        <v>125</v>
      </c>
      <c r="D54" s="5" t="s">
        <v>129</v>
      </c>
      <c r="E54" s="5">
        <v>1</v>
      </c>
      <c r="F54" s="4" t="s">
        <v>34</v>
      </c>
      <c r="G54" s="6" t="s">
        <v>130</v>
      </c>
      <c r="H54" s="5">
        <f t="shared" si="1"/>
        <v>750</v>
      </c>
      <c r="I54" s="7">
        <v>2.1</v>
      </c>
      <c r="J54" s="7">
        <f t="shared" si="2"/>
        <v>2.1</v>
      </c>
      <c r="K54" s="7">
        <f t="shared" si="4"/>
        <v>2.1</v>
      </c>
      <c r="L54" s="7">
        <f>IFERROR(I54*INDEX([1]Sheet1!$A$1:$A$13,MATCH(I54,[1]Sheet1!$B$1:$B$13)),0)</f>
        <v>10.5</v>
      </c>
      <c r="N54" s="1" t="s">
        <v>296</v>
      </c>
      <c r="R54" s="1" t="str">
        <f t="shared" si="3"/>
        <v/>
      </c>
      <c r="S54" s="1"/>
      <c r="X54" s="1"/>
      <c r="AC54" s="1"/>
      <c r="AH54" s="1"/>
      <c r="AM54" s="1"/>
    </row>
    <row r="55" spans="1:39" ht="18" customHeight="1" x14ac:dyDescent="0.2">
      <c r="A55" s="4">
        <v>140</v>
      </c>
      <c r="B55" s="5" t="s">
        <v>131</v>
      </c>
      <c r="C55" s="5" t="s">
        <v>132</v>
      </c>
      <c r="D55" s="5" t="s">
        <v>133</v>
      </c>
      <c r="E55" s="5">
        <v>2</v>
      </c>
      <c r="F55" s="4" t="s">
        <v>34</v>
      </c>
      <c r="G55" s="6" t="s">
        <v>134</v>
      </c>
      <c r="H55" s="5">
        <f t="shared" si="1"/>
        <v>1500</v>
      </c>
      <c r="I55" s="7">
        <v>0.65</v>
      </c>
      <c r="J55" s="7">
        <f t="shared" si="2"/>
        <v>1.3</v>
      </c>
      <c r="K55" s="7">
        <f t="shared" si="4"/>
        <v>1.3</v>
      </c>
      <c r="L55" s="7">
        <f>IFERROR(I55*INDEX([1]Sheet1!$A$1:$A$13,MATCH(I55,[1]Sheet1!$B$1:$B$13)),0)</f>
        <v>6.5</v>
      </c>
      <c r="N55" s="1" t="s">
        <v>312</v>
      </c>
      <c r="R55" s="1" t="str">
        <f t="shared" si="3"/>
        <v/>
      </c>
      <c r="S55" s="1"/>
      <c r="X55" s="1"/>
      <c r="AC55" s="1"/>
      <c r="AH55" s="1"/>
      <c r="AM55" s="1"/>
    </row>
    <row r="56" spans="1:39" ht="18" customHeight="1" x14ac:dyDescent="0.2">
      <c r="A56" s="4">
        <v>140</v>
      </c>
      <c r="B56" s="5" t="s">
        <v>135</v>
      </c>
      <c r="C56" s="5" t="s">
        <v>132</v>
      </c>
      <c r="D56" s="5" t="s">
        <v>136</v>
      </c>
      <c r="E56" s="5"/>
      <c r="F56" s="4" t="s">
        <v>34</v>
      </c>
      <c r="G56" s="6" t="s">
        <v>134</v>
      </c>
      <c r="H56" s="5">
        <f t="shared" si="1"/>
        <v>0</v>
      </c>
      <c r="I56" s="7"/>
      <c r="J56" s="7">
        <f t="shared" si="2"/>
        <v>0</v>
      </c>
      <c r="K56" s="7">
        <f t="shared" si="4"/>
        <v>0</v>
      </c>
      <c r="L56" s="7">
        <f>IFERROR(I56*INDEX([1]Sheet1!$A$1:$A$13,MATCH(I56,[1]Sheet1!$B$1:$B$13)),0)</f>
        <v>0</v>
      </c>
      <c r="N56" s="1" t="s">
        <v>296</v>
      </c>
      <c r="R56" s="1" t="str">
        <f t="shared" si="3"/>
        <v/>
      </c>
      <c r="S56" s="1"/>
      <c r="X56" s="1"/>
      <c r="AC56" s="1"/>
      <c r="AH56" s="1"/>
      <c r="AM56" s="1"/>
    </row>
    <row r="57" spans="1:39" ht="18" customHeight="1" x14ac:dyDescent="0.2">
      <c r="A57" s="4">
        <v>145</v>
      </c>
      <c r="B57" s="5" t="s">
        <v>137</v>
      </c>
      <c r="C57" s="5" t="s">
        <v>138</v>
      </c>
      <c r="D57" s="5" t="s">
        <v>139</v>
      </c>
      <c r="E57" s="5">
        <v>1</v>
      </c>
      <c r="F57" s="4" t="s">
        <v>34</v>
      </c>
      <c r="G57" s="6" t="s">
        <v>140</v>
      </c>
      <c r="H57" s="5">
        <f t="shared" si="1"/>
        <v>750</v>
      </c>
      <c r="I57" s="7">
        <v>0.06</v>
      </c>
      <c r="J57" s="7">
        <f t="shared" si="2"/>
        <v>0.06</v>
      </c>
      <c r="K57" s="7">
        <f t="shared" si="4"/>
        <v>0.06</v>
      </c>
      <c r="L57" s="7">
        <f>IFERROR(I57*INDEX([1]Sheet1!$A$1:$A$13,MATCH(I57,[1]Sheet1!$B$1:$B$13)),0)</f>
        <v>9</v>
      </c>
      <c r="N57" s="1" t="s">
        <v>298</v>
      </c>
      <c r="R57" s="1" t="str">
        <f t="shared" si="3"/>
        <v/>
      </c>
      <c r="S57" s="1"/>
      <c r="X57" s="1"/>
      <c r="AC57" s="1"/>
      <c r="AH57" s="1"/>
      <c r="AM57" s="1"/>
    </row>
    <row r="58" spans="1:39" ht="18" customHeight="1" x14ac:dyDescent="0.2">
      <c r="A58" s="4">
        <v>150</v>
      </c>
      <c r="B58" s="5" t="s">
        <v>141</v>
      </c>
      <c r="C58" s="5" t="s">
        <v>142</v>
      </c>
      <c r="D58" s="5" t="s">
        <v>143</v>
      </c>
      <c r="E58" s="5">
        <v>1</v>
      </c>
      <c r="F58" s="4" t="s">
        <v>34</v>
      </c>
      <c r="G58" s="6" t="s">
        <v>144</v>
      </c>
      <c r="H58" s="5">
        <f t="shared" si="1"/>
        <v>750</v>
      </c>
      <c r="I58" s="7">
        <v>1.33</v>
      </c>
      <c r="J58" s="7">
        <f t="shared" si="2"/>
        <v>1.33</v>
      </c>
      <c r="K58" s="7">
        <f t="shared" si="4"/>
        <v>1.33</v>
      </c>
      <c r="L58" s="7">
        <f>IFERROR(I58*INDEX([1]Sheet1!$A$1:$A$13,MATCH(I58,[1]Sheet1!$B$1:$B$13)),0)</f>
        <v>6.65</v>
      </c>
      <c r="N58" s="1" t="s">
        <v>296</v>
      </c>
      <c r="R58" s="1" t="str">
        <f t="shared" si="3"/>
        <v/>
      </c>
      <c r="S58" s="1"/>
      <c r="X58" s="1"/>
      <c r="AC58" s="1"/>
      <c r="AH58" s="1"/>
      <c r="AM58" s="1"/>
    </row>
    <row r="59" spans="1:39" ht="18" customHeight="1" x14ac:dyDescent="0.2">
      <c r="A59" s="4">
        <v>155</v>
      </c>
      <c r="B59" s="5" t="s">
        <v>145</v>
      </c>
      <c r="C59" s="5" t="s">
        <v>146</v>
      </c>
      <c r="D59" s="5" t="s">
        <v>147</v>
      </c>
      <c r="E59" s="5">
        <v>1</v>
      </c>
      <c r="F59" s="4" t="s">
        <v>34</v>
      </c>
      <c r="G59" s="6" t="s">
        <v>148</v>
      </c>
      <c r="H59" s="5">
        <f t="shared" si="1"/>
        <v>750</v>
      </c>
      <c r="I59" s="7">
        <v>0.66300000000000003</v>
      </c>
      <c r="J59" s="7">
        <f t="shared" si="2"/>
        <v>0.66300000000000003</v>
      </c>
      <c r="K59" s="7">
        <f t="shared" si="4"/>
        <v>0.66300000000000003</v>
      </c>
      <c r="L59" s="7">
        <f>IFERROR(I59*INDEX([1]Sheet1!$A$1:$A$13,MATCH(I59,[1]Sheet1!$B$1:$B$13)),0)</f>
        <v>6.6300000000000008</v>
      </c>
      <c r="N59" s="1" t="s">
        <v>297</v>
      </c>
      <c r="R59" s="1" t="str">
        <f t="shared" si="3"/>
        <v/>
      </c>
      <c r="S59" s="1"/>
      <c r="X59" s="1"/>
      <c r="AC59" s="1"/>
      <c r="AH59" s="1"/>
      <c r="AM59" s="1"/>
    </row>
    <row r="60" spans="1:39" ht="18" customHeight="1" x14ac:dyDescent="0.2">
      <c r="A60" s="4">
        <v>160</v>
      </c>
      <c r="B60" s="5" t="s">
        <v>149</v>
      </c>
      <c r="C60" s="5" t="s">
        <v>150</v>
      </c>
      <c r="D60" s="5" t="s">
        <v>151</v>
      </c>
      <c r="E60" s="5">
        <v>1</v>
      </c>
      <c r="F60" s="4" t="s">
        <v>263</v>
      </c>
      <c r="G60" s="6" t="s">
        <v>152</v>
      </c>
      <c r="H60" s="5">
        <f t="shared" si="1"/>
        <v>750</v>
      </c>
      <c r="I60" s="7">
        <v>0.70099999999999996</v>
      </c>
      <c r="J60" s="7">
        <f t="shared" si="2"/>
        <v>0.70099999999999996</v>
      </c>
      <c r="K60" s="7">
        <f t="shared" si="4"/>
        <v>0.70099999999999996</v>
      </c>
      <c r="L60" s="7">
        <f>IFERROR(I60*INDEX([1]Sheet1!$A$1:$A$13,MATCH(I60,[1]Sheet1!$B$1:$B$13)),0)</f>
        <v>7.01</v>
      </c>
      <c r="N60" s="1" t="s">
        <v>296</v>
      </c>
      <c r="R60" s="1" t="str">
        <f t="shared" si="3"/>
        <v/>
      </c>
      <c r="S60" s="1"/>
      <c r="X60" s="1"/>
      <c r="AC60" s="1"/>
      <c r="AH60" s="1"/>
      <c r="AM60" s="1"/>
    </row>
    <row r="61" spans="1:39" ht="18" customHeight="1" x14ac:dyDescent="0.2">
      <c r="A61" s="4">
        <v>165</v>
      </c>
      <c r="B61" s="5" t="s">
        <v>153</v>
      </c>
      <c r="C61" s="5" t="s">
        <v>154</v>
      </c>
      <c r="D61" s="5" t="s">
        <v>155</v>
      </c>
      <c r="E61" s="5">
        <v>3</v>
      </c>
      <c r="F61" s="4" t="s">
        <v>34</v>
      </c>
      <c r="G61" s="6" t="s">
        <v>156</v>
      </c>
      <c r="H61" s="5">
        <f t="shared" si="1"/>
        <v>2250</v>
      </c>
      <c r="I61" s="7">
        <v>4.9800000000000001E-3</v>
      </c>
      <c r="J61" s="7">
        <f t="shared" si="2"/>
        <v>1.494E-2</v>
      </c>
      <c r="K61" s="7">
        <f t="shared" si="4"/>
        <v>1.494E-2</v>
      </c>
      <c r="L61" s="7">
        <f>IFERROR(I61*INDEX([1]Sheet1!$A$1:$A$13,MATCH(I61,[1]Sheet1!$B$1:$B$13)),0)</f>
        <v>1.2450000000000001</v>
      </c>
      <c r="N61" s="1" t="s">
        <v>298</v>
      </c>
      <c r="R61" s="1" t="str">
        <f t="shared" si="3"/>
        <v/>
      </c>
      <c r="S61" s="1"/>
      <c r="X61" s="1"/>
      <c r="AC61" s="1"/>
      <c r="AH61" s="1"/>
      <c r="AM61" s="1"/>
    </row>
    <row r="62" spans="1:39" ht="18" customHeight="1" x14ac:dyDescent="0.2">
      <c r="A62" s="4">
        <v>170</v>
      </c>
      <c r="B62" s="5" t="s">
        <v>157</v>
      </c>
      <c r="C62" s="5" t="s">
        <v>154</v>
      </c>
      <c r="D62" s="5" t="s">
        <v>158</v>
      </c>
      <c r="E62" s="5">
        <v>8</v>
      </c>
      <c r="F62" s="4" t="s">
        <v>34</v>
      </c>
      <c r="G62" s="6" t="s">
        <v>159</v>
      </c>
      <c r="H62" s="5">
        <f t="shared" si="1"/>
        <v>6000</v>
      </c>
      <c r="I62" s="7">
        <v>3.0200000000000001E-3</v>
      </c>
      <c r="J62" s="7">
        <f t="shared" si="2"/>
        <v>2.4160000000000001E-2</v>
      </c>
      <c r="K62" s="7">
        <f t="shared" si="4"/>
        <v>2.4160000000000001E-2</v>
      </c>
      <c r="L62" s="7">
        <f>IFERROR(I62*INDEX([1]Sheet1!$A$1:$A$13,MATCH(I62,[1]Sheet1!$B$1:$B$13)),0)</f>
        <v>0.755</v>
      </c>
      <c r="N62" s="1" t="s">
        <v>298</v>
      </c>
      <c r="O62" s="1" t="s">
        <v>304</v>
      </c>
      <c r="R62" s="1" t="str">
        <f t="shared" si="3"/>
        <v/>
      </c>
      <c r="S62" s="1"/>
      <c r="X62" s="1"/>
      <c r="AC62" s="1"/>
      <c r="AH62" s="1"/>
      <c r="AM62" s="1"/>
    </row>
    <row r="63" spans="1:39" ht="18" customHeight="1" x14ac:dyDescent="0.2">
      <c r="A63" s="4">
        <v>175</v>
      </c>
      <c r="B63" s="61" t="s">
        <v>160</v>
      </c>
      <c r="C63" s="5" t="s">
        <v>154</v>
      </c>
      <c r="D63" s="5" t="s">
        <v>161</v>
      </c>
      <c r="E63" s="5">
        <v>1</v>
      </c>
      <c r="F63" s="4" t="s">
        <v>34</v>
      </c>
      <c r="G63" s="6" t="s">
        <v>162</v>
      </c>
      <c r="H63" s="5">
        <f t="shared" si="1"/>
        <v>750</v>
      </c>
      <c r="I63" s="7">
        <v>3.3E-3</v>
      </c>
      <c r="J63" s="7">
        <f t="shared" si="2"/>
        <v>3.3E-3</v>
      </c>
      <c r="K63" s="7">
        <f t="shared" si="4"/>
        <v>3.3333333333333335E-3</v>
      </c>
      <c r="L63" s="7">
        <f>IFERROR(I63*INDEX([1]Sheet1!$A$1:$A$13,MATCH(I63,[1]Sheet1!$B$1:$B$13)),0)</f>
        <v>0.82499999999999996</v>
      </c>
      <c r="N63" s="1" t="s">
        <v>303</v>
      </c>
      <c r="R63" s="1" t="str">
        <f t="shared" si="3"/>
        <v/>
      </c>
      <c r="S63" s="1"/>
      <c r="X63" s="1"/>
      <c r="AC63" s="1"/>
      <c r="AH63" s="1"/>
      <c r="AM63" s="1"/>
    </row>
    <row r="64" spans="1:39" ht="18" customHeight="1" x14ac:dyDescent="0.2">
      <c r="A64" s="4">
        <v>180</v>
      </c>
      <c r="B64" s="61" t="s">
        <v>163</v>
      </c>
      <c r="C64" s="5" t="s">
        <v>154</v>
      </c>
      <c r="D64" s="5" t="s">
        <v>164</v>
      </c>
      <c r="E64" s="5">
        <v>1</v>
      </c>
      <c r="F64" s="4" t="s">
        <v>34</v>
      </c>
      <c r="G64" s="6" t="s">
        <v>165</v>
      </c>
      <c r="H64" s="5">
        <f t="shared" si="1"/>
        <v>750</v>
      </c>
      <c r="I64" s="7">
        <v>5.0000000000000001E-3</v>
      </c>
      <c r="J64" s="7">
        <f t="shared" si="2"/>
        <v>5.0000000000000001E-3</v>
      </c>
      <c r="K64" s="7">
        <f t="shared" si="4"/>
        <v>5.0000000000000001E-3</v>
      </c>
      <c r="L64" s="7">
        <f>IFERROR(I64*INDEX([1]Sheet1!$A$1:$A$13,MATCH(I64,[1]Sheet1!$B$1:$B$13)),0)</f>
        <v>1.25</v>
      </c>
      <c r="N64" s="1" t="s">
        <v>298</v>
      </c>
      <c r="R64" s="1" t="str">
        <f t="shared" si="3"/>
        <v/>
      </c>
      <c r="S64" s="1"/>
      <c r="X64" s="1"/>
      <c r="AC64" s="1"/>
      <c r="AH64" s="1"/>
      <c r="AM64" s="1"/>
    </row>
    <row r="65" spans="1:39" ht="18" customHeight="1" x14ac:dyDescent="0.2">
      <c r="A65" s="4">
        <v>185</v>
      </c>
      <c r="B65" s="61" t="s">
        <v>166</v>
      </c>
      <c r="C65" s="5" t="s">
        <v>154</v>
      </c>
      <c r="D65" s="5" t="s">
        <v>167</v>
      </c>
      <c r="E65" s="5">
        <v>1</v>
      </c>
      <c r="F65" s="4" t="s">
        <v>34</v>
      </c>
      <c r="G65" s="6" t="s">
        <v>168</v>
      </c>
      <c r="H65" s="5">
        <f t="shared" si="1"/>
        <v>750</v>
      </c>
      <c r="I65" s="7">
        <v>0.03</v>
      </c>
      <c r="J65" s="7">
        <f t="shared" si="2"/>
        <v>0.03</v>
      </c>
      <c r="K65" s="7">
        <f t="shared" ref="K65:K103" si="9">IF(J65&gt;0,IF(J65*$H$23&lt;2.5,2.5/$H$23,J65),0)</f>
        <v>0.03</v>
      </c>
      <c r="L65" s="7">
        <f>IFERROR(I65*INDEX([1]Sheet1!$A$1:$A$13,MATCH(I65,[1]Sheet1!$B$1:$B$13)),0)</f>
        <v>7.5</v>
      </c>
      <c r="N65" s="1" t="s">
        <v>301</v>
      </c>
      <c r="R65" s="1" t="str">
        <f t="shared" si="3"/>
        <v/>
      </c>
      <c r="S65" s="1"/>
      <c r="X65" s="1"/>
      <c r="AC65" s="1"/>
      <c r="AH65" s="1"/>
      <c r="AM65" s="1"/>
    </row>
    <row r="66" spans="1:39" ht="18" customHeight="1" x14ac:dyDescent="0.2">
      <c r="A66" s="4">
        <v>190</v>
      </c>
      <c r="B66" s="61" t="s">
        <v>169</v>
      </c>
      <c r="C66" s="5" t="s">
        <v>154</v>
      </c>
      <c r="D66" s="5" t="s">
        <v>170</v>
      </c>
      <c r="E66" s="5">
        <v>2</v>
      </c>
      <c r="F66" s="4" t="s">
        <v>34</v>
      </c>
      <c r="G66" s="6" t="s">
        <v>171</v>
      </c>
      <c r="H66" s="5">
        <f t="shared" si="1"/>
        <v>1500</v>
      </c>
      <c r="I66" s="7">
        <v>2.5799999999999998E-3</v>
      </c>
      <c r="J66" s="7">
        <f t="shared" si="2"/>
        <v>5.1599999999999997E-3</v>
      </c>
      <c r="K66" s="7">
        <f t="shared" si="9"/>
        <v>5.1599999999999997E-3</v>
      </c>
      <c r="L66" s="7">
        <f>IFERROR(I66*INDEX([1]Sheet1!$A$1:$A$13,MATCH(I66,[1]Sheet1!$B$1:$B$13)),0)</f>
        <v>0.64499999999999991</v>
      </c>
      <c r="N66" s="1" t="s">
        <v>298</v>
      </c>
      <c r="R66" s="1" t="str">
        <f t="shared" si="3"/>
        <v/>
      </c>
      <c r="S66" s="1"/>
      <c r="X66" s="1"/>
      <c r="AC66" s="1"/>
      <c r="AH66" s="1"/>
      <c r="AM66" s="1"/>
    </row>
    <row r="67" spans="1:39" ht="18" customHeight="1" x14ac:dyDescent="0.2">
      <c r="A67" s="4">
        <v>195</v>
      </c>
      <c r="B67" s="61" t="s">
        <v>172</v>
      </c>
      <c r="C67" s="5" t="s">
        <v>154</v>
      </c>
      <c r="D67" s="5" t="s">
        <v>173</v>
      </c>
      <c r="E67" s="5">
        <v>20</v>
      </c>
      <c r="F67" s="4" t="s">
        <v>34</v>
      </c>
      <c r="G67" s="6" t="s">
        <v>174</v>
      </c>
      <c r="H67" s="5">
        <f t="shared" si="1"/>
        <v>15000</v>
      </c>
      <c r="I67" s="7">
        <v>1.2999999999999999E-3</v>
      </c>
      <c r="J67" s="7">
        <f t="shared" si="2"/>
        <v>2.5999999999999999E-2</v>
      </c>
      <c r="K67" s="7">
        <f t="shared" si="9"/>
        <v>2.5999999999999999E-2</v>
      </c>
      <c r="L67" s="7">
        <f>IFERROR(I67*INDEX([1]Sheet1!$A$1:$A$13,MATCH(I67,[1]Sheet1!$B$1:$B$13)),0)</f>
        <v>0.32500000000000001</v>
      </c>
      <c r="N67" s="1" t="s">
        <v>298</v>
      </c>
      <c r="O67" s="1" t="s">
        <v>308</v>
      </c>
      <c r="R67" s="1" t="str">
        <f t="shared" si="3"/>
        <v/>
      </c>
      <c r="S67" s="1"/>
      <c r="X67" s="1"/>
      <c r="AC67" s="1"/>
      <c r="AH67" s="1"/>
      <c r="AM67" s="1"/>
    </row>
    <row r="68" spans="1:39" ht="18" customHeight="1" x14ac:dyDescent="0.2">
      <c r="A68" s="4">
        <v>200</v>
      </c>
      <c r="B68" s="61" t="s">
        <v>175</v>
      </c>
      <c r="C68" s="5" t="s">
        <v>176</v>
      </c>
      <c r="D68" s="5" t="s">
        <v>177</v>
      </c>
      <c r="E68" s="5">
        <v>1</v>
      </c>
      <c r="F68" s="4" t="s">
        <v>34</v>
      </c>
      <c r="G68" s="6" t="s">
        <v>178</v>
      </c>
      <c r="H68" s="5">
        <f t="shared" si="1"/>
        <v>750</v>
      </c>
      <c r="I68" s="7">
        <v>0.14699999999999999</v>
      </c>
      <c r="J68" s="7">
        <f t="shared" si="2"/>
        <v>0.14699999999999999</v>
      </c>
      <c r="K68" s="7">
        <f t="shared" si="9"/>
        <v>0.14699999999999999</v>
      </c>
      <c r="L68" s="7">
        <f>IFERROR(I68*INDEX([1]Sheet1!$A$1:$A$13,MATCH(I68,[1]Sheet1!$B$1:$B$13)),0)</f>
        <v>14.7</v>
      </c>
      <c r="N68" s="1" t="s">
        <v>301</v>
      </c>
      <c r="R68" s="1" t="str">
        <f t="shared" si="3"/>
        <v/>
      </c>
      <c r="S68" s="1"/>
      <c r="X68" s="1"/>
      <c r="AC68" s="1"/>
      <c r="AH68" s="1"/>
      <c r="AM68" s="1"/>
    </row>
    <row r="69" spans="1:39" ht="18" customHeight="1" x14ac:dyDescent="0.2">
      <c r="A69" s="4">
        <v>200</v>
      </c>
      <c r="B69" s="61" t="s">
        <v>135</v>
      </c>
      <c r="C69" s="5" t="s">
        <v>179</v>
      </c>
      <c r="D69" s="5" t="s">
        <v>180</v>
      </c>
      <c r="E69" s="5"/>
      <c r="F69" s="4" t="s">
        <v>34</v>
      </c>
      <c r="G69" s="6" t="s">
        <v>178</v>
      </c>
      <c r="H69" s="5">
        <f t="shared" si="1"/>
        <v>0</v>
      </c>
      <c r="I69" s="7"/>
      <c r="J69" s="7">
        <f t="shared" si="2"/>
        <v>0</v>
      </c>
      <c r="K69" s="7">
        <f t="shared" si="9"/>
        <v>0</v>
      </c>
      <c r="L69" s="7">
        <f>IFERROR(I69*INDEX([1]Sheet1!$A$1:$A$13,MATCH(I69,[1]Sheet1!$B$1:$B$13)),0)</f>
        <v>0</v>
      </c>
      <c r="N69" s="1" t="s">
        <v>296</v>
      </c>
      <c r="R69" s="1" t="str">
        <f t="shared" si="3"/>
        <v/>
      </c>
      <c r="S69" s="1"/>
      <c r="X69" s="1"/>
      <c r="AC69" s="1"/>
      <c r="AH69" s="1"/>
      <c r="AM69" s="1"/>
    </row>
    <row r="70" spans="1:39" ht="18" customHeight="1" x14ac:dyDescent="0.2">
      <c r="A70" s="4">
        <v>205</v>
      </c>
      <c r="B70" s="5" t="s">
        <v>181</v>
      </c>
      <c r="C70" s="5" t="s">
        <v>154</v>
      </c>
      <c r="D70" s="5" t="s">
        <v>182</v>
      </c>
      <c r="E70" s="5">
        <v>8</v>
      </c>
      <c r="F70" s="4" t="s">
        <v>34</v>
      </c>
      <c r="G70" s="6" t="s">
        <v>183</v>
      </c>
      <c r="H70" s="5">
        <f t="shared" si="1"/>
        <v>6000</v>
      </c>
      <c r="I70" s="7">
        <v>2.5999999999999999E-3</v>
      </c>
      <c r="J70" s="7">
        <f t="shared" si="2"/>
        <v>2.0799999999999999E-2</v>
      </c>
      <c r="K70" s="7">
        <f t="shared" si="9"/>
        <v>2.0799999999999999E-2</v>
      </c>
      <c r="L70" s="7">
        <f>IFERROR(I70*INDEX([1]Sheet1!$A$1:$A$13,MATCH(I70,[1]Sheet1!$B$1:$B$13)),0)</f>
        <v>0.65</v>
      </c>
      <c r="N70" s="1" t="s">
        <v>298</v>
      </c>
      <c r="O70" s="1" t="s">
        <v>309</v>
      </c>
      <c r="R70" s="1" t="str">
        <f t="shared" si="3"/>
        <v/>
      </c>
      <c r="S70" s="1"/>
      <c r="X70" s="1"/>
      <c r="AC70" s="1"/>
      <c r="AH70" s="1"/>
      <c r="AM70" s="1"/>
    </row>
    <row r="71" spans="1:39" ht="18" customHeight="1" x14ac:dyDescent="0.2">
      <c r="A71" s="4">
        <v>210</v>
      </c>
      <c r="B71" s="5" t="s">
        <v>184</v>
      </c>
      <c r="C71" s="5" t="s">
        <v>154</v>
      </c>
      <c r="D71" s="5" t="s">
        <v>185</v>
      </c>
      <c r="E71" s="5">
        <v>2</v>
      </c>
      <c r="F71" s="4" t="s">
        <v>34</v>
      </c>
      <c r="G71" s="5" t="s">
        <v>186</v>
      </c>
      <c r="H71" s="5">
        <f t="shared" si="1"/>
        <v>1500</v>
      </c>
      <c r="I71" s="7">
        <v>2E-3</v>
      </c>
      <c r="J71" s="7">
        <f t="shared" si="2"/>
        <v>4.0000000000000001E-3</v>
      </c>
      <c r="K71" s="7">
        <f t="shared" si="9"/>
        <v>4.0000000000000001E-3</v>
      </c>
      <c r="L71" s="7">
        <f>IFERROR(I71*INDEX([1]Sheet1!$A$1:$A$13,MATCH(I71,[1]Sheet1!$B$1:$B$13)),0)</f>
        <v>0.5</v>
      </c>
      <c r="N71" s="1" t="s">
        <v>296</v>
      </c>
      <c r="R71" s="1" t="str">
        <f t="shared" si="3"/>
        <v/>
      </c>
      <c r="S71" s="1"/>
      <c r="X71" s="1"/>
      <c r="AC71" s="1"/>
      <c r="AH71" s="1"/>
      <c r="AM71" s="1"/>
    </row>
    <row r="72" spans="1:39" ht="18" customHeight="1" x14ac:dyDescent="0.2">
      <c r="A72" s="4">
        <v>215</v>
      </c>
      <c r="B72" s="61" t="s">
        <v>187</v>
      </c>
      <c r="C72" s="5" t="s">
        <v>154</v>
      </c>
      <c r="D72" s="5" t="s">
        <v>188</v>
      </c>
      <c r="E72" s="5">
        <v>2</v>
      </c>
      <c r="F72" s="4" t="s">
        <v>34</v>
      </c>
      <c r="G72" s="5" t="s">
        <v>189</v>
      </c>
      <c r="H72" s="5">
        <f t="shared" si="1"/>
        <v>1500</v>
      </c>
      <c r="I72" s="7">
        <v>2E-3</v>
      </c>
      <c r="J72" s="7">
        <f t="shared" si="2"/>
        <v>4.0000000000000001E-3</v>
      </c>
      <c r="K72" s="7">
        <f t="shared" si="9"/>
        <v>4.0000000000000001E-3</v>
      </c>
      <c r="L72" s="7">
        <f>IFERROR(I72*INDEX([1]Sheet1!$A$1:$A$13,MATCH(I72,[1]Sheet1!$B$1:$B$13)),0)</f>
        <v>0.5</v>
      </c>
      <c r="N72" s="1" t="s">
        <v>296</v>
      </c>
      <c r="R72" s="1" t="str">
        <f t="shared" si="3"/>
        <v/>
      </c>
      <c r="S72" s="1"/>
      <c r="X72" s="1"/>
      <c r="AC72" s="1"/>
      <c r="AH72" s="1"/>
      <c r="AM72" s="1"/>
    </row>
    <row r="73" spans="1:39" ht="18" customHeight="1" x14ac:dyDescent="0.2">
      <c r="A73" s="4">
        <v>220</v>
      </c>
      <c r="B73" s="61" t="s">
        <v>190</v>
      </c>
      <c r="C73" s="5" t="s">
        <v>154</v>
      </c>
      <c r="D73" s="5" t="s">
        <v>191</v>
      </c>
      <c r="E73" s="5">
        <v>1</v>
      </c>
      <c r="F73" s="4" t="s">
        <v>34</v>
      </c>
      <c r="G73" s="5" t="s">
        <v>192</v>
      </c>
      <c r="H73" s="5">
        <f t="shared" si="1"/>
        <v>750</v>
      </c>
      <c r="I73" s="7">
        <v>4.0000000000000001E-3</v>
      </c>
      <c r="J73" s="7">
        <f t="shared" si="2"/>
        <v>4.0000000000000001E-3</v>
      </c>
      <c r="K73" s="7">
        <f t="shared" si="9"/>
        <v>4.0000000000000001E-3</v>
      </c>
      <c r="L73" s="7">
        <f>IFERROR(I73*INDEX([1]Sheet1!$A$1:$A$13,MATCH(I73,[1]Sheet1!$B$1:$B$13)),0)</f>
        <v>1</v>
      </c>
      <c r="N73" s="1" t="s">
        <v>296</v>
      </c>
      <c r="R73" s="1" t="str">
        <f t="shared" si="3"/>
        <v/>
      </c>
      <c r="S73" s="1"/>
      <c r="X73" s="1"/>
      <c r="AC73" s="1"/>
      <c r="AH73" s="1"/>
      <c r="AM73" s="1"/>
    </row>
    <row r="74" spans="1:39" ht="18" customHeight="1" x14ac:dyDescent="0.2">
      <c r="A74" s="4">
        <v>225</v>
      </c>
      <c r="B74" s="61" t="s">
        <v>193</v>
      </c>
      <c r="C74" s="5" t="s">
        <v>146</v>
      </c>
      <c r="D74" s="5" t="s">
        <v>194</v>
      </c>
      <c r="E74" s="5">
        <v>1</v>
      </c>
      <c r="F74" s="4" t="s">
        <v>34</v>
      </c>
      <c r="G74" s="5" t="s">
        <v>195</v>
      </c>
      <c r="H74" s="5">
        <f t="shared" si="1"/>
        <v>750</v>
      </c>
      <c r="I74" s="7">
        <v>0.11600000000000001</v>
      </c>
      <c r="J74" s="7">
        <f t="shared" si="2"/>
        <v>0.11600000000000001</v>
      </c>
      <c r="K74" s="7">
        <f t="shared" si="9"/>
        <v>0.11600000000000001</v>
      </c>
      <c r="L74" s="7">
        <f>IFERROR(I74*INDEX([1]Sheet1!$A$1:$A$13,MATCH(I74,[1]Sheet1!$B$1:$B$13)),0)</f>
        <v>11.600000000000001</v>
      </c>
      <c r="N74" s="1" t="s">
        <v>296</v>
      </c>
      <c r="R74" s="1" t="str">
        <f t="shared" si="3"/>
        <v/>
      </c>
      <c r="S74" s="1"/>
      <c r="X74" s="1"/>
      <c r="AC74" s="1"/>
      <c r="AH74" s="1"/>
      <c r="AM74" s="1"/>
    </row>
    <row r="75" spans="1:39" ht="18" customHeight="1" x14ac:dyDescent="0.2">
      <c r="A75" s="4">
        <v>230</v>
      </c>
      <c r="B75" s="61" t="s">
        <v>196</v>
      </c>
      <c r="C75" s="5" t="s">
        <v>197</v>
      </c>
      <c r="D75" s="5" t="s">
        <v>198</v>
      </c>
      <c r="E75" s="5">
        <v>1</v>
      </c>
      <c r="F75" s="4" t="s">
        <v>34</v>
      </c>
      <c r="G75" s="5" t="s">
        <v>199</v>
      </c>
      <c r="H75" s="5">
        <f t="shared" si="1"/>
        <v>750</v>
      </c>
      <c r="I75" s="7">
        <v>7.2999999999999995E-2</v>
      </c>
      <c r="J75" s="7">
        <f t="shared" si="2"/>
        <v>7.2999999999999995E-2</v>
      </c>
      <c r="K75" s="7">
        <f t="shared" si="9"/>
        <v>7.2999999999999995E-2</v>
      </c>
      <c r="L75" s="7">
        <f>IFERROR(I75*INDEX([1]Sheet1!$A$1:$A$13,MATCH(I75,[1]Sheet1!$B$1:$B$13)),0)</f>
        <v>7.3</v>
      </c>
      <c r="N75" s="1" t="s">
        <v>296</v>
      </c>
      <c r="R75" s="1" t="str">
        <f t="shared" si="3"/>
        <v/>
      </c>
      <c r="S75" s="1"/>
      <c r="X75" s="1"/>
      <c r="AC75" s="1"/>
      <c r="AH75" s="1"/>
      <c r="AM75" s="1"/>
    </row>
    <row r="76" spans="1:39" ht="18" customHeight="1" x14ac:dyDescent="0.2">
      <c r="A76" s="4">
        <v>235</v>
      </c>
      <c r="B76" s="61" t="s">
        <v>200</v>
      </c>
      <c r="C76" s="5" t="s">
        <v>146</v>
      </c>
      <c r="D76" s="5" t="s">
        <v>201</v>
      </c>
      <c r="E76" s="5">
        <v>2</v>
      </c>
      <c r="F76" s="4" t="s">
        <v>34</v>
      </c>
      <c r="G76" s="5" t="s">
        <v>202</v>
      </c>
      <c r="H76" s="5">
        <f t="shared" si="1"/>
        <v>1500</v>
      </c>
      <c r="I76" s="7">
        <v>1.2E-2</v>
      </c>
      <c r="J76" s="7">
        <f t="shared" si="2"/>
        <v>2.4E-2</v>
      </c>
      <c r="K76" s="7">
        <f t="shared" si="9"/>
        <v>2.4E-2</v>
      </c>
      <c r="L76" s="7">
        <f>IFERROR(I76*INDEX([1]Sheet1!$A$1:$A$13,MATCH(I76,[1]Sheet1!$B$1:$B$13)),0)</f>
        <v>3</v>
      </c>
      <c r="N76" s="1" t="s">
        <v>310</v>
      </c>
      <c r="R76" s="1" t="str">
        <f t="shared" si="3"/>
        <v/>
      </c>
      <c r="S76" s="1"/>
      <c r="X76" s="1"/>
      <c r="AC76" s="1"/>
      <c r="AH76" s="1"/>
      <c r="AM76" s="1"/>
    </row>
    <row r="77" spans="1:39" ht="18" customHeight="1" x14ac:dyDescent="0.2">
      <c r="A77" s="4">
        <v>240</v>
      </c>
      <c r="B77" s="61" t="s">
        <v>203</v>
      </c>
      <c r="C77" s="5" t="s">
        <v>37</v>
      </c>
      <c r="D77" s="5" t="s">
        <v>204</v>
      </c>
      <c r="E77" s="5">
        <v>1</v>
      </c>
      <c r="F77" s="4" t="s">
        <v>34</v>
      </c>
      <c r="G77" s="5" t="s">
        <v>205</v>
      </c>
      <c r="H77" s="5">
        <f t="shared" si="1"/>
        <v>750</v>
      </c>
      <c r="I77" s="7">
        <v>4.4999999999999998E-2</v>
      </c>
      <c r="J77" s="7">
        <f t="shared" si="2"/>
        <v>4.4999999999999998E-2</v>
      </c>
      <c r="K77" s="7">
        <f t="shared" si="9"/>
        <v>4.4999999999999998E-2</v>
      </c>
      <c r="L77" s="7">
        <f>IFERROR(I77*INDEX([1]Sheet1!$A$1:$A$13,MATCH(I77,[1]Sheet1!$B$1:$B$13)),0)</f>
        <v>6.75</v>
      </c>
      <c r="N77" s="1" t="s">
        <v>296</v>
      </c>
      <c r="R77" s="1" t="str">
        <f t="shared" si="3"/>
        <v/>
      </c>
      <c r="S77" s="1"/>
      <c r="X77" s="1"/>
      <c r="AC77" s="1"/>
      <c r="AH77" s="1"/>
      <c r="AM77" s="1"/>
    </row>
    <row r="78" spans="1:39" ht="18" customHeight="1" x14ac:dyDescent="0.2">
      <c r="A78" s="4">
        <v>245</v>
      </c>
      <c r="B78" s="61" t="s">
        <v>206</v>
      </c>
      <c r="C78" s="5" t="s">
        <v>207</v>
      </c>
      <c r="D78" s="5" t="s">
        <v>208</v>
      </c>
      <c r="E78" s="5">
        <v>1</v>
      </c>
      <c r="F78" s="4" t="s">
        <v>263</v>
      </c>
      <c r="G78" s="5" t="s">
        <v>209</v>
      </c>
      <c r="H78" s="5">
        <f t="shared" si="1"/>
        <v>750</v>
      </c>
      <c r="I78" s="7">
        <v>3.83</v>
      </c>
      <c r="J78" s="7">
        <f t="shared" si="2"/>
        <v>3.83</v>
      </c>
      <c r="K78" s="7">
        <f t="shared" si="9"/>
        <v>3.83</v>
      </c>
      <c r="L78" s="7">
        <f>IFERROR(I78*INDEX([1]Sheet1!$A$1:$A$13,MATCH(I78,[1]Sheet1!$B$1:$B$13)),0)</f>
        <v>7.66</v>
      </c>
      <c r="N78" s="1" t="s">
        <v>310</v>
      </c>
      <c r="O78" s="1" t="s">
        <v>311</v>
      </c>
      <c r="R78" s="1" t="str">
        <f t="shared" si="3"/>
        <v/>
      </c>
      <c r="S78" s="1"/>
      <c r="X78" s="1"/>
      <c r="AC78" s="1"/>
      <c r="AH78" s="1"/>
      <c r="AM78" s="1"/>
    </row>
    <row r="79" spans="1:39" ht="18" customHeight="1" x14ac:dyDescent="0.2">
      <c r="A79" s="4">
        <v>250</v>
      </c>
      <c r="B79" s="5" t="s">
        <v>210</v>
      </c>
      <c r="C79" s="5" t="s">
        <v>211</v>
      </c>
      <c r="D79" s="5" t="s">
        <v>212</v>
      </c>
      <c r="E79" s="5">
        <v>4</v>
      </c>
      <c r="F79" s="4" t="s">
        <v>34</v>
      </c>
      <c r="G79" s="5" t="s">
        <v>213</v>
      </c>
      <c r="H79" s="5">
        <f t="shared" si="1"/>
        <v>3000</v>
      </c>
      <c r="I79" s="7">
        <v>0.54900000000000004</v>
      </c>
      <c r="J79" s="7">
        <f t="shared" si="2"/>
        <v>2.1960000000000002</v>
      </c>
      <c r="K79" s="7">
        <f t="shared" si="9"/>
        <v>2.1960000000000002</v>
      </c>
      <c r="L79" s="7">
        <f>IFERROR(I79*INDEX([1]Sheet1!$A$1:$A$13,MATCH(I79,[1]Sheet1!$B$1:$B$13)),0)</f>
        <v>5.49</v>
      </c>
      <c r="N79" s="1" t="s">
        <v>297</v>
      </c>
      <c r="R79" s="1" t="str">
        <f t="shared" si="3"/>
        <v/>
      </c>
      <c r="S79" s="1"/>
      <c r="X79" s="1"/>
      <c r="AC79" s="1"/>
      <c r="AH79" s="1"/>
      <c r="AM79" s="1"/>
    </row>
    <row r="80" spans="1:39" ht="18" customHeight="1" x14ac:dyDescent="0.2">
      <c r="A80" s="4">
        <v>255</v>
      </c>
      <c r="B80" s="61" t="s">
        <v>214</v>
      </c>
      <c r="C80" s="5" t="s">
        <v>215</v>
      </c>
      <c r="D80" s="5" t="s">
        <v>216</v>
      </c>
      <c r="E80" s="5">
        <v>1</v>
      </c>
      <c r="F80" s="4" t="s">
        <v>34</v>
      </c>
      <c r="G80" s="5" t="s">
        <v>217</v>
      </c>
      <c r="H80" s="5">
        <f t="shared" si="1"/>
        <v>750</v>
      </c>
      <c r="I80" s="7">
        <v>0.46200000000000002</v>
      </c>
      <c r="J80" s="7">
        <f t="shared" si="2"/>
        <v>0.46200000000000002</v>
      </c>
      <c r="K80" s="7">
        <f t="shared" si="9"/>
        <v>0.46200000000000002</v>
      </c>
      <c r="L80" s="7">
        <f>IFERROR(I80*INDEX([1]Sheet1!$A$1:$A$13,MATCH(I80,[1]Sheet1!$B$1:$B$13)),0)</f>
        <v>6.9300000000000006</v>
      </c>
      <c r="N80" s="1" t="s">
        <v>296</v>
      </c>
      <c r="R80" s="1" t="str">
        <f t="shared" si="3"/>
        <v/>
      </c>
      <c r="S80" s="1"/>
      <c r="X80" s="1"/>
      <c r="AC80" s="1"/>
      <c r="AH80" s="1"/>
      <c r="AM80" s="1"/>
    </row>
    <row r="81" spans="1:39" ht="18" customHeight="1" x14ac:dyDescent="0.2">
      <c r="A81" s="4">
        <v>260</v>
      </c>
      <c r="B81" s="61" t="s">
        <v>218</v>
      </c>
      <c r="C81" s="5" t="s">
        <v>219</v>
      </c>
      <c r="D81" s="5" t="s">
        <v>220</v>
      </c>
      <c r="E81" s="5">
        <v>1</v>
      </c>
      <c r="F81" s="4" t="s">
        <v>34</v>
      </c>
      <c r="G81" s="5" t="s">
        <v>221</v>
      </c>
      <c r="H81" s="5">
        <f t="shared" si="1"/>
        <v>750</v>
      </c>
      <c r="I81" s="7">
        <v>0.112</v>
      </c>
      <c r="J81" s="7">
        <f t="shared" si="2"/>
        <v>0.112</v>
      </c>
      <c r="K81" s="7">
        <f t="shared" si="9"/>
        <v>0.112</v>
      </c>
      <c r="L81" s="7">
        <f>IFERROR(I81*INDEX([1]Sheet1!$A$1:$A$13,MATCH(I81,[1]Sheet1!$B$1:$B$13)),0)</f>
        <v>11.200000000000001</v>
      </c>
      <c r="N81" s="1" t="s">
        <v>303</v>
      </c>
      <c r="R81" s="1" t="str">
        <f t="shared" si="3"/>
        <v/>
      </c>
      <c r="S81" s="1"/>
      <c r="X81" s="1"/>
      <c r="AC81" s="1"/>
      <c r="AH81" s="1"/>
      <c r="AM81" s="1"/>
    </row>
    <row r="82" spans="1:39" ht="18" customHeight="1" x14ac:dyDescent="0.2">
      <c r="A82" s="4">
        <v>265</v>
      </c>
      <c r="B82" s="61" t="s">
        <v>222</v>
      </c>
      <c r="C82" s="5" t="s">
        <v>223</v>
      </c>
      <c r="D82" s="5" t="s">
        <v>224</v>
      </c>
      <c r="E82" s="5">
        <v>2</v>
      </c>
      <c r="F82" s="4" t="s">
        <v>34</v>
      </c>
      <c r="G82" s="5" t="s">
        <v>225</v>
      </c>
      <c r="H82" s="5">
        <f t="shared" si="1"/>
        <v>1500</v>
      </c>
      <c r="I82" s="7">
        <v>0.1024</v>
      </c>
      <c r="J82" s="7">
        <f t="shared" si="2"/>
        <v>0.20480000000000001</v>
      </c>
      <c r="K82" s="7">
        <f t="shared" si="9"/>
        <v>0.20480000000000001</v>
      </c>
      <c r="L82" s="7">
        <f>IFERROR(I82*INDEX([1]Sheet1!$A$1:$A$13,MATCH(I82,[1]Sheet1!$B$1:$B$13)),0)</f>
        <v>10.24</v>
      </c>
      <c r="N82" s="1" t="s">
        <v>297</v>
      </c>
      <c r="R82" s="1" t="str">
        <f t="shared" si="3"/>
        <v/>
      </c>
      <c r="S82" s="1"/>
      <c r="X82" s="1"/>
      <c r="AC82" s="1"/>
      <c r="AH82" s="1"/>
      <c r="AM82" s="1"/>
    </row>
    <row r="83" spans="1:39" ht="18" customHeight="1" x14ac:dyDescent="0.2">
      <c r="A83" s="4">
        <v>270</v>
      </c>
      <c r="B83" s="61" t="s">
        <v>226</v>
      </c>
      <c r="C83" s="5" t="s">
        <v>227</v>
      </c>
      <c r="D83" s="5" t="s">
        <v>228</v>
      </c>
      <c r="E83" s="5"/>
      <c r="F83" s="4" t="s">
        <v>34</v>
      </c>
      <c r="G83" s="5" t="s">
        <v>229</v>
      </c>
      <c r="H83" s="5">
        <f t="shared" si="1"/>
        <v>0</v>
      </c>
      <c r="I83" s="7"/>
      <c r="J83" s="7">
        <f t="shared" si="2"/>
        <v>0</v>
      </c>
      <c r="K83" s="7">
        <f t="shared" si="9"/>
        <v>0</v>
      </c>
      <c r="L83" s="7">
        <f>IFERROR(I83*INDEX([1]Sheet1!$A$1:$A$13,MATCH(I83,[1]Sheet1!$B$1:$B$13)),0)</f>
        <v>0</v>
      </c>
      <c r="N83" s="1" t="s">
        <v>312</v>
      </c>
      <c r="R83" s="1" t="str">
        <f t="shared" si="3"/>
        <v/>
      </c>
      <c r="S83" s="1"/>
      <c r="X83" s="1"/>
      <c r="AC83" s="1"/>
      <c r="AH83" s="1"/>
      <c r="AM83" s="1"/>
    </row>
    <row r="84" spans="1:39" ht="18" customHeight="1" x14ac:dyDescent="0.2">
      <c r="A84" s="4">
        <v>270</v>
      </c>
      <c r="B84" s="5" t="s">
        <v>135</v>
      </c>
      <c r="C84" s="5" t="s">
        <v>227</v>
      </c>
      <c r="D84" s="5" t="s">
        <v>230</v>
      </c>
      <c r="E84" s="5">
        <v>1</v>
      </c>
      <c r="F84" s="4" t="s">
        <v>34</v>
      </c>
      <c r="G84" s="5" t="s">
        <v>229</v>
      </c>
      <c r="H84" s="5">
        <f t="shared" si="1"/>
        <v>750</v>
      </c>
      <c r="I84" s="7">
        <v>0.28499999999999998</v>
      </c>
      <c r="J84" s="7">
        <f t="shared" si="2"/>
        <v>0.28499999999999998</v>
      </c>
      <c r="K84" s="7">
        <f t="shared" si="9"/>
        <v>0.28499999999999998</v>
      </c>
      <c r="L84" s="7">
        <f>IFERROR(I84*INDEX([1]Sheet1!$A$1:$A$13,MATCH(I84,[1]Sheet1!$B$1:$B$13)),0)</f>
        <v>5.6999999999999993</v>
      </c>
      <c r="N84" s="1" t="s">
        <v>296</v>
      </c>
      <c r="R84" s="1" t="str">
        <f t="shared" si="3"/>
        <v/>
      </c>
      <c r="S84" s="1"/>
      <c r="X84" s="1"/>
      <c r="AC84" s="1"/>
      <c r="AH84" s="1"/>
      <c r="AM84" s="1"/>
    </row>
    <row r="85" spans="1:39" ht="18" customHeight="1" x14ac:dyDescent="0.2">
      <c r="A85" s="4">
        <v>275</v>
      </c>
      <c r="B85" s="5" t="s">
        <v>231</v>
      </c>
      <c r="C85" s="5" t="s">
        <v>227</v>
      </c>
      <c r="D85" s="5" t="s">
        <v>232</v>
      </c>
      <c r="E85" s="5">
        <v>2</v>
      </c>
      <c r="F85" s="4" t="s">
        <v>34</v>
      </c>
      <c r="G85" s="5" t="s">
        <v>233</v>
      </c>
      <c r="H85" s="5">
        <f t="shared" si="1"/>
        <v>1500</v>
      </c>
      <c r="I85" s="7">
        <v>0.41832999999999998</v>
      </c>
      <c r="J85" s="7">
        <f t="shared" si="2"/>
        <v>0.83665999999999996</v>
      </c>
      <c r="K85" s="7">
        <f t="shared" si="9"/>
        <v>0.83665999999999996</v>
      </c>
      <c r="L85" s="7">
        <f>IFERROR(I85*INDEX([1]Sheet1!$A$1:$A$13,MATCH(I85,[1]Sheet1!$B$1:$B$13)),0)</f>
        <v>6.2749499999999996</v>
      </c>
      <c r="N85" s="1" t="s">
        <v>303</v>
      </c>
      <c r="R85" s="1" t="str">
        <f t="shared" si="3"/>
        <v/>
      </c>
      <c r="S85" s="1"/>
      <c r="X85" s="1"/>
      <c r="AC85" s="1"/>
      <c r="AH85" s="1"/>
      <c r="AM85" s="1"/>
    </row>
    <row r="86" spans="1:39" ht="18" customHeight="1" x14ac:dyDescent="0.2">
      <c r="A86" s="4">
        <v>280</v>
      </c>
      <c r="B86" s="5" t="s">
        <v>234</v>
      </c>
      <c r="C86" s="5" t="s">
        <v>235</v>
      </c>
      <c r="D86" s="5" t="s">
        <v>236</v>
      </c>
      <c r="E86" s="5">
        <v>1</v>
      </c>
      <c r="F86" s="4" t="s">
        <v>34</v>
      </c>
      <c r="G86" s="5" t="s">
        <v>237</v>
      </c>
      <c r="H86" s="5">
        <f t="shared" si="1"/>
        <v>750</v>
      </c>
      <c r="I86" s="7">
        <v>0.39900000000000002</v>
      </c>
      <c r="J86" s="7">
        <f t="shared" si="2"/>
        <v>0.39900000000000002</v>
      </c>
      <c r="K86" s="7">
        <f t="shared" si="9"/>
        <v>0.39900000000000002</v>
      </c>
      <c r="L86" s="7">
        <f>IFERROR(I86*INDEX([1]Sheet1!$A$1:$A$13,MATCH(I86,[1]Sheet1!$B$1:$B$13)),0)</f>
        <v>5.9850000000000003</v>
      </c>
      <c r="N86" s="1" t="s">
        <v>296</v>
      </c>
      <c r="R86" s="1" t="str">
        <f t="shared" si="3"/>
        <v/>
      </c>
      <c r="S86" s="1"/>
      <c r="X86" s="1"/>
      <c r="AC86" s="1"/>
      <c r="AH86" s="1"/>
      <c r="AM86" s="1"/>
    </row>
    <row r="87" spans="1:39" ht="18" customHeight="1" x14ac:dyDescent="0.2">
      <c r="A87" s="4">
        <v>285</v>
      </c>
      <c r="B87" s="61" t="s">
        <v>238</v>
      </c>
      <c r="C87" s="5" t="s">
        <v>239</v>
      </c>
      <c r="D87" s="5" t="s">
        <v>240</v>
      </c>
      <c r="E87" s="5">
        <v>1</v>
      </c>
      <c r="F87" s="4" t="s">
        <v>34</v>
      </c>
      <c r="G87" s="5" t="s">
        <v>241</v>
      </c>
      <c r="H87" s="5">
        <f t="shared" si="1"/>
        <v>750</v>
      </c>
      <c r="I87" s="7">
        <v>3.5</v>
      </c>
      <c r="J87" s="7">
        <f t="shared" si="2"/>
        <v>3.5</v>
      </c>
      <c r="K87" s="7">
        <f t="shared" si="9"/>
        <v>3.5</v>
      </c>
      <c r="L87" s="7">
        <f>IFERROR(I87*INDEX([1]Sheet1!$A$1:$A$13,MATCH(I87,[1]Sheet1!$B$1:$B$13)),0)</f>
        <v>7</v>
      </c>
      <c r="N87" s="1" t="s">
        <v>296</v>
      </c>
      <c r="R87" s="1" t="str">
        <f t="shared" si="3"/>
        <v/>
      </c>
      <c r="S87" s="1"/>
      <c r="X87" s="1"/>
      <c r="AC87" s="1"/>
      <c r="AH87" s="1"/>
      <c r="AM87" s="1"/>
    </row>
    <row r="88" spans="1:39" ht="18" customHeight="1" x14ac:dyDescent="0.2">
      <c r="A88" s="4">
        <v>290</v>
      </c>
      <c r="B88" s="5" t="s">
        <v>242</v>
      </c>
      <c r="C88" s="5" t="s">
        <v>243</v>
      </c>
      <c r="D88" s="5" t="s">
        <v>244</v>
      </c>
      <c r="E88" s="5">
        <v>1</v>
      </c>
      <c r="F88" s="4" t="s">
        <v>265</v>
      </c>
      <c r="G88" s="5" t="s">
        <v>245</v>
      </c>
      <c r="H88" s="5">
        <f t="shared" si="1"/>
        <v>750</v>
      </c>
      <c r="I88" s="7">
        <v>0.45500000000000002</v>
      </c>
      <c r="J88" s="7">
        <f t="shared" si="2"/>
        <v>0.45500000000000002</v>
      </c>
      <c r="K88" s="7">
        <f t="shared" si="9"/>
        <v>0.45500000000000002</v>
      </c>
      <c r="L88" s="7">
        <f>IFERROR(I88*INDEX([1]Sheet1!$A$1:$A$13,MATCH(I88,[1]Sheet1!$B$1:$B$13)),0)</f>
        <v>6.8250000000000002</v>
      </c>
      <c r="N88" s="1" t="s">
        <v>298</v>
      </c>
      <c r="R88" s="1" t="str">
        <f t="shared" si="3"/>
        <v/>
      </c>
      <c r="S88" s="1"/>
      <c r="X88" s="1"/>
      <c r="AC88" s="1"/>
      <c r="AH88" s="1"/>
      <c r="AM88" s="1"/>
    </row>
    <row r="89" spans="1:39" ht="18" customHeight="1" x14ac:dyDescent="0.2">
      <c r="A89" s="4">
        <v>295</v>
      </c>
      <c r="B89" s="5" t="s">
        <v>246</v>
      </c>
      <c r="C89" s="5" t="s">
        <v>219</v>
      </c>
      <c r="D89" s="5" t="s">
        <v>247</v>
      </c>
      <c r="E89" s="5">
        <v>1</v>
      </c>
      <c r="F89" s="4" t="s">
        <v>34</v>
      </c>
      <c r="G89" s="6" t="s">
        <v>248</v>
      </c>
      <c r="H89" s="5">
        <f t="shared" si="1"/>
        <v>750</v>
      </c>
      <c r="I89" s="7">
        <v>0.53100000000000003</v>
      </c>
      <c r="J89" s="7">
        <f t="shared" si="2"/>
        <v>0.53100000000000003</v>
      </c>
      <c r="K89" s="7">
        <f t="shared" si="9"/>
        <v>0.53100000000000003</v>
      </c>
      <c r="L89" s="7">
        <f>IFERROR(I89*INDEX([1]Sheet1!$A$1:$A$13,MATCH(I89,[1]Sheet1!$B$1:$B$13)),0)</f>
        <v>5.3100000000000005</v>
      </c>
      <c r="N89" s="1" t="s">
        <v>303</v>
      </c>
      <c r="R89" s="1" t="str">
        <f t="shared" si="3"/>
        <v/>
      </c>
      <c r="S89" s="1"/>
      <c r="X89" s="1"/>
      <c r="AC89" s="1"/>
      <c r="AH89" s="1"/>
      <c r="AM89" s="1"/>
    </row>
    <row r="90" spans="1:39" ht="18" customHeight="1" x14ac:dyDescent="0.2">
      <c r="A90" s="4">
        <v>300</v>
      </c>
      <c r="B90" s="5" t="s">
        <v>249</v>
      </c>
      <c r="C90" s="5" t="s">
        <v>250</v>
      </c>
      <c r="D90" s="5" t="s">
        <v>251</v>
      </c>
      <c r="E90" s="5">
        <v>1</v>
      </c>
      <c r="F90" s="4" t="s">
        <v>34</v>
      </c>
      <c r="G90" s="6" t="s">
        <v>252</v>
      </c>
      <c r="H90" s="5">
        <f t="shared" si="1"/>
        <v>750</v>
      </c>
      <c r="I90" s="7">
        <v>0.28499999999999998</v>
      </c>
      <c r="J90" s="7">
        <f t="shared" si="2"/>
        <v>0.28499999999999998</v>
      </c>
      <c r="K90" s="7">
        <f t="shared" si="9"/>
        <v>0.28499999999999998</v>
      </c>
      <c r="L90" s="7">
        <f>IFERROR(I90*INDEX([1]Sheet1!$A$1:$A$13,MATCH(I90,[1]Sheet1!$B$1:$B$13)),0)</f>
        <v>5.6999999999999993</v>
      </c>
      <c r="N90" s="1" t="s">
        <v>296</v>
      </c>
      <c r="O90" s="1" t="s">
        <v>313</v>
      </c>
      <c r="R90" s="1" t="str">
        <f t="shared" si="3"/>
        <v/>
      </c>
      <c r="S90" s="1"/>
      <c r="X90" s="1"/>
      <c r="AC90" s="1"/>
      <c r="AH90" s="1"/>
      <c r="AM90" s="1"/>
    </row>
    <row r="91" spans="1:39" s="80" customFormat="1" ht="18" customHeight="1" x14ac:dyDescent="0.2">
      <c r="A91" s="76">
        <v>305</v>
      </c>
      <c r="B91" s="77" t="s">
        <v>253</v>
      </c>
      <c r="C91" s="77" t="s">
        <v>254</v>
      </c>
      <c r="D91" s="77" t="s">
        <v>323</v>
      </c>
      <c r="E91" s="77">
        <v>1</v>
      </c>
      <c r="F91" s="76" t="s">
        <v>261</v>
      </c>
      <c r="G91" s="78" t="s">
        <v>91</v>
      </c>
      <c r="H91" s="77">
        <f t="shared" si="1"/>
        <v>750</v>
      </c>
      <c r="I91" s="79">
        <v>7.23</v>
      </c>
      <c r="J91" s="79">
        <f t="shared" si="2"/>
        <v>7.23</v>
      </c>
      <c r="K91" s="79">
        <f t="shared" si="9"/>
        <v>7.23</v>
      </c>
      <c r="L91" s="79">
        <f>IFERROR(I91*INDEX([1]Sheet1!$A$1:$A$13,MATCH(I91,[1]Sheet1!$B$1:$B$13)),0)</f>
        <v>0</v>
      </c>
      <c r="M91" s="80" t="s">
        <v>322</v>
      </c>
      <c r="N91" s="80" t="s">
        <v>312</v>
      </c>
      <c r="R91" s="80" t="str">
        <f t="shared" si="3"/>
        <v/>
      </c>
    </row>
    <row r="92" spans="1:39" ht="14.25" x14ac:dyDescent="0.2">
      <c r="A92" s="4">
        <v>310</v>
      </c>
      <c r="B92" s="5" t="s">
        <v>255</v>
      </c>
      <c r="C92" s="5" t="s">
        <v>256</v>
      </c>
      <c r="D92" s="5" t="s">
        <v>257</v>
      </c>
      <c r="E92" s="5">
        <v>1</v>
      </c>
      <c r="F92" s="4" t="s">
        <v>261</v>
      </c>
      <c r="G92" s="6" t="s">
        <v>258</v>
      </c>
      <c r="H92" s="5">
        <f t="shared" si="1"/>
        <v>750</v>
      </c>
      <c r="I92" s="7">
        <v>0.05</v>
      </c>
      <c r="J92" s="7">
        <f t="shared" si="2"/>
        <v>0.05</v>
      </c>
      <c r="K92" s="7">
        <f t="shared" si="9"/>
        <v>0.05</v>
      </c>
      <c r="L92" s="7">
        <f>IFERROR(I92*INDEX([1]Sheet1!$A$1:$A$13,MATCH(I92,[1]Sheet1!$B$1:$B$13)),0)</f>
        <v>7.5</v>
      </c>
      <c r="N92" s="1"/>
      <c r="R92" s="1" t="str">
        <f t="shared" si="3"/>
        <v/>
      </c>
      <c r="S92" s="1"/>
      <c r="X92" s="1"/>
      <c r="AC92" s="1"/>
      <c r="AH92" s="1"/>
      <c r="AM92" s="1"/>
    </row>
    <row r="93" spans="1:39" ht="18" customHeight="1" x14ac:dyDescent="0.2">
      <c r="A93" s="4">
        <v>320</v>
      </c>
      <c r="B93" s="5" t="s">
        <v>259</v>
      </c>
      <c r="C93" s="5" t="s">
        <v>259</v>
      </c>
      <c r="D93" s="5" t="s">
        <v>264</v>
      </c>
      <c r="E93" s="5">
        <v>0</v>
      </c>
      <c r="F93" s="4"/>
      <c r="G93" s="6" t="s">
        <v>260</v>
      </c>
      <c r="H93" s="5">
        <f t="shared" ref="H93:H103" si="10">$H$23*$E93</f>
        <v>0</v>
      </c>
      <c r="I93" s="7" t="s">
        <v>262</v>
      </c>
      <c r="J93" s="7"/>
      <c r="K93" s="7">
        <f t="shared" si="9"/>
        <v>0</v>
      </c>
      <c r="L93" s="7">
        <f>IFERROR(I93*INDEX([1]Sheet1!$A$1:$A$13,MATCH(I93,[1]Sheet1!$B$1:$B$13)),0)</f>
        <v>0</v>
      </c>
      <c r="N93" s="1"/>
      <c r="R93" s="1" t="str">
        <f t="shared" si="3"/>
        <v/>
      </c>
      <c r="S93" s="1"/>
      <c r="X93" s="1"/>
      <c r="AC93" s="1"/>
      <c r="AH93" s="1"/>
      <c r="AM93" s="1"/>
    </row>
    <row r="94" spans="1:39" ht="14.25" x14ac:dyDescent="0.2">
      <c r="A94" s="52">
        <v>325</v>
      </c>
      <c r="B94" s="62" t="s">
        <v>266</v>
      </c>
      <c r="C94" s="53" t="s">
        <v>267</v>
      </c>
      <c r="D94" s="53" t="s">
        <v>268</v>
      </c>
      <c r="E94" s="59">
        <v>1</v>
      </c>
      <c r="F94" s="4" t="s">
        <v>261</v>
      </c>
      <c r="G94" s="55" t="s">
        <v>290</v>
      </c>
      <c r="H94" s="5">
        <f t="shared" si="10"/>
        <v>750</v>
      </c>
      <c r="I94" s="7" t="s">
        <v>295</v>
      </c>
      <c r="J94" s="7"/>
      <c r="K94" s="7">
        <f t="shared" ref="K94:K101" si="11">IF(J94&gt;0,IF(J94*$H$23&lt;2.5,2.5/$H$23,J94),0)</f>
        <v>0</v>
      </c>
      <c r="L94" s="7">
        <f>IFERROR(I94*INDEX([1]Sheet1!$A$1:$A$13,MATCH(I94,[1]Sheet1!$B$1:$B$13)),0)</f>
        <v>0</v>
      </c>
      <c r="N94" s="1"/>
      <c r="R94" s="1" t="str">
        <f t="shared" ref="R94:R103" si="12">IF(E94&gt;0,(IF(I94&gt;0,"","ERROR")),"")</f>
        <v/>
      </c>
      <c r="S94" s="1"/>
      <c r="X94" s="1"/>
      <c r="AC94" s="1"/>
      <c r="AH94" s="1"/>
      <c r="AM94" s="1"/>
    </row>
    <row r="95" spans="1:39" ht="14.25" x14ac:dyDescent="0.2">
      <c r="A95" s="54">
        <v>330</v>
      </c>
      <c r="B95" s="62" t="s">
        <v>269</v>
      </c>
      <c r="C95" s="53" t="s">
        <v>267</v>
      </c>
      <c r="D95" s="53" t="s">
        <v>270</v>
      </c>
      <c r="E95" s="59">
        <v>1</v>
      </c>
      <c r="F95" s="4" t="s">
        <v>261</v>
      </c>
      <c r="G95" s="55" t="s">
        <v>148</v>
      </c>
      <c r="H95" s="5">
        <f t="shared" si="10"/>
        <v>750</v>
      </c>
      <c r="I95" s="7" t="s">
        <v>295</v>
      </c>
      <c r="J95" s="7"/>
      <c r="K95" s="7">
        <f t="shared" si="11"/>
        <v>0</v>
      </c>
      <c r="L95" s="7">
        <f>IFERROR(I95*INDEX([1]Sheet1!$A$1:$A$13,MATCH(I95,[1]Sheet1!$B$1:$B$13)),0)</f>
        <v>0</v>
      </c>
      <c r="N95" s="1"/>
      <c r="R95" s="1" t="str">
        <f t="shared" si="12"/>
        <v/>
      </c>
      <c r="S95" s="1"/>
      <c r="X95" s="1"/>
      <c r="AC95" s="1"/>
      <c r="AH95" s="1"/>
      <c r="AM95" s="1"/>
    </row>
    <row r="96" spans="1:39" ht="14.25" x14ac:dyDescent="0.2">
      <c r="A96" s="54">
        <v>335</v>
      </c>
      <c r="B96" s="62" t="s">
        <v>271</v>
      </c>
      <c r="C96" s="53" t="s">
        <v>65</v>
      </c>
      <c r="D96" s="53" t="s">
        <v>272</v>
      </c>
      <c r="E96" s="59">
        <v>1</v>
      </c>
      <c r="F96" s="4" t="s">
        <v>261</v>
      </c>
      <c r="G96" s="55" t="s">
        <v>35</v>
      </c>
      <c r="H96" s="5">
        <f t="shared" si="10"/>
        <v>750</v>
      </c>
      <c r="I96" s="7" t="s">
        <v>295</v>
      </c>
      <c r="J96" s="7"/>
      <c r="K96" s="7">
        <f t="shared" si="11"/>
        <v>0</v>
      </c>
      <c r="L96" s="7">
        <f>IFERROR(I96*INDEX([1]Sheet1!$A$1:$A$13,MATCH(I96,[1]Sheet1!$B$1:$B$13)),0)</f>
        <v>0</v>
      </c>
      <c r="N96" s="1"/>
      <c r="R96" s="1" t="str">
        <f t="shared" si="12"/>
        <v/>
      </c>
      <c r="S96" s="1"/>
      <c r="X96" s="1"/>
      <c r="AC96" s="1"/>
      <c r="AH96" s="1"/>
      <c r="AM96" s="1"/>
    </row>
    <row r="97" spans="1:39" ht="28.5" x14ac:dyDescent="0.2">
      <c r="A97" s="54">
        <v>340</v>
      </c>
      <c r="B97" s="63" t="s">
        <v>273</v>
      </c>
      <c r="C97" s="56" t="s">
        <v>274</v>
      </c>
      <c r="D97" s="57" t="s">
        <v>275</v>
      </c>
      <c r="E97" s="59">
        <v>1</v>
      </c>
      <c r="F97" s="4" t="s">
        <v>261</v>
      </c>
      <c r="G97" s="55" t="s">
        <v>273</v>
      </c>
      <c r="H97" s="5">
        <f t="shared" si="10"/>
        <v>750</v>
      </c>
      <c r="I97" s="7" t="s">
        <v>295</v>
      </c>
      <c r="J97" s="7"/>
      <c r="K97" s="7">
        <f t="shared" si="11"/>
        <v>0</v>
      </c>
      <c r="L97" s="7">
        <f>IFERROR(I97*INDEX([1]Sheet1!$A$1:$A$13,MATCH(I97,[1]Sheet1!$B$1:$B$13)),0)</f>
        <v>0</v>
      </c>
      <c r="N97" s="1"/>
      <c r="R97" s="1" t="str">
        <f t="shared" si="12"/>
        <v/>
      </c>
      <c r="S97" s="1"/>
      <c r="X97" s="1"/>
      <c r="AC97" s="1"/>
      <c r="AH97" s="1"/>
      <c r="AM97" s="1"/>
    </row>
    <row r="98" spans="1:39" ht="14.25" x14ac:dyDescent="0.2">
      <c r="A98" s="54">
        <v>345</v>
      </c>
      <c r="B98" s="63" t="s">
        <v>276</v>
      </c>
      <c r="C98" s="56" t="s">
        <v>277</v>
      </c>
      <c r="D98" s="57" t="s">
        <v>294</v>
      </c>
      <c r="E98" s="59">
        <v>1</v>
      </c>
      <c r="F98" s="4" t="s">
        <v>261</v>
      </c>
      <c r="G98" s="55" t="s">
        <v>276</v>
      </c>
      <c r="H98" s="5">
        <f t="shared" si="10"/>
        <v>750</v>
      </c>
      <c r="I98" s="7">
        <v>1.72E-2</v>
      </c>
      <c r="J98" s="7">
        <f t="shared" ref="J98:J101" si="13">I98*$E98</f>
        <v>1.72E-2</v>
      </c>
      <c r="K98" s="7">
        <f t="shared" si="11"/>
        <v>1.72E-2</v>
      </c>
      <c r="L98" s="7">
        <f>IFERROR(I98*INDEX([1]Sheet1!$A$1:$A$13,MATCH(I98,[1]Sheet1!$B$1:$B$13)),0)</f>
        <v>4.3</v>
      </c>
      <c r="N98" s="1" t="s">
        <v>314</v>
      </c>
      <c r="R98" s="1" t="str">
        <f t="shared" si="12"/>
        <v/>
      </c>
      <c r="S98" s="1"/>
      <c r="X98" s="1"/>
      <c r="AC98" s="1"/>
      <c r="AH98" s="1"/>
      <c r="AM98" s="1"/>
    </row>
    <row r="99" spans="1:39" ht="14.25" x14ac:dyDescent="0.2">
      <c r="A99" s="58">
        <v>350</v>
      </c>
      <c r="B99" s="64" t="s">
        <v>278</v>
      </c>
      <c r="C99" s="53" t="s">
        <v>277</v>
      </c>
      <c r="D99" s="53" t="s">
        <v>279</v>
      </c>
      <c r="E99" s="59">
        <v>4</v>
      </c>
      <c r="F99" s="4" t="s">
        <v>261</v>
      </c>
      <c r="G99" s="55" t="s">
        <v>107</v>
      </c>
      <c r="H99" s="5">
        <f t="shared" si="10"/>
        <v>3000</v>
      </c>
      <c r="I99" s="7">
        <v>9.8199999999999996E-2</v>
      </c>
      <c r="J99" s="7">
        <f t="shared" si="13"/>
        <v>0.39279999999999998</v>
      </c>
      <c r="K99" s="7">
        <f t="shared" si="11"/>
        <v>0.39279999999999998</v>
      </c>
      <c r="L99" s="7">
        <f>IFERROR(I99*INDEX([1]Sheet1!$A$1:$A$13,MATCH(I99,[1]Sheet1!$B$1:$B$13)),0)</f>
        <v>9.82</v>
      </c>
      <c r="N99" s="1" t="s">
        <v>314</v>
      </c>
      <c r="R99" s="1" t="str">
        <f t="shared" si="12"/>
        <v/>
      </c>
      <c r="S99" s="1"/>
      <c r="X99" s="1"/>
      <c r="AC99" s="1"/>
      <c r="AH99" s="1"/>
      <c r="AM99" s="1"/>
    </row>
    <row r="100" spans="1:39" ht="14.25" x14ac:dyDescent="0.2">
      <c r="A100" s="54">
        <v>355</v>
      </c>
      <c r="B100" s="62" t="s">
        <v>280</v>
      </c>
      <c r="C100" s="53" t="s">
        <v>277</v>
      </c>
      <c r="D100" s="53" t="s">
        <v>281</v>
      </c>
      <c r="E100" s="59">
        <v>4</v>
      </c>
      <c r="F100" s="4" t="s">
        <v>261</v>
      </c>
      <c r="G100" s="55" t="s">
        <v>291</v>
      </c>
      <c r="H100" s="5">
        <f t="shared" si="10"/>
        <v>3000</v>
      </c>
      <c r="I100" s="7">
        <v>8.1500000000000003E-2</v>
      </c>
      <c r="J100" s="7">
        <f t="shared" si="13"/>
        <v>0.32600000000000001</v>
      </c>
      <c r="K100" s="7">
        <f t="shared" si="11"/>
        <v>0.32600000000000001</v>
      </c>
      <c r="L100" s="7">
        <f>IFERROR(I100*INDEX([1]Sheet1!$A$1:$A$13,MATCH(I100,[1]Sheet1!$B$1:$B$13)),0)</f>
        <v>8.15</v>
      </c>
      <c r="N100" s="1" t="s">
        <v>314</v>
      </c>
      <c r="R100" s="1" t="str">
        <f t="shared" si="12"/>
        <v/>
      </c>
      <c r="S100" s="1"/>
      <c r="X100" s="1"/>
      <c r="AC100" s="1"/>
      <c r="AH100" s="1"/>
      <c r="AM100" s="1"/>
    </row>
    <row r="101" spans="1:39" ht="28.5" x14ac:dyDescent="0.2">
      <c r="A101" s="54">
        <v>360</v>
      </c>
      <c r="B101" s="63" t="s">
        <v>282</v>
      </c>
      <c r="C101" s="53" t="s">
        <v>283</v>
      </c>
      <c r="D101" s="53" t="s">
        <v>284</v>
      </c>
      <c r="E101" s="59">
        <v>1</v>
      </c>
      <c r="F101" s="4" t="s">
        <v>261</v>
      </c>
      <c r="G101" s="55" t="s">
        <v>292</v>
      </c>
      <c r="H101" s="5">
        <f t="shared" si="10"/>
        <v>750</v>
      </c>
      <c r="I101" s="7">
        <v>7.0000000000000007E-2</v>
      </c>
      <c r="J101" s="7">
        <f t="shared" si="13"/>
        <v>7.0000000000000007E-2</v>
      </c>
      <c r="K101" s="7">
        <f t="shared" si="11"/>
        <v>7.0000000000000007E-2</v>
      </c>
      <c r="L101" s="7">
        <f>IFERROR(I101*INDEX([1]Sheet1!$A$1:$A$13,MATCH(I101,[1]Sheet1!$B$1:$B$13)),0)</f>
        <v>7.0000000000000009</v>
      </c>
      <c r="N101" s="1" t="s">
        <v>312</v>
      </c>
      <c r="R101" s="1" t="str">
        <f t="shared" si="12"/>
        <v/>
      </c>
      <c r="S101" s="1"/>
      <c r="X101" s="1"/>
      <c r="AC101" s="1"/>
      <c r="AH101" s="1"/>
      <c r="AM101" s="1"/>
    </row>
    <row r="102" spans="1:39" ht="18" customHeight="1" x14ac:dyDescent="0.2">
      <c r="A102" s="54">
        <v>365</v>
      </c>
      <c r="B102" s="63" t="s">
        <v>285</v>
      </c>
      <c r="C102" s="53" t="s">
        <v>286</v>
      </c>
      <c r="D102" s="53" t="s">
        <v>287</v>
      </c>
      <c r="E102" s="59">
        <v>1</v>
      </c>
      <c r="F102" s="4" t="s">
        <v>261</v>
      </c>
      <c r="G102" s="55" t="s">
        <v>293</v>
      </c>
      <c r="H102" s="5">
        <f t="shared" si="10"/>
        <v>750</v>
      </c>
      <c r="I102" s="7">
        <v>1.09E-2</v>
      </c>
      <c r="J102" s="7">
        <f t="shared" ref="J102" si="14">I102*$E102</f>
        <v>1.09E-2</v>
      </c>
      <c r="K102" s="7">
        <f t="shared" si="9"/>
        <v>1.09E-2</v>
      </c>
      <c r="L102" s="7">
        <f>IFERROR(I102*INDEX([1]Sheet1!$A$1:$A$13,MATCH(I102,[1]Sheet1!$B$1:$B$13)),0)</f>
        <v>2.7250000000000001</v>
      </c>
      <c r="N102" s="1" t="s">
        <v>297</v>
      </c>
      <c r="O102" s="1" t="s">
        <v>315</v>
      </c>
      <c r="R102" s="1" t="str">
        <f t="shared" si="12"/>
        <v/>
      </c>
      <c r="S102" s="1"/>
      <c r="X102" s="1"/>
      <c r="AC102" s="1"/>
      <c r="AH102" s="1"/>
      <c r="AM102" s="1"/>
    </row>
    <row r="103" spans="1:39" ht="18" customHeight="1" x14ac:dyDescent="0.2">
      <c r="A103" s="54">
        <v>370</v>
      </c>
      <c r="B103" s="62" t="s">
        <v>288</v>
      </c>
      <c r="C103" s="56" t="s">
        <v>274</v>
      </c>
      <c r="D103" s="57" t="s">
        <v>289</v>
      </c>
      <c r="E103" s="59">
        <v>1</v>
      </c>
      <c r="F103" s="4" t="s">
        <v>261</v>
      </c>
      <c r="G103" s="63" t="s">
        <v>273</v>
      </c>
      <c r="H103" s="5">
        <f t="shared" si="10"/>
        <v>750</v>
      </c>
      <c r="I103" s="7" t="s">
        <v>295</v>
      </c>
      <c r="J103" s="7"/>
      <c r="K103" s="7">
        <f t="shared" si="9"/>
        <v>0</v>
      </c>
      <c r="L103" s="7">
        <f>IFERROR(I103*INDEX([1]Sheet1!$A$1:$A$13,MATCH(I103,[1]Sheet1!$B$1:$B$13)),0)</f>
        <v>0</v>
      </c>
      <c r="N103" s="1"/>
      <c r="R103" s="1" t="str">
        <f t="shared" si="12"/>
        <v/>
      </c>
      <c r="S103" s="1"/>
      <c r="X103" s="1"/>
      <c r="AC103" s="1"/>
      <c r="AH103" s="1"/>
      <c r="AM103" s="1"/>
    </row>
    <row r="104" spans="1:39" ht="18" customHeight="1" thickBot="1" x14ac:dyDescent="0.25">
      <c r="J104" s="2"/>
      <c r="K104" s="2"/>
      <c r="L104" s="2"/>
      <c r="N104" s="1"/>
      <c r="S104" s="1"/>
      <c r="X104" s="1"/>
      <c r="AC104" s="1"/>
      <c r="AH104" s="1"/>
      <c r="AM104" s="1"/>
    </row>
    <row r="105" spans="1:39" ht="18" customHeight="1" x14ac:dyDescent="0.25">
      <c r="I105" s="20"/>
      <c r="J105" s="21" t="s">
        <v>7</v>
      </c>
      <c r="K105" s="22" t="s">
        <v>9</v>
      </c>
      <c r="L105" s="8" t="s">
        <v>19</v>
      </c>
      <c r="N105" s="1"/>
      <c r="S105" s="1"/>
      <c r="X105" s="1"/>
      <c r="AC105" s="1"/>
      <c r="AH105" s="1"/>
      <c r="AM105" s="1"/>
    </row>
    <row r="106" spans="1:39" ht="18" customHeight="1" x14ac:dyDescent="0.25">
      <c r="D106" s="9"/>
      <c r="E106" s="9"/>
      <c r="I106" s="23" t="str">
        <f>CONCATENATE("EA ",H23)</f>
        <v>EA 750</v>
      </c>
      <c r="J106" s="10">
        <f>SUM(J24:J104)</f>
        <v>46.956249999999997</v>
      </c>
      <c r="K106" s="24">
        <f>SUM(K24:K104)</f>
        <v>46.956283333333332</v>
      </c>
      <c r="L106" s="19">
        <f>K106+L110/H23</f>
        <v>47.482058933333334</v>
      </c>
      <c r="N106" s="1"/>
      <c r="S106" s="1"/>
      <c r="X106" s="1"/>
      <c r="AC106" s="1"/>
      <c r="AH106" s="1"/>
      <c r="AM106" s="1"/>
    </row>
    <row r="107" spans="1:39" ht="18" customHeight="1" thickBot="1" x14ac:dyDescent="0.3">
      <c r="D107" s="9"/>
      <c r="E107" s="9"/>
      <c r="I107" s="25" t="str">
        <f>CONCATENATE("EA ",H23,"+")</f>
        <v>EA 750+</v>
      </c>
      <c r="J107" s="26">
        <f>IF(H23&lt;25,1.1,IF(H23&lt;50,1.08,IF(H23&lt;100,1.06,IF(H23&lt;250,1.05,IF(H23&lt;500,1.04,IF(H23&lt;1000,1.03,IF(H23&lt;2500,1.03,IF(H23&lt;5000,1.02,IF(H23&lt;10000,1.015,1.01)))))))))</f>
        <v>1.03</v>
      </c>
      <c r="K107" s="27">
        <f>K106*J107</f>
        <v>48.364971833333335</v>
      </c>
      <c r="L107" s="28">
        <f>1-J106/L106</f>
        <v>1.1073844419248857E-2</v>
      </c>
      <c r="N107" s="1"/>
      <c r="S107" s="1"/>
      <c r="X107" s="1"/>
      <c r="AC107" s="1"/>
      <c r="AH107" s="1"/>
      <c r="AM107" s="1"/>
    </row>
    <row r="108" spans="1:39" ht="18" customHeight="1" x14ac:dyDescent="0.2">
      <c r="D108" s="9"/>
      <c r="E108" s="9"/>
      <c r="J108" s="9" t="s">
        <v>13</v>
      </c>
      <c r="N108" s="1"/>
      <c r="S108" s="1"/>
      <c r="X108" s="1"/>
      <c r="AC108" s="1"/>
      <c r="AH108" s="1"/>
      <c r="AM108" s="1"/>
    </row>
    <row r="109" spans="1:39" ht="18" customHeight="1" x14ac:dyDescent="0.2">
      <c r="N109" s="1"/>
      <c r="S109" s="1"/>
      <c r="X109" s="1"/>
      <c r="AC109" s="1"/>
      <c r="AH109" s="1"/>
      <c r="AM109" s="1"/>
    </row>
    <row r="110" spans="1:39" ht="18" customHeight="1" x14ac:dyDescent="0.25">
      <c r="K110" s="18" t="s">
        <v>20</v>
      </c>
      <c r="L110" s="2">
        <f>SUM(L24:L103)</f>
        <v>394.33169999999996</v>
      </c>
      <c r="N110" s="1"/>
      <c r="S110" s="1"/>
      <c r="X110" s="1"/>
      <c r="AC110" s="1"/>
      <c r="AH110" s="1"/>
      <c r="AM110" s="1"/>
    </row>
    <row r="111" spans="1:39" ht="18" customHeight="1" x14ac:dyDescent="0.2">
      <c r="N111" s="1"/>
      <c r="S111" s="1"/>
      <c r="X111" s="1"/>
      <c r="AC111" s="1"/>
      <c r="AH111" s="1"/>
      <c r="AM111" s="1"/>
    </row>
  </sheetData>
  <mergeCells count="1">
    <mergeCell ref="C6:D6"/>
  </mergeCells>
  <phoneticPr fontId="6" type="noConversion"/>
  <pageMargins left="0.25" right="0.25" top="0.75" bottom="0.75" header="0.3" footer="0.3"/>
  <pageSetup scale="2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Abhishek Patel</cp:lastModifiedBy>
  <cp:lastPrinted>2015-06-09T16:50:53Z</cp:lastPrinted>
  <dcterms:created xsi:type="dcterms:W3CDTF">2014-02-28T14:28:37Z</dcterms:created>
  <dcterms:modified xsi:type="dcterms:W3CDTF">2023-03-23T19:02:32Z</dcterms:modified>
</cp:coreProperties>
</file>