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/>
  </bookViews>
  <sheets>
    <sheet name="درام" sheetId="49" r:id="rId1"/>
    <sheet name="پایه ثابت" sheetId="53" r:id="rId2"/>
    <sheet name="پایه متحرک" sheetId="54" r:id="rId3"/>
    <sheet name="قاب" sheetId="55" r:id="rId4"/>
    <sheet name="سیستم محرک" sheetId="56" r:id="rId5"/>
  </sheets>
  <calcPr calcId="152511"/>
</workbook>
</file>

<file path=xl/calcChain.xml><?xml version="1.0" encoding="utf-8"?>
<calcChain xmlns="http://schemas.openxmlformats.org/spreadsheetml/2006/main">
  <c r="P26" i="56" l="1"/>
  <c r="Q26" i="56"/>
  <c r="R26" i="56"/>
  <c r="P25" i="56"/>
  <c r="Q25" i="56" s="1"/>
  <c r="R25" i="56" s="1"/>
  <c r="O52" i="49"/>
  <c r="O49" i="49"/>
  <c r="P49" i="49" s="1"/>
  <c r="Q49" i="49" s="1"/>
  <c r="R49" i="49" s="1"/>
  <c r="O46" i="49"/>
  <c r="K13" i="53" l="1"/>
  <c r="K12" i="53"/>
  <c r="K8" i="53"/>
  <c r="K44" i="54"/>
  <c r="K37" i="54"/>
  <c r="P27" i="56" l="1"/>
  <c r="P24" i="56"/>
  <c r="P23" i="56"/>
  <c r="P22" i="56"/>
  <c r="Q22" i="56" s="1"/>
  <c r="R22" i="56" s="1"/>
  <c r="P21" i="56"/>
  <c r="P20" i="56"/>
  <c r="P19" i="56"/>
  <c r="P18" i="56"/>
  <c r="Q18" i="56" s="1"/>
  <c r="R18" i="56" s="1"/>
  <c r="P17" i="56"/>
  <c r="P16" i="56"/>
  <c r="P15" i="56"/>
  <c r="P14" i="56"/>
  <c r="Q14" i="56" s="1"/>
  <c r="R14" i="56" s="1"/>
  <c r="P13" i="56"/>
  <c r="P12" i="56"/>
  <c r="P11" i="56"/>
  <c r="P10" i="56"/>
  <c r="Q10" i="56" s="1"/>
  <c r="R10" i="56" s="1"/>
  <c r="P9" i="56"/>
  <c r="P8" i="56"/>
  <c r="G8" i="56"/>
  <c r="P24" i="55"/>
  <c r="P23" i="55"/>
  <c r="P22" i="55"/>
  <c r="Q21" i="55"/>
  <c r="R21" i="55" s="1"/>
  <c r="P21" i="55"/>
  <c r="P20" i="55"/>
  <c r="P19" i="55"/>
  <c r="P18" i="55"/>
  <c r="Q18" i="55" s="1"/>
  <c r="R18" i="55" s="1"/>
  <c r="P17" i="55"/>
  <c r="P15" i="55"/>
  <c r="P14" i="55"/>
  <c r="P13" i="55"/>
  <c r="P12" i="55"/>
  <c r="P11" i="55"/>
  <c r="P10" i="55"/>
  <c r="P9" i="55"/>
  <c r="Q9" i="55" s="1"/>
  <c r="P8" i="55"/>
  <c r="Q10" i="55"/>
  <c r="O16" i="55"/>
  <c r="P16" i="55" s="1"/>
  <c r="Q16" i="55" s="1"/>
  <c r="R16" i="55" s="1"/>
  <c r="Q49" i="54"/>
  <c r="R49" i="54" s="1"/>
  <c r="P49" i="54"/>
  <c r="P48" i="54"/>
  <c r="Q48" i="54" s="1"/>
  <c r="R48" i="54" s="1"/>
  <c r="P47" i="54"/>
  <c r="Q47" i="54" s="1"/>
  <c r="R47" i="54" s="1"/>
  <c r="R46" i="54"/>
  <c r="Q46" i="54"/>
  <c r="P46" i="54"/>
  <c r="P45" i="54"/>
  <c r="Q45" i="54" s="1"/>
  <c r="R45" i="54" s="1"/>
  <c r="P44" i="54"/>
  <c r="Q44" i="54" s="1"/>
  <c r="R44" i="54" s="1"/>
  <c r="P43" i="54"/>
  <c r="Q43" i="54" s="1"/>
  <c r="R43" i="54" s="1"/>
  <c r="Q42" i="54"/>
  <c r="R42" i="54" s="1"/>
  <c r="P42" i="54"/>
  <c r="P41" i="54"/>
  <c r="Q41" i="54" s="1"/>
  <c r="R41" i="54" s="1"/>
  <c r="P40" i="54"/>
  <c r="Q40" i="54" s="1"/>
  <c r="R40" i="54" s="1"/>
  <c r="P39" i="54"/>
  <c r="Q39" i="54" s="1"/>
  <c r="R39" i="54" s="1"/>
  <c r="Q38" i="54"/>
  <c r="R38" i="54" s="1"/>
  <c r="P38" i="54"/>
  <c r="P37" i="54"/>
  <c r="Q37" i="54" s="1"/>
  <c r="R37" i="54" s="1"/>
  <c r="G37" i="54"/>
  <c r="P23" i="54"/>
  <c r="Q23" i="54" s="1"/>
  <c r="R23" i="54" s="1"/>
  <c r="P22" i="54"/>
  <c r="P21" i="54"/>
  <c r="P20" i="54"/>
  <c r="Q20" i="54" s="1"/>
  <c r="R20" i="54" s="1"/>
  <c r="P19" i="54"/>
  <c r="Q19" i="54" s="1"/>
  <c r="R19" i="54" s="1"/>
  <c r="P18" i="54"/>
  <c r="P17" i="54"/>
  <c r="P16" i="54"/>
  <c r="P15" i="54"/>
  <c r="P14" i="54"/>
  <c r="P13" i="54"/>
  <c r="Q13" i="54" s="1"/>
  <c r="P12" i="54"/>
  <c r="Q12" i="54" s="1"/>
  <c r="P11" i="54"/>
  <c r="P10" i="54"/>
  <c r="Q10" i="54" s="1"/>
  <c r="R10" i="54" s="1"/>
  <c r="P9" i="54"/>
  <c r="Q9" i="54" s="1"/>
  <c r="R9" i="54" s="1"/>
  <c r="P8" i="54"/>
  <c r="G8" i="54"/>
  <c r="K8" i="54" s="1"/>
  <c r="N12" i="54"/>
  <c r="P18" i="53"/>
  <c r="P17" i="53"/>
  <c r="P16" i="53"/>
  <c r="P15" i="53"/>
  <c r="P14" i="53"/>
  <c r="P13" i="53"/>
  <c r="P12" i="53"/>
  <c r="P11" i="53"/>
  <c r="P10" i="53"/>
  <c r="P9" i="53"/>
  <c r="P8" i="53"/>
  <c r="G8" i="53"/>
  <c r="P61" i="49"/>
  <c r="Q61" i="49" s="1"/>
  <c r="R61" i="49" s="1"/>
  <c r="P60" i="49"/>
  <c r="Q60" i="49" s="1"/>
  <c r="R60" i="49" s="1"/>
  <c r="P59" i="49"/>
  <c r="Q59" i="49" s="1"/>
  <c r="R59" i="49" s="1"/>
  <c r="G39" i="49"/>
  <c r="K43" i="49" s="1"/>
  <c r="P22" i="49"/>
  <c r="O21" i="49"/>
  <c r="P21" i="49" s="1"/>
  <c r="P17" i="49"/>
  <c r="Q17" i="49" s="1"/>
  <c r="R17" i="49" s="1"/>
  <c r="P16" i="49"/>
  <c r="O14" i="49"/>
  <c r="P14" i="49" s="1"/>
  <c r="P13" i="49"/>
  <c r="P12" i="49"/>
  <c r="N17" i="54" l="1"/>
  <c r="Q11" i="54"/>
  <c r="Q14" i="54"/>
  <c r="R14" i="54" s="1"/>
  <c r="Q17" i="54"/>
  <c r="R17" i="54" s="1"/>
  <c r="Q11" i="55"/>
  <c r="Q14" i="55"/>
  <c r="Q19" i="55"/>
  <c r="R19" i="55" s="1"/>
  <c r="Q22" i="55"/>
  <c r="R22" i="55" s="1"/>
  <c r="Q13" i="53"/>
  <c r="R13" i="53" s="1"/>
  <c r="Q17" i="53"/>
  <c r="R17" i="53" s="1"/>
  <c r="Q8" i="55"/>
  <c r="R9" i="55" s="1"/>
  <c r="Q12" i="55"/>
  <c r="Q15" i="55"/>
  <c r="Q14" i="49"/>
  <c r="R14" i="49" s="1"/>
  <c r="Q21" i="49"/>
  <c r="R21" i="49" s="1"/>
  <c r="N10" i="53"/>
  <c r="Q13" i="49"/>
  <c r="R13" i="49" s="1"/>
  <c r="Q16" i="49"/>
  <c r="R16" i="49" s="1"/>
  <c r="Q22" i="49"/>
  <c r="R22" i="49" s="1"/>
  <c r="Q10" i="53"/>
  <c r="R10" i="53" s="1"/>
  <c r="Q14" i="53"/>
  <c r="R14" i="53" s="1"/>
  <c r="Q18" i="53"/>
  <c r="R18" i="53" s="1"/>
  <c r="Q11" i="56"/>
  <c r="R11" i="56" s="1"/>
  <c r="Q15" i="56"/>
  <c r="R15" i="56" s="1"/>
  <c r="Q19" i="56"/>
  <c r="R19" i="56" s="1"/>
  <c r="Q23" i="56"/>
  <c r="R23" i="56" s="1"/>
  <c r="G8" i="49"/>
  <c r="K12" i="49" s="1"/>
  <c r="Q8" i="53"/>
  <c r="R8" i="53" s="1"/>
  <c r="Q11" i="53"/>
  <c r="R11" i="53" s="1"/>
  <c r="Q15" i="53"/>
  <c r="R15" i="53" s="1"/>
  <c r="R13" i="54"/>
  <c r="N18" i="54"/>
  <c r="Q13" i="55"/>
  <c r="Q20" i="55"/>
  <c r="R20" i="55" s="1"/>
  <c r="Q23" i="55"/>
  <c r="R23" i="55" s="1"/>
  <c r="Q20" i="56"/>
  <c r="R20" i="56" s="1"/>
  <c r="Q24" i="56"/>
  <c r="R24" i="56" s="1"/>
  <c r="Q12" i="49"/>
  <c r="R12" i="49" s="1"/>
  <c r="Q9" i="53"/>
  <c r="R9" i="53" s="1"/>
  <c r="N11" i="54"/>
  <c r="N13" i="54"/>
  <c r="Q16" i="54"/>
  <c r="R16" i="54" s="1"/>
  <c r="Q18" i="54"/>
  <c r="R18" i="54" s="1"/>
  <c r="Q22" i="54"/>
  <c r="R22" i="54" s="1"/>
  <c r="G8" i="55"/>
  <c r="K17" i="55" s="1"/>
  <c r="Q17" i="55"/>
  <c r="R17" i="55" s="1"/>
  <c r="Q24" i="55"/>
  <c r="R24" i="55" s="1"/>
  <c r="Q9" i="56"/>
  <c r="R9" i="56" s="1"/>
  <c r="Q13" i="56"/>
  <c r="R13" i="56" s="1"/>
  <c r="K17" i="56"/>
  <c r="K8" i="56"/>
  <c r="Q8" i="56"/>
  <c r="R8" i="56" s="1"/>
  <c r="Q12" i="56"/>
  <c r="R12" i="56" s="1"/>
  <c r="Q16" i="56"/>
  <c r="R16" i="56" s="1"/>
  <c r="Q17" i="56"/>
  <c r="R17" i="56" s="1"/>
  <c r="Q21" i="56"/>
  <c r="R21" i="56" s="1"/>
  <c r="Q27" i="56"/>
  <c r="R27" i="56" s="1"/>
  <c r="R13" i="55"/>
  <c r="R10" i="55"/>
  <c r="R8" i="55"/>
  <c r="K19" i="55"/>
  <c r="Q8" i="54"/>
  <c r="R8" i="54" s="1"/>
  <c r="Q15" i="54"/>
  <c r="R15" i="54" s="1"/>
  <c r="Q21" i="54"/>
  <c r="R21" i="54" s="1"/>
  <c r="R11" i="54"/>
  <c r="R12" i="54"/>
  <c r="Q12" i="53"/>
  <c r="R12" i="53" s="1"/>
  <c r="Q16" i="53"/>
  <c r="R16" i="53" s="1"/>
  <c r="P55" i="49"/>
  <c r="Q55" i="49" s="1"/>
  <c r="R55" i="49" s="1"/>
  <c r="O57" i="49"/>
  <c r="P57" i="49" s="1"/>
  <c r="Q57" i="49" s="1"/>
  <c r="R57" i="49" s="1"/>
  <c r="O56" i="49"/>
  <c r="P56" i="49" s="1"/>
  <c r="Q56" i="49" s="1"/>
  <c r="R56" i="49" s="1"/>
  <c r="P15" i="49"/>
  <c r="Q15" i="49" s="1"/>
  <c r="R15" i="49" s="1"/>
  <c r="P24" i="49"/>
  <c r="Q24" i="49" s="1"/>
  <c r="R24" i="49" s="1"/>
  <c r="R15" i="55" l="1"/>
  <c r="R12" i="55"/>
  <c r="R14" i="55"/>
  <c r="R11" i="55"/>
  <c r="K16" i="49"/>
  <c r="K20" i="49"/>
  <c r="P25" i="49"/>
  <c r="Q25" i="49" s="1"/>
  <c r="R25" i="49" s="1"/>
  <c r="O58" i="49"/>
  <c r="P58" i="49" s="1"/>
  <c r="Q58" i="49" s="1"/>
  <c r="R58" i="49" s="1"/>
  <c r="O42" i="49"/>
  <c r="P42" i="49" s="1"/>
  <c r="Q42" i="49" s="1"/>
  <c r="R42" i="49" s="1"/>
  <c r="P23" i="49"/>
  <c r="Q23" i="49" s="1"/>
  <c r="R23" i="49" s="1"/>
  <c r="P43" i="49"/>
  <c r="Q43" i="49" s="1"/>
  <c r="R43" i="49" s="1"/>
  <c r="O44" i="49"/>
  <c r="P20" i="49"/>
  <c r="Q20" i="49" s="1"/>
  <c r="R20" i="49" s="1"/>
  <c r="O11" i="49"/>
  <c r="P11" i="49" s="1"/>
  <c r="Q11" i="49" s="1"/>
  <c r="R11" i="49" s="1"/>
  <c r="O10" i="49"/>
  <c r="P10" i="49" s="1"/>
  <c r="Q10" i="49" s="1"/>
  <c r="R10" i="49" s="1"/>
  <c r="O9" i="49"/>
  <c r="P9" i="49" s="1"/>
  <c r="Q9" i="49" s="1"/>
  <c r="R9" i="49" s="1"/>
  <c r="O8" i="49"/>
  <c r="P8" i="49" s="1"/>
  <c r="Q8" i="49" s="1"/>
  <c r="R8" i="49" s="1"/>
  <c r="J18" i="49"/>
  <c r="K8" i="49"/>
  <c r="P39" i="49" l="1"/>
  <c r="Q39" i="49" s="1"/>
  <c r="R39" i="49" s="1"/>
  <c r="P52" i="49"/>
  <c r="Q52" i="49" s="1"/>
  <c r="R52" i="49" s="1"/>
  <c r="O53" i="49"/>
  <c r="P46" i="49"/>
  <c r="Q46" i="49" s="1"/>
  <c r="R46" i="49" s="1"/>
  <c r="O47" i="49"/>
  <c r="O50" i="49" s="1"/>
  <c r="P50" i="49" s="1"/>
  <c r="Q50" i="49" s="1"/>
  <c r="R50" i="49" s="1"/>
  <c r="P44" i="49"/>
  <c r="Q44" i="49" s="1"/>
  <c r="R44" i="49" s="1"/>
  <c r="O45" i="49"/>
  <c r="P45" i="49" s="1"/>
  <c r="Q45" i="49" s="1"/>
  <c r="R45" i="49" s="1"/>
  <c r="K18" i="49"/>
  <c r="O18" i="49"/>
  <c r="P47" i="49" l="1"/>
  <c r="Q47" i="49" s="1"/>
  <c r="R47" i="49" s="1"/>
  <c r="O48" i="49"/>
  <c r="O41" i="49"/>
  <c r="P41" i="49" s="1"/>
  <c r="Q41" i="49" s="1"/>
  <c r="R41" i="49" s="1"/>
  <c r="P40" i="49"/>
  <c r="Q40" i="49" s="1"/>
  <c r="R40" i="49" s="1"/>
  <c r="O54" i="49"/>
  <c r="P54" i="49" s="1"/>
  <c r="Q54" i="49" s="1"/>
  <c r="R54" i="49" s="1"/>
  <c r="P53" i="49"/>
  <c r="Q53" i="49" s="1"/>
  <c r="R53" i="49" s="1"/>
  <c r="O19" i="49"/>
  <c r="P19" i="49" s="1"/>
  <c r="Q19" i="49" s="1"/>
  <c r="R19" i="49" s="1"/>
  <c r="P18" i="49"/>
  <c r="Q18" i="49" s="1"/>
  <c r="R18" i="49" s="1"/>
  <c r="P48" i="49" l="1"/>
  <c r="Q48" i="49" s="1"/>
  <c r="R48" i="49" s="1"/>
  <c r="O51" i="49"/>
  <c r="P51" i="49" s="1"/>
  <c r="Q51" i="49" s="1"/>
  <c r="R51" i="49" s="1"/>
</calcChain>
</file>

<file path=xl/sharedStrings.xml><?xml version="1.0" encoding="utf-8"?>
<sst xmlns="http://schemas.openxmlformats.org/spreadsheetml/2006/main" count="750" uniqueCount="252">
  <si>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</si>
  <si>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</si>
  <si>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</si>
  <si>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</si>
  <si>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</si>
  <si>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</si>
  <si>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</si>
  <si>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</si>
  <si>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</si>
  <si>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</si>
  <si>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</si>
  <si>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</si>
  <si>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</si>
  <si>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</si>
  <si>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</si>
  <si>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</si>
  <si>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</si>
  <si>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</si>
  <si>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</si>
  <si>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</si>
  <si>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</si>
  <si>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</si>
  <si>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</si>
  <si>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</si>
  <si>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</si>
  <si>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</si>
  <si>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</si>
  <si>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</si>
  <si>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</si>
  <si>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</si>
  <si>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</si>
  <si>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17</t>
  </si>
  <si>
    <t>رولپلاگ</t>
  </si>
  <si>
    <t>-</t>
  </si>
  <si>
    <t>18</t>
  </si>
  <si>
    <t>19</t>
  </si>
  <si>
    <t>A8</t>
  </si>
  <si>
    <t>20</t>
  </si>
  <si>
    <t>21</t>
  </si>
  <si>
    <t>2.6x30</t>
  </si>
  <si>
    <t>پیچ</t>
  </si>
  <si>
    <t xml:space="preserve">مهره  </t>
  </si>
  <si>
    <t>پیچ رولپلاگ</t>
  </si>
  <si>
    <t>M8x80</t>
  </si>
  <si>
    <t>8x80</t>
  </si>
  <si>
    <t>22</t>
  </si>
  <si>
    <t>M16</t>
  </si>
  <si>
    <t>بسته پیچ و اتصالات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</si>
  <si>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</si>
  <si>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</si>
  <si>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</si>
  <si>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</si>
  <si>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</si>
  <si>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</si>
  <si>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تقویتی پایه</t>
  </si>
  <si>
    <t>یاتاقان</t>
  </si>
  <si>
    <t>UCP212</t>
  </si>
  <si>
    <t>M18x70</t>
  </si>
  <si>
    <t xml:space="preserve">M18 </t>
  </si>
  <si>
    <t xml:space="preserve">واشر فنری  </t>
  </si>
  <si>
    <t>A18</t>
  </si>
  <si>
    <t xml:space="preserve">واشر تخت </t>
  </si>
  <si>
    <t>پایه متحرک</t>
  </si>
  <si>
    <t>20x90x400</t>
  </si>
  <si>
    <t>10x120x160</t>
  </si>
  <si>
    <t>قوطی عرضی</t>
  </si>
  <si>
    <t>70x70, L=350</t>
  </si>
  <si>
    <t>قوطی طولی</t>
  </si>
  <si>
    <t>قوطی تقویتی</t>
  </si>
  <si>
    <t>صفحه زیر الکترو موتور</t>
  </si>
  <si>
    <t>نگهدارنده صفحه زیر الکترو موتور</t>
  </si>
  <si>
    <t>3x300x150</t>
  </si>
  <si>
    <t>رابط قوطی عرضی و تقویتی</t>
  </si>
  <si>
    <t>4x70x150</t>
  </si>
  <si>
    <t>درپوش قوطی تقویتی</t>
  </si>
  <si>
    <t>4x70x70</t>
  </si>
  <si>
    <t>نبشی نگهدارنده صفحه موتور</t>
  </si>
  <si>
    <t>میل پیچ</t>
  </si>
  <si>
    <t>صفحه نگهدارنده میل پیچ</t>
  </si>
  <si>
    <t>8x40x40</t>
  </si>
  <si>
    <t>صفحه نگهدارنده پولی</t>
  </si>
  <si>
    <t>8x40x100</t>
  </si>
  <si>
    <t>لوله تقویتی قوطی عرضی</t>
  </si>
  <si>
    <t>پولی تسمه سفت کن</t>
  </si>
  <si>
    <t>بیرینگ</t>
  </si>
  <si>
    <t xml:space="preserve">6201z </t>
  </si>
  <si>
    <t>پیچ پولی تسمه سفت کن</t>
  </si>
  <si>
    <t>M10x100</t>
  </si>
  <si>
    <t>مهره پولی تسمه سفت کن</t>
  </si>
  <si>
    <t xml:space="preserve">M10 </t>
  </si>
  <si>
    <t>واشر پولی تسمه سفت کن</t>
  </si>
  <si>
    <t>A10</t>
  </si>
  <si>
    <t>پولی چدنی</t>
  </si>
  <si>
    <t>چدن ریخته گری</t>
  </si>
  <si>
    <t>شفت رابط پولی چدنی</t>
  </si>
  <si>
    <t>الکتروگیربکس روتاری</t>
  </si>
  <si>
    <t>پیچ  یاتاقان</t>
  </si>
  <si>
    <t>مهره یاتاقان</t>
  </si>
  <si>
    <t>واشر تخت یاتاقان</t>
  </si>
  <si>
    <t>واشر فنری یاتاقان</t>
  </si>
  <si>
    <t>پیچ قوطی تقویتی</t>
  </si>
  <si>
    <t>M20x90</t>
  </si>
  <si>
    <t>مهره قوطی تقویتی</t>
  </si>
  <si>
    <t>M20</t>
  </si>
  <si>
    <t>واشر تخت قوطی تقویتی</t>
  </si>
  <si>
    <t>A20</t>
  </si>
  <si>
    <t>واشر فنری قوطی تقویتی</t>
  </si>
  <si>
    <t>پیچ اتصال الکتروگیر بکس</t>
  </si>
  <si>
    <t>طبق موتور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</si>
  <si>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</si>
  <si>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</si>
  <si>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</si>
  <si>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</si>
  <si>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M8x20</t>
  </si>
  <si>
    <t xml:space="preserve">M8 </t>
  </si>
  <si>
    <t>واشر تخت  صفحه الکترو گیربکس</t>
  </si>
  <si>
    <t>واشر فنری صفحه الکترو گیربکس</t>
  </si>
  <si>
    <t>مهره سر میل پیچ</t>
  </si>
  <si>
    <t>اشپیل مهره میل پیچ</t>
  </si>
  <si>
    <t>واشر استپ سر الکترو گیربکس</t>
  </si>
  <si>
    <t>M1.4x10</t>
  </si>
  <si>
    <t>سینی شماره 1</t>
  </si>
  <si>
    <t>سینی شماره 2</t>
  </si>
  <si>
    <t>سینی شماره 3</t>
  </si>
  <si>
    <t>سینی شماره 4</t>
  </si>
  <si>
    <t>2x1000x1000</t>
  </si>
  <si>
    <t>سینی شماره 5</t>
  </si>
  <si>
    <t>نبشی قاب جلو روتاری</t>
  </si>
  <si>
    <t>40x40,L=6000</t>
  </si>
  <si>
    <t>بسته پیچ و اتصالات روتاری</t>
  </si>
  <si>
    <t>پیچ اتصال سینی</t>
  </si>
  <si>
    <t>مهره اتصال سینی</t>
  </si>
  <si>
    <t>پیچ اتصال نبشی</t>
  </si>
  <si>
    <t>مهره اتصال نبشی</t>
  </si>
  <si>
    <t>ورق اتصال سر نبشی</t>
  </si>
  <si>
    <t>4x40x40</t>
  </si>
  <si>
    <t>ناودانی تقویتی سینی</t>
  </si>
  <si>
    <t>پیچ ورشو اتصال نبشی تقویتی به سینی</t>
  </si>
  <si>
    <t>مهره چهارگوش اتصال نبشی به سینی</t>
  </si>
  <si>
    <t>01</t>
  </si>
  <si>
    <t>02</t>
  </si>
  <si>
    <t>04</t>
  </si>
  <si>
    <t>05</t>
  </si>
  <si>
    <t>نوع محصول</t>
  </si>
  <si>
    <t>مقدار خالص</t>
  </si>
  <si>
    <t>واحد</t>
  </si>
  <si>
    <t>Kg</t>
  </si>
  <si>
    <t>Pcs</t>
  </si>
  <si>
    <t>8x155x155</t>
  </si>
  <si>
    <t>نبشی هرزگزد</t>
  </si>
  <si>
    <t>8x40x50</t>
  </si>
  <si>
    <t>صفحه اتصال پولی به میل پیچ</t>
  </si>
  <si>
    <t>درام3400</t>
  </si>
  <si>
    <t>درام5100</t>
  </si>
  <si>
    <t>سینی شماره 6</t>
  </si>
  <si>
    <t>سینی شماره 7</t>
  </si>
  <si>
    <t>سینی شماره 8</t>
  </si>
  <si>
    <t>نبشی قاب</t>
  </si>
  <si>
    <t>قاب</t>
  </si>
  <si>
    <t>سیستم محرک</t>
  </si>
  <si>
    <t>2x1000x500</t>
  </si>
  <si>
    <t>2x80x3492</t>
  </si>
  <si>
    <t xml:space="preserve">تسمه سبز روتاری </t>
  </si>
  <si>
    <t>Ø=35 , L=160</t>
  </si>
  <si>
    <t>مهره اتصال صفحه الکترو گیربکس</t>
  </si>
  <si>
    <t>Ø=65, L=70</t>
  </si>
  <si>
    <t>03</t>
  </si>
  <si>
    <t>بدنه روتاری هوا</t>
  </si>
  <si>
    <t>توری پانچی</t>
  </si>
  <si>
    <t>1.5x840x1570</t>
  </si>
  <si>
    <t>ناودانی بدنه</t>
  </si>
  <si>
    <t>4x121x1900</t>
  </si>
  <si>
    <t>نبشی بدنه</t>
  </si>
  <si>
    <t>4x73x1570</t>
  </si>
  <si>
    <t>ناودانی تقویتی</t>
  </si>
  <si>
    <t>صفحه و شفت روتاری</t>
  </si>
  <si>
    <t xml:space="preserve"> شفت سمت ثابت</t>
  </si>
  <si>
    <t xml:space="preserve"> شفت سمت متحرک</t>
  </si>
  <si>
    <t>صفحه شفت</t>
  </si>
  <si>
    <t>10x350x350</t>
  </si>
  <si>
    <t xml:space="preserve">صفحه تقویتی </t>
  </si>
  <si>
    <t>10x70x120</t>
  </si>
  <si>
    <t>پولی فلزی روتاری</t>
  </si>
  <si>
    <t>پولی فلزی انتهای روتاری</t>
  </si>
  <si>
    <t>نگهدارنده ناودانی تسمه</t>
  </si>
  <si>
    <t>4x40x80</t>
  </si>
  <si>
    <t>نوار خاردار</t>
  </si>
  <si>
    <t>تسمه نوار خاردار</t>
  </si>
  <si>
    <t>L=1700</t>
  </si>
  <si>
    <t>صفحه زیر نوار خاردار</t>
  </si>
  <si>
    <t>2x30x1700</t>
  </si>
  <si>
    <t>بازو</t>
  </si>
  <si>
    <t>لوله تقویتی ناودانی بازو</t>
  </si>
  <si>
    <t>سینی انتهایی</t>
  </si>
  <si>
    <t>ورق اتصال مثلثی</t>
  </si>
  <si>
    <t>8x155x270</t>
  </si>
  <si>
    <t>تسمه کلیدی</t>
  </si>
  <si>
    <t>2x100x1700</t>
  </si>
  <si>
    <t>تسمه نوار عرضی</t>
  </si>
  <si>
    <t>یست تسمه عرضی</t>
  </si>
  <si>
    <t xml:space="preserve"> پیچ تسمه نوار عرضی</t>
  </si>
  <si>
    <t>M6x100</t>
  </si>
  <si>
    <t xml:space="preserve"> مهره تسمه نوار عرضی</t>
  </si>
  <si>
    <t>فیلتر اسفنجی</t>
  </si>
  <si>
    <t>06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</si>
  <si>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</si>
  <si>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</si>
  <si>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</si>
  <si>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</si>
  <si>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</si>
  <si>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</si>
  <si>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M8x30</t>
  </si>
  <si>
    <t>پیچ اتصال کپه ها</t>
  </si>
  <si>
    <t>مهره اتصال کپه ها</t>
  </si>
  <si>
    <t>واشر فنری اتصال کپه ها</t>
  </si>
  <si>
    <t>پیچ اتصال تکه ها</t>
  </si>
  <si>
    <t>M10x30</t>
  </si>
  <si>
    <t>مهره اتصال تکه ها</t>
  </si>
  <si>
    <t>واشر  اتصال تکه ها</t>
  </si>
  <si>
    <t xml:space="preserve">A10 </t>
  </si>
  <si>
    <t>پیچ ورشو نوار خاردار</t>
  </si>
  <si>
    <t>پیچ اتصال سینی به ناودانی بازو</t>
  </si>
  <si>
    <t>مهره اتصال سینی به ناودانی بازو</t>
  </si>
  <si>
    <t>M8</t>
  </si>
  <si>
    <t>لاستیک هوابند</t>
  </si>
  <si>
    <t>0.37 کیلووات</t>
  </si>
  <si>
    <t>Ø=22 , L=70</t>
  </si>
  <si>
    <t>Ø=60 , L=260</t>
  </si>
  <si>
    <t>Ø=60 , L=300</t>
  </si>
  <si>
    <t>Ø=22 , L=88</t>
  </si>
  <si>
    <t>UPN40,L=4600</t>
  </si>
  <si>
    <t>4x162x915</t>
  </si>
  <si>
    <t>1.5x1000x2000</t>
  </si>
  <si>
    <t>1x32x6500</t>
  </si>
  <si>
    <t>3x150x7000</t>
  </si>
  <si>
    <t>2x67x1800</t>
  </si>
  <si>
    <t>M6</t>
  </si>
  <si>
    <t>PPI 45</t>
  </si>
  <si>
    <t>ناودانی بازو</t>
  </si>
  <si>
    <t>پیچ اتصال صفحه مثلثی به بدنه</t>
  </si>
  <si>
    <t>مهره اتصال صفحه مثلثی به بدنه</t>
  </si>
  <si>
    <t>واشر فنری صفحه مثلثی به بدنه</t>
  </si>
  <si>
    <t>پیچ اتصال صفحه مثلثی به بازو</t>
  </si>
  <si>
    <t>مهره اتصال صفحه مثلثی به بازو</t>
  </si>
  <si>
    <t>واشر فنری صفحه مثلثی به بازو</t>
  </si>
  <si>
    <t>M10</t>
  </si>
  <si>
    <t>M1/4"x10</t>
  </si>
  <si>
    <t>M1/4"</t>
  </si>
  <si>
    <t>Ø=14 , L=303</t>
  </si>
  <si>
    <t>خار شفت الکتروگیربکس</t>
  </si>
  <si>
    <t>6x6x60</t>
  </si>
  <si>
    <t>6x6x90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</si>
</sst>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8"/>
      <color theme="1"/>
      <name val="B Nazanin"/>
      <charset val="178"/>
    </font>
    <font>
      <sz val="10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sz val="11"/>
      <color theme="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6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11" xfId="0" applyBorder="1"/>
    <xf numFmtId="49" fontId="4" fillId="0" borderId="13" xfId="0" quotePrefix="1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6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9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1" fontId="0" fillId="0" borderId="1" xfId="0" applyNumberFormat="1" applyBorder="1"/>
    <xf numFmtId="1" fontId="10" fillId="0" borderId="1" xfId="0" applyNumberFormat="1" applyFont="1" applyFill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" fontId="10" fillId="0" borderId="9" xfId="0" applyNumberFormat="1" applyFont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0" fillId="0" borderId="0" xfId="0" applyBorder="1"/>
    <xf numFmtId="1" fontId="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Border="1"/>
    <xf numFmtId="49" fontId="4" fillId="0" borderId="0" xfId="0" applyNumberFormat="1" applyFont="1" applyFill="1" applyBorder="1" applyAlignment="1">
      <alignment horizontal="center" vertical="center"/>
    </xf>
    <xf numFmtId="0" fontId="0" fillId="0" borderId="1" xfId="0" applyFont="1" applyBorder="1"/>
    <xf numFmtId="1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1" fontId="11" fillId="0" borderId="11" xfId="0" applyNumberFormat="1" applyFont="1" applyFill="1" applyBorder="1" applyAlignment="1">
      <alignment horizontal="center" vertical="center"/>
    </xf>
    <xf numFmtId="1" fontId="11" fillId="0" borderId="8" xfId="0" applyNumberFormat="1" applyFont="1" applyFill="1" applyBorder="1" applyAlignment="1">
      <alignment horizontal="center" vertical="center"/>
    </xf>
    <xf numFmtId="2" fontId="11" fillId="0" borderId="8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1" fontId="12" fillId="0" borderId="9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11" fillId="0" borderId="11" xfId="0" quotePrefix="1" applyNumberFormat="1" applyFont="1" applyFill="1" applyBorder="1" applyAlignment="1">
      <alignment horizontal="center" vertical="center"/>
    </xf>
    <xf numFmtId="0" fontId="11" fillId="0" borderId="11" xfId="0" applyNumberFormat="1" applyFont="1" applyFill="1" applyBorder="1" applyAlignment="1">
      <alignment horizontal="center" vertical="center"/>
    </xf>
    <xf numFmtId="1" fontId="12" fillId="0" borderId="11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0" fontId="11" fillId="0" borderId="9" xfId="0" applyNumberFormat="1" applyFont="1" applyFill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11" xfId="0" quotePrefix="1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2" xfId="0" quotePrefix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1" fontId="11" fillId="0" borderId="6" xfId="0" applyNumberFormat="1" applyFont="1" applyFill="1" applyBorder="1" applyAlignment="1">
      <alignment horizontal="center" vertical="center"/>
    </xf>
    <xf numFmtId="0" fontId="11" fillId="0" borderId="7" xfId="0" quotePrefix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13" xfId="0" quotePrefix="1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11" fillId="0" borderId="7" xfId="0" quotePrefix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/>
    </xf>
    <xf numFmtId="1" fontId="12" fillId="0" borderId="11" xfId="0" applyNumberFormat="1" applyFont="1" applyFill="1" applyBorder="1" applyAlignment="1">
      <alignment horizontal="center" vertical="center"/>
    </xf>
    <xf numFmtId="1" fontId="12" fillId="0" borderId="7" xfId="0" applyNumberFormat="1" applyFont="1" applyFill="1" applyBorder="1" applyAlignment="1">
      <alignment horizontal="center" vertical="center"/>
    </xf>
    <xf numFmtId="1" fontId="12" fillId="0" borderId="9" xfId="0" applyNumberFormat="1" applyFont="1" applyFill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49" fontId="12" fillId="0" borderId="7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2" fillId="0" borderId="11" xfId="0" applyNumberFormat="1" applyFont="1" applyBorder="1" applyAlignment="1">
      <alignment horizontal="center" vertical="center"/>
    </xf>
    <xf numFmtId="49" fontId="11" fillId="0" borderId="11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0" borderId="11" xfId="0" applyNumberFormat="1" applyFont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1" fontId="12" fillId="0" borderId="7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2" fillId="0" borderId="12" xfId="0" applyNumberFormat="1" applyFont="1" applyBorder="1" applyAlignment="1">
      <alignment horizontal="center" vertical="center"/>
    </xf>
    <xf numFmtId="49" fontId="11" fillId="0" borderId="12" xfId="0" applyNumberFormat="1" applyFont="1" applyFill="1" applyBorder="1" applyAlignment="1">
      <alignment horizontal="center" vertical="center"/>
    </xf>
    <xf numFmtId="49" fontId="11" fillId="0" borderId="9" xfId="0" applyNumberFormat="1" applyFont="1" applyFill="1" applyBorder="1" applyAlignment="1">
      <alignment horizontal="center" vertical="center"/>
    </xf>
    <xf numFmtId="49" fontId="11" fillId="0" borderId="13" xfId="0" quotePrefix="1" applyNumberFormat="1" applyFont="1" applyFill="1" applyBorder="1" applyAlignment="1">
      <alignment horizontal="center" vertical="center" wrapText="1"/>
    </xf>
    <xf numFmtId="1" fontId="11" fillId="0" borderId="13" xfId="0" quotePrefix="1" applyNumberFormat="1" applyFont="1" applyFill="1" applyBorder="1" applyAlignment="1">
      <alignment horizontal="center" vertical="center" wrapText="1"/>
    </xf>
    <xf numFmtId="1" fontId="11" fillId="0" borderId="7" xfId="0" applyNumberFormat="1" applyFont="1" applyFill="1" applyBorder="1" applyAlignment="1">
      <alignment horizontal="center" vertical="center"/>
    </xf>
    <xf numFmtId="49" fontId="11" fillId="0" borderId="13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1" fontId="14" fillId="0" borderId="9" xfId="0" applyNumberFormat="1" applyFont="1" applyFill="1" applyBorder="1" applyAlignment="1">
      <alignment horizontal="center" vertical="center"/>
    </xf>
    <xf numFmtId="1" fontId="14" fillId="0" borderId="7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0" fillId="0" borderId="0" xfId="0" applyFill="1" applyBorder="1"/>
    <xf numFmtId="1" fontId="11" fillId="0" borderId="6" xfId="0" applyNumberFormat="1" applyFont="1" applyFill="1" applyBorder="1" applyAlignment="1">
      <alignment horizontal="center" vertical="center"/>
    </xf>
    <xf numFmtId="1" fontId="11" fillId="0" borderId="8" xfId="0" applyNumberFormat="1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1" fontId="12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49" fontId="12" fillId="0" borderId="8" xfId="0" applyNumberFormat="1" applyFont="1" applyFill="1" applyBorder="1" applyAlignment="1">
      <alignment horizontal="center" vertical="center" wrapText="1"/>
    </xf>
    <xf numFmtId="49" fontId="12" fillId="0" borderId="7" xfId="0" applyNumberFormat="1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 wrapText="1"/>
    </xf>
    <xf numFmtId="1" fontId="12" fillId="0" borderId="8" xfId="0" applyNumberFormat="1" applyFont="1" applyFill="1" applyBorder="1" applyAlignment="1">
      <alignment horizontal="center" vertical="center" wrapText="1"/>
    </xf>
    <xf numFmtId="1" fontId="12" fillId="0" borderId="7" xfId="0" applyNumberFormat="1" applyFont="1" applyFill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13" fillId="0" borderId="10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 vertical="center"/>
    </xf>
    <xf numFmtId="49" fontId="12" fillId="0" borderId="8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/>
    </xf>
    <xf numFmtId="1" fontId="12" fillId="0" borderId="6" xfId="0" applyNumberFormat="1" applyFont="1" applyFill="1" applyBorder="1" applyAlignment="1">
      <alignment horizontal="center" vertical="center"/>
    </xf>
    <xf numFmtId="1" fontId="12" fillId="0" borderId="8" xfId="0" applyNumberFormat="1" applyFont="1" applyFill="1" applyBorder="1" applyAlignment="1">
      <alignment horizontal="center" vertical="center"/>
    </xf>
    <xf numFmtId="1" fontId="12" fillId="0" borderId="7" xfId="0" applyNumberFormat="1" applyFont="1" applyFill="1" applyBorder="1" applyAlignment="1">
      <alignment horizontal="center" vertical="center"/>
    </xf>
    <xf numFmtId="1" fontId="14" fillId="0" borderId="10" xfId="0" applyNumberFormat="1" applyFont="1" applyFill="1" applyBorder="1" applyAlignment="1">
      <alignment horizontal="center" vertical="center"/>
    </xf>
    <xf numFmtId="1" fontId="14" fillId="0" borderId="12" xfId="0" applyNumberFormat="1" applyFont="1" applyFill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Fill="1" applyBorder="1" applyAlignment="1">
      <alignment horizontal="center" vertical="center" wrapText="1"/>
    </xf>
    <xf numFmtId="49" fontId="14" fillId="0" borderId="6" xfId="0" applyNumberFormat="1" applyFont="1" applyFill="1" applyBorder="1" applyAlignment="1">
      <alignment horizontal="center" vertical="center"/>
    </xf>
    <xf numFmtId="49" fontId="14" fillId="0" borderId="8" xfId="0" applyNumberFormat="1" applyFont="1" applyFill="1" applyBorder="1" applyAlignment="1">
      <alignment horizontal="center" vertical="center"/>
    </xf>
    <xf numFmtId="49" fontId="14" fillId="0" borderId="7" xfId="0" applyNumberFormat="1" applyFont="1" applyFill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1" fontId="13" fillId="0" borderId="8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 wrapText="1"/>
    </xf>
    <xf numFmtId="1" fontId="11" fillId="0" borderId="12" xfId="0" applyNumberFormat="1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12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/>
    </xf>
    <xf numFmtId="49" fontId="13" fillId="0" borderId="8" xfId="0" applyNumberFormat="1" applyFont="1" applyBorder="1" applyAlignment="1">
      <alignment horizontal="center" vertical="center"/>
    </xf>
    <xf numFmtId="49" fontId="13" fillId="0" borderId="7" xfId="0" applyNumberFormat="1" applyFont="1" applyBorder="1" applyAlignment="1">
      <alignment horizontal="center" vertical="center"/>
    </xf>
    <xf numFmtId="1" fontId="14" fillId="0" borderId="6" xfId="0" applyNumberFormat="1" applyFont="1" applyFill="1" applyBorder="1" applyAlignment="1">
      <alignment horizontal="center" vertical="center"/>
    </xf>
    <xf numFmtId="1" fontId="14" fillId="0" borderId="8" xfId="0" applyNumberFormat="1" applyFont="1" applyFill="1" applyBorder="1" applyAlignment="1">
      <alignment horizontal="center" vertical="center"/>
    </xf>
    <xf numFmtId="1" fontId="14" fillId="0" borderId="7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49" fontId="11" fillId="0" borderId="1" xfId="0" quotePrefix="1" applyNumberFormat="1" applyFont="1" applyFill="1" applyBorder="1" applyAlignment="1">
      <alignment horizontal="center" vertical="center" wrapText="1"/>
    </xf>
    <xf numFmtId="49" fontId="11" fillId="0" borderId="11" xfId="0" quotePrefix="1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49" fontId="4" fillId="0" borderId="11" xfId="0" quotePrefix="1" applyNumberFormat="1" applyFont="1" applyFill="1" applyBorder="1" applyAlignment="1">
      <alignment horizontal="center" vertical="center" wrapText="1"/>
    </xf>
    <xf numFmtId="1" fontId="11" fillId="0" borderId="1" xfId="0" quotePrefix="1" applyNumberFormat="1" applyFont="1" applyFill="1" applyBorder="1" applyAlignment="1">
      <alignment horizontal="center" vertical="center" wrapText="1"/>
    </xf>
    <xf numFmtId="1" fontId="11" fillId="0" borderId="11" xfId="0" quotePrefix="1" applyNumberFormat="1" applyFont="1" applyFill="1" applyBorder="1" applyAlignment="1">
      <alignment horizontal="center" vertical="center" wrapText="1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11" fillId="0" borderId="6" xfId="0" quotePrefix="1" applyNumberFormat="1" applyFont="1" applyFill="1" applyBorder="1" applyAlignment="1">
      <alignment horizontal="center" vertical="center" wrapText="1"/>
    </xf>
    <xf numFmtId="49" fontId="11" fillId="0" borderId="8" xfId="0" quotePrefix="1" applyNumberFormat="1" applyFont="1" applyFill="1" applyBorder="1" applyAlignment="1">
      <alignment horizontal="center" vertical="center" wrapText="1"/>
    </xf>
    <xf numFmtId="49" fontId="11" fillId="0" borderId="7" xfId="0" quotePrefix="1" applyNumberFormat="1" applyFont="1" applyFill="1" applyBorder="1" applyAlignment="1">
      <alignment horizontal="center" vertical="center" wrapText="1"/>
    </xf>
    <xf numFmtId="1" fontId="11" fillId="0" borderId="6" xfId="0" quotePrefix="1" applyNumberFormat="1" applyFont="1" applyFill="1" applyBorder="1" applyAlignment="1">
      <alignment horizontal="center" vertical="center" wrapText="1"/>
    </xf>
    <xf numFmtId="1" fontId="11" fillId="0" borderId="8" xfId="0" quotePrefix="1" applyNumberFormat="1" applyFont="1" applyFill="1" applyBorder="1" applyAlignment="1">
      <alignment horizontal="center" vertical="center" wrapText="1"/>
    </xf>
    <xf numFmtId="1" fontId="11" fillId="0" borderId="7" xfId="0" quotePrefix="1" applyNumberFormat="1" applyFont="1" applyFill="1" applyBorder="1" applyAlignment="1">
      <alignment horizontal="center" vertical="center" wrapText="1"/>
    </xf>
    <xf numFmtId="1" fontId="11" fillId="0" borderId="11" xfId="0" applyNumberFormat="1" applyFont="1" applyFill="1" applyBorder="1" applyAlignment="1">
      <alignment horizontal="center" vertical="center"/>
    </xf>
    <xf numFmtId="49" fontId="12" fillId="0" borderId="10" xfId="0" applyNumberFormat="1" applyFont="1" applyBorder="1" applyAlignment="1">
      <alignment horizontal="center" vertical="center"/>
    </xf>
    <xf numFmtId="49" fontId="12" fillId="0" borderId="8" xfId="0" applyNumberFormat="1" applyFont="1" applyBorder="1" applyAlignment="1">
      <alignment horizontal="center" vertical="center"/>
    </xf>
    <xf numFmtId="49" fontId="12" fillId="0" borderId="7" xfId="0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1" fontId="12" fillId="0" borderId="10" xfId="0" applyNumberFormat="1" applyFont="1" applyBorder="1" applyAlignment="1">
      <alignment horizontal="center" vertical="center"/>
    </xf>
    <xf numFmtId="49" fontId="11" fillId="0" borderId="6" xfId="0" applyNumberFormat="1" applyFont="1" applyFill="1" applyBorder="1" applyAlignment="1">
      <alignment horizontal="center" vertical="center"/>
    </xf>
    <xf numFmtId="49" fontId="11" fillId="0" borderId="1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12" fillId="0" borderId="6" xfId="0" applyNumberFormat="1" applyFont="1" applyFill="1" applyBorder="1" applyAlignment="1">
      <alignment horizontal="center" vertical="center" wrapText="1"/>
    </xf>
    <xf numFmtId="1" fontId="12" fillId="0" borderId="6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 wrapText="1"/>
    </xf>
    <xf numFmtId="2" fontId="12" fillId="0" borderId="8" xfId="0" applyNumberFormat="1" applyFont="1" applyFill="1" applyBorder="1" applyAlignment="1">
      <alignment horizontal="center" vertical="center" wrapText="1"/>
    </xf>
    <xf numFmtId="2" fontId="12" fillId="0" borderId="7" xfId="0" applyNumberFormat="1" applyFont="1" applyFill="1" applyBorder="1" applyAlignment="1">
      <alignment horizontal="center" vertical="center" wrapText="1"/>
    </xf>
    <xf numFmtId="0" fontId="11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49" fontId="9" fillId="0" borderId="6" xfId="0" applyNumberFormat="1" applyFont="1" applyFill="1" applyBorder="1" applyAlignment="1">
      <alignment horizontal="center" vertical="center" wrapText="1"/>
    </xf>
    <xf numFmtId="49" fontId="9" fillId="0" borderId="7" xfId="0" applyNumberFormat="1" applyFont="1" applyFill="1" applyBorder="1" applyAlignment="1">
      <alignment horizontal="center" vertical="center" wrapText="1"/>
    </xf>
    <xf numFmtId="49" fontId="9" fillId="0" borderId="8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49" fontId="11" fillId="0" borderId="8" xfId="0" applyNumberFormat="1" applyFont="1" applyFill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12" xfId="0" applyNumberFormat="1" applyFont="1" applyBorder="1" applyAlignment="1">
      <alignment horizontal="center" vertical="center" wrapText="1"/>
    </xf>
    <xf numFmtId="1" fontId="1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339725</xdr:colOff>
      <xdr:row>3</xdr:row>
      <xdr:rowOff>140411</xdr:rowOff>
    </xdr:to>
    <xdr:grpSp>
      <xdr:nvGrpSpPr>
        <xdr:cNvPr id="135" name="Group 134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11" name="TextBox 10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17" name="TextBox 16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1 of 7</a:t>
            </a:r>
            <a:endParaRPr lang="en-US" sz="105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9" name="TextBox 18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20" name="Picture 19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25</xdr:row>
      <xdr:rowOff>47625</xdr:rowOff>
    </xdr:from>
    <xdr:to>
      <xdr:col>15</xdr:col>
      <xdr:colOff>177625</xdr:colOff>
      <xdr:row>29</xdr:row>
      <xdr:rowOff>136251</xdr:rowOff>
    </xdr:to>
    <xdr:grpSp>
      <xdr:nvGrpSpPr>
        <xdr:cNvPr id="136" name="Group 135"/>
        <xdr:cNvGrpSpPr/>
      </xdr:nvGrpSpPr>
      <xdr:grpSpPr>
        <a:xfrm>
          <a:off x="47625" y="4972050"/>
          <a:ext cx="7692850" cy="850626"/>
          <a:chOff x="19049" y="4911999"/>
          <a:chExt cx="7026100" cy="830330"/>
        </a:xfrm>
      </xdr:grpSpPr>
      <xdr:sp macro="" textlink="">
        <xdr:nvSpPr>
          <xdr:cNvPr id="137" name="Rounded Rectangle 13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8" name="Rounded Rectangle 13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39" name="Rounded Rectangle 13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40" name="Flowchart: Connector 13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1" name="Flowchart: Connector 14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2" name="Flowchart: Connector 14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3" name="Flowchart: Connector 14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4" name="Flowchart: Connector 14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32</xdr:row>
      <xdr:rowOff>0</xdr:rowOff>
    </xdr:from>
    <xdr:to>
      <xdr:col>16</xdr:col>
      <xdr:colOff>339725</xdr:colOff>
      <xdr:row>35</xdr:row>
      <xdr:rowOff>132132</xdr:rowOff>
    </xdr:to>
    <xdr:grpSp>
      <xdr:nvGrpSpPr>
        <xdr:cNvPr id="145" name="Group 144"/>
        <xdr:cNvGrpSpPr/>
      </xdr:nvGrpSpPr>
      <xdr:grpSpPr>
        <a:xfrm>
          <a:off x="0" y="6257925"/>
          <a:ext cx="8302625" cy="703632"/>
          <a:chOff x="0" y="8279"/>
          <a:chExt cx="8302625" cy="703632"/>
        </a:xfrm>
      </xdr:grpSpPr>
      <xdr:sp macro="" textlink="">
        <xdr:nvSpPr>
          <xdr:cNvPr id="146" name="TextBox 145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147" name="TextBox 146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148" name="TextBox 147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درام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49" name="TextBox 148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150" name="TextBox 149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151" name="TextBox 150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152" name="TextBox 151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2 of 7</a:t>
            </a:r>
            <a:endParaRPr lang="en-US" sz="1050"/>
          </a:p>
        </xdr:txBody>
      </xdr:sp>
      <xdr:sp macro="" textlink="">
        <xdr:nvSpPr>
          <xdr:cNvPr id="153" name="TextBox 152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54" name="TextBox 153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55" name="Picture 15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61</xdr:row>
      <xdr:rowOff>66675</xdr:rowOff>
    </xdr:from>
    <xdr:to>
      <xdr:col>15</xdr:col>
      <xdr:colOff>177625</xdr:colOff>
      <xdr:row>65</xdr:row>
      <xdr:rowOff>155301</xdr:rowOff>
    </xdr:to>
    <xdr:grpSp>
      <xdr:nvGrpSpPr>
        <xdr:cNvPr id="156" name="Group 155"/>
        <xdr:cNvGrpSpPr/>
      </xdr:nvGrpSpPr>
      <xdr:grpSpPr>
        <a:xfrm>
          <a:off x="47625" y="11696700"/>
          <a:ext cx="7692850" cy="850626"/>
          <a:chOff x="19049" y="4911999"/>
          <a:chExt cx="7026100" cy="830330"/>
        </a:xfrm>
      </xdr:grpSpPr>
      <xdr:sp macro="" textlink="">
        <xdr:nvSpPr>
          <xdr:cNvPr id="157" name="Rounded Rectangle 156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8" name="Rounded Rectangle 157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9" name="Rounded Rectangle 158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0" name="Flowchart: Connector 159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1" name="Flowchart: Connector 160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2" name="Flowchart: Connector 161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3" name="Flowchart: Connector 162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4" name="Flowchart: Connector 163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ثابت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3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18</xdr:row>
      <xdr:rowOff>123825</xdr:rowOff>
    </xdr:from>
    <xdr:to>
      <xdr:col>14</xdr:col>
      <xdr:colOff>387175</xdr:colOff>
      <xdr:row>23</xdr:row>
      <xdr:rowOff>21951</xdr:rowOff>
    </xdr:to>
    <xdr:grpSp>
      <xdr:nvGrpSpPr>
        <xdr:cNvPr id="12" name="Group 11"/>
        <xdr:cNvGrpSpPr/>
      </xdr:nvGrpSpPr>
      <xdr:grpSpPr>
        <a:xfrm>
          <a:off x="47625" y="3771900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6" name="Group 25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4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23</xdr:row>
      <xdr:rowOff>85725</xdr:rowOff>
    </xdr:from>
    <xdr:to>
      <xdr:col>15</xdr:col>
      <xdr:colOff>6175</xdr:colOff>
      <xdr:row>27</xdr:row>
      <xdr:rowOff>174351</xdr:rowOff>
    </xdr:to>
    <xdr:grpSp>
      <xdr:nvGrpSpPr>
        <xdr:cNvPr id="12" name="Group 11"/>
        <xdr:cNvGrpSpPr/>
      </xdr:nvGrpSpPr>
      <xdr:grpSpPr>
        <a:xfrm>
          <a:off x="76200" y="4981575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30</xdr:row>
      <xdr:rowOff>0</xdr:rowOff>
    </xdr:from>
    <xdr:to>
      <xdr:col>16</xdr:col>
      <xdr:colOff>139700</xdr:colOff>
      <xdr:row>33</xdr:row>
      <xdr:rowOff>132132</xdr:rowOff>
    </xdr:to>
    <xdr:grpSp>
      <xdr:nvGrpSpPr>
        <xdr:cNvPr id="27" name="Group 26"/>
        <xdr:cNvGrpSpPr/>
      </xdr:nvGrpSpPr>
      <xdr:grpSpPr>
        <a:xfrm>
          <a:off x="0" y="6229350"/>
          <a:ext cx="8302625" cy="703632"/>
          <a:chOff x="0" y="8279"/>
          <a:chExt cx="8302625" cy="703632"/>
        </a:xfrm>
      </xdr:grpSpPr>
      <xdr:sp macro="" textlink="">
        <xdr:nvSpPr>
          <xdr:cNvPr id="28" name="TextBox 27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30" name="TextBox 29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پایه متحرک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1" name="TextBox 30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32" name="TextBox 31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33" name="TextBox 32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34" name="TextBox 33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5 of 7</a:t>
            </a:r>
            <a:endParaRPr lang="en-US" sz="1050"/>
          </a:p>
        </xdr:txBody>
      </xdr:sp>
      <xdr:sp macro="" textlink="">
        <xdr:nvSpPr>
          <xdr:cNvPr id="35" name="TextBox 34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36" name="TextBox 35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37" name="Picture 36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49</xdr:row>
      <xdr:rowOff>104775</xdr:rowOff>
    </xdr:from>
    <xdr:to>
      <xdr:col>14</xdr:col>
      <xdr:colOff>377650</xdr:colOff>
      <xdr:row>54</xdr:row>
      <xdr:rowOff>2901</xdr:rowOff>
    </xdr:to>
    <xdr:grpSp>
      <xdr:nvGrpSpPr>
        <xdr:cNvPr id="38" name="Group 37"/>
        <xdr:cNvGrpSpPr/>
      </xdr:nvGrpSpPr>
      <xdr:grpSpPr>
        <a:xfrm>
          <a:off x="38100" y="10334625"/>
          <a:ext cx="7692850" cy="850626"/>
          <a:chOff x="19049" y="4911999"/>
          <a:chExt cx="7026100" cy="830330"/>
        </a:xfrm>
      </xdr:grpSpPr>
      <xdr:sp macro="" textlink="">
        <xdr:nvSpPr>
          <xdr:cNvPr id="39" name="Rounded Rectangle 3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0" name="Rounded Rectangle 3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2" name="Flowchart: Connector 4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Flowchart: Connector 4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2264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قاب 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6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38100</xdr:colOff>
      <xdr:row>24</xdr:row>
      <xdr:rowOff>66675</xdr:rowOff>
    </xdr:from>
    <xdr:to>
      <xdr:col>15</xdr:col>
      <xdr:colOff>44275</xdr:colOff>
      <xdr:row>28</xdr:row>
      <xdr:rowOff>155301</xdr:rowOff>
    </xdr:to>
    <xdr:grpSp>
      <xdr:nvGrpSpPr>
        <xdr:cNvPr id="12" name="Group 11"/>
        <xdr:cNvGrpSpPr/>
      </xdr:nvGrpSpPr>
      <xdr:grpSpPr>
        <a:xfrm>
          <a:off x="38100" y="4867275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8279</xdr:rowOff>
    </xdr:from>
    <xdr:to>
      <xdr:col>16</xdr:col>
      <xdr:colOff>139700</xdr:colOff>
      <xdr:row>3</xdr:row>
      <xdr:rowOff>140411</xdr:rowOff>
    </xdr:to>
    <xdr:grpSp>
      <xdr:nvGrpSpPr>
        <xdr:cNvPr id="21" name="Group 20"/>
        <xdr:cNvGrpSpPr/>
      </xdr:nvGrpSpPr>
      <xdr:grpSpPr>
        <a:xfrm>
          <a:off x="0" y="8279"/>
          <a:ext cx="8302625" cy="703632"/>
          <a:chOff x="0" y="8279"/>
          <a:chExt cx="8302625" cy="703632"/>
        </a:xfrm>
      </xdr:grpSpPr>
      <xdr:sp macro="" textlink="">
        <xdr:nvSpPr>
          <xdr:cNvPr id="2" name="TextBox 1"/>
          <xdr:cNvSpPr txBox="1"/>
        </xdr:nvSpPr>
        <xdr:spPr>
          <a:xfrm>
            <a:off x="0" y="8281"/>
            <a:ext cx="1335985" cy="3478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Order No.: --</a:t>
            </a:r>
          </a:p>
        </xdr:txBody>
      </xdr:sp>
      <xdr:sp macro="" textlink="">
        <xdr:nvSpPr>
          <xdr:cNvPr id="3" name="TextBox 2"/>
          <xdr:cNvSpPr txBox="1"/>
        </xdr:nvSpPr>
        <xdr:spPr>
          <a:xfrm>
            <a:off x="0" y="364439"/>
            <a:ext cx="1335986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900"/>
              <a:t>Product:</a:t>
            </a:r>
            <a:r>
              <a:rPr lang="en-US" sz="900" baseline="0"/>
              <a:t> </a:t>
            </a:r>
            <a:r>
              <a:rPr lang="fa-IR" sz="1050" baseline="0">
                <a:cs typeface="B Nazanin" panose="00000400000000000000" pitchFamily="2" charset="-78"/>
              </a:rPr>
              <a:t>فیلتر روتاری هوا</a:t>
            </a:r>
            <a:endParaRPr lang="en-US" sz="1050" baseline="0">
              <a:cs typeface="B Nazanin" panose="00000400000000000000" pitchFamily="2" charset="-78"/>
            </a:endParaRPr>
          </a:p>
        </xdr:txBody>
      </xdr:sp>
      <xdr:sp macro="" textlink="">
        <xdr:nvSpPr>
          <xdr:cNvPr id="4" name="TextBox 3"/>
          <xdr:cNvSpPr txBox="1"/>
        </xdr:nvSpPr>
        <xdr:spPr>
          <a:xfrm>
            <a:off x="1344264" y="364426"/>
            <a:ext cx="1785730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1100"/>
              <a:t>Sub-Product: </a:t>
            </a:r>
            <a:r>
              <a:rPr lang="fa-IR" sz="1100">
                <a:cs typeface="B Nazanin" panose="00000400000000000000" pitchFamily="2" charset="-78"/>
              </a:rPr>
              <a:t>سیستم</a:t>
            </a:r>
            <a:r>
              <a:rPr lang="fa-IR" sz="1100" baseline="0">
                <a:cs typeface="B Nazanin" panose="00000400000000000000" pitchFamily="2" charset="-78"/>
              </a:rPr>
              <a:t> محرک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5" name="TextBox 4"/>
          <xdr:cNvSpPr txBox="1"/>
        </xdr:nvSpPr>
        <xdr:spPr>
          <a:xfrm>
            <a:off x="3138264" y="8279"/>
            <a:ext cx="172901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Station:</a:t>
            </a:r>
            <a:r>
              <a:rPr lang="en-US" sz="1100" baseline="0"/>
              <a:t> --</a:t>
            </a:r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1344264" y="8279"/>
            <a:ext cx="1785732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Client: --</a:t>
            </a:r>
            <a:endParaRPr lang="en-US" sz="1100">
              <a:cs typeface="B Nazanin" panose="00000400000000000000" pitchFamily="2" charset="-78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4540928" y="8279"/>
            <a:ext cx="299334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Doc. No.: BOM-01</a:t>
            </a:r>
            <a:r>
              <a:rPr lang="en-US" sz="1100" baseline="0"/>
              <a:t> 04 00</a:t>
            </a:r>
            <a:endParaRPr lang="en-US" sz="1100"/>
          </a:p>
        </xdr:txBody>
      </xdr:sp>
      <xdr:sp macro="" textlink="">
        <xdr:nvSpPr>
          <xdr:cNvPr id="8" name="TextBox 7"/>
          <xdr:cNvSpPr txBox="1"/>
        </xdr:nvSpPr>
        <xdr:spPr>
          <a:xfrm>
            <a:off x="3141573" y="358212"/>
            <a:ext cx="1394377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050"/>
              <a:t>Sheet</a:t>
            </a:r>
            <a:r>
              <a:rPr lang="en-US" sz="1050" baseline="0"/>
              <a:t> No.: 7 of 7</a:t>
            </a:r>
            <a:endParaRPr lang="en-US" sz="105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4544239" y="358227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Rev.: 00</a:t>
            </a:r>
          </a:p>
        </xdr:txBody>
      </xdr:sp>
      <xdr:sp macro="" textlink="">
        <xdr:nvSpPr>
          <xdr:cNvPr id="10" name="TextBox 9"/>
          <xdr:cNvSpPr txBox="1">
            <a:spLocks/>
          </xdr:cNvSpPr>
        </xdr:nvSpPr>
        <xdr:spPr>
          <a:xfrm>
            <a:off x="6040084" y="353251"/>
            <a:ext cx="1493851" cy="34747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/>
              <a:t>Date: --</a:t>
            </a:r>
          </a:p>
        </xdr:txBody>
      </xdr:sp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91425" y="38100"/>
            <a:ext cx="711200" cy="64008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133350</xdr:colOff>
      <xdr:row>27</xdr:row>
      <xdr:rowOff>123825</xdr:rowOff>
    </xdr:from>
    <xdr:to>
      <xdr:col>15</xdr:col>
      <xdr:colOff>63325</xdr:colOff>
      <xdr:row>32</xdr:row>
      <xdr:rowOff>21951</xdr:rowOff>
    </xdr:to>
    <xdr:grpSp>
      <xdr:nvGrpSpPr>
        <xdr:cNvPr id="12" name="Group 11"/>
        <xdr:cNvGrpSpPr/>
      </xdr:nvGrpSpPr>
      <xdr:grpSpPr>
        <a:xfrm>
          <a:off x="133350" y="5219700"/>
          <a:ext cx="7692850" cy="850626"/>
          <a:chOff x="19049" y="4911999"/>
          <a:chExt cx="7026100" cy="830330"/>
        </a:xfrm>
      </xdr:grpSpPr>
      <xdr:sp macro="" textlink="">
        <xdr:nvSpPr>
          <xdr:cNvPr id="13" name="Rounded Rectangle 1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4" name="Rounded Rectangle 1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ounded Rectangle 1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8" name="Flowchart: Connector 1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Flowchart: Connector 1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Flowchart: Connector 1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77"/>
  <sheetViews>
    <sheetView tabSelected="1" view="pageLayout" zoomScaleNormal="100" workbookViewId="0">
      <selection activeCell="L43" sqref="L43"/>
    </sheetView>
  </sheetViews>
  <sheetFormatPr defaultRowHeight="15" x14ac:dyDescent="0.25"/>
  <cols>
    <col min="1" max="1" width="5" customWidth="1"/>
    <col min="2" max="2" width="5.28515625" customWidth="1"/>
    <col min="3" max="4" width="5.140625" customWidth="1"/>
    <col min="5" max="5" width="7" customWidth="1"/>
    <col min="6" max="6" width="5" customWidth="1"/>
    <col min="7" max="7" width="5.140625" customWidth="1"/>
    <col min="8" max="8" width="5.2851562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1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9" ht="12" customHeight="1" x14ac:dyDescent="0.25"/>
    <row r="5" spans="1:29" ht="5.25" customHeight="1" x14ac:dyDescent="0.25"/>
    <row r="6" spans="1:29" ht="19.5" x14ac:dyDescent="0.25">
      <c r="A6" s="180" t="s">
        <v>0</v>
      </c>
      <c r="B6" s="181"/>
      <c r="C6" s="181"/>
      <c r="D6" s="8"/>
      <c r="E6" s="9"/>
      <c r="F6" s="9" t="s">
        <v>14</v>
      </c>
      <c r="G6" s="10"/>
      <c r="H6" s="9"/>
      <c r="I6" s="9" t="s">
        <v>13</v>
      </c>
      <c r="J6" s="9"/>
      <c r="K6" s="10"/>
      <c r="L6" s="8"/>
      <c r="M6" s="9"/>
      <c r="N6" s="6" t="s">
        <v>1</v>
      </c>
      <c r="O6" s="9"/>
      <c r="P6" s="9"/>
      <c r="Q6" s="9"/>
      <c r="R6" s="45"/>
      <c r="S6" s="45"/>
      <c r="T6" s="14" t="s">
        <v>15</v>
      </c>
    </row>
    <row r="7" spans="1:29" ht="48.95" customHeight="1" x14ac:dyDescent="0.25">
      <c r="A7" s="16" t="s">
        <v>2</v>
      </c>
      <c r="B7" s="16" t="s">
        <v>143</v>
      </c>
      <c r="C7" s="16" t="s">
        <v>3</v>
      </c>
      <c r="D7" s="159" t="s">
        <v>4</v>
      </c>
      <c r="E7" s="160" t="s">
        <v>5</v>
      </c>
      <c r="F7" s="159" t="s">
        <v>6</v>
      </c>
      <c r="G7" s="159" t="s">
        <v>3</v>
      </c>
      <c r="H7" s="16" t="s">
        <v>10</v>
      </c>
      <c r="I7" s="3" t="s">
        <v>5</v>
      </c>
      <c r="J7" s="16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3" t="s">
        <v>3</v>
      </c>
      <c r="R7" s="13" t="s">
        <v>144</v>
      </c>
      <c r="S7" s="13" t="s">
        <v>145</v>
      </c>
      <c r="T7" s="3" t="s">
        <v>16</v>
      </c>
    </row>
    <row r="8" spans="1:29" ht="14.25" customHeight="1" x14ac:dyDescent="0.25">
      <c r="A8" s="204" t="s">
        <v>141</v>
      </c>
      <c r="B8" s="195">
        <v>20</v>
      </c>
      <c r="C8" s="195">
        <v>1</v>
      </c>
      <c r="D8" s="204" t="s">
        <v>166</v>
      </c>
      <c r="E8" s="207">
        <v>3400</v>
      </c>
      <c r="F8" s="192" t="s">
        <v>17</v>
      </c>
      <c r="G8" s="195">
        <f>C8*F8</f>
        <v>1</v>
      </c>
      <c r="H8" s="195" t="s">
        <v>139</v>
      </c>
      <c r="I8" s="198" t="s">
        <v>167</v>
      </c>
      <c r="J8" s="162">
        <v>8</v>
      </c>
      <c r="K8" s="195">
        <f>J8*G8</f>
        <v>8</v>
      </c>
      <c r="L8" s="155" t="s">
        <v>17</v>
      </c>
      <c r="M8" s="55" t="s">
        <v>168</v>
      </c>
      <c r="N8" s="125" t="s">
        <v>169</v>
      </c>
      <c r="O8" s="138">
        <f>2*$J$8</f>
        <v>16</v>
      </c>
      <c r="P8" s="89">
        <f>O8*$F$8</f>
        <v>16</v>
      </c>
      <c r="Q8" s="89">
        <f>P8*$C$8</f>
        <v>16</v>
      </c>
      <c r="R8" s="89">
        <f>7*$Q$8</f>
        <v>112</v>
      </c>
      <c r="S8" s="89" t="s">
        <v>146</v>
      </c>
      <c r="T8" s="48"/>
    </row>
    <row r="9" spans="1:29" ht="14.25" customHeight="1" x14ac:dyDescent="0.25">
      <c r="A9" s="205"/>
      <c r="B9" s="196"/>
      <c r="C9" s="196"/>
      <c r="D9" s="205"/>
      <c r="E9" s="208"/>
      <c r="F9" s="193"/>
      <c r="G9" s="196"/>
      <c r="H9" s="196"/>
      <c r="I9" s="198"/>
      <c r="J9" s="163"/>
      <c r="K9" s="196"/>
      <c r="L9" s="155" t="s">
        <v>18</v>
      </c>
      <c r="M9" s="55" t="s">
        <v>170</v>
      </c>
      <c r="N9" s="87" t="s">
        <v>171</v>
      </c>
      <c r="O9" s="138">
        <f t="shared" ref="O9:O10" si="0">2*$J$8</f>
        <v>16</v>
      </c>
      <c r="P9" s="89">
        <f t="shared" ref="P9:P25" si="1">O9*$F$8</f>
        <v>16</v>
      </c>
      <c r="Q9" s="89">
        <f t="shared" ref="Q9:Q25" si="2">P9*$C$8</f>
        <v>16</v>
      </c>
      <c r="R9" s="87">
        <f>7.2*Q9</f>
        <v>115.2</v>
      </c>
      <c r="S9" s="89" t="s">
        <v>146</v>
      </c>
      <c r="T9" s="56"/>
    </row>
    <row r="10" spans="1:29" ht="14.25" customHeight="1" x14ac:dyDescent="0.25">
      <c r="A10" s="205"/>
      <c r="B10" s="196"/>
      <c r="C10" s="196"/>
      <c r="D10" s="205"/>
      <c r="E10" s="208"/>
      <c r="F10" s="193"/>
      <c r="G10" s="196"/>
      <c r="H10" s="196"/>
      <c r="I10" s="198"/>
      <c r="J10" s="163"/>
      <c r="K10" s="196"/>
      <c r="L10" s="155" t="s">
        <v>19</v>
      </c>
      <c r="M10" s="55" t="s">
        <v>172</v>
      </c>
      <c r="N10" s="125" t="s">
        <v>173</v>
      </c>
      <c r="O10" s="138">
        <f t="shared" si="0"/>
        <v>16</v>
      </c>
      <c r="P10" s="89">
        <f t="shared" si="1"/>
        <v>16</v>
      </c>
      <c r="Q10" s="89">
        <f t="shared" si="2"/>
        <v>16</v>
      </c>
      <c r="R10" s="89">
        <f>3.6*Q10</f>
        <v>57.6</v>
      </c>
      <c r="S10" s="89" t="s">
        <v>146</v>
      </c>
      <c r="T10" s="56"/>
    </row>
    <row r="11" spans="1:29" ht="14.25" customHeight="1" thickBot="1" x14ac:dyDescent="0.3">
      <c r="A11" s="205"/>
      <c r="B11" s="196"/>
      <c r="C11" s="196"/>
      <c r="D11" s="205"/>
      <c r="E11" s="208"/>
      <c r="F11" s="193"/>
      <c r="G11" s="196"/>
      <c r="H11" s="179"/>
      <c r="I11" s="199"/>
      <c r="J11" s="200"/>
      <c r="K11" s="179"/>
      <c r="L11" s="156" t="s">
        <v>20</v>
      </c>
      <c r="M11" s="64" t="s">
        <v>174</v>
      </c>
      <c r="N11" s="126" t="s">
        <v>235</v>
      </c>
      <c r="O11" s="126">
        <f>$J$8</f>
        <v>8</v>
      </c>
      <c r="P11" s="92">
        <f t="shared" si="1"/>
        <v>8</v>
      </c>
      <c r="Q11" s="92">
        <f t="shared" si="2"/>
        <v>8</v>
      </c>
      <c r="R11" s="92">
        <f>1.9*Q11</f>
        <v>15.2</v>
      </c>
      <c r="S11" s="92" t="s">
        <v>146</v>
      </c>
      <c r="T11" s="60"/>
    </row>
    <row r="12" spans="1:29" ht="14.25" customHeight="1" x14ac:dyDescent="0.25">
      <c r="A12" s="205"/>
      <c r="B12" s="196"/>
      <c r="C12" s="196"/>
      <c r="D12" s="205"/>
      <c r="E12" s="208"/>
      <c r="F12" s="193"/>
      <c r="G12" s="196"/>
      <c r="H12" s="178" t="s">
        <v>140</v>
      </c>
      <c r="I12" s="201" t="s">
        <v>175</v>
      </c>
      <c r="J12" s="178">
        <v>2</v>
      </c>
      <c r="K12" s="178">
        <f>J12*G8</f>
        <v>2</v>
      </c>
      <c r="L12" s="157">
        <v>1</v>
      </c>
      <c r="M12" s="67" t="s">
        <v>176</v>
      </c>
      <c r="N12" s="128" t="s">
        <v>227</v>
      </c>
      <c r="O12" s="128">
        <v>1</v>
      </c>
      <c r="P12" s="88">
        <f t="shared" si="1"/>
        <v>1</v>
      </c>
      <c r="Q12" s="88">
        <f t="shared" si="2"/>
        <v>1</v>
      </c>
      <c r="R12" s="88">
        <f>Q12*5.7</f>
        <v>5.7</v>
      </c>
      <c r="S12" s="88" t="s">
        <v>146</v>
      </c>
      <c r="T12" s="59"/>
      <c r="U12" s="68"/>
      <c r="V12" s="69"/>
      <c r="W12" s="70"/>
      <c r="X12" s="69"/>
      <c r="Y12" s="69"/>
      <c r="Z12" s="69"/>
      <c r="AA12" s="69"/>
      <c r="AB12" s="69"/>
      <c r="AC12" s="71"/>
    </row>
    <row r="13" spans="1:29" ht="14.25" customHeight="1" x14ac:dyDescent="0.25">
      <c r="A13" s="205"/>
      <c r="B13" s="196"/>
      <c r="C13" s="196"/>
      <c r="D13" s="205"/>
      <c r="E13" s="208"/>
      <c r="F13" s="193"/>
      <c r="G13" s="196"/>
      <c r="H13" s="196"/>
      <c r="I13" s="202"/>
      <c r="J13" s="196"/>
      <c r="K13" s="196"/>
      <c r="L13" s="155">
        <v>2</v>
      </c>
      <c r="M13" s="55" t="s">
        <v>177</v>
      </c>
      <c r="N13" s="125" t="s">
        <v>228</v>
      </c>
      <c r="O13" s="138">
        <v>1</v>
      </c>
      <c r="P13" s="89">
        <f t="shared" si="1"/>
        <v>1</v>
      </c>
      <c r="Q13" s="89">
        <f t="shared" si="2"/>
        <v>1</v>
      </c>
      <c r="R13" s="89">
        <f>Q13*6.6</f>
        <v>6.6</v>
      </c>
      <c r="S13" s="89" t="s">
        <v>146</v>
      </c>
      <c r="T13" s="56"/>
      <c r="U13" s="68"/>
      <c r="V13" s="69"/>
      <c r="W13" s="70"/>
      <c r="X13" s="69"/>
      <c r="Y13" s="69"/>
      <c r="Z13" s="72"/>
      <c r="AA13" s="72"/>
      <c r="AB13" s="72"/>
      <c r="AC13" s="71"/>
    </row>
    <row r="14" spans="1:29" ht="14.25" customHeight="1" x14ac:dyDescent="0.25">
      <c r="A14" s="205"/>
      <c r="B14" s="196"/>
      <c r="C14" s="196"/>
      <c r="D14" s="205"/>
      <c r="E14" s="208"/>
      <c r="F14" s="193"/>
      <c r="G14" s="196"/>
      <c r="H14" s="196"/>
      <c r="I14" s="202"/>
      <c r="J14" s="196"/>
      <c r="K14" s="196"/>
      <c r="L14" s="155">
        <v>3</v>
      </c>
      <c r="M14" s="63" t="s">
        <v>178</v>
      </c>
      <c r="N14" s="125" t="s">
        <v>179</v>
      </c>
      <c r="O14" s="138">
        <f>4</f>
        <v>4</v>
      </c>
      <c r="P14" s="125">
        <f t="shared" si="1"/>
        <v>4</v>
      </c>
      <c r="Q14" s="89">
        <f t="shared" si="2"/>
        <v>4</v>
      </c>
      <c r="R14" s="89">
        <f>7.5*Q14</f>
        <v>30</v>
      </c>
      <c r="S14" s="89" t="s">
        <v>146</v>
      </c>
      <c r="T14" s="56"/>
      <c r="U14" s="73"/>
      <c r="V14" s="73"/>
      <c r="W14" s="73"/>
      <c r="X14" s="73"/>
      <c r="Y14" s="73"/>
      <c r="Z14" s="73"/>
      <c r="AA14" s="73"/>
      <c r="AB14" s="73"/>
      <c r="AC14" s="73"/>
    </row>
    <row r="15" spans="1:29" ht="14.25" customHeight="1" thickBot="1" x14ac:dyDescent="0.3">
      <c r="A15" s="205"/>
      <c r="B15" s="196"/>
      <c r="C15" s="196"/>
      <c r="D15" s="205"/>
      <c r="E15" s="208"/>
      <c r="F15" s="193"/>
      <c r="G15" s="196"/>
      <c r="H15" s="179"/>
      <c r="I15" s="203"/>
      <c r="J15" s="179"/>
      <c r="K15" s="179"/>
      <c r="L15" s="156">
        <v>4</v>
      </c>
      <c r="M15" s="65" t="s">
        <v>180</v>
      </c>
      <c r="N15" s="90" t="s">
        <v>181</v>
      </c>
      <c r="O15" s="91">
        <v>8</v>
      </c>
      <c r="P15" s="80">
        <f t="shared" si="1"/>
        <v>8</v>
      </c>
      <c r="Q15" s="92">
        <f t="shared" si="2"/>
        <v>8</v>
      </c>
      <c r="R15" s="92">
        <f>Q15*0.52</f>
        <v>4.16</v>
      </c>
      <c r="S15" s="92" t="s">
        <v>146</v>
      </c>
      <c r="T15" s="60"/>
      <c r="U15" s="73"/>
      <c r="V15" s="73"/>
      <c r="W15" s="73"/>
      <c r="X15" s="73"/>
      <c r="Y15" s="73"/>
      <c r="Z15" s="73"/>
      <c r="AA15" s="73"/>
      <c r="AB15" s="73"/>
      <c r="AC15" s="73"/>
    </row>
    <row r="16" spans="1:29" ht="14.25" customHeight="1" x14ac:dyDescent="0.25">
      <c r="A16" s="205"/>
      <c r="B16" s="196"/>
      <c r="C16" s="196"/>
      <c r="D16" s="205"/>
      <c r="E16" s="208"/>
      <c r="F16" s="193"/>
      <c r="G16" s="196"/>
      <c r="H16" s="188" t="s">
        <v>166</v>
      </c>
      <c r="I16" s="190" t="s">
        <v>182</v>
      </c>
      <c r="J16" s="188">
        <v>1</v>
      </c>
      <c r="K16" s="188">
        <f>J16*G8</f>
        <v>1</v>
      </c>
      <c r="L16" s="158">
        <v>1</v>
      </c>
      <c r="M16" s="66" t="s">
        <v>183</v>
      </c>
      <c r="N16" s="83" t="s">
        <v>230</v>
      </c>
      <c r="O16" s="139">
        <v>1</v>
      </c>
      <c r="P16" s="93">
        <f t="shared" si="1"/>
        <v>1</v>
      </c>
      <c r="Q16" s="93">
        <f t="shared" si="2"/>
        <v>1</v>
      </c>
      <c r="R16" s="83">
        <f>(IF(B8=30,"12.4",IF(B8=20,"8.7",IF(B8=25,"10.6",IF(B8=15,"6.8")))))*Q16</f>
        <v>8.6999999999999993</v>
      </c>
      <c r="S16" s="93" t="s">
        <v>146</v>
      </c>
      <c r="T16" s="61"/>
      <c r="U16" s="73"/>
      <c r="V16" s="73"/>
      <c r="W16" s="73"/>
      <c r="X16" s="73"/>
      <c r="Y16" s="73"/>
      <c r="Z16" s="73"/>
      <c r="AA16" s="73"/>
      <c r="AB16" s="73"/>
      <c r="AC16" s="73"/>
    </row>
    <row r="17" spans="1:29" ht="14.25" customHeight="1" thickBot="1" x14ac:dyDescent="0.3">
      <c r="A17" s="205"/>
      <c r="B17" s="196"/>
      <c r="C17" s="196"/>
      <c r="D17" s="205"/>
      <c r="E17" s="208"/>
      <c r="F17" s="193"/>
      <c r="G17" s="196"/>
      <c r="H17" s="189"/>
      <c r="I17" s="191"/>
      <c r="J17" s="189"/>
      <c r="K17" s="189"/>
      <c r="L17" s="156">
        <v>2</v>
      </c>
      <c r="M17" s="64" t="s">
        <v>184</v>
      </c>
      <c r="N17" s="126" t="s">
        <v>185</v>
      </c>
      <c r="O17" s="126">
        <v>4</v>
      </c>
      <c r="P17" s="92">
        <f t="shared" si="1"/>
        <v>4</v>
      </c>
      <c r="Q17" s="92">
        <f t="shared" si="2"/>
        <v>4</v>
      </c>
      <c r="R17" s="92">
        <f>0.1*Q17</f>
        <v>0.4</v>
      </c>
      <c r="S17" s="92" t="s">
        <v>146</v>
      </c>
      <c r="T17" s="60"/>
      <c r="U17" s="73"/>
      <c r="V17" s="73"/>
      <c r="W17" s="73"/>
      <c r="X17" s="73"/>
      <c r="Y17" s="73"/>
      <c r="Z17" s="73"/>
      <c r="AA17" s="73"/>
      <c r="AB17" s="73"/>
      <c r="AC17" s="73"/>
    </row>
    <row r="18" spans="1:29" ht="14.25" customHeight="1" x14ac:dyDescent="0.25">
      <c r="A18" s="205"/>
      <c r="B18" s="196"/>
      <c r="C18" s="196"/>
      <c r="D18" s="205"/>
      <c r="E18" s="208"/>
      <c r="F18" s="193"/>
      <c r="G18" s="196"/>
      <c r="H18" s="174" t="s">
        <v>141</v>
      </c>
      <c r="I18" s="176" t="s">
        <v>186</v>
      </c>
      <c r="J18" s="178">
        <f>J8</f>
        <v>8</v>
      </c>
      <c r="K18" s="178">
        <f>J18*G8</f>
        <v>8</v>
      </c>
      <c r="L18" s="157">
        <v>1</v>
      </c>
      <c r="M18" s="67" t="s">
        <v>187</v>
      </c>
      <c r="N18" s="128" t="s">
        <v>188</v>
      </c>
      <c r="O18" s="128">
        <f>J18</f>
        <v>8</v>
      </c>
      <c r="P18" s="88">
        <f t="shared" si="1"/>
        <v>8</v>
      </c>
      <c r="Q18" s="88">
        <f t="shared" si="2"/>
        <v>8</v>
      </c>
      <c r="R18" s="88">
        <f>Q18</f>
        <v>8</v>
      </c>
      <c r="S18" s="88" t="s">
        <v>147</v>
      </c>
      <c r="T18" s="59"/>
      <c r="U18" s="68"/>
      <c r="V18" s="70"/>
      <c r="W18" s="70"/>
      <c r="X18" s="74"/>
      <c r="Y18" s="74"/>
      <c r="Z18" s="72"/>
      <c r="AA18" s="72"/>
      <c r="AB18" s="72"/>
      <c r="AC18" s="71"/>
    </row>
    <row r="19" spans="1:29" ht="14.25" customHeight="1" thickBot="1" x14ac:dyDescent="0.3">
      <c r="A19" s="205"/>
      <c r="B19" s="196"/>
      <c r="C19" s="196"/>
      <c r="D19" s="205"/>
      <c r="E19" s="208"/>
      <c r="F19" s="193"/>
      <c r="G19" s="196"/>
      <c r="H19" s="175"/>
      <c r="I19" s="177"/>
      <c r="J19" s="179"/>
      <c r="K19" s="179"/>
      <c r="L19" s="156">
        <v>2</v>
      </c>
      <c r="M19" s="64" t="s">
        <v>189</v>
      </c>
      <c r="N19" s="126" t="s">
        <v>190</v>
      </c>
      <c r="O19" s="126">
        <f>O18</f>
        <v>8</v>
      </c>
      <c r="P19" s="92">
        <f t="shared" si="1"/>
        <v>8</v>
      </c>
      <c r="Q19" s="92">
        <f t="shared" si="2"/>
        <v>8</v>
      </c>
      <c r="R19" s="92">
        <f>0.8*Q19</f>
        <v>6.4</v>
      </c>
      <c r="S19" s="92" t="s">
        <v>146</v>
      </c>
      <c r="T19" s="60"/>
      <c r="U19" s="68"/>
      <c r="V19" s="69"/>
      <c r="W19" s="70"/>
      <c r="X19" s="69"/>
      <c r="Y19" s="69"/>
      <c r="Z19" s="72"/>
      <c r="AA19" s="72"/>
      <c r="AB19" s="72"/>
      <c r="AC19" s="71"/>
    </row>
    <row r="20" spans="1:29" ht="15" customHeight="1" x14ac:dyDescent="0.25">
      <c r="A20" s="205"/>
      <c r="B20" s="196"/>
      <c r="C20" s="196"/>
      <c r="D20" s="205"/>
      <c r="E20" s="208"/>
      <c r="F20" s="193"/>
      <c r="G20" s="196"/>
      <c r="H20" s="174" t="s">
        <v>142</v>
      </c>
      <c r="I20" s="176" t="s">
        <v>191</v>
      </c>
      <c r="J20" s="178">
        <v>8</v>
      </c>
      <c r="K20" s="178">
        <f>G8*J20</f>
        <v>8</v>
      </c>
      <c r="L20" s="157">
        <v>1</v>
      </c>
      <c r="M20" s="67" t="s">
        <v>238</v>
      </c>
      <c r="N20" s="94" t="s">
        <v>231</v>
      </c>
      <c r="O20" s="128">
        <v>8</v>
      </c>
      <c r="P20" s="88">
        <f t="shared" si="1"/>
        <v>8</v>
      </c>
      <c r="Q20" s="88">
        <f t="shared" si="2"/>
        <v>8</v>
      </c>
      <c r="R20" s="94">
        <f>(IF(B8=30,"7.2",IF(B8=25,"5.9",IF(B8=20,"4.6",IF(B8=15,"3.3")))))*Q20</f>
        <v>36.799999999999997</v>
      </c>
      <c r="S20" s="88" t="s">
        <v>146</v>
      </c>
      <c r="T20" s="59"/>
      <c r="U20" s="73"/>
      <c r="V20" s="73"/>
      <c r="W20" s="73"/>
      <c r="X20" s="73"/>
      <c r="Y20" s="73"/>
      <c r="Z20" s="73"/>
      <c r="AA20" s="73"/>
      <c r="AB20" s="73"/>
      <c r="AC20" s="73"/>
    </row>
    <row r="21" spans="1:29" ht="14.25" customHeight="1" thickBot="1" x14ac:dyDescent="0.3">
      <c r="A21" s="205"/>
      <c r="B21" s="196"/>
      <c r="C21" s="196"/>
      <c r="D21" s="205"/>
      <c r="E21" s="208"/>
      <c r="F21" s="193"/>
      <c r="G21" s="196"/>
      <c r="H21" s="175"/>
      <c r="I21" s="177"/>
      <c r="J21" s="179"/>
      <c r="K21" s="179"/>
      <c r="L21" s="156">
        <v>2</v>
      </c>
      <c r="M21" s="64" t="s">
        <v>192</v>
      </c>
      <c r="N21" s="126" t="s">
        <v>229</v>
      </c>
      <c r="O21" s="126">
        <f>2*J20</f>
        <v>16</v>
      </c>
      <c r="P21" s="92">
        <f>O21*F8</f>
        <v>16</v>
      </c>
      <c r="Q21" s="92">
        <f>P21*C8</f>
        <v>16</v>
      </c>
      <c r="R21" s="92">
        <f>0.088*Q21</f>
        <v>1.4079999999999999</v>
      </c>
      <c r="S21" s="92" t="s">
        <v>146</v>
      </c>
      <c r="T21" s="60"/>
      <c r="U21" s="73"/>
      <c r="V21" s="73"/>
      <c r="W21" s="73"/>
      <c r="X21" s="73"/>
      <c r="Y21" s="73"/>
      <c r="Z21" s="73"/>
      <c r="AA21" s="73"/>
      <c r="AB21" s="73"/>
      <c r="AC21" s="73"/>
    </row>
    <row r="22" spans="1:29" ht="14.25" customHeight="1" x14ac:dyDescent="0.25">
      <c r="A22" s="205"/>
      <c r="B22" s="196"/>
      <c r="C22" s="196"/>
      <c r="D22" s="205"/>
      <c r="E22" s="208"/>
      <c r="F22" s="193"/>
      <c r="G22" s="196"/>
      <c r="H22" s="154"/>
      <c r="I22" s="55" t="s">
        <v>193</v>
      </c>
      <c r="J22" s="154"/>
      <c r="K22" s="154"/>
      <c r="L22" s="155">
        <v>1</v>
      </c>
      <c r="M22" s="55" t="s">
        <v>193</v>
      </c>
      <c r="N22" s="87" t="s">
        <v>232</v>
      </c>
      <c r="O22" s="138">
        <v>2</v>
      </c>
      <c r="P22" s="89">
        <f>O22*$F$8</f>
        <v>2</v>
      </c>
      <c r="Q22" s="89">
        <f>P22*$C$8</f>
        <v>2</v>
      </c>
      <c r="R22" s="87">
        <f>(IF(B8=30,"41.6",IF(B8=25,"28.9",IF(B8=20,"18.5",IF(B8=15,"10.4")))))*Q22</f>
        <v>37</v>
      </c>
      <c r="S22" s="89" t="s">
        <v>146</v>
      </c>
      <c r="T22" s="56"/>
      <c r="U22" s="68"/>
    </row>
    <row r="23" spans="1:29" ht="14.25" customHeight="1" x14ac:dyDescent="0.25">
      <c r="A23" s="205"/>
      <c r="B23" s="196"/>
      <c r="C23" s="196"/>
      <c r="D23" s="205"/>
      <c r="E23" s="208"/>
      <c r="F23" s="193"/>
      <c r="G23" s="196"/>
      <c r="H23" s="155" t="s">
        <v>33</v>
      </c>
      <c r="I23" s="55" t="s">
        <v>194</v>
      </c>
      <c r="J23" s="155" t="s">
        <v>33</v>
      </c>
      <c r="K23" s="155" t="s">
        <v>33</v>
      </c>
      <c r="L23" s="155">
        <v>2</v>
      </c>
      <c r="M23" s="55" t="s">
        <v>194</v>
      </c>
      <c r="N23" s="125" t="s">
        <v>195</v>
      </c>
      <c r="O23" s="138">
        <v>8</v>
      </c>
      <c r="P23" s="89">
        <f t="shared" si="1"/>
        <v>8</v>
      </c>
      <c r="Q23" s="89">
        <f t="shared" si="2"/>
        <v>8</v>
      </c>
      <c r="R23" s="89">
        <f>1.3*Q23</f>
        <v>10.4</v>
      </c>
      <c r="S23" s="89" t="s">
        <v>146</v>
      </c>
      <c r="T23" s="56"/>
      <c r="U23" s="68"/>
      <c r="V23" s="69"/>
      <c r="W23" s="70"/>
      <c r="X23" s="69"/>
      <c r="Y23" s="69"/>
      <c r="Z23" s="69"/>
      <c r="AA23" s="69"/>
      <c r="AB23" s="69"/>
      <c r="AC23" s="71"/>
    </row>
    <row r="24" spans="1:29" ht="14.25" customHeight="1" x14ac:dyDescent="0.25">
      <c r="A24" s="205"/>
      <c r="B24" s="196"/>
      <c r="C24" s="196"/>
      <c r="D24" s="205"/>
      <c r="E24" s="208"/>
      <c r="F24" s="193"/>
      <c r="G24" s="196"/>
      <c r="H24" s="155" t="s">
        <v>33</v>
      </c>
      <c r="I24" s="55" t="s">
        <v>196</v>
      </c>
      <c r="J24" s="155" t="s">
        <v>33</v>
      </c>
      <c r="K24" s="155" t="s">
        <v>33</v>
      </c>
      <c r="L24" s="155">
        <v>3</v>
      </c>
      <c r="M24" s="55" t="s">
        <v>196</v>
      </c>
      <c r="N24" s="125" t="s">
        <v>197</v>
      </c>
      <c r="O24" s="138">
        <v>8</v>
      </c>
      <c r="P24" s="89">
        <f t="shared" si="1"/>
        <v>8</v>
      </c>
      <c r="Q24" s="89">
        <f t="shared" si="2"/>
        <v>8</v>
      </c>
      <c r="R24" s="89">
        <f>2.6*Q24</f>
        <v>20.8</v>
      </c>
      <c r="S24" s="89" t="s">
        <v>146</v>
      </c>
      <c r="T24" s="56"/>
      <c r="U24" s="68"/>
      <c r="V24" s="69"/>
      <c r="W24" s="70"/>
      <c r="X24" s="69"/>
      <c r="Y24" s="69"/>
      <c r="Z24" s="69"/>
      <c r="AA24" s="69"/>
      <c r="AB24" s="69"/>
      <c r="AC24" s="71"/>
    </row>
    <row r="25" spans="1:29" ht="14.25" customHeight="1" x14ac:dyDescent="0.25">
      <c r="A25" s="206"/>
      <c r="B25" s="197"/>
      <c r="C25" s="197"/>
      <c r="D25" s="206"/>
      <c r="E25" s="209"/>
      <c r="F25" s="194"/>
      <c r="G25" s="197"/>
      <c r="H25" s="155" t="s">
        <v>33</v>
      </c>
      <c r="I25" s="55" t="s">
        <v>198</v>
      </c>
      <c r="J25" s="155" t="s">
        <v>33</v>
      </c>
      <c r="K25" s="155" t="s">
        <v>33</v>
      </c>
      <c r="L25" s="155">
        <v>4</v>
      </c>
      <c r="M25" s="55" t="s">
        <v>198</v>
      </c>
      <c r="N25" s="87" t="s">
        <v>233</v>
      </c>
      <c r="O25" s="138">
        <v>4</v>
      </c>
      <c r="P25" s="89">
        <f t="shared" si="1"/>
        <v>4</v>
      </c>
      <c r="Q25" s="89">
        <f t="shared" si="2"/>
        <v>4</v>
      </c>
      <c r="R25" s="89">
        <f>(IF(B8=30,"2.4",IF(B8=25,"2",IF(B8=20,"1.6",IF(B8=15,"1.2")))))*Q25</f>
        <v>6.4</v>
      </c>
      <c r="S25" s="89" t="s">
        <v>146</v>
      </c>
      <c r="T25" s="62"/>
      <c r="U25" s="68"/>
      <c r="V25" s="69"/>
      <c r="W25" s="70"/>
      <c r="X25" s="69"/>
      <c r="Y25" s="69"/>
      <c r="Z25" s="69"/>
      <c r="AA25" s="69"/>
      <c r="AB25" s="69"/>
      <c r="AC25" s="75"/>
    </row>
    <row r="26" spans="1:29" x14ac:dyDescent="0.25">
      <c r="U26" s="73"/>
      <c r="V26" s="73"/>
      <c r="W26" s="73"/>
      <c r="X26" s="73"/>
      <c r="Y26" s="73"/>
      <c r="Z26" s="73"/>
      <c r="AA26" s="73"/>
      <c r="AB26" s="73"/>
      <c r="AC26" s="73"/>
    </row>
    <row r="28" spans="1:29" x14ac:dyDescent="0.25">
      <c r="P28" s="161"/>
      <c r="Q28" s="161"/>
      <c r="R28" s="161"/>
      <c r="S28" s="161"/>
    </row>
    <row r="37" spans="1:20" ht="19.5" x14ac:dyDescent="0.25">
      <c r="A37" s="180" t="s">
        <v>0</v>
      </c>
      <c r="B37" s="181"/>
      <c r="C37" s="181"/>
      <c r="D37" s="8"/>
      <c r="E37" s="9"/>
      <c r="F37" s="9" t="s">
        <v>14</v>
      </c>
      <c r="G37" s="10"/>
      <c r="H37" s="9"/>
      <c r="I37" s="9" t="s">
        <v>13</v>
      </c>
      <c r="J37" s="9"/>
      <c r="K37" s="10"/>
      <c r="L37" s="8"/>
      <c r="M37" s="9"/>
      <c r="N37" s="6" t="s">
        <v>1</v>
      </c>
      <c r="O37" s="9"/>
      <c r="P37" s="9"/>
      <c r="Q37" s="9"/>
      <c r="R37" s="45"/>
      <c r="S37" s="45"/>
      <c r="T37" s="14" t="s">
        <v>15</v>
      </c>
    </row>
    <row r="38" spans="1:20" ht="50.25" customHeight="1" x14ac:dyDescent="0.25">
      <c r="A38" s="16" t="s">
        <v>2</v>
      </c>
      <c r="B38" s="16" t="s">
        <v>143</v>
      </c>
      <c r="C38" s="3" t="s">
        <v>3</v>
      </c>
      <c r="D38" s="11" t="s">
        <v>4</v>
      </c>
      <c r="E38" s="12" t="s">
        <v>5</v>
      </c>
      <c r="F38" s="11" t="s">
        <v>6</v>
      </c>
      <c r="G38" s="11" t="s">
        <v>3</v>
      </c>
      <c r="H38" s="3" t="s">
        <v>10</v>
      </c>
      <c r="I38" s="3" t="s">
        <v>5</v>
      </c>
      <c r="J38" s="16" t="s">
        <v>12</v>
      </c>
      <c r="K38" s="3" t="s">
        <v>11</v>
      </c>
      <c r="L38" s="1" t="s">
        <v>7</v>
      </c>
      <c r="M38" s="2" t="s">
        <v>5</v>
      </c>
      <c r="N38" s="2" t="s">
        <v>9</v>
      </c>
      <c r="O38" s="3" t="s">
        <v>8</v>
      </c>
      <c r="P38" s="3" t="s">
        <v>6</v>
      </c>
      <c r="Q38" s="13" t="s">
        <v>3</v>
      </c>
      <c r="R38" s="13" t="s">
        <v>144</v>
      </c>
      <c r="S38" s="13" t="s">
        <v>145</v>
      </c>
      <c r="T38" s="3" t="s">
        <v>16</v>
      </c>
    </row>
    <row r="39" spans="1:20" ht="12.95" customHeight="1" x14ac:dyDescent="0.25">
      <c r="A39" s="182" t="s">
        <v>141</v>
      </c>
      <c r="B39" s="185">
        <v>20</v>
      </c>
      <c r="C39" s="185" t="s">
        <v>17</v>
      </c>
      <c r="D39" s="182" t="s">
        <v>166</v>
      </c>
      <c r="E39" s="185">
        <v>3400</v>
      </c>
      <c r="F39" s="162" t="s">
        <v>17</v>
      </c>
      <c r="G39" s="165">
        <f>C39*F39</f>
        <v>1</v>
      </c>
      <c r="H39" s="124" t="s">
        <v>33</v>
      </c>
      <c r="I39" s="55" t="s">
        <v>199</v>
      </c>
      <c r="J39" s="124" t="s">
        <v>33</v>
      </c>
      <c r="K39" s="124" t="s">
        <v>33</v>
      </c>
      <c r="L39" s="78">
        <v>5</v>
      </c>
      <c r="M39" s="55" t="s">
        <v>199</v>
      </c>
      <c r="N39" s="125" t="s">
        <v>33</v>
      </c>
      <c r="O39" s="138">
        <v>8</v>
      </c>
      <c r="P39" s="89">
        <f>O39*$F$39</f>
        <v>8</v>
      </c>
      <c r="Q39" s="124">
        <f>P39*$C$39</f>
        <v>8</v>
      </c>
      <c r="R39" s="124">
        <f>Q39</f>
        <v>8</v>
      </c>
      <c r="S39" s="124" t="s">
        <v>147</v>
      </c>
      <c r="T39" s="5"/>
    </row>
    <row r="40" spans="1:20" ht="12.95" customHeight="1" x14ac:dyDescent="0.25">
      <c r="A40" s="183"/>
      <c r="B40" s="186"/>
      <c r="C40" s="186"/>
      <c r="D40" s="183"/>
      <c r="E40" s="186"/>
      <c r="F40" s="163"/>
      <c r="G40" s="166"/>
      <c r="H40" s="89" t="s">
        <v>33</v>
      </c>
      <c r="I40" s="66" t="s">
        <v>200</v>
      </c>
      <c r="J40" s="89" t="s">
        <v>33</v>
      </c>
      <c r="K40" s="89" t="s">
        <v>33</v>
      </c>
      <c r="L40" s="85">
        <v>6</v>
      </c>
      <c r="M40" s="66" t="s">
        <v>200</v>
      </c>
      <c r="N40" s="125" t="s">
        <v>201</v>
      </c>
      <c r="O40" s="138">
        <v>4</v>
      </c>
      <c r="P40" s="89">
        <f t="shared" ref="P40:P61" si="3">O40*$F$39</f>
        <v>4</v>
      </c>
      <c r="Q40" s="93">
        <f t="shared" ref="Q40:Q61" si="4">P40*$C$39</f>
        <v>4</v>
      </c>
      <c r="R40" s="93">
        <f>Q40</f>
        <v>4</v>
      </c>
      <c r="S40" s="93" t="s">
        <v>147</v>
      </c>
      <c r="T40" s="5"/>
    </row>
    <row r="41" spans="1:20" ht="12.95" customHeight="1" x14ac:dyDescent="0.25">
      <c r="A41" s="183"/>
      <c r="B41" s="186"/>
      <c r="C41" s="186"/>
      <c r="D41" s="183"/>
      <c r="E41" s="186"/>
      <c r="F41" s="163"/>
      <c r="G41" s="166"/>
      <c r="H41" s="89" t="s">
        <v>33</v>
      </c>
      <c r="I41" s="55" t="s">
        <v>202</v>
      </c>
      <c r="J41" s="89" t="s">
        <v>33</v>
      </c>
      <c r="K41" s="89" t="s">
        <v>33</v>
      </c>
      <c r="L41" s="78">
        <v>7</v>
      </c>
      <c r="M41" s="55" t="s">
        <v>202</v>
      </c>
      <c r="N41" s="125" t="s">
        <v>236</v>
      </c>
      <c r="O41" s="138">
        <f>O40</f>
        <v>4</v>
      </c>
      <c r="P41" s="89">
        <f t="shared" si="3"/>
        <v>4</v>
      </c>
      <c r="Q41" s="89">
        <f t="shared" si="4"/>
        <v>4</v>
      </c>
      <c r="R41" s="89">
        <f>Q41</f>
        <v>4</v>
      </c>
      <c r="S41" s="89" t="s">
        <v>147</v>
      </c>
      <c r="T41" s="5"/>
    </row>
    <row r="42" spans="1:20" ht="12.95" customHeight="1" thickBot="1" x14ac:dyDescent="0.3">
      <c r="A42" s="183"/>
      <c r="B42" s="186"/>
      <c r="C42" s="186"/>
      <c r="D42" s="183"/>
      <c r="E42" s="186"/>
      <c r="F42" s="163"/>
      <c r="G42" s="166"/>
      <c r="H42" s="92" t="s">
        <v>33</v>
      </c>
      <c r="I42" s="64" t="s">
        <v>203</v>
      </c>
      <c r="J42" s="92" t="s">
        <v>33</v>
      </c>
      <c r="K42" s="92" t="s">
        <v>33</v>
      </c>
      <c r="L42" s="80">
        <v>8</v>
      </c>
      <c r="M42" s="64" t="s">
        <v>203</v>
      </c>
      <c r="N42" s="126" t="s">
        <v>237</v>
      </c>
      <c r="O42" s="126">
        <f>J8</f>
        <v>8</v>
      </c>
      <c r="P42" s="92">
        <f t="shared" si="3"/>
        <v>8</v>
      </c>
      <c r="Q42" s="92">
        <f t="shared" si="4"/>
        <v>8</v>
      </c>
      <c r="R42" s="92">
        <f>Q42</f>
        <v>8</v>
      </c>
      <c r="S42" s="92" t="s">
        <v>147</v>
      </c>
      <c r="T42" s="32"/>
    </row>
    <row r="43" spans="1:20" ht="12.95" customHeight="1" x14ac:dyDescent="0.25">
      <c r="A43" s="183"/>
      <c r="B43" s="186"/>
      <c r="C43" s="186"/>
      <c r="D43" s="183"/>
      <c r="E43" s="186"/>
      <c r="F43" s="163"/>
      <c r="G43" s="166"/>
      <c r="H43" s="168" t="s">
        <v>204</v>
      </c>
      <c r="I43" s="170" t="s">
        <v>47</v>
      </c>
      <c r="J43" s="172">
        <v>1</v>
      </c>
      <c r="K43" s="172">
        <f>J43*G39</f>
        <v>1</v>
      </c>
      <c r="L43" s="85">
        <v>1</v>
      </c>
      <c r="M43" s="66" t="s">
        <v>205</v>
      </c>
      <c r="N43" s="127" t="s">
        <v>206</v>
      </c>
      <c r="O43" s="83">
        <v>16</v>
      </c>
      <c r="P43" s="93">
        <f t="shared" si="3"/>
        <v>16</v>
      </c>
      <c r="Q43" s="93">
        <f t="shared" si="4"/>
        <v>16</v>
      </c>
      <c r="R43" s="93">
        <f t="shared" ref="R43:R60" si="5">Q43</f>
        <v>16</v>
      </c>
      <c r="S43" s="93" t="s">
        <v>147</v>
      </c>
      <c r="T43" s="15"/>
    </row>
    <row r="44" spans="1:20" ht="12.95" customHeight="1" x14ac:dyDescent="0.25">
      <c r="A44" s="183"/>
      <c r="B44" s="186"/>
      <c r="C44" s="186"/>
      <c r="D44" s="183"/>
      <c r="E44" s="186"/>
      <c r="F44" s="163"/>
      <c r="G44" s="166"/>
      <c r="H44" s="168"/>
      <c r="I44" s="170"/>
      <c r="J44" s="172"/>
      <c r="K44" s="172"/>
      <c r="L44" s="78">
        <v>2</v>
      </c>
      <c r="M44" s="55" t="s">
        <v>207</v>
      </c>
      <c r="N44" s="125" t="s">
        <v>208</v>
      </c>
      <c r="O44" s="138">
        <f>O43</f>
        <v>16</v>
      </c>
      <c r="P44" s="89">
        <f t="shared" si="3"/>
        <v>16</v>
      </c>
      <c r="Q44" s="89">
        <f t="shared" si="4"/>
        <v>16</v>
      </c>
      <c r="R44" s="89">
        <f t="shared" si="5"/>
        <v>16</v>
      </c>
      <c r="S44" s="89" t="s">
        <v>147</v>
      </c>
      <c r="T44" s="5"/>
    </row>
    <row r="45" spans="1:20" ht="12.95" customHeight="1" x14ac:dyDescent="0.25">
      <c r="A45" s="183"/>
      <c r="B45" s="186"/>
      <c r="C45" s="186"/>
      <c r="D45" s="183"/>
      <c r="E45" s="186"/>
      <c r="F45" s="163"/>
      <c r="G45" s="166"/>
      <c r="H45" s="168"/>
      <c r="I45" s="170"/>
      <c r="J45" s="172"/>
      <c r="K45" s="172"/>
      <c r="L45" s="85">
        <v>3</v>
      </c>
      <c r="M45" s="55" t="s">
        <v>209</v>
      </c>
      <c r="N45" s="125" t="s">
        <v>210</v>
      </c>
      <c r="O45" s="138">
        <f>O44</f>
        <v>16</v>
      </c>
      <c r="P45" s="89">
        <f t="shared" si="3"/>
        <v>16</v>
      </c>
      <c r="Q45" s="95">
        <f t="shared" si="4"/>
        <v>16</v>
      </c>
      <c r="R45" s="95">
        <f t="shared" si="5"/>
        <v>16</v>
      </c>
      <c r="S45" s="95" t="s">
        <v>147</v>
      </c>
      <c r="T45" s="5"/>
    </row>
    <row r="46" spans="1:20" ht="12.95" customHeight="1" x14ac:dyDescent="0.25">
      <c r="A46" s="183"/>
      <c r="B46" s="186"/>
      <c r="C46" s="186"/>
      <c r="D46" s="183"/>
      <c r="E46" s="186"/>
      <c r="F46" s="163"/>
      <c r="G46" s="166"/>
      <c r="H46" s="168"/>
      <c r="I46" s="170"/>
      <c r="J46" s="172"/>
      <c r="K46" s="172"/>
      <c r="L46" s="78">
        <v>4</v>
      </c>
      <c r="M46" s="66" t="s">
        <v>239</v>
      </c>
      <c r="N46" s="127" t="s">
        <v>211</v>
      </c>
      <c r="O46" s="139">
        <f>O23*2</f>
        <v>16</v>
      </c>
      <c r="P46" s="93">
        <f t="shared" si="3"/>
        <v>16</v>
      </c>
      <c r="Q46" s="89">
        <f t="shared" si="4"/>
        <v>16</v>
      </c>
      <c r="R46" s="89">
        <f t="shared" si="5"/>
        <v>16</v>
      </c>
      <c r="S46" s="89" t="s">
        <v>147</v>
      </c>
      <c r="T46" s="5"/>
    </row>
    <row r="47" spans="1:20" ht="12.95" customHeight="1" x14ac:dyDescent="0.25">
      <c r="A47" s="183"/>
      <c r="B47" s="186"/>
      <c r="C47" s="186"/>
      <c r="D47" s="183"/>
      <c r="E47" s="186"/>
      <c r="F47" s="163"/>
      <c r="G47" s="166"/>
      <c r="H47" s="168"/>
      <c r="I47" s="170"/>
      <c r="J47" s="172"/>
      <c r="K47" s="172"/>
      <c r="L47" s="85">
        <v>5</v>
      </c>
      <c r="M47" s="55" t="s">
        <v>240</v>
      </c>
      <c r="N47" s="125" t="s">
        <v>114</v>
      </c>
      <c r="O47" s="138">
        <f>O46</f>
        <v>16</v>
      </c>
      <c r="P47" s="89">
        <f t="shared" si="3"/>
        <v>16</v>
      </c>
      <c r="Q47" s="93">
        <f t="shared" si="4"/>
        <v>16</v>
      </c>
      <c r="R47" s="93">
        <f t="shared" si="5"/>
        <v>16</v>
      </c>
      <c r="S47" s="93" t="s">
        <v>147</v>
      </c>
      <c r="T47" s="5"/>
    </row>
    <row r="48" spans="1:20" ht="12.95" customHeight="1" x14ac:dyDescent="0.25">
      <c r="A48" s="183"/>
      <c r="B48" s="186"/>
      <c r="C48" s="186"/>
      <c r="D48" s="183"/>
      <c r="E48" s="186"/>
      <c r="F48" s="163"/>
      <c r="G48" s="166"/>
      <c r="H48" s="168"/>
      <c r="I48" s="170"/>
      <c r="J48" s="172"/>
      <c r="K48" s="172"/>
      <c r="L48" s="146">
        <v>6</v>
      </c>
      <c r="M48" s="55" t="s">
        <v>241</v>
      </c>
      <c r="N48" s="138" t="s">
        <v>36</v>
      </c>
      <c r="O48" s="138">
        <f>O47</f>
        <v>16</v>
      </c>
      <c r="P48" s="141">
        <f t="shared" si="3"/>
        <v>16</v>
      </c>
      <c r="Q48" s="129">
        <f t="shared" si="4"/>
        <v>16</v>
      </c>
      <c r="R48" s="129">
        <f t="shared" si="5"/>
        <v>16</v>
      </c>
      <c r="S48" s="129" t="s">
        <v>147</v>
      </c>
      <c r="T48" s="5"/>
    </row>
    <row r="49" spans="1:20" ht="12.95" customHeight="1" x14ac:dyDescent="0.25">
      <c r="A49" s="183"/>
      <c r="B49" s="186"/>
      <c r="C49" s="186"/>
      <c r="D49" s="183"/>
      <c r="E49" s="186"/>
      <c r="F49" s="163"/>
      <c r="G49" s="166"/>
      <c r="H49" s="168"/>
      <c r="I49" s="170"/>
      <c r="J49" s="172"/>
      <c r="K49" s="172"/>
      <c r="L49" s="152">
        <v>7</v>
      </c>
      <c r="M49" s="66" t="s">
        <v>242</v>
      </c>
      <c r="N49" s="138" t="s">
        <v>216</v>
      </c>
      <c r="O49" s="138">
        <f>O46</f>
        <v>16</v>
      </c>
      <c r="P49" s="141">
        <f t="shared" ref="P49:P51" si="6">O49*$F$39</f>
        <v>16</v>
      </c>
      <c r="Q49" s="129">
        <f t="shared" ref="Q49:Q51" si="7">P49*$C$39</f>
        <v>16</v>
      </c>
      <c r="R49" s="129">
        <f t="shared" ref="R49:R51" si="8">Q49</f>
        <v>16</v>
      </c>
      <c r="S49" s="129" t="s">
        <v>147</v>
      </c>
      <c r="T49" s="5"/>
    </row>
    <row r="50" spans="1:20" ht="12.95" customHeight="1" x14ac:dyDescent="0.25">
      <c r="A50" s="183"/>
      <c r="B50" s="186"/>
      <c r="C50" s="186"/>
      <c r="D50" s="183"/>
      <c r="E50" s="186"/>
      <c r="F50" s="163"/>
      <c r="G50" s="166"/>
      <c r="H50" s="168"/>
      <c r="I50" s="170"/>
      <c r="J50" s="172"/>
      <c r="K50" s="172"/>
      <c r="L50" s="146">
        <v>8</v>
      </c>
      <c r="M50" s="55" t="s">
        <v>243</v>
      </c>
      <c r="N50" s="138" t="s">
        <v>245</v>
      </c>
      <c r="O50" s="138">
        <f>O47</f>
        <v>16</v>
      </c>
      <c r="P50" s="141">
        <f t="shared" si="6"/>
        <v>16</v>
      </c>
      <c r="Q50" s="129">
        <f t="shared" si="7"/>
        <v>16</v>
      </c>
      <c r="R50" s="129">
        <f t="shared" si="8"/>
        <v>16</v>
      </c>
      <c r="S50" s="129" t="s">
        <v>147</v>
      </c>
      <c r="T50" s="5"/>
    </row>
    <row r="51" spans="1:20" ht="12.95" customHeight="1" x14ac:dyDescent="0.25">
      <c r="A51" s="183"/>
      <c r="B51" s="186"/>
      <c r="C51" s="186"/>
      <c r="D51" s="183"/>
      <c r="E51" s="186"/>
      <c r="F51" s="163"/>
      <c r="G51" s="166"/>
      <c r="H51" s="168"/>
      <c r="I51" s="170"/>
      <c r="J51" s="172"/>
      <c r="K51" s="172"/>
      <c r="L51" s="152">
        <v>9</v>
      </c>
      <c r="M51" s="55" t="s">
        <v>244</v>
      </c>
      <c r="N51" s="138" t="s">
        <v>219</v>
      </c>
      <c r="O51" s="138">
        <f>O48</f>
        <v>16</v>
      </c>
      <c r="P51" s="141">
        <f t="shared" si="6"/>
        <v>16</v>
      </c>
      <c r="Q51" s="129">
        <f t="shared" si="7"/>
        <v>16</v>
      </c>
      <c r="R51" s="129">
        <f t="shared" si="8"/>
        <v>16</v>
      </c>
      <c r="S51" s="129" t="s">
        <v>147</v>
      </c>
      <c r="T51" s="5"/>
    </row>
    <row r="52" spans="1:20" ht="12.95" customHeight="1" x14ac:dyDescent="0.25">
      <c r="A52" s="183"/>
      <c r="B52" s="186"/>
      <c r="C52" s="186"/>
      <c r="D52" s="183"/>
      <c r="E52" s="186"/>
      <c r="F52" s="163"/>
      <c r="G52" s="166"/>
      <c r="H52" s="168"/>
      <c r="I52" s="170"/>
      <c r="J52" s="172"/>
      <c r="K52" s="172"/>
      <c r="L52" s="146">
        <v>10</v>
      </c>
      <c r="M52" s="55" t="s">
        <v>212</v>
      </c>
      <c r="N52" s="125" t="s">
        <v>113</v>
      </c>
      <c r="O52" s="138">
        <f>J8*9</f>
        <v>72</v>
      </c>
      <c r="P52" s="89">
        <f t="shared" si="3"/>
        <v>72</v>
      </c>
      <c r="Q52" s="93">
        <f t="shared" si="4"/>
        <v>72</v>
      </c>
      <c r="R52" s="93">
        <f t="shared" si="5"/>
        <v>72</v>
      </c>
      <c r="S52" s="93" t="s">
        <v>147</v>
      </c>
      <c r="T52" s="5"/>
    </row>
    <row r="53" spans="1:20" ht="12.95" customHeight="1" x14ac:dyDescent="0.25">
      <c r="A53" s="183"/>
      <c r="B53" s="186"/>
      <c r="C53" s="186"/>
      <c r="D53" s="183"/>
      <c r="E53" s="186"/>
      <c r="F53" s="163"/>
      <c r="G53" s="166"/>
      <c r="H53" s="168"/>
      <c r="I53" s="170"/>
      <c r="J53" s="172"/>
      <c r="K53" s="172"/>
      <c r="L53" s="152">
        <v>11</v>
      </c>
      <c r="M53" s="55" t="s">
        <v>213</v>
      </c>
      <c r="N53" s="125" t="s">
        <v>114</v>
      </c>
      <c r="O53" s="138">
        <f>O52</f>
        <v>72</v>
      </c>
      <c r="P53" s="89">
        <f t="shared" si="3"/>
        <v>72</v>
      </c>
      <c r="Q53" s="89">
        <f t="shared" si="4"/>
        <v>72</v>
      </c>
      <c r="R53" s="89">
        <f t="shared" si="5"/>
        <v>72</v>
      </c>
      <c r="S53" s="89" t="s">
        <v>147</v>
      </c>
      <c r="T53" s="5"/>
    </row>
    <row r="54" spans="1:20" ht="12.95" customHeight="1" x14ac:dyDescent="0.25">
      <c r="A54" s="183"/>
      <c r="B54" s="186"/>
      <c r="C54" s="186"/>
      <c r="D54" s="183"/>
      <c r="E54" s="186"/>
      <c r="F54" s="163"/>
      <c r="G54" s="166"/>
      <c r="H54" s="168"/>
      <c r="I54" s="170"/>
      <c r="J54" s="172"/>
      <c r="K54" s="172"/>
      <c r="L54" s="146">
        <v>12</v>
      </c>
      <c r="M54" s="55" t="s">
        <v>214</v>
      </c>
      <c r="N54" s="125" t="s">
        <v>36</v>
      </c>
      <c r="O54" s="138">
        <f>O53</f>
        <v>72</v>
      </c>
      <c r="P54" s="89">
        <f t="shared" si="3"/>
        <v>72</v>
      </c>
      <c r="Q54" s="89">
        <f t="shared" si="4"/>
        <v>72</v>
      </c>
      <c r="R54" s="89">
        <f t="shared" si="5"/>
        <v>72</v>
      </c>
      <c r="S54" s="89" t="s">
        <v>147</v>
      </c>
      <c r="T54" s="5"/>
    </row>
    <row r="55" spans="1:20" ht="12.95" customHeight="1" x14ac:dyDescent="0.25">
      <c r="A55" s="183"/>
      <c r="B55" s="186"/>
      <c r="C55" s="186"/>
      <c r="D55" s="183"/>
      <c r="E55" s="186"/>
      <c r="F55" s="163"/>
      <c r="G55" s="166"/>
      <c r="H55" s="168"/>
      <c r="I55" s="170"/>
      <c r="J55" s="172"/>
      <c r="K55" s="172"/>
      <c r="L55" s="152">
        <v>13</v>
      </c>
      <c r="M55" s="55" t="s">
        <v>215</v>
      </c>
      <c r="N55" s="125" t="s">
        <v>216</v>
      </c>
      <c r="O55" s="138">
        <v>24</v>
      </c>
      <c r="P55" s="89">
        <f t="shared" si="3"/>
        <v>24</v>
      </c>
      <c r="Q55" s="89">
        <f t="shared" si="4"/>
        <v>24</v>
      </c>
      <c r="R55" s="89">
        <f t="shared" si="5"/>
        <v>24</v>
      </c>
      <c r="S55" s="89" t="s">
        <v>147</v>
      </c>
      <c r="T55" s="5"/>
    </row>
    <row r="56" spans="1:20" ht="12.95" customHeight="1" x14ac:dyDescent="0.25">
      <c r="A56" s="183"/>
      <c r="B56" s="186"/>
      <c r="C56" s="186"/>
      <c r="D56" s="183"/>
      <c r="E56" s="186"/>
      <c r="F56" s="163"/>
      <c r="G56" s="166"/>
      <c r="H56" s="168"/>
      <c r="I56" s="170"/>
      <c r="J56" s="172"/>
      <c r="K56" s="172"/>
      <c r="L56" s="146">
        <v>14</v>
      </c>
      <c r="M56" s="55" t="s">
        <v>217</v>
      </c>
      <c r="N56" s="125" t="s">
        <v>89</v>
      </c>
      <c r="O56" s="138">
        <f>O55</f>
        <v>24</v>
      </c>
      <c r="P56" s="89">
        <f t="shared" si="3"/>
        <v>24</v>
      </c>
      <c r="Q56" s="89">
        <f t="shared" si="4"/>
        <v>24</v>
      </c>
      <c r="R56" s="89">
        <f t="shared" si="5"/>
        <v>24</v>
      </c>
      <c r="S56" s="89" t="s">
        <v>147</v>
      </c>
      <c r="T56" s="5"/>
    </row>
    <row r="57" spans="1:20" ht="12.95" customHeight="1" x14ac:dyDescent="0.25">
      <c r="A57" s="183"/>
      <c r="B57" s="186"/>
      <c r="C57" s="186"/>
      <c r="D57" s="183"/>
      <c r="E57" s="186"/>
      <c r="F57" s="163"/>
      <c r="G57" s="166"/>
      <c r="H57" s="168"/>
      <c r="I57" s="170"/>
      <c r="J57" s="172"/>
      <c r="K57" s="172"/>
      <c r="L57" s="152">
        <v>15</v>
      </c>
      <c r="M57" s="55" t="s">
        <v>218</v>
      </c>
      <c r="N57" s="125" t="s">
        <v>219</v>
      </c>
      <c r="O57" s="138">
        <f>O55</f>
        <v>24</v>
      </c>
      <c r="P57" s="89">
        <f t="shared" si="3"/>
        <v>24</v>
      </c>
      <c r="Q57" s="78">
        <f t="shared" si="4"/>
        <v>24</v>
      </c>
      <c r="R57" s="78">
        <f t="shared" si="5"/>
        <v>24</v>
      </c>
      <c r="S57" s="78" t="s">
        <v>147</v>
      </c>
      <c r="T57" s="5"/>
    </row>
    <row r="58" spans="1:20" ht="12.95" customHeight="1" x14ac:dyDescent="0.25">
      <c r="A58" s="183"/>
      <c r="B58" s="186"/>
      <c r="C58" s="186"/>
      <c r="D58" s="183"/>
      <c r="E58" s="186"/>
      <c r="F58" s="163"/>
      <c r="G58" s="166"/>
      <c r="H58" s="168"/>
      <c r="I58" s="170"/>
      <c r="J58" s="172"/>
      <c r="K58" s="172"/>
      <c r="L58" s="146">
        <v>16</v>
      </c>
      <c r="M58" s="55" t="s">
        <v>220</v>
      </c>
      <c r="N58" s="125" t="s">
        <v>120</v>
      </c>
      <c r="O58" s="138">
        <f>J8*7</f>
        <v>56</v>
      </c>
      <c r="P58" s="78">
        <f t="shared" si="3"/>
        <v>56</v>
      </c>
      <c r="Q58" s="89">
        <f t="shared" si="4"/>
        <v>56</v>
      </c>
      <c r="R58" s="89">
        <f t="shared" si="5"/>
        <v>56</v>
      </c>
      <c r="S58" s="89" t="s">
        <v>147</v>
      </c>
      <c r="T58" s="77"/>
    </row>
    <row r="59" spans="1:20" ht="12.95" customHeight="1" x14ac:dyDescent="0.25">
      <c r="A59" s="183"/>
      <c r="B59" s="186"/>
      <c r="C59" s="186"/>
      <c r="D59" s="183"/>
      <c r="E59" s="186"/>
      <c r="F59" s="163"/>
      <c r="G59" s="166"/>
      <c r="H59" s="168"/>
      <c r="I59" s="170"/>
      <c r="J59" s="172"/>
      <c r="K59" s="172"/>
      <c r="L59" s="152">
        <v>17</v>
      </c>
      <c r="M59" s="55" t="s">
        <v>221</v>
      </c>
      <c r="N59" s="125" t="s">
        <v>113</v>
      </c>
      <c r="O59" s="138">
        <v>48</v>
      </c>
      <c r="P59" s="89">
        <f t="shared" si="3"/>
        <v>48</v>
      </c>
      <c r="Q59" s="89">
        <f t="shared" si="4"/>
        <v>48</v>
      </c>
      <c r="R59" s="89">
        <f t="shared" si="5"/>
        <v>48</v>
      </c>
      <c r="S59" s="89" t="s">
        <v>147</v>
      </c>
      <c r="T59" s="77"/>
    </row>
    <row r="60" spans="1:20" ht="12.95" customHeight="1" x14ac:dyDescent="0.25">
      <c r="A60" s="183"/>
      <c r="B60" s="186"/>
      <c r="C60" s="186"/>
      <c r="D60" s="183"/>
      <c r="E60" s="186"/>
      <c r="F60" s="163"/>
      <c r="G60" s="166"/>
      <c r="H60" s="168"/>
      <c r="I60" s="170"/>
      <c r="J60" s="172"/>
      <c r="K60" s="172"/>
      <c r="L60" s="146">
        <v>18</v>
      </c>
      <c r="M60" s="55" t="s">
        <v>222</v>
      </c>
      <c r="N60" s="125" t="s">
        <v>223</v>
      </c>
      <c r="O60" s="138">
        <v>48</v>
      </c>
      <c r="P60" s="89">
        <f t="shared" si="3"/>
        <v>48</v>
      </c>
      <c r="Q60" s="89">
        <f t="shared" si="4"/>
        <v>48</v>
      </c>
      <c r="R60" s="89">
        <f t="shared" si="5"/>
        <v>48</v>
      </c>
      <c r="S60" s="89" t="s">
        <v>147</v>
      </c>
      <c r="T60" s="77"/>
    </row>
    <row r="61" spans="1:20" ht="12.95" customHeight="1" x14ac:dyDescent="0.25">
      <c r="A61" s="184"/>
      <c r="B61" s="187"/>
      <c r="C61" s="187"/>
      <c r="D61" s="184"/>
      <c r="E61" s="187"/>
      <c r="F61" s="164"/>
      <c r="G61" s="167"/>
      <c r="H61" s="169"/>
      <c r="I61" s="171"/>
      <c r="J61" s="173"/>
      <c r="K61" s="173"/>
      <c r="L61" s="152">
        <v>19</v>
      </c>
      <c r="M61" s="55" t="s">
        <v>224</v>
      </c>
      <c r="N61" s="87" t="s">
        <v>234</v>
      </c>
      <c r="O61" s="138">
        <v>1</v>
      </c>
      <c r="P61" s="89">
        <f t="shared" si="3"/>
        <v>1</v>
      </c>
      <c r="Q61" s="89">
        <f t="shared" si="4"/>
        <v>1</v>
      </c>
      <c r="R61" s="87">
        <f>IF(B8=30,"6.75",IF(B8=25,"5.73",IF(B8=20,"4.72",IF(B8=15,"3.71"))))*Q61</f>
        <v>4.72</v>
      </c>
      <c r="S61" s="89" t="s">
        <v>146</v>
      </c>
      <c r="T61" s="77"/>
    </row>
    <row r="76" spans="1:1" hidden="1" x14ac:dyDescent="0.25">
      <c r="A76" t="s">
        <v>152</v>
      </c>
    </row>
    <row r="77" spans="1:1" hidden="1" x14ac:dyDescent="0.25">
      <c r="A77" t="s">
        <v>153</v>
      </c>
    </row>
  </sheetData>
  <mergeCells count="40">
    <mergeCell ref="I12:I15"/>
    <mergeCell ref="J12:J15"/>
    <mergeCell ref="K12:K15"/>
    <mergeCell ref="A6:C6"/>
    <mergeCell ref="A8:A25"/>
    <mergeCell ref="B8:B25"/>
    <mergeCell ref="C8:C25"/>
    <mergeCell ref="D8:D25"/>
    <mergeCell ref="E8:E25"/>
    <mergeCell ref="E39:E61"/>
    <mergeCell ref="H16:H17"/>
    <mergeCell ref="I16:I17"/>
    <mergeCell ref="J16:J17"/>
    <mergeCell ref="K16:K17"/>
    <mergeCell ref="H18:H19"/>
    <mergeCell ref="I18:I19"/>
    <mergeCell ref="J18:J19"/>
    <mergeCell ref="K18:K19"/>
    <mergeCell ref="F8:F25"/>
    <mergeCell ref="G8:G25"/>
    <mergeCell ref="H8:H11"/>
    <mergeCell ref="I8:I11"/>
    <mergeCell ref="J8:J11"/>
    <mergeCell ref="K8:K11"/>
    <mergeCell ref="H12:H15"/>
    <mergeCell ref="A37:C37"/>
    <mergeCell ref="A39:A61"/>
    <mergeCell ref="B39:B61"/>
    <mergeCell ref="C39:C61"/>
    <mergeCell ref="D39:D61"/>
    <mergeCell ref="K43:K61"/>
    <mergeCell ref="H20:H21"/>
    <mergeCell ref="I20:I21"/>
    <mergeCell ref="J20:J21"/>
    <mergeCell ref="K20:K21"/>
    <mergeCell ref="F39:F61"/>
    <mergeCell ref="G39:G61"/>
    <mergeCell ref="H43:H61"/>
    <mergeCell ref="I43:I61"/>
    <mergeCell ref="J43:J6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9"/>
  <sheetViews>
    <sheetView view="pageLayout" topLeftCell="A4" zoomScaleNormal="100" workbookViewId="0">
      <selection activeCell="K8" sqref="K8:K11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80" t="s">
        <v>0</v>
      </c>
      <c r="B6" s="181"/>
      <c r="C6" s="181"/>
      <c r="D6" s="8"/>
      <c r="E6" s="9"/>
      <c r="F6" s="9" t="s">
        <v>14</v>
      </c>
      <c r="G6" s="10"/>
      <c r="H6" s="9"/>
      <c r="I6" s="9" t="s">
        <v>13</v>
      </c>
      <c r="J6" s="9"/>
      <c r="K6" s="10"/>
      <c r="L6" s="8"/>
      <c r="M6" s="9"/>
      <c r="N6" s="6" t="s">
        <v>1</v>
      </c>
      <c r="O6" s="9"/>
      <c r="P6" s="9"/>
      <c r="Q6" s="9"/>
      <c r="R6" s="45"/>
      <c r="S6" s="45"/>
      <c r="T6" s="14" t="s">
        <v>15</v>
      </c>
    </row>
    <row r="7" spans="1:20" ht="49.15" customHeight="1" x14ac:dyDescent="0.25">
      <c r="A7" s="16" t="s">
        <v>2</v>
      </c>
      <c r="B7" s="16" t="s">
        <v>143</v>
      </c>
      <c r="C7" s="3" t="s">
        <v>3</v>
      </c>
      <c r="D7" s="11" t="s">
        <v>4</v>
      </c>
      <c r="E7" s="12" t="s">
        <v>5</v>
      </c>
      <c r="F7" s="11" t="s">
        <v>6</v>
      </c>
      <c r="G7" s="11" t="s">
        <v>3</v>
      </c>
      <c r="H7" s="3" t="s">
        <v>10</v>
      </c>
      <c r="I7" s="3" t="s">
        <v>5</v>
      </c>
      <c r="J7" s="16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3" t="s">
        <v>3</v>
      </c>
      <c r="R7" s="13" t="s">
        <v>144</v>
      </c>
      <c r="S7" s="13" t="s">
        <v>145</v>
      </c>
      <c r="T7" s="3" t="s">
        <v>16</v>
      </c>
    </row>
    <row r="8" spans="1:20" ht="14.25" customHeight="1" x14ac:dyDescent="0.25">
      <c r="A8" s="222" t="s">
        <v>141</v>
      </c>
      <c r="B8" s="225">
        <v>20</v>
      </c>
      <c r="C8" s="165">
        <v>1</v>
      </c>
      <c r="D8" s="212" t="s">
        <v>139</v>
      </c>
      <c r="E8" s="221" t="s">
        <v>48</v>
      </c>
      <c r="F8" s="210" t="s">
        <v>17</v>
      </c>
      <c r="G8" s="211">
        <f>F8*C8</f>
        <v>1</v>
      </c>
      <c r="H8" s="212" t="s">
        <v>139</v>
      </c>
      <c r="I8" s="214" t="s">
        <v>48</v>
      </c>
      <c r="J8" s="216">
        <v>1</v>
      </c>
      <c r="K8" s="216">
        <f>J8*C8</f>
        <v>1</v>
      </c>
      <c r="L8" s="120" t="s">
        <v>17</v>
      </c>
      <c r="M8" s="17" t="s">
        <v>49</v>
      </c>
      <c r="N8" s="86" t="s">
        <v>50</v>
      </c>
      <c r="O8" s="83">
        <v>1</v>
      </c>
      <c r="P8" s="120">
        <f>O8*$F$8</f>
        <v>1</v>
      </c>
      <c r="Q8" s="120">
        <f>P8*$C$8</f>
        <v>1</v>
      </c>
      <c r="R8" s="120">
        <f>Q8*5.5</f>
        <v>5.5</v>
      </c>
      <c r="S8" s="83" t="s">
        <v>146</v>
      </c>
      <c r="T8" s="5"/>
    </row>
    <row r="9" spans="1:20" ht="14.25" customHeight="1" x14ac:dyDescent="0.25">
      <c r="A9" s="223"/>
      <c r="B9" s="226"/>
      <c r="C9" s="166"/>
      <c r="D9" s="212"/>
      <c r="E9" s="221"/>
      <c r="F9" s="210"/>
      <c r="G9" s="211"/>
      <c r="H9" s="212"/>
      <c r="I9" s="214"/>
      <c r="J9" s="216"/>
      <c r="K9" s="216"/>
      <c r="L9" s="120" t="s">
        <v>18</v>
      </c>
      <c r="M9" s="17" t="s">
        <v>51</v>
      </c>
      <c r="N9" s="86" t="s">
        <v>52</v>
      </c>
      <c r="O9" s="83">
        <v>1</v>
      </c>
      <c r="P9" s="120">
        <f t="shared" ref="P9:P18" si="0">O9*$F$8</f>
        <v>1</v>
      </c>
      <c r="Q9" s="83">
        <f t="shared" ref="Q9:Q18" si="1">P9*$C$8</f>
        <v>1</v>
      </c>
      <c r="R9" s="83">
        <f>15.19*Q9</f>
        <v>15.19</v>
      </c>
      <c r="S9" s="83" t="s">
        <v>146</v>
      </c>
      <c r="T9" s="5"/>
    </row>
    <row r="10" spans="1:20" ht="14.25" customHeight="1" x14ac:dyDescent="0.25">
      <c r="A10" s="223"/>
      <c r="B10" s="226"/>
      <c r="C10" s="166"/>
      <c r="D10" s="212"/>
      <c r="E10" s="221"/>
      <c r="F10" s="210"/>
      <c r="G10" s="211"/>
      <c r="H10" s="212"/>
      <c r="I10" s="214"/>
      <c r="J10" s="216"/>
      <c r="K10" s="216"/>
      <c r="L10" s="120" t="s">
        <v>19</v>
      </c>
      <c r="M10" s="17" t="s">
        <v>53</v>
      </c>
      <c r="N10" s="87" t="str">
        <f>IF(B8=30,"4x234x1648",IF(B8=20,"4x234x1192",IF(B8=25,"4x234x1420",IF(B8=15,"4x234x964"))))</f>
        <v>4x234x1192</v>
      </c>
      <c r="O10" s="83">
        <v>2</v>
      </c>
      <c r="P10" s="83">
        <f t="shared" si="0"/>
        <v>2</v>
      </c>
      <c r="Q10" s="83">
        <f t="shared" si="1"/>
        <v>2</v>
      </c>
      <c r="R10" s="83">
        <f>(IF(B8=30,"12.1",IF(B8=20,"8.75",IF(B8=25,"10.42",IF(B8=15,"7")))))*Q10</f>
        <v>17.5</v>
      </c>
      <c r="S10" s="83" t="s">
        <v>146</v>
      </c>
      <c r="T10" s="5"/>
    </row>
    <row r="11" spans="1:20" ht="14.25" customHeight="1" thickBot="1" x14ac:dyDescent="0.3">
      <c r="A11" s="223"/>
      <c r="B11" s="226"/>
      <c r="C11" s="166"/>
      <c r="D11" s="212"/>
      <c r="E11" s="221"/>
      <c r="F11" s="210"/>
      <c r="G11" s="211"/>
      <c r="H11" s="213"/>
      <c r="I11" s="215"/>
      <c r="J11" s="217"/>
      <c r="K11" s="217"/>
      <c r="L11" s="133" t="s">
        <v>20</v>
      </c>
      <c r="M11" s="19" t="s">
        <v>54</v>
      </c>
      <c r="N11" s="102" t="s">
        <v>148</v>
      </c>
      <c r="O11" s="84">
        <v>4</v>
      </c>
      <c r="P11" s="84">
        <f t="shared" si="0"/>
        <v>4</v>
      </c>
      <c r="Q11" s="84">
        <f t="shared" si="1"/>
        <v>4</v>
      </c>
      <c r="R11" s="84">
        <f>0.75*Q11</f>
        <v>3</v>
      </c>
      <c r="S11" s="84" t="s">
        <v>146</v>
      </c>
      <c r="T11" s="32"/>
    </row>
    <row r="12" spans="1:20" ht="14.25" customHeight="1" thickBot="1" x14ac:dyDescent="0.3">
      <c r="A12" s="223"/>
      <c r="B12" s="226"/>
      <c r="C12" s="166"/>
      <c r="D12" s="212"/>
      <c r="E12" s="221"/>
      <c r="F12" s="210"/>
      <c r="G12" s="211"/>
      <c r="H12" s="150" t="s">
        <v>33</v>
      </c>
      <c r="I12" s="37" t="s">
        <v>55</v>
      </c>
      <c r="J12" s="151">
        <v>1</v>
      </c>
      <c r="K12" s="151">
        <f>J12*C8</f>
        <v>1</v>
      </c>
      <c r="L12" s="153" t="s">
        <v>17</v>
      </c>
      <c r="M12" s="25" t="s">
        <v>55</v>
      </c>
      <c r="N12" s="121" t="s">
        <v>56</v>
      </c>
      <c r="O12" s="122">
        <v>1</v>
      </c>
      <c r="P12" s="122">
        <f t="shared" si="0"/>
        <v>1</v>
      </c>
      <c r="Q12" s="122">
        <f t="shared" si="1"/>
        <v>1</v>
      </c>
      <c r="R12" s="122">
        <f>Q12</f>
        <v>1</v>
      </c>
      <c r="S12" s="122" t="s">
        <v>147</v>
      </c>
      <c r="T12" s="38"/>
    </row>
    <row r="13" spans="1:20" ht="14.25" customHeight="1" x14ac:dyDescent="0.25">
      <c r="A13" s="223"/>
      <c r="B13" s="226"/>
      <c r="C13" s="166"/>
      <c r="D13" s="212"/>
      <c r="E13" s="221"/>
      <c r="F13" s="210"/>
      <c r="G13" s="211"/>
      <c r="H13" s="218" t="s">
        <v>140</v>
      </c>
      <c r="I13" s="220" t="s">
        <v>47</v>
      </c>
      <c r="J13" s="164">
        <v>1</v>
      </c>
      <c r="K13" s="164">
        <f>J13*C8</f>
        <v>1</v>
      </c>
      <c r="L13" s="137" t="s">
        <v>17</v>
      </c>
      <c r="M13" s="18" t="s">
        <v>40</v>
      </c>
      <c r="N13" s="123" t="s">
        <v>57</v>
      </c>
      <c r="O13" s="103">
        <v>2</v>
      </c>
      <c r="P13" s="103">
        <f t="shared" si="0"/>
        <v>2</v>
      </c>
      <c r="Q13" s="103">
        <f t="shared" si="1"/>
        <v>2</v>
      </c>
      <c r="R13" s="103">
        <f t="shared" ref="R13:R18" si="2">Q13</f>
        <v>2</v>
      </c>
      <c r="S13" s="103" t="s">
        <v>147</v>
      </c>
      <c r="T13" s="15"/>
    </row>
    <row r="14" spans="1:20" ht="14.25" customHeight="1" x14ac:dyDescent="0.25">
      <c r="A14" s="223"/>
      <c r="B14" s="226"/>
      <c r="C14" s="166"/>
      <c r="D14" s="212"/>
      <c r="E14" s="221"/>
      <c r="F14" s="210"/>
      <c r="G14" s="211"/>
      <c r="H14" s="219"/>
      <c r="I14" s="221"/>
      <c r="J14" s="210"/>
      <c r="K14" s="210"/>
      <c r="L14" s="120" t="s">
        <v>18</v>
      </c>
      <c r="M14" s="17" t="s">
        <v>41</v>
      </c>
      <c r="N14" s="86" t="s">
        <v>58</v>
      </c>
      <c r="O14" s="83">
        <v>2</v>
      </c>
      <c r="P14" s="83">
        <f t="shared" si="0"/>
        <v>2</v>
      </c>
      <c r="Q14" s="83">
        <f t="shared" si="1"/>
        <v>2</v>
      </c>
      <c r="R14" s="83">
        <f t="shared" si="2"/>
        <v>2</v>
      </c>
      <c r="S14" s="83" t="s">
        <v>147</v>
      </c>
      <c r="T14" s="5"/>
    </row>
    <row r="15" spans="1:20" ht="14.25" customHeight="1" x14ac:dyDescent="0.25">
      <c r="A15" s="223"/>
      <c r="B15" s="226"/>
      <c r="C15" s="166"/>
      <c r="D15" s="212"/>
      <c r="E15" s="221"/>
      <c r="F15" s="210"/>
      <c r="G15" s="211"/>
      <c r="H15" s="219"/>
      <c r="I15" s="221"/>
      <c r="J15" s="210"/>
      <c r="K15" s="210"/>
      <c r="L15" s="120" t="s">
        <v>19</v>
      </c>
      <c r="M15" s="17" t="s">
        <v>59</v>
      </c>
      <c r="N15" s="86" t="s">
        <v>60</v>
      </c>
      <c r="O15" s="83">
        <v>2</v>
      </c>
      <c r="P15" s="83">
        <f t="shared" si="0"/>
        <v>2</v>
      </c>
      <c r="Q15" s="83">
        <f t="shared" si="1"/>
        <v>2</v>
      </c>
      <c r="R15" s="83">
        <f t="shared" si="2"/>
        <v>2</v>
      </c>
      <c r="S15" s="83" t="s">
        <v>147</v>
      </c>
      <c r="T15" s="5"/>
    </row>
    <row r="16" spans="1:20" ht="14.25" customHeight="1" x14ac:dyDescent="0.25">
      <c r="A16" s="223"/>
      <c r="B16" s="226"/>
      <c r="C16" s="166"/>
      <c r="D16" s="212"/>
      <c r="E16" s="221"/>
      <c r="F16" s="210"/>
      <c r="G16" s="211"/>
      <c r="H16" s="219"/>
      <c r="I16" s="221"/>
      <c r="J16" s="210"/>
      <c r="K16" s="210"/>
      <c r="L16" s="120" t="s">
        <v>20</v>
      </c>
      <c r="M16" s="17" t="s">
        <v>61</v>
      </c>
      <c r="N16" s="86" t="s">
        <v>60</v>
      </c>
      <c r="O16" s="83">
        <v>2</v>
      </c>
      <c r="P16" s="83">
        <f t="shared" si="0"/>
        <v>2</v>
      </c>
      <c r="Q16" s="83">
        <f t="shared" si="1"/>
        <v>2</v>
      </c>
      <c r="R16" s="83">
        <f t="shared" si="2"/>
        <v>2</v>
      </c>
      <c r="S16" s="83" t="s">
        <v>147</v>
      </c>
      <c r="T16" s="5"/>
    </row>
    <row r="17" spans="1:20" ht="14.25" customHeight="1" x14ac:dyDescent="0.25">
      <c r="A17" s="223"/>
      <c r="B17" s="226"/>
      <c r="C17" s="166"/>
      <c r="D17" s="212"/>
      <c r="E17" s="221"/>
      <c r="F17" s="210"/>
      <c r="G17" s="211"/>
      <c r="H17" s="219"/>
      <c r="I17" s="221"/>
      <c r="J17" s="210"/>
      <c r="K17" s="210"/>
      <c r="L17" s="120" t="s">
        <v>21</v>
      </c>
      <c r="M17" s="17" t="s">
        <v>42</v>
      </c>
      <c r="N17" s="86" t="s">
        <v>43</v>
      </c>
      <c r="O17" s="83">
        <v>4</v>
      </c>
      <c r="P17" s="83">
        <f t="shared" si="0"/>
        <v>4</v>
      </c>
      <c r="Q17" s="83">
        <f t="shared" si="1"/>
        <v>4</v>
      </c>
      <c r="R17" s="83">
        <f t="shared" si="2"/>
        <v>4</v>
      </c>
      <c r="S17" s="83" t="s">
        <v>147</v>
      </c>
      <c r="T17" s="5"/>
    </row>
    <row r="18" spans="1:20" ht="14.25" customHeight="1" x14ac:dyDescent="0.25">
      <c r="A18" s="224"/>
      <c r="B18" s="227"/>
      <c r="C18" s="167"/>
      <c r="D18" s="212"/>
      <c r="E18" s="221"/>
      <c r="F18" s="210"/>
      <c r="G18" s="211"/>
      <c r="H18" s="219"/>
      <c r="I18" s="221"/>
      <c r="J18" s="210"/>
      <c r="K18" s="210"/>
      <c r="L18" s="120" t="s">
        <v>22</v>
      </c>
      <c r="M18" s="17" t="s">
        <v>32</v>
      </c>
      <c r="N18" s="104" t="s">
        <v>44</v>
      </c>
      <c r="O18" s="83">
        <v>4</v>
      </c>
      <c r="P18" s="83">
        <f t="shared" si="0"/>
        <v>4</v>
      </c>
      <c r="Q18" s="83">
        <f t="shared" si="1"/>
        <v>4</v>
      </c>
      <c r="R18" s="83">
        <f t="shared" si="2"/>
        <v>4</v>
      </c>
      <c r="S18" s="83" t="s">
        <v>147</v>
      </c>
      <c r="T18" s="5"/>
    </row>
    <row r="19" spans="1:20" x14ac:dyDescent="0.25">
      <c r="J19" s="4"/>
      <c r="K19" s="4"/>
    </row>
    <row r="21" spans="1:20" x14ac:dyDescent="0.25">
      <c r="Q21" s="46"/>
    </row>
    <row r="25" spans="1:20" ht="15.75" x14ac:dyDescent="0.25">
      <c r="M25" s="47"/>
    </row>
    <row r="26" spans="1:20" hidden="1" x14ac:dyDescent="0.25">
      <c r="B26" s="49">
        <v>15</v>
      </c>
    </row>
    <row r="27" spans="1:20" hidden="1" x14ac:dyDescent="0.25">
      <c r="B27" s="49">
        <v>20</v>
      </c>
    </row>
    <row r="28" spans="1:20" hidden="1" x14ac:dyDescent="0.25">
      <c r="B28" s="49">
        <v>25</v>
      </c>
    </row>
    <row r="29" spans="1:20" hidden="1" x14ac:dyDescent="0.25">
      <c r="B29" s="49">
        <v>30</v>
      </c>
    </row>
  </sheetData>
  <mergeCells count="16">
    <mergeCell ref="E8:E18"/>
    <mergeCell ref="A6:C6"/>
    <mergeCell ref="A8:A18"/>
    <mergeCell ref="B8:B18"/>
    <mergeCell ref="C8:C18"/>
    <mergeCell ref="D8:D18"/>
    <mergeCell ref="K8:K11"/>
    <mergeCell ref="H13:H18"/>
    <mergeCell ref="I13:I18"/>
    <mergeCell ref="J13:J18"/>
    <mergeCell ref="K13:K18"/>
    <mergeCell ref="F8:F18"/>
    <mergeCell ref="G8:G18"/>
    <mergeCell ref="H8:H11"/>
    <mergeCell ref="I8:I11"/>
    <mergeCell ref="J8:J11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49"/>
  <sheetViews>
    <sheetView view="pageLayout" zoomScaleNormal="100" workbookViewId="0">
      <selection activeCell="N20" sqref="N20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5.25" customHeight="1" x14ac:dyDescent="0.25"/>
    <row r="6" spans="1:20" ht="19.5" x14ac:dyDescent="0.25">
      <c r="A6" s="180" t="s">
        <v>0</v>
      </c>
      <c r="B6" s="181"/>
      <c r="C6" s="181"/>
      <c r="D6" s="8"/>
      <c r="E6" s="9"/>
      <c r="F6" s="9" t="s">
        <v>14</v>
      </c>
      <c r="G6" s="10"/>
      <c r="H6" s="9"/>
      <c r="I6" s="9" t="s">
        <v>13</v>
      </c>
      <c r="J6" s="9"/>
      <c r="K6" s="10"/>
      <c r="L6" s="8"/>
      <c r="M6" s="9"/>
      <c r="N6" s="6" t="s">
        <v>1</v>
      </c>
      <c r="O6" s="9"/>
      <c r="P6" s="9"/>
      <c r="Q6" s="9"/>
      <c r="R6" s="45"/>
      <c r="S6" s="45"/>
      <c r="T6" s="14" t="s">
        <v>15</v>
      </c>
    </row>
    <row r="7" spans="1:20" ht="50.25" customHeight="1" x14ac:dyDescent="0.25">
      <c r="A7" s="16" t="s">
        <v>2</v>
      </c>
      <c r="B7" s="16" t="s">
        <v>143</v>
      </c>
      <c r="C7" s="3" t="s">
        <v>3</v>
      </c>
      <c r="D7" s="11" t="s">
        <v>4</v>
      </c>
      <c r="E7" s="12" t="s">
        <v>5</v>
      </c>
      <c r="F7" s="11" t="s">
        <v>6</v>
      </c>
      <c r="G7" s="11" t="s">
        <v>3</v>
      </c>
      <c r="H7" s="3" t="s">
        <v>10</v>
      </c>
      <c r="I7" s="3" t="s">
        <v>5</v>
      </c>
      <c r="J7" s="16" t="s">
        <v>12</v>
      </c>
      <c r="K7" s="3" t="s">
        <v>11</v>
      </c>
      <c r="L7" s="1" t="s">
        <v>7</v>
      </c>
      <c r="M7" s="2" t="s">
        <v>5</v>
      </c>
      <c r="N7" s="2" t="s">
        <v>9</v>
      </c>
      <c r="O7" s="3" t="s">
        <v>8</v>
      </c>
      <c r="P7" s="3" t="s">
        <v>6</v>
      </c>
      <c r="Q7" s="13" t="s">
        <v>3</v>
      </c>
      <c r="R7" s="13" t="s">
        <v>144</v>
      </c>
      <c r="S7" s="13" t="s">
        <v>145</v>
      </c>
      <c r="T7" s="3" t="s">
        <v>16</v>
      </c>
    </row>
    <row r="8" spans="1:20" x14ac:dyDescent="0.25">
      <c r="A8" s="252" t="s">
        <v>141</v>
      </c>
      <c r="B8" s="216">
        <v>20</v>
      </c>
      <c r="C8" s="216">
        <v>1</v>
      </c>
      <c r="D8" s="252" t="s">
        <v>140</v>
      </c>
      <c r="E8" s="253" t="s">
        <v>62</v>
      </c>
      <c r="F8" s="246">
        <v>1</v>
      </c>
      <c r="G8" s="247">
        <f>C8*F8</f>
        <v>1</v>
      </c>
      <c r="H8" s="247" t="s">
        <v>139</v>
      </c>
      <c r="I8" s="248" t="s">
        <v>62</v>
      </c>
      <c r="J8" s="247">
        <v>1</v>
      </c>
      <c r="K8" s="247">
        <f>J8*G8</f>
        <v>1</v>
      </c>
      <c r="L8" s="87" t="s">
        <v>17</v>
      </c>
      <c r="M8" s="97" t="s">
        <v>49</v>
      </c>
      <c r="N8" s="118" t="s">
        <v>63</v>
      </c>
      <c r="O8" s="118">
        <v>1</v>
      </c>
      <c r="P8" s="87">
        <f>O8*$F$8</f>
        <v>1</v>
      </c>
      <c r="Q8" s="87">
        <f>P8*$C$8</f>
        <v>1</v>
      </c>
      <c r="R8" s="87">
        <f>5.65*Q8</f>
        <v>5.65</v>
      </c>
      <c r="S8" s="87" t="s">
        <v>146</v>
      </c>
      <c r="T8" s="50"/>
    </row>
    <row r="9" spans="1:20" x14ac:dyDescent="0.25">
      <c r="A9" s="252"/>
      <c r="B9" s="216"/>
      <c r="C9" s="216"/>
      <c r="D9" s="252"/>
      <c r="E9" s="253"/>
      <c r="F9" s="246"/>
      <c r="G9" s="247"/>
      <c r="H9" s="247"/>
      <c r="I9" s="248"/>
      <c r="J9" s="247"/>
      <c r="K9" s="247"/>
      <c r="L9" s="87" t="s">
        <v>18</v>
      </c>
      <c r="M9" s="97" t="s">
        <v>51</v>
      </c>
      <c r="N9" s="118" t="s">
        <v>64</v>
      </c>
      <c r="O9" s="118">
        <v>3</v>
      </c>
      <c r="P9" s="87">
        <f t="shared" ref="P9:P23" si="0">O9*$F$8</f>
        <v>3</v>
      </c>
      <c r="Q9" s="87">
        <f t="shared" ref="Q9:Q23" si="1">P9*$C$8</f>
        <v>3</v>
      </c>
      <c r="R9" s="87">
        <f>Q9*1.5</f>
        <v>4.5</v>
      </c>
      <c r="S9" s="87" t="s">
        <v>146</v>
      </c>
      <c r="T9" s="50"/>
    </row>
    <row r="10" spans="1:20" x14ac:dyDescent="0.25">
      <c r="A10" s="252"/>
      <c r="B10" s="216"/>
      <c r="C10" s="216"/>
      <c r="D10" s="252"/>
      <c r="E10" s="253"/>
      <c r="F10" s="246"/>
      <c r="G10" s="247"/>
      <c r="H10" s="247"/>
      <c r="I10" s="248"/>
      <c r="J10" s="247"/>
      <c r="K10" s="247"/>
      <c r="L10" s="87" t="s">
        <v>19</v>
      </c>
      <c r="M10" s="97" t="s">
        <v>65</v>
      </c>
      <c r="N10" s="118" t="s">
        <v>66</v>
      </c>
      <c r="O10" s="118">
        <v>1</v>
      </c>
      <c r="P10" s="87">
        <f t="shared" si="0"/>
        <v>1</v>
      </c>
      <c r="Q10" s="87">
        <f t="shared" si="1"/>
        <v>1</v>
      </c>
      <c r="R10" s="87">
        <f>2.3*Q10</f>
        <v>2.2999999999999998</v>
      </c>
      <c r="S10" s="87" t="s">
        <v>146</v>
      </c>
      <c r="T10" s="50"/>
    </row>
    <row r="11" spans="1:20" x14ac:dyDescent="0.25">
      <c r="A11" s="252"/>
      <c r="B11" s="216"/>
      <c r="C11" s="216"/>
      <c r="D11" s="252"/>
      <c r="E11" s="253"/>
      <c r="F11" s="246"/>
      <c r="G11" s="247"/>
      <c r="H11" s="247"/>
      <c r="I11" s="248"/>
      <c r="J11" s="247"/>
      <c r="K11" s="247"/>
      <c r="L11" s="87" t="s">
        <v>20</v>
      </c>
      <c r="M11" s="97" t="s">
        <v>67</v>
      </c>
      <c r="N11" s="83" t="str">
        <f>IF(B8=30,"70x70,L=1677",IF(B8=20,"70x70,L=1213",IF(B8=25,"70x70,L=1445",IF(B8=15,"70x70,L=981"))))</f>
        <v>70x70,L=1213</v>
      </c>
      <c r="O11" s="118">
        <v>2</v>
      </c>
      <c r="P11" s="87">
        <f t="shared" si="0"/>
        <v>2</v>
      </c>
      <c r="Q11" s="87">
        <f t="shared" si="1"/>
        <v>2</v>
      </c>
      <c r="R11" s="83">
        <f>(IF(B8=30,"11",IF(B8=20,"8",IF(B8=25,"9.53",IF(B8=15,"6.46")))))*Q11</f>
        <v>16</v>
      </c>
      <c r="S11" s="87" t="s">
        <v>146</v>
      </c>
      <c r="T11" s="50"/>
    </row>
    <row r="12" spans="1:20" x14ac:dyDescent="0.25">
      <c r="A12" s="252"/>
      <c r="B12" s="216"/>
      <c r="C12" s="216"/>
      <c r="D12" s="252"/>
      <c r="E12" s="253"/>
      <c r="F12" s="246"/>
      <c r="G12" s="247"/>
      <c r="H12" s="247"/>
      <c r="I12" s="248"/>
      <c r="J12" s="247"/>
      <c r="K12" s="247"/>
      <c r="L12" s="87" t="s">
        <v>21</v>
      </c>
      <c r="M12" s="97" t="s">
        <v>68</v>
      </c>
      <c r="N12" s="83" t="str">
        <f>IF(B8=30,"70x70,L=1718",IF(B8=20,"70x70,L=1177",IF(B8=25,"70x70,L=1447",IF(B8=15,"70x70,L=906"))))</f>
        <v>70x70,L=1177</v>
      </c>
      <c r="O12" s="118">
        <v>1</v>
      </c>
      <c r="P12" s="87">
        <f t="shared" si="0"/>
        <v>1</v>
      </c>
      <c r="Q12" s="87">
        <f t="shared" si="1"/>
        <v>1</v>
      </c>
      <c r="R12" s="83">
        <f>(IF(B8=30,"12.1",IF(B8=20,"8.75",IF(B8=25,"10.42",IF(B8=15,"7")))))*Q12</f>
        <v>8.75</v>
      </c>
      <c r="S12" s="87" t="s">
        <v>146</v>
      </c>
      <c r="T12" s="50"/>
    </row>
    <row r="13" spans="1:20" x14ac:dyDescent="0.25">
      <c r="A13" s="252"/>
      <c r="B13" s="216"/>
      <c r="C13" s="216"/>
      <c r="D13" s="252"/>
      <c r="E13" s="253"/>
      <c r="F13" s="246"/>
      <c r="G13" s="247"/>
      <c r="H13" s="247"/>
      <c r="I13" s="248"/>
      <c r="J13" s="247"/>
      <c r="K13" s="247"/>
      <c r="L13" s="87" t="s">
        <v>22</v>
      </c>
      <c r="M13" s="97" t="s">
        <v>69</v>
      </c>
      <c r="N13" s="83" t="str">
        <f>IF(B8=30,"3x270x700",IF(B8=20,"3x270x500",IF(B8=25,"3x270x600",IF(B8=15,"3x270x400"))))</f>
        <v>3x270x500</v>
      </c>
      <c r="O13" s="118">
        <v>1</v>
      </c>
      <c r="P13" s="87">
        <f t="shared" si="0"/>
        <v>1</v>
      </c>
      <c r="Q13" s="87">
        <f t="shared" si="1"/>
        <v>1</v>
      </c>
      <c r="R13" s="83">
        <f>(IF(B8=30,"4.45",IF(B8=20,"3.18",IF(B8=25,"3.81",IF(B8=15,"2.54")))))*Q13</f>
        <v>3.18</v>
      </c>
      <c r="S13" s="87" t="s">
        <v>146</v>
      </c>
      <c r="T13" s="50"/>
    </row>
    <row r="14" spans="1:20" ht="28.5" x14ac:dyDescent="0.25">
      <c r="A14" s="252"/>
      <c r="B14" s="216"/>
      <c r="C14" s="216"/>
      <c r="D14" s="252"/>
      <c r="E14" s="253"/>
      <c r="F14" s="246"/>
      <c r="G14" s="247"/>
      <c r="H14" s="247"/>
      <c r="I14" s="248"/>
      <c r="J14" s="247"/>
      <c r="K14" s="247"/>
      <c r="L14" s="87" t="s">
        <v>23</v>
      </c>
      <c r="M14" s="51" t="s">
        <v>70</v>
      </c>
      <c r="N14" s="118" t="s">
        <v>71</v>
      </c>
      <c r="O14" s="118">
        <v>1</v>
      </c>
      <c r="P14" s="87">
        <f t="shared" si="0"/>
        <v>1</v>
      </c>
      <c r="Q14" s="87">
        <f t="shared" si="1"/>
        <v>1</v>
      </c>
      <c r="R14" s="87">
        <f>1.06*Q14</f>
        <v>1.06</v>
      </c>
      <c r="S14" s="87" t="s">
        <v>146</v>
      </c>
      <c r="T14" s="50"/>
    </row>
    <row r="15" spans="1:20" x14ac:dyDescent="0.25">
      <c r="A15" s="252"/>
      <c r="B15" s="216"/>
      <c r="C15" s="216"/>
      <c r="D15" s="252"/>
      <c r="E15" s="253"/>
      <c r="F15" s="246"/>
      <c r="G15" s="247"/>
      <c r="H15" s="247"/>
      <c r="I15" s="248"/>
      <c r="J15" s="247"/>
      <c r="K15" s="247"/>
      <c r="L15" s="87" t="s">
        <v>24</v>
      </c>
      <c r="M15" s="97" t="s">
        <v>72</v>
      </c>
      <c r="N15" s="118" t="s">
        <v>73</v>
      </c>
      <c r="O15" s="118">
        <v>1</v>
      </c>
      <c r="P15" s="87">
        <f t="shared" si="0"/>
        <v>1</v>
      </c>
      <c r="Q15" s="87">
        <f t="shared" si="1"/>
        <v>1</v>
      </c>
      <c r="R15" s="87">
        <f>0.33*Q15</f>
        <v>0.33</v>
      </c>
      <c r="S15" s="87" t="s">
        <v>146</v>
      </c>
      <c r="T15" s="50"/>
    </row>
    <row r="16" spans="1:20" x14ac:dyDescent="0.25">
      <c r="A16" s="252"/>
      <c r="B16" s="216"/>
      <c r="C16" s="216"/>
      <c r="D16" s="252"/>
      <c r="E16" s="253"/>
      <c r="F16" s="246"/>
      <c r="G16" s="247"/>
      <c r="H16" s="247"/>
      <c r="I16" s="248"/>
      <c r="J16" s="247"/>
      <c r="K16" s="247"/>
      <c r="L16" s="87" t="s">
        <v>25</v>
      </c>
      <c r="M16" s="97" t="s">
        <v>74</v>
      </c>
      <c r="N16" s="118" t="s">
        <v>75</v>
      </c>
      <c r="O16" s="118">
        <v>1</v>
      </c>
      <c r="P16" s="87">
        <f t="shared" si="0"/>
        <v>1</v>
      </c>
      <c r="Q16" s="87">
        <f t="shared" si="1"/>
        <v>1</v>
      </c>
      <c r="R16" s="87">
        <f>0.15*Q16</f>
        <v>0.15</v>
      </c>
      <c r="S16" s="87" t="s">
        <v>146</v>
      </c>
      <c r="T16" s="50"/>
    </row>
    <row r="17" spans="1:20" x14ac:dyDescent="0.25">
      <c r="A17" s="252"/>
      <c r="B17" s="216"/>
      <c r="C17" s="216"/>
      <c r="D17" s="252"/>
      <c r="E17" s="253"/>
      <c r="F17" s="246"/>
      <c r="G17" s="247"/>
      <c r="H17" s="247"/>
      <c r="I17" s="248"/>
      <c r="J17" s="247"/>
      <c r="K17" s="247"/>
      <c r="L17" s="87" t="s">
        <v>26</v>
      </c>
      <c r="M17" s="97" t="s">
        <v>149</v>
      </c>
      <c r="N17" s="83" t="str">
        <f>IF(B8=30,"40x40,L=700",IF(B8=20,"40x40,L=500",IF(B8=25,"40x40,L=600",IF(B8=15,"40x40,L=400"))))</f>
        <v>40x40,L=500</v>
      </c>
      <c r="O17" s="118">
        <v>1</v>
      </c>
      <c r="P17" s="87">
        <f t="shared" si="0"/>
        <v>1</v>
      </c>
      <c r="Q17" s="87">
        <f t="shared" si="1"/>
        <v>1</v>
      </c>
      <c r="R17" s="83">
        <f>(IF(B8=30,"1.75",IF(B8=20,"1.25",IF(B8=25,"1.5",IF(B8=15,"1")))))*Q17</f>
        <v>1.25</v>
      </c>
      <c r="S17" s="87" t="s">
        <v>146</v>
      </c>
      <c r="T17" s="50"/>
    </row>
    <row r="18" spans="1:20" x14ac:dyDescent="0.25">
      <c r="A18" s="252"/>
      <c r="B18" s="216"/>
      <c r="C18" s="216"/>
      <c r="D18" s="252"/>
      <c r="E18" s="253"/>
      <c r="F18" s="246"/>
      <c r="G18" s="247"/>
      <c r="H18" s="247"/>
      <c r="I18" s="248"/>
      <c r="J18" s="247"/>
      <c r="K18" s="247"/>
      <c r="L18" s="87" t="s">
        <v>27</v>
      </c>
      <c r="M18" s="97" t="s">
        <v>76</v>
      </c>
      <c r="N18" s="83" t="str">
        <f>IF(B8=30,"40x40,L=800",IF(B8=20,"40x40,L=600",IF(B8=25,"40x40,L=700",IF(B8=15,"40x40,L=500"))))</f>
        <v>40x40,L=600</v>
      </c>
      <c r="O18" s="118">
        <v>1</v>
      </c>
      <c r="P18" s="87">
        <f t="shared" si="0"/>
        <v>1</v>
      </c>
      <c r="Q18" s="87">
        <f t="shared" si="1"/>
        <v>1</v>
      </c>
      <c r="R18" s="83">
        <f>(IF(B8=30,"2",IF(B8=20,"1.5",IF(B8=25,"1.75",IF(B8=15,"1.25")))))*Q18</f>
        <v>1.5</v>
      </c>
      <c r="S18" s="87" t="s">
        <v>146</v>
      </c>
      <c r="T18" s="50"/>
    </row>
    <row r="19" spans="1:20" x14ac:dyDescent="0.25">
      <c r="A19" s="252"/>
      <c r="B19" s="216"/>
      <c r="C19" s="216"/>
      <c r="D19" s="252"/>
      <c r="E19" s="253"/>
      <c r="F19" s="246"/>
      <c r="G19" s="247"/>
      <c r="H19" s="247"/>
      <c r="I19" s="248"/>
      <c r="J19" s="247"/>
      <c r="K19" s="247"/>
      <c r="L19" s="87" t="s">
        <v>28</v>
      </c>
      <c r="M19" s="97" t="s">
        <v>77</v>
      </c>
      <c r="N19" s="118" t="s">
        <v>248</v>
      </c>
      <c r="O19" s="118">
        <v>1</v>
      </c>
      <c r="P19" s="87">
        <f t="shared" si="0"/>
        <v>1</v>
      </c>
      <c r="Q19" s="87">
        <f t="shared" si="1"/>
        <v>1</v>
      </c>
      <c r="R19" s="87">
        <f>Q19*1.68</f>
        <v>1.68</v>
      </c>
      <c r="S19" s="87" t="s">
        <v>146</v>
      </c>
      <c r="T19" s="50"/>
    </row>
    <row r="20" spans="1:20" x14ac:dyDescent="0.25">
      <c r="A20" s="252"/>
      <c r="B20" s="216"/>
      <c r="C20" s="216"/>
      <c r="D20" s="252"/>
      <c r="E20" s="253"/>
      <c r="F20" s="246"/>
      <c r="G20" s="247"/>
      <c r="H20" s="247"/>
      <c r="I20" s="248"/>
      <c r="J20" s="247"/>
      <c r="K20" s="247"/>
      <c r="L20" s="87" t="s">
        <v>29</v>
      </c>
      <c r="M20" s="97" t="s">
        <v>78</v>
      </c>
      <c r="N20" s="118" t="s">
        <v>150</v>
      </c>
      <c r="O20" s="118">
        <v>3</v>
      </c>
      <c r="P20" s="87">
        <f t="shared" si="0"/>
        <v>3</v>
      </c>
      <c r="Q20" s="87">
        <f t="shared" si="1"/>
        <v>3</v>
      </c>
      <c r="R20" s="87">
        <f>0.126*Q20</f>
        <v>0.378</v>
      </c>
      <c r="S20" s="87" t="s">
        <v>146</v>
      </c>
      <c r="T20" s="50"/>
    </row>
    <row r="21" spans="1:20" x14ac:dyDescent="0.25">
      <c r="A21" s="252"/>
      <c r="B21" s="216"/>
      <c r="C21" s="216"/>
      <c r="D21" s="252"/>
      <c r="E21" s="253"/>
      <c r="F21" s="246"/>
      <c r="G21" s="247"/>
      <c r="H21" s="247"/>
      <c r="I21" s="248"/>
      <c r="J21" s="247"/>
      <c r="K21" s="247"/>
      <c r="L21" s="87" t="s">
        <v>30</v>
      </c>
      <c r="M21" s="97" t="s">
        <v>151</v>
      </c>
      <c r="N21" s="118" t="s">
        <v>79</v>
      </c>
      <c r="O21" s="118">
        <v>2</v>
      </c>
      <c r="P21" s="87">
        <f t="shared" si="0"/>
        <v>2</v>
      </c>
      <c r="Q21" s="87">
        <f t="shared" si="1"/>
        <v>2</v>
      </c>
      <c r="R21" s="87">
        <f>Q21*0.1</f>
        <v>0.2</v>
      </c>
      <c r="S21" s="87" t="s">
        <v>146</v>
      </c>
      <c r="T21" s="34"/>
    </row>
    <row r="22" spans="1:20" x14ac:dyDescent="0.25">
      <c r="A22" s="252"/>
      <c r="B22" s="216"/>
      <c r="C22" s="216"/>
      <c r="D22" s="252"/>
      <c r="E22" s="253"/>
      <c r="F22" s="246"/>
      <c r="G22" s="247"/>
      <c r="H22" s="247"/>
      <c r="I22" s="248"/>
      <c r="J22" s="247"/>
      <c r="K22" s="247"/>
      <c r="L22" s="87">
        <v>15</v>
      </c>
      <c r="M22" s="97" t="s">
        <v>80</v>
      </c>
      <c r="N22" s="118" t="s">
        <v>81</v>
      </c>
      <c r="O22" s="118">
        <v>1</v>
      </c>
      <c r="P22" s="87">
        <f t="shared" si="0"/>
        <v>1</v>
      </c>
      <c r="Q22" s="87">
        <f t="shared" si="1"/>
        <v>1</v>
      </c>
      <c r="R22" s="87">
        <f>Q22*0.254</f>
        <v>0.254</v>
      </c>
      <c r="S22" s="87" t="s">
        <v>146</v>
      </c>
      <c r="T22" s="50"/>
    </row>
    <row r="23" spans="1:20" x14ac:dyDescent="0.25">
      <c r="A23" s="252"/>
      <c r="B23" s="216"/>
      <c r="C23" s="216"/>
      <c r="D23" s="252"/>
      <c r="E23" s="253"/>
      <c r="F23" s="246"/>
      <c r="G23" s="247"/>
      <c r="H23" s="247"/>
      <c r="I23" s="248"/>
      <c r="J23" s="247"/>
      <c r="K23" s="247"/>
      <c r="L23" s="87">
        <v>16</v>
      </c>
      <c r="M23" s="52" t="s">
        <v>82</v>
      </c>
      <c r="N23" s="119" t="s">
        <v>226</v>
      </c>
      <c r="O23" s="118">
        <v>2</v>
      </c>
      <c r="P23" s="87">
        <f t="shared" si="0"/>
        <v>2</v>
      </c>
      <c r="Q23" s="87">
        <f t="shared" si="1"/>
        <v>2</v>
      </c>
      <c r="R23" s="87">
        <f>Q23*0.088</f>
        <v>0.17599999999999999</v>
      </c>
      <c r="S23" s="87" t="s">
        <v>146</v>
      </c>
      <c r="T23" s="50"/>
    </row>
    <row r="24" spans="1:20" x14ac:dyDescent="0.25">
      <c r="J24" s="4"/>
      <c r="K24" s="4"/>
    </row>
    <row r="35" spans="1:20" ht="19.5" x14ac:dyDescent="0.25">
      <c r="A35" s="180" t="s">
        <v>0</v>
      </c>
      <c r="B35" s="181"/>
      <c r="C35" s="181"/>
      <c r="D35" s="8"/>
      <c r="E35" s="9"/>
      <c r="F35" s="9" t="s">
        <v>14</v>
      </c>
      <c r="G35" s="10"/>
      <c r="H35" s="9"/>
      <c r="I35" s="9" t="s">
        <v>13</v>
      </c>
      <c r="J35" s="9"/>
      <c r="K35" s="10"/>
      <c r="L35" s="8"/>
      <c r="M35" s="9"/>
      <c r="N35" s="6" t="s">
        <v>1</v>
      </c>
      <c r="O35" s="9"/>
      <c r="P35" s="9"/>
      <c r="Q35" s="9"/>
      <c r="R35" s="45"/>
      <c r="S35" s="45"/>
      <c r="T35" s="14" t="s">
        <v>15</v>
      </c>
    </row>
    <row r="36" spans="1:20" ht="50.25" customHeight="1" x14ac:dyDescent="0.25">
      <c r="A36" s="41" t="s">
        <v>2</v>
      </c>
      <c r="B36" s="41" t="s">
        <v>143</v>
      </c>
      <c r="C36" s="27" t="s">
        <v>3</v>
      </c>
      <c r="D36" s="27" t="s">
        <v>4</v>
      </c>
      <c r="E36" s="22" t="s">
        <v>5</v>
      </c>
      <c r="F36" s="27" t="s">
        <v>6</v>
      </c>
      <c r="G36" s="27" t="s">
        <v>3</v>
      </c>
      <c r="H36" s="27" t="s">
        <v>10</v>
      </c>
      <c r="I36" s="27" t="s">
        <v>5</v>
      </c>
      <c r="J36" s="41" t="s">
        <v>12</v>
      </c>
      <c r="K36" s="27" t="s">
        <v>11</v>
      </c>
      <c r="L36" s="39" t="s">
        <v>7</v>
      </c>
      <c r="M36" s="22" t="s">
        <v>5</v>
      </c>
      <c r="N36" s="22" t="s">
        <v>9</v>
      </c>
      <c r="O36" s="27" t="s">
        <v>8</v>
      </c>
      <c r="P36" s="27" t="s">
        <v>6</v>
      </c>
      <c r="Q36" s="40" t="s">
        <v>3</v>
      </c>
      <c r="R36" s="40" t="s">
        <v>144</v>
      </c>
      <c r="S36" s="40" t="s">
        <v>145</v>
      </c>
      <c r="T36" s="27" t="s">
        <v>16</v>
      </c>
    </row>
    <row r="37" spans="1:20" ht="14.25" customHeight="1" x14ac:dyDescent="0.25">
      <c r="A37" s="241" t="s">
        <v>141</v>
      </c>
      <c r="B37" s="242">
        <v>20</v>
      </c>
      <c r="C37" s="242" t="s">
        <v>17</v>
      </c>
      <c r="D37" s="241" t="s">
        <v>140</v>
      </c>
      <c r="E37" s="243" t="s">
        <v>62</v>
      </c>
      <c r="F37" s="249" t="s">
        <v>17</v>
      </c>
      <c r="G37" s="242">
        <f>F37*C37</f>
        <v>1</v>
      </c>
      <c r="H37" s="219" t="s">
        <v>139</v>
      </c>
      <c r="I37" s="238" t="s">
        <v>62</v>
      </c>
      <c r="J37" s="210">
        <v>1</v>
      </c>
      <c r="K37" s="210">
        <f>J37*C37</f>
        <v>1</v>
      </c>
      <c r="L37" s="120" t="s">
        <v>31</v>
      </c>
      <c r="M37" s="21" t="s">
        <v>100</v>
      </c>
      <c r="N37" s="98" t="s">
        <v>101</v>
      </c>
      <c r="O37" s="89">
        <v>2</v>
      </c>
      <c r="P37" s="89">
        <f>O37*$F$37</f>
        <v>2</v>
      </c>
      <c r="Q37" s="89">
        <f>P37*C$37</f>
        <v>2</v>
      </c>
      <c r="R37" s="89">
        <f>Q37</f>
        <v>2</v>
      </c>
      <c r="S37" s="89" t="s">
        <v>147</v>
      </c>
      <c r="T37" s="56"/>
    </row>
    <row r="38" spans="1:20" ht="14.25" customHeight="1" x14ac:dyDescent="0.25">
      <c r="A38" s="168"/>
      <c r="B38" s="172"/>
      <c r="C38" s="172"/>
      <c r="D38" s="168"/>
      <c r="E38" s="244"/>
      <c r="F38" s="250"/>
      <c r="G38" s="172"/>
      <c r="H38" s="219"/>
      <c r="I38" s="238"/>
      <c r="J38" s="210"/>
      <c r="K38" s="210"/>
      <c r="L38" s="120" t="s">
        <v>34</v>
      </c>
      <c r="M38" s="21" t="s">
        <v>102</v>
      </c>
      <c r="N38" s="98" t="s">
        <v>103</v>
      </c>
      <c r="O38" s="89">
        <v>2</v>
      </c>
      <c r="P38" s="89">
        <f t="shared" ref="P38:P49" si="2">O38*$F$37</f>
        <v>2</v>
      </c>
      <c r="Q38" s="89">
        <f t="shared" ref="Q38:Q49" si="3">P38*C$37</f>
        <v>2</v>
      </c>
      <c r="R38" s="89">
        <f t="shared" ref="R38:R49" si="4">Q38</f>
        <v>2</v>
      </c>
      <c r="S38" s="89" t="s">
        <v>147</v>
      </c>
      <c r="T38" s="56"/>
    </row>
    <row r="39" spans="1:20" ht="14.25" customHeight="1" x14ac:dyDescent="0.25">
      <c r="A39" s="168"/>
      <c r="B39" s="172"/>
      <c r="C39" s="172"/>
      <c r="D39" s="168"/>
      <c r="E39" s="244"/>
      <c r="F39" s="250"/>
      <c r="G39" s="172"/>
      <c r="H39" s="219"/>
      <c r="I39" s="238"/>
      <c r="J39" s="210"/>
      <c r="K39" s="210"/>
      <c r="L39" s="120" t="s">
        <v>35</v>
      </c>
      <c r="M39" s="21" t="s">
        <v>104</v>
      </c>
      <c r="N39" s="98" t="s">
        <v>105</v>
      </c>
      <c r="O39" s="89">
        <v>4</v>
      </c>
      <c r="P39" s="89">
        <f t="shared" si="2"/>
        <v>4</v>
      </c>
      <c r="Q39" s="89">
        <f t="shared" si="3"/>
        <v>4</v>
      </c>
      <c r="R39" s="89">
        <f t="shared" si="4"/>
        <v>4</v>
      </c>
      <c r="S39" s="89" t="s">
        <v>147</v>
      </c>
      <c r="T39" s="56"/>
    </row>
    <row r="40" spans="1:20" ht="14.25" customHeight="1" x14ac:dyDescent="0.25">
      <c r="A40" s="168"/>
      <c r="B40" s="172"/>
      <c r="C40" s="172"/>
      <c r="D40" s="168"/>
      <c r="E40" s="244"/>
      <c r="F40" s="250"/>
      <c r="G40" s="172"/>
      <c r="H40" s="236"/>
      <c r="I40" s="239"/>
      <c r="J40" s="162"/>
      <c r="K40" s="162"/>
      <c r="L40" s="120" t="s">
        <v>37</v>
      </c>
      <c r="M40" s="21" t="s">
        <v>106</v>
      </c>
      <c r="N40" s="98" t="s">
        <v>105</v>
      </c>
      <c r="O40" s="89">
        <v>2</v>
      </c>
      <c r="P40" s="89">
        <f t="shared" si="2"/>
        <v>2</v>
      </c>
      <c r="Q40" s="89">
        <f t="shared" si="3"/>
        <v>2</v>
      </c>
      <c r="R40" s="89">
        <f t="shared" si="4"/>
        <v>2</v>
      </c>
      <c r="S40" s="89" t="s">
        <v>147</v>
      </c>
      <c r="T40" s="57"/>
    </row>
    <row r="41" spans="1:20" ht="14.25" customHeight="1" x14ac:dyDescent="0.25">
      <c r="A41" s="168"/>
      <c r="B41" s="172"/>
      <c r="C41" s="172"/>
      <c r="D41" s="168"/>
      <c r="E41" s="244"/>
      <c r="F41" s="250"/>
      <c r="G41" s="172"/>
      <c r="H41" s="236"/>
      <c r="I41" s="239"/>
      <c r="J41" s="162"/>
      <c r="K41" s="162"/>
      <c r="L41" s="134" t="s">
        <v>38</v>
      </c>
      <c r="M41" s="44" t="s">
        <v>117</v>
      </c>
      <c r="N41" s="115" t="s">
        <v>46</v>
      </c>
      <c r="O41" s="81">
        <v>1</v>
      </c>
      <c r="P41" s="81">
        <f t="shared" si="2"/>
        <v>1</v>
      </c>
      <c r="Q41" s="81">
        <f t="shared" si="3"/>
        <v>1</v>
      </c>
      <c r="R41" s="81">
        <f t="shared" si="4"/>
        <v>1</v>
      </c>
      <c r="S41" s="81" t="s">
        <v>147</v>
      </c>
      <c r="T41" s="57"/>
    </row>
    <row r="42" spans="1:20" ht="14.25" customHeight="1" thickBot="1" x14ac:dyDescent="0.3">
      <c r="A42" s="168"/>
      <c r="B42" s="172"/>
      <c r="C42" s="172"/>
      <c r="D42" s="168"/>
      <c r="E42" s="244"/>
      <c r="F42" s="250"/>
      <c r="G42" s="172"/>
      <c r="H42" s="237"/>
      <c r="I42" s="240"/>
      <c r="J42" s="228"/>
      <c r="K42" s="228"/>
      <c r="L42" s="133" t="s">
        <v>45</v>
      </c>
      <c r="M42" s="42" t="s">
        <v>118</v>
      </c>
      <c r="N42" s="116" t="s">
        <v>39</v>
      </c>
      <c r="O42" s="80">
        <v>1</v>
      </c>
      <c r="P42" s="80">
        <f t="shared" si="2"/>
        <v>1</v>
      </c>
      <c r="Q42" s="80">
        <f t="shared" si="3"/>
        <v>1</v>
      </c>
      <c r="R42" s="80">
        <f t="shared" si="4"/>
        <v>1</v>
      </c>
      <c r="S42" s="80" t="s">
        <v>147</v>
      </c>
      <c r="T42" s="60"/>
    </row>
    <row r="43" spans="1:20" ht="14.25" customHeight="1" thickBot="1" x14ac:dyDescent="0.3">
      <c r="A43" s="168"/>
      <c r="B43" s="172"/>
      <c r="C43" s="172"/>
      <c r="D43" s="168"/>
      <c r="E43" s="244"/>
      <c r="F43" s="250"/>
      <c r="G43" s="172"/>
      <c r="H43" s="145" t="s">
        <v>33</v>
      </c>
      <c r="I43" s="96" t="s">
        <v>55</v>
      </c>
      <c r="J43" s="147" t="s">
        <v>33</v>
      </c>
      <c r="K43" s="147" t="s">
        <v>33</v>
      </c>
      <c r="L43" s="148" t="s">
        <v>17</v>
      </c>
      <c r="M43" s="33" t="s">
        <v>55</v>
      </c>
      <c r="N43" s="111" t="s">
        <v>56</v>
      </c>
      <c r="O43" s="112">
        <v>1</v>
      </c>
      <c r="P43" s="112">
        <f t="shared" si="2"/>
        <v>1</v>
      </c>
      <c r="Q43" s="112">
        <f t="shared" si="3"/>
        <v>1</v>
      </c>
      <c r="R43" s="112">
        <f t="shared" si="4"/>
        <v>1</v>
      </c>
      <c r="S43" s="112" t="s">
        <v>147</v>
      </c>
      <c r="T43" s="58"/>
    </row>
    <row r="44" spans="1:20" ht="14.25" customHeight="1" x14ac:dyDescent="0.25">
      <c r="A44" s="168"/>
      <c r="B44" s="172"/>
      <c r="C44" s="172"/>
      <c r="D44" s="168"/>
      <c r="E44" s="244"/>
      <c r="F44" s="250"/>
      <c r="G44" s="172"/>
      <c r="H44" s="229" t="s">
        <v>140</v>
      </c>
      <c r="I44" s="232" t="s">
        <v>47</v>
      </c>
      <c r="J44" s="235">
        <v>1</v>
      </c>
      <c r="K44" s="235">
        <f>J44*C37</f>
        <v>1</v>
      </c>
      <c r="L44" s="149" t="s">
        <v>17</v>
      </c>
      <c r="M44" s="43" t="s">
        <v>42</v>
      </c>
      <c r="N44" s="117" t="s">
        <v>43</v>
      </c>
      <c r="O44" s="113">
        <v>6</v>
      </c>
      <c r="P44" s="113">
        <f t="shared" si="2"/>
        <v>6</v>
      </c>
      <c r="Q44" s="113">
        <f t="shared" si="3"/>
        <v>6</v>
      </c>
      <c r="R44" s="113">
        <f t="shared" si="4"/>
        <v>6</v>
      </c>
      <c r="S44" s="113" t="s">
        <v>147</v>
      </c>
      <c r="T44" s="57"/>
    </row>
    <row r="45" spans="1:20" ht="14.25" customHeight="1" x14ac:dyDescent="0.25">
      <c r="A45" s="168"/>
      <c r="B45" s="172"/>
      <c r="C45" s="172"/>
      <c r="D45" s="168"/>
      <c r="E45" s="244"/>
      <c r="F45" s="250"/>
      <c r="G45" s="172"/>
      <c r="H45" s="230"/>
      <c r="I45" s="233"/>
      <c r="J45" s="166"/>
      <c r="K45" s="166"/>
      <c r="L45" s="137" t="s">
        <v>18</v>
      </c>
      <c r="M45" s="31" t="s">
        <v>32</v>
      </c>
      <c r="N45" s="98" t="s">
        <v>44</v>
      </c>
      <c r="O45" s="78">
        <v>6</v>
      </c>
      <c r="P45" s="78">
        <f t="shared" si="2"/>
        <v>6</v>
      </c>
      <c r="Q45" s="78">
        <f t="shared" si="3"/>
        <v>6</v>
      </c>
      <c r="R45" s="78">
        <f t="shared" si="4"/>
        <v>6</v>
      </c>
      <c r="S45" s="78" t="s">
        <v>147</v>
      </c>
      <c r="T45" s="62"/>
    </row>
    <row r="46" spans="1:20" ht="14.25" customHeight="1" x14ac:dyDescent="0.25">
      <c r="A46" s="168"/>
      <c r="B46" s="172"/>
      <c r="C46" s="172"/>
      <c r="D46" s="168"/>
      <c r="E46" s="244"/>
      <c r="F46" s="250"/>
      <c r="G46" s="172"/>
      <c r="H46" s="230"/>
      <c r="I46" s="233"/>
      <c r="J46" s="166"/>
      <c r="K46" s="166"/>
      <c r="L46" s="137" t="s">
        <v>19</v>
      </c>
      <c r="M46" s="29" t="s">
        <v>96</v>
      </c>
      <c r="N46" s="114" t="s">
        <v>57</v>
      </c>
      <c r="O46" s="85">
        <v>2</v>
      </c>
      <c r="P46" s="85">
        <f t="shared" si="2"/>
        <v>2</v>
      </c>
      <c r="Q46" s="85">
        <f t="shared" si="3"/>
        <v>2</v>
      </c>
      <c r="R46" s="85">
        <f t="shared" si="4"/>
        <v>2</v>
      </c>
      <c r="S46" s="85" t="s">
        <v>147</v>
      </c>
      <c r="T46" s="61"/>
    </row>
    <row r="47" spans="1:20" ht="14.25" customHeight="1" x14ac:dyDescent="0.25">
      <c r="A47" s="168"/>
      <c r="B47" s="172"/>
      <c r="C47" s="172"/>
      <c r="D47" s="168"/>
      <c r="E47" s="244"/>
      <c r="F47" s="250"/>
      <c r="G47" s="172"/>
      <c r="H47" s="230"/>
      <c r="I47" s="233"/>
      <c r="J47" s="166"/>
      <c r="K47" s="166"/>
      <c r="L47" s="120" t="s">
        <v>20</v>
      </c>
      <c r="M47" s="21" t="s">
        <v>97</v>
      </c>
      <c r="N47" s="86" t="s">
        <v>58</v>
      </c>
      <c r="O47" s="78">
        <v>2</v>
      </c>
      <c r="P47" s="78">
        <f t="shared" si="2"/>
        <v>2</v>
      </c>
      <c r="Q47" s="78">
        <f t="shared" si="3"/>
        <v>2</v>
      </c>
      <c r="R47" s="78">
        <f t="shared" si="4"/>
        <v>2</v>
      </c>
      <c r="S47" s="78" t="s">
        <v>147</v>
      </c>
      <c r="T47" s="56"/>
    </row>
    <row r="48" spans="1:20" ht="14.25" customHeight="1" x14ac:dyDescent="0.25">
      <c r="A48" s="168"/>
      <c r="B48" s="172"/>
      <c r="C48" s="172"/>
      <c r="D48" s="168"/>
      <c r="E48" s="244"/>
      <c r="F48" s="250"/>
      <c r="G48" s="172"/>
      <c r="H48" s="230"/>
      <c r="I48" s="233"/>
      <c r="J48" s="166"/>
      <c r="K48" s="166"/>
      <c r="L48" s="120" t="s">
        <v>21</v>
      </c>
      <c r="M48" s="21" t="s">
        <v>98</v>
      </c>
      <c r="N48" s="86" t="s">
        <v>60</v>
      </c>
      <c r="O48" s="78">
        <v>2</v>
      </c>
      <c r="P48" s="78">
        <f t="shared" si="2"/>
        <v>2</v>
      </c>
      <c r="Q48" s="78">
        <f t="shared" si="3"/>
        <v>2</v>
      </c>
      <c r="R48" s="78">
        <f t="shared" si="4"/>
        <v>2</v>
      </c>
      <c r="S48" s="78" t="s">
        <v>147</v>
      </c>
      <c r="T48" s="56"/>
    </row>
    <row r="49" spans="1:20" ht="14.25" customHeight="1" x14ac:dyDescent="0.25">
      <c r="A49" s="169"/>
      <c r="B49" s="173"/>
      <c r="C49" s="173"/>
      <c r="D49" s="169"/>
      <c r="E49" s="245"/>
      <c r="F49" s="251"/>
      <c r="G49" s="173"/>
      <c r="H49" s="231"/>
      <c r="I49" s="234"/>
      <c r="J49" s="167"/>
      <c r="K49" s="167"/>
      <c r="L49" s="120" t="s">
        <v>22</v>
      </c>
      <c r="M49" s="21" t="s">
        <v>99</v>
      </c>
      <c r="N49" s="86" t="s">
        <v>60</v>
      </c>
      <c r="O49" s="78">
        <v>2</v>
      </c>
      <c r="P49" s="78">
        <f t="shared" si="2"/>
        <v>2</v>
      </c>
      <c r="Q49" s="78">
        <f t="shared" si="3"/>
        <v>2</v>
      </c>
      <c r="R49" s="78">
        <f t="shared" si="4"/>
        <v>2</v>
      </c>
      <c r="S49" s="78" t="s">
        <v>147</v>
      </c>
      <c r="T49" s="56"/>
    </row>
  </sheetData>
  <mergeCells count="28">
    <mergeCell ref="J8:J23"/>
    <mergeCell ref="K8:K23"/>
    <mergeCell ref="A6:C6"/>
    <mergeCell ref="A8:A23"/>
    <mergeCell ref="B8:B23"/>
    <mergeCell ref="C8:C23"/>
    <mergeCell ref="D8:D23"/>
    <mergeCell ref="E8:E23"/>
    <mergeCell ref="E37:E49"/>
    <mergeCell ref="F8:F23"/>
    <mergeCell ref="G8:G23"/>
    <mergeCell ref="H8:H23"/>
    <mergeCell ref="I8:I23"/>
    <mergeCell ref="F37:F49"/>
    <mergeCell ref="G37:G49"/>
    <mergeCell ref="A35:C35"/>
    <mergeCell ref="A37:A49"/>
    <mergeCell ref="B37:B49"/>
    <mergeCell ref="C37:C49"/>
    <mergeCell ref="D37:D49"/>
    <mergeCell ref="K37:K42"/>
    <mergeCell ref="H44:H49"/>
    <mergeCell ref="I44:I49"/>
    <mergeCell ref="J44:J49"/>
    <mergeCell ref="K44:K49"/>
    <mergeCell ref="H37:H42"/>
    <mergeCell ref="I37:I42"/>
    <mergeCell ref="J37:J4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4"/>
  <sheetViews>
    <sheetView view="pageLayout" topLeftCell="A7" zoomScaleNormal="100" workbookViewId="0">
      <selection activeCell="O25" sqref="O25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3.7109375" bestFit="1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9.1406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9" customHeight="1" x14ac:dyDescent="0.25"/>
    <row r="6" spans="1:20" ht="19.5" x14ac:dyDescent="0.25">
      <c r="A6" s="180" t="s">
        <v>0</v>
      </c>
      <c r="B6" s="181"/>
      <c r="C6" s="181"/>
      <c r="D6" s="8"/>
      <c r="E6" s="9"/>
      <c r="F6" s="9" t="s">
        <v>14</v>
      </c>
      <c r="G6" s="10"/>
      <c r="H6" s="9"/>
      <c r="I6" s="9" t="s">
        <v>13</v>
      </c>
      <c r="J6" s="9"/>
      <c r="K6" s="10"/>
      <c r="L6" s="8"/>
      <c r="M6" s="9"/>
      <c r="N6" s="6" t="s">
        <v>1</v>
      </c>
      <c r="O6" s="9"/>
      <c r="P6" s="9"/>
      <c r="Q6" s="9"/>
      <c r="R6" s="45"/>
      <c r="S6" s="45"/>
      <c r="T6" s="14" t="s">
        <v>15</v>
      </c>
    </row>
    <row r="7" spans="1:20" ht="50.25" customHeight="1" x14ac:dyDescent="0.25">
      <c r="A7" s="16" t="s">
        <v>2</v>
      </c>
      <c r="B7" s="16" t="s">
        <v>143</v>
      </c>
      <c r="C7" s="3" t="s">
        <v>3</v>
      </c>
      <c r="D7" s="11" t="s">
        <v>4</v>
      </c>
      <c r="E7" s="12" t="s">
        <v>5</v>
      </c>
      <c r="F7" s="11" t="s">
        <v>6</v>
      </c>
      <c r="G7" s="11" t="s">
        <v>3</v>
      </c>
      <c r="H7" s="3" t="s">
        <v>10</v>
      </c>
      <c r="I7" s="27" t="s">
        <v>5</v>
      </c>
      <c r="J7" s="16" t="s">
        <v>12</v>
      </c>
      <c r="K7" s="3" t="s">
        <v>11</v>
      </c>
      <c r="L7" s="1" t="s">
        <v>7</v>
      </c>
      <c r="M7" s="22" t="s">
        <v>5</v>
      </c>
      <c r="N7" s="2" t="s">
        <v>9</v>
      </c>
      <c r="O7" s="3" t="s">
        <v>8</v>
      </c>
      <c r="P7" s="3" t="s">
        <v>6</v>
      </c>
      <c r="Q7" s="13" t="s">
        <v>3</v>
      </c>
      <c r="R7" s="13" t="s">
        <v>144</v>
      </c>
      <c r="S7" s="13" t="s">
        <v>145</v>
      </c>
      <c r="T7" s="27" t="s">
        <v>16</v>
      </c>
    </row>
    <row r="8" spans="1:20" ht="14.25" customHeight="1" x14ac:dyDescent="0.25">
      <c r="A8" s="258" t="s">
        <v>141</v>
      </c>
      <c r="B8" s="185">
        <v>20</v>
      </c>
      <c r="C8" s="259">
        <v>1</v>
      </c>
      <c r="D8" s="258" t="s">
        <v>141</v>
      </c>
      <c r="E8" s="257" t="s">
        <v>158</v>
      </c>
      <c r="F8" s="219" t="s">
        <v>17</v>
      </c>
      <c r="G8" s="211">
        <f>F8*C8</f>
        <v>1</v>
      </c>
      <c r="H8" s="142" t="s">
        <v>33</v>
      </c>
      <c r="I8" s="143" t="s">
        <v>121</v>
      </c>
      <c r="J8" s="142" t="s">
        <v>33</v>
      </c>
      <c r="K8" s="142" t="s">
        <v>33</v>
      </c>
      <c r="L8" s="120" t="s">
        <v>17</v>
      </c>
      <c r="M8" s="143" t="s">
        <v>121</v>
      </c>
      <c r="N8" s="98" t="s">
        <v>125</v>
      </c>
      <c r="O8" s="89">
        <v>1</v>
      </c>
      <c r="P8" s="89">
        <f>O8*$F$8</f>
        <v>1</v>
      </c>
      <c r="Q8" s="89">
        <f>P8*$C$8</f>
        <v>1</v>
      </c>
      <c r="R8" s="99">
        <f>15.7*$Q$8</f>
        <v>15.7</v>
      </c>
      <c r="S8" s="89" t="s">
        <v>146</v>
      </c>
      <c r="T8" s="5"/>
    </row>
    <row r="9" spans="1:20" ht="14.25" customHeight="1" x14ac:dyDescent="0.25">
      <c r="A9" s="258"/>
      <c r="B9" s="186"/>
      <c r="C9" s="259"/>
      <c r="D9" s="258"/>
      <c r="E9" s="257"/>
      <c r="F9" s="219"/>
      <c r="G9" s="211"/>
      <c r="H9" s="131" t="s">
        <v>33</v>
      </c>
      <c r="I9" s="144" t="s">
        <v>122</v>
      </c>
      <c r="J9" s="142" t="s">
        <v>33</v>
      </c>
      <c r="K9" s="142" t="s">
        <v>33</v>
      </c>
      <c r="L9" s="137" t="s">
        <v>18</v>
      </c>
      <c r="M9" s="144" t="s">
        <v>122</v>
      </c>
      <c r="N9" s="98" t="s">
        <v>125</v>
      </c>
      <c r="O9" s="89">
        <v>1</v>
      </c>
      <c r="P9" s="89">
        <f t="shared" ref="P9:P24" si="0">O9*$F$8</f>
        <v>1</v>
      </c>
      <c r="Q9" s="89">
        <f t="shared" ref="Q9:R24" si="1">P9*$C$8</f>
        <v>1</v>
      </c>
      <c r="R9" s="99">
        <f t="shared" ref="R9:R11" si="2">15.7*$Q$8</f>
        <v>15.7</v>
      </c>
      <c r="S9" s="89" t="s">
        <v>146</v>
      </c>
      <c r="T9" s="5"/>
    </row>
    <row r="10" spans="1:20" ht="14.25" customHeight="1" x14ac:dyDescent="0.25">
      <c r="A10" s="258"/>
      <c r="B10" s="186"/>
      <c r="C10" s="259"/>
      <c r="D10" s="258"/>
      <c r="E10" s="257"/>
      <c r="F10" s="219"/>
      <c r="G10" s="211"/>
      <c r="H10" s="131" t="s">
        <v>33</v>
      </c>
      <c r="I10" s="144" t="s">
        <v>123</v>
      </c>
      <c r="J10" s="142" t="s">
        <v>33</v>
      </c>
      <c r="K10" s="142" t="s">
        <v>33</v>
      </c>
      <c r="L10" s="120" t="s">
        <v>19</v>
      </c>
      <c r="M10" s="144" t="s">
        <v>123</v>
      </c>
      <c r="N10" s="98" t="s">
        <v>125</v>
      </c>
      <c r="O10" s="89">
        <v>1</v>
      </c>
      <c r="P10" s="89">
        <f t="shared" si="0"/>
        <v>1</v>
      </c>
      <c r="Q10" s="89">
        <f t="shared" si="1"/>
        <v>1</v>
      </c>
      <c r="R10" s="99">
        <f t="shared" si="2"/>
        <v>15.7</v>
      </c>
      <c r="S10" s="89" t="s">
        <v>146</v>
      </c>
      <c r="T10" s="5"/>
    </row>
    <row r="11" spans="1:20" ht="14.25" customHeight="1" x14ac:dyDescent="0.25">
      <c r="A11" s="258"/>
      <c r="B11" s="186"/>
      <c r="C11" s="259"/>
      <c r="D11" s="258"/>
      <c r="E11" s="257"/>
      <c r="F11" s="219"/>
      <c r="G11" s="211"/>
      <c r="H11" s="131" t="s">
        <v>33</v>
      </c>
      <c r="I11" s="144" t="s">
        <v>124</v>
      </c>
      <c r="J11" s="142" t="s">
        <v>33</v>
      </c>
      <c r="K11" s="142" t="s">
        <v>33</v>
      </c>
      <c r="L11" s="120" t="s">
        <v>20</v>
      </c>
      <c r="M11" s="144" t="s">
        <v>124</v>
      </c>
      <c r="N11" s="98" t="s">
        <v>125</v>
      </c>
      <c r="O11" s="89">
        <v>1</v>
      </c>
      <c r="P11" s="89">
        <f t="shared" si="0"/>
        <v>1</v>
      </c>
      <c r="Q11" s="89">
        <f t="shared" si="1"/>
        <v>1</v>
      </c>
      <c r="R11" s="99">
        <f t="shared" si="2"/>
        <v>15.7</v>
      </c>
      <c r="S11" s="89" t="s">
        <v>146</v>
      </c>
      <c r="T11" s="5"/>
    </row>
    <row r="12" spans="1:20" ht="14.25" customHeight="1" x14ac:dyDescent="0.25">
      <c r="A12" s="258"/>
      <c r="B12" s="186"/>
      <c r="C12" s="259"/>
      <c r="D12" s="258"/>
      <c r="E12" s="257"/>
      <c r="F12" s="219"/>
      <c r="G12" s="211"/>
      <c r="H12" s="131" t="s">
        <v>33</v>
      </c>
      <c r="I12" s="144" t="s">
        <v>126</v>
      </c>
      <c r="J12" s="131" t="s">
        <v>33</v>
      </c>
      <c r="K12" s="142" t="s">
        <v>33</v>
      </c>
      <c r="L12" s="137" t="s">
        <v>21</v>
      </c>
      <c r="M12" s="144" t="s">
        <v>126</v>
      </c>
      <c r="N12" s="98" t="s">
        <v>160</v>
      </c>
      <c r="O12" s="89">
        <v>1</v>
      </c>
      <c r="P12" s="89">
        <f t="shared" si="0"/>
        <v>1</v>
      </c>
      <c r="Q12" s="89">
        <f t="shared" si="1"/>
        <v>1</v>
      </c>
      <c r="R12" s="99">
        <f>7.85*$Q$8</f>
        <v>7.85</v>
      </c>
      <c r="S12" s="89" t="s">
        <v>146</v>
      </c>
      <c r="T12" s="5"/>
    </row>
    <row r="13" spans="1:20" ht="14.25" customHeight="1" x14ac:dyDescent="0.25">
      <c r="A13" s="258"/>
      <c r="B13" s="186"/>
      <c r="C13" s="259"/>
      <c r="D13" s="258"/>
      <c r="E13" s="257"/>
      <c r="F13" s="219"/>
      <c r="G13" s="211"/>
      <c r="H13" s="131" t="s">
        <v>33</v>
      </c>
      <c r="I13" s="144" t="s">
        <v>154</v>
      </c>
      <c r="J13" s="131" t="s">
        <v>33</v>
      </c>
      <c r="K13" s="142" t="s">
        <v>33</v>
      </c>
      <c r="L13" s="137" t="s">
        <v>22</v>
      </c>
      <c r="M13" s="144" t="s">
        <v>154</v>
      </c>
      <c r="N13" s="98" t="s">
        <v>160</v>
      </c>
      <c r="O13" s="89">
        <v>1</v>
      </c>
      <c r="P13" s="89">
        <f t="shared" si="0"/>
        <v>1</v>
      </c>
      <c r="Q13" s="89">
        <f t="shared" si="1"/>
        <v>1</v>
      </c>
      <c r="R13" s="99">
        <f t="shared" ref="R13:R15" si="3">7.85*$Q$8</f>
        <v>7.85</v>
      </c>
      <c r="S13" s="89" t="s">
        <v>146</v>
      </c>
      <c r="T13" s="5"/>
    </row>
    <row r="14" spans="1:20" ht="14.25" customHeight="1" x14ac:dyDescent="0.25">
      <c r="A14" s="258"/>
      <c r="B14" s="186"/>
      <c r="C14" s="259"/>
      <c r="D14" s="258"/>
      <c r="E14" s="257"/>
      <c r="F14" s="219"/>
      <c r="G14" s="211"/>
      <c r="H14" s="131" t="s">
        <v>33</v>
      </c>
      <c r="I14" s="144" t="s">
        <v>155</v>
      </c>
      <c r="J14" s="131" t="s">
        <v>33</v>
      </c>
      <c r="K14" s="142" t="s">
        <v>33</v>
      </c>
      <c r="L14" s="137" t="s">
        <v>23</v>
      </c>
      <c r="M14" s="144" t="s">
        <v>155</v>
      </c>
      <c r="N14" s="98" t="s">
        <v>160</v>
      </c>
      <c r="O14" s="89">
        <v>1</v>
      </c>
      <c r="P14" s="89">
        <f t="shared" si="0"/>
        <v>1</v>
      </c>
      <c r="Q14" s="89">
        <f t="shared" si="1"/>
        <v>1</v>
      </c>
      <c r="R14" s="99">
        <f t="shared" si="3"/>
        <v>7.85</v>
      </c>
      <c r="S14" s="89" t="s">
        <v>146</v>
      </c>
      <c r="T14" s="5"/>
    </row>
    <row r="15" spans="1:20" ht="14.25" customHeight="1" x14ac:dyDescent="0.25">
      <c r="A15" s="258"/>
      <c r="B15" s="186"/>
      <c r="C15" s="259"/>
      <c r="D15" s="258"/>
      <c r="E15" s="257"/>
      <c r="F15" s="219"/>
      <c r="G15" s="211"/>
      <c r="H15" s="131" t="s">
        <v>33</v>
      </c>
      <c r="I15" s="144" t="s">
        <v>156</v>
      </c>
      <c r="J15" s="131" t="s">
        <v>33</v>
      </c>
      <c r="K15" s="142" t="s">
        <v>33</v>
      </c>
      <c r="L15" s="137" t="s">
        <v>24</v>
      </c>
      <c r="M15" s="144" t="s">
        <v>156</v>
      </c>
      <c r="N15" s="98" t="s">
        <v>160</v>
      </c>
      <c r="O15" s="89">
        <v>1</v>
      </c>
      <c r="P15" s="89">
        <f t="shared" si="0"/>
        <v>1</v>
      </c>
      <c r="Q15" s="89">
        <f t="shared" si="1"/>
        <v>1</v>
      </c>
      <c r="R15" s="99">
        <f t="shared" si="3"/>
        <v>7.85</v>
      </c>
      <c r="S15" s="89" t="s">
        <v>146</v>
      </c>
      <c r="T15" s="5"/>
    </row>
    <row r="16" spans="1:20" ht="14.25" customHeight="1" x14ac:dyDescent="0.25">
      <c r="A16" s="258"/>
      <c r="B16" s="186"/>
      <c r="C16" s="259"/>
      <c r="D16" s="258"/>
      <c r="E16" s="257"/>
      <c r="F16" s="219"/>
      <c r="G16" s="211"/>
      <c r="H16" s="142" t="s">
        <v>33</v>
      </c>
      <c r="I16" s="110" t="s">
        <v>136</v>
      </c>
      <c r="J16" s="142" t="s">
        <v>33</v>
      </c>
      <c r="K16" s="142" t="s">
        <v>33</v>
      </c>
      <c r="L16" s="120" t="s">
        <v>25</v>
      </c>
      <c r="M16" s="110" t="s">
        <v>136</v>
      </c>
      <c r="N16" s="98" t="s">
        <v>161</v>
      </c>
      <c r="O16" s="89" t="str">
        <f>IF(B8=30,"4",IF(B8=25,"0",IF(B8=20,"0",IF(B8=15,"0"))))</f>
        <v>0</v>
      </c>
      <c r="P16" s="89">
        <f t="shared" si="0"/>
        <v>0</v>
      </c>
      <c r="Q16" s="89">
        <f t="shared" si="1"/>
        <v>0</v>
      </c>
      <c r="R16" s="99">
        <f>Q16*4.38</f>
        <v>0</v>
      </c>
      <c r="S16" s="89" t="s">
        <v>146</v>
      </c>
      <c r="T16" s="5"/>
    </row>
    <row r="17" spans="1:28" ht="14.25" customHeight="1" x14ac:dyDescent="0.25">
      <c r="A17" s="258"/>
      <c r="B17" s="186"/>
      <c r="C17" s="259"/>
      <c r="D17" s="258"/>
      <c r="E17" s="257"/>
      <c r="F17" s="219"/>
      <c r="G17" s="211"/>
      <c r="H17" s="241" t="s">
        <v>139</v>
      </c>
      <c r="I17" s="254" t="s">
        <v>157</v>
      </c>
      <c r="J17" s="241" t="s">
        <v>18</v>
      </c>
      <c r="K17" s="242">
        <f>J17*G8</f>
        <v>2</v>
      </c>
      <c r="L17" s="137" t="s">
        <v>17</v>
      </c>
      <c r="M17" s="144" t="s">
        <v>134</v>
      </c>
      <c r="N17" s="98" t="s">
        <v>135</v>
      </c>
      <c r="O17" s="89">
        <v>2</v>
      </c>
      <c r="P17" s="89">
        <f t="shared" si="0"/>
        <v>2</v>
      </c>
      <c r="Q17" s="89">
        <f t="shared" si="1"/>
        <v>2</v>
      </c>
      <c r="R17" s="99">
        <f>Q17*0.1</f>
        <v>0.2</v>
      </c>
      <c r="S17" s="89" t="s">
        <v>146</v>
      </c>
      <c r="T17" s="5"/>
    </row>
    <row r="18" spans="1:28" ht="14.25" customHeight="1" x14ac:dyDescent="0.25">
      <c r="A18" s="258"/>
      <c r="B18" s="186"/>
      <c r="C18" s="259"/>
      <c r="D18" s="258"/>
      <c r="E18" s="257"/>
      <c r="F18" s="219"/>
      <c r="G18" s="211"/>
      <c r="H18" s="169"/>
      <c r="I18" s="255"/>
      <c r="J18" s="169"/>
      <c r="K18" s="173"/>
      <c r="L18" s="120" t="s">
        <v>18</v>
      </c>
      <c r="M18" s="144" t="s">
        <v>127</v>
      </c>
      <c r="N18" s="98" t="s">
        <v>128</v>
      </c>
      <c r="O18" s="89">
        <v>2</v>
      </c>
      <c r="P18" s="89">
        <f t="shared" si="0"/>
        <v>2</v>
      </c>
      <c r="Q18" s="89">
        <f t="shared" si="1"/>
        <v>2</v>
      </c>
      <c r="R18" s="99">
        <f>11.3*Q18</f>
        <v>22.6</v>
      </c>
      <c r="S18" s="89" t="s">
        <v>146</v>
      </c>
      <c r="T18" s="5"/>
    </row>
    <row r="19" spans="1:28" ht="14.25" customHeight="1" x14ac:dyDescent="0.25">
      <c r="A19" s="258"/>
      <c r="B19" s="186"/>
      <c r="C19" s="259"/>
      <c r="D19" s="258"/>
      <c r="E19" s="257"/>
      <c r="F19" s="219"/>
      <c r="G19" s="211"/>
      <c r="H19" s="241" t="s">
        <v>140</v>
      </c>
      <c r="I19" s="254" t="s">
        <v>129</v>
      </c>
      <c r="J19" s="241">
        <v>1</v>
      </c>
      <c r="K19" s="242">
        <f>J19*G8</f>
        <v>1</v>
      </c>
      <c r="L19" s="120" t="s">
        <v>17</v>
      </c>
      <c r="M19" s="144" t="s">
        <v>130</v>
      </c>
      <c r="N19" s="98" t="s">
        <v>113</v>
      </c>
      <c r="O19" s="89">
        <v>32</v>
      </c>
      <c r="P19" s="89">
        <f t="shared" si="0"/>
        <v>32</v>
      </c>
      <c r="Q19" s="89">
        <f t="shared" si="1"/>
        <v>32</v>
      </c>
      <c r="R19" s="89">
        <f t="shared" si="1"/>
        <v>32</v>
      </c>
      <c r="S19" s="89" t="s">
        <v>147</v>
      </c>
      <c r="T19" s="5"/>
    </row>
    <row r="20" spans="1:28" ht="14.25" customHeight="1" x14ac:dyDescent="0.25">
      <c r="A20" s="258"/>
      <c r="B20" s="186"/>
      <c r="C20" s="259"/>
      <c r="D20" s="258"/>
      <c r="E20" s="257"/>
      <c r="F20" s="219"/>
      <c r="G20" s="211"/>
      <c r="H20" s="168"/>
      <c r="I20" s="256"/>
      <c r="J20" s="168"/>
      <c r="K20" s="172"/>
      <c r="L20" s="137" t="s">
        <v>18</v>
      </c>
      <c r="M20" s="144" t="s">
        <v>131</v>
      </c>
      <c r="N20" s="98" t="s">
        <v>114</v>
      </c>
      <c r="O20" s="89">
        <v>32</v>
      </c>
      <c r="P20" s="89">
        <f t="shared" si="0"/>
        <v>32</v>
      </c>
      <c r="Q20" s="89">
        <f t="shared" si="1"/>
        <v>32</v>
      </c>
      <c r="R20" s="89">
        <f t="shared" si="1"/>
        <v>32</v>
      </c>
      <c r="S20" s="89" t="s">
        <v>147</v>
      </c>
      <c r="T20" s="5"/>
    </row>
    <row r="21" spans="1:28" ht="14.25" customHeight="1" x14ac:dyDescent="0.25">
      <c r="A21" s="258"/>
      <c r="B21" s="186"/>
      <c r="C21" s="259"/>
      <c r="D21" s="258"/>
      <c r="E21" s="257"/>
      <c r="F21" s="219"/>
      <c r="G21" s="211"/>
      <c r="H21" s="168"/>
      <c r="I21" s="256"/>
      <c r="J21" s="168"/>
      <c r="K21" s="172"/>
      <c r="L21" s="120" t="s">
        <v>19</v>
      </c>
      <c r="M21" s="144" t="s">
        <v>132</v>
      </c>
      <c r="N21" s="100" t="s">
        <v>113</v>
      </c>
      <c r="O21" s="93">
        <v>2</v>
      </c>
      <c r="P21" s="89">
        <f t="shared" si="0"/>
        <v>2</v>
      </c>
      <c r="Q21" s="89">
        <f t="shared" si="1"/>
        <v>2</v>
      </c>
      <c r="R21" s="89">
        <f t="shared" si="1"/>
        <v>2</v>
      </c>
      <c r="S21" s="93" t="s">
        <v>147</v>
      </c>
      <c r="T21" s="5"/>
      <c r="U21" s="76"/>
      <c r="V21" s="53"/>
      <c r="W21" s="54"/>
      <c r="X21" s="53"/>
      <c r="Y21" s="53"/>
      <c r="Z21" s="53"/>
      <c r="AA21" s="53"/>
      <c r="AB21" s="53"/>
    </row>
    <row r="22" spans="1:28" ht="14.25" customHeight="1" x14ac:dyDescent="0.25">
      <c r="A22" s="258"/>
      <c r="B22" s="186"/>
      <c r="C22" s="259"/>
      <c r="D22" s="258"/>
      <c r="E22" s="257"/>
      <c r="F22" s="219"/>
      <c r="G22" s="211"/>
      <c r="H22" s="168"/>
      <c r="I22" s="256"/>
      <c r="J22" s="168"/>
      <c r="K22" s="172"/>
      <c r="L22" s="120" t="s">
        <v>20</v>
      </c>
      <c r="M22" s="144" t="s">
        <v>133</v>
      </c>
      <c r="N22" s="98" t="s">
        <v>114</v>
      </c>
      <c r="O22" s="89">
        <v>2</v>
      </c>
      <c r="P22" s="89">
        <f t="shared" si="0"/>
        <v>2</v>
      </c>
      <c r="Q22" s="89">
        <f t="shared" si="1"/>
        <v>2</v>
      </c>
      <c r="R22" s="89">
        <f t="shared" si="1"/>
        <v>2</v>
      </c>
      <c r="S22" s="89" t="s">
        <v>147</v>
      </c>
      <c r="T22" s="5"/>
      <c r="U22" s="76"/>
      <c r="V22" s="54"/>
      <c r="W22" s="54"/>
      <c r="X22" s="53"/>
      <c r="Y22" s="53"/>
      <c r="Z22" s="53"/>
      <c r="AA22" s="53"/>
      <c r="AB22" s="53"/>
    </row>
    <row r="23" spans="1:28" ht="14.25" customHeight="1" x14ac:dyDescent="0.25">
      <c r="A23" s="258"/>
      <c r="B23" s="186"/>
      <c r="C23" s="259"/>
      <c r="D23" s="258"/>
      <c r="E23" s="257"/>
      <c r="F23" s="219"/>
      <c r="G23" s="211"/>
      <c r="H23" s="168"/>
      <c r="I23" s="256"/>
      <c r="J23" s="168"/>
      <c r="K23" s="172"/>
      <c r="L23" s="120" t="s">
        <v>21</v>
      </c>
      <c r="M23" s="31" t="s">
        <v>137</v>
      </c>
      <c r="N23" s="98" t="s">
        <v>246</v>
      </c>
      <c r="O23" s="89">
        <v>36</v>
      </c>
      <c r="P23" s="89">
        <f t="shared" si="0"/>
        <v>36</v>
      </c>
      <c r="Q23" s="89">
        <f t="shared" si="1"/>
        <v>36</v>
      </c>
      <c r="R23" s="89">
        <f t="shared" si="1"/>
        <v>36</v>
      </c>
      <c r="S23" s="89" t="s">
        <v>147</v>
      </c>
      <c r="T23" s="5"/>
    </row>
    <row r="24" spans="1:28" ht="14.25" customHeight="1" x14ac:dyDescent="0.25">
      <c r="A24" s="258"/>
      <c r="B24" s="187"/>
      <c r="C24" s="259"/>
      <c r="D24" s="258"/>
      <c r="E24" s="257"/>
      <c r="F24" s="219"/>
      <c r="G24" s="211"/>
      <c r="H24" s="169"/>
      <c r="I24" s="255"/>
      <c r="J24" s="169"/>
      <c r="K24" s="173"/>
      <c r="L24" s="137" t="s">
        <v>22</v>
      </c>
      <c r="M24" s="31" t="s">
        <v>138</v>
      </c>
      <c r="N24" s="98" t="s">
        <v>247</v>
      </c>
      <c r="O24" s="89">
        <v>36</v>
      </c>
      <c r="P24" s="89">
        <f t="shared" si="0"/>
        <v>36</v>
      </c>
      <c r="Q24" s="89">
        <f t="shared" si="1"/>
        <v>36</v>
      </c>
      <c r="R24" s="89">
        <f t="shared" si="1"/>
        <v>36</v>
      </c>
      <c r="S24" s="89" t="s">
        <v>147</v>
      </c>
      <c r="T24" s="5"/>
    </row>
  </sheetData>
  <mergeCells count="16">
    <mergeCell ref="E8:E24"/>
    <mergeCell ref="A6:C6"/>
    <mergeCell ref="A8:A24"/>
    <mergeCell ref="B8:B24"/>
    <mergeCell ref="C8:C24"/>
    <mergeCell ref="D8:D24"/>
    <mergeCell ref="K17:K18"/>
    <mergeCell ref="H19:H24"/>
    <mergeCell ref="I19:I24"/>
    <mergeCell ref="J19:J24"/>
    <mergeCell ref="K19:K24"/>
    <mergeCell ref="F8:F24"/>
    <mergeCell ref="G8:G24"/>
    <mergeCell ref="H17:H18"/>
    <mergeCell ref="I17:I18"/>
    <mergeCell ref="J17:J18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27"/>
  <sheetViews>
    <sheetView view="pageLayout" zoomScaleNormal="100" workbookViewId="0">
      <selection activeCell="Q30" sqref="Q30"/>
    </sheetView>
  </sheetViews>
  <sheetFormatPr defaultRowHeight="15" x14ac:dyDescent="0.25"/>
  <cols>
    <col min="1" max="1" width="5" customWidth="1"/>
    <col min="2" max="2" width="5.28515625" customWidth="1"/>
    <col min="3" max="3" width="5.140625" customWidth="1"/>
    <col min="4" max="4" width="6.140625" customWidth="1"/>
    <col min="5" max="5" width="7.42578125" customWidth="1"/>
    <col min="6" max="6" width="5.42578125" customWidth="1"/>
    <col min="7" max="7" width="5.140625" customWidth="1"/>
    <col min="8" max="8" width="6.7109375" customWidth="1"/>
    <col min="9" max="9" width="13.7109375" customWidth="1"/>
    <col min="10" max="10" width="5.42578125" customWidth="1"/>
    <col min="11" max="11" width="5.5703125" customWidth="1"/>
    <col min="12" max="12" width="5" customWidth="1"/>
    <col min="13" max="13" width="16.42578125" customWidth="1"/>
    <col min="14" max="14" width="10.42578125" customWidth="1"/>
    <col min="15" max="15" width="5.7109375" customWidth="1"/>
    <col min="16" max="16" width="5.5703125" customWidth="1"/>
    <col min="17" max="18" width="5.140625" customWidth="1"/>
    <col min="19" max="19" width="4.5703125" customWidth="1"/>
    <col min="20" max="20" width="5" customWidth="1"/>
    <col min="21" max="21" width="8" customWidth="1"/>
  </cols>
  <sheetData>
    <row r="4" spans="1:20" ht="12" customHeight="1" x14ac:dyDescent="0.25"/>
    <row r="5" spans="1:20" ht="4.5" customHeight="1" x14ac:dyDescent="0.25"/>
    <row r="6" spans="1:20" ht="19.5" x14ac:dyDescent="0.25">
      <c r="A6" s="180" t="s">
        <v>0</v>
      </c>
      <c r="B6" s="181"/>
      <c r="C6" s="181"/>
      <c r="D6" s="8"/>
      <c r="E6" s="9"/>
      <c r="F6" s="9" t="s">
        <v>14</v>
      </c>
      <c r="G6" s="10"/>
      <c r="H6" s="9"/>
      <c r="I6" s="9" t="s">
        <v>13</v>
      </c>
      <c r="J6" s="9"/>
      <c r="K6" s="10"/>
      <c r="L6" s="8"/>
      <c r="M6" s="9"/>
      <c r="N6" s="6" t="s">
        <v>1</v>
      </c>
      <c r="O6" s="9"/>
      <c r="P6" s="9"/>
      <c r="Q6" s="9"/>
      <c r="R6" s="45"/>
      <c r="S6" s="45"/>
      <c r="T6" s="14" t="s">
        <v>15</v>
      </c>
    </row>
    <row r="7" spans="1:20" ht="50.25" customHeight="1" x14ac:dyDescent="0.25">
      <c r="A7" s="16" t="s">
        <v>2</v>
      </c>
      <c r="B7" s="16" t="s">
        <v>143</v>
      </c>
      <c r="C7" s="3" t="s">
        <v>3</v>
      </c>
      <c r="D7" s="11" t="s">
        <v>4</v>
      </c>
      <c r="E7" s="12" t="s">
        <v>5</v>
      </c>
      <c r="F7" s="11" t="s">
        <v>6</v>
      </c>
      <c r="G7" s="11" t="s">
        <v>3</v>
      </c>
      <c r="H7" s="3" t="s">
        <v>10</v>
      </c>
      <c r="I7" s="3" t="s">
        <v>5</v>
      </c>
      <c r="J7" s="16" t="s">
        <v>12</v>
      </c>
      <c r="K7" s="3" t="s">
        <v>11</v>
      </c>
      <c r="L7" s="1" t="s">
        <v>7</v>
      </c>
      <c r="M7" s="22" t="s">
        <v>5</v>
      </c>
      <c r="N7" s="2" t="s">
        <v>9</v>
      </c>
      <c r="O7" s="3" t="s">
        <v>8</v>
      </c>
      <c r="P7" s="3" t="s">
        <v>6</v>
      </c>
      <c r="Q7" s="13" t="s">
        <v>3</v>
      </c>
      <c r="R7" s="13" t="s">
        <v>144</v>
      </c>
      <c r="S7" s="13" t="s">
        <v>145</v>
      </c>
      <c r="T7" s="3" t="s">
        <v>16</v>
      </c>
    </row>
    <row r="8" spans="1:20" ht="13.5" customHeight="1" x14ac:dyDescent="0.25">
      <c r="A8" s="261" t="s">
        <v>141</v>
      </c>
      <c r="B8" s="165">
        <v>20</v>
      </c>
      <c r="C8" s="165">
        <v>1</v>
      </c>
      <c r="D8" s="261" t="s">
        <v>142</v>
      </c>
      <c r="E8" s="221" t="s">
        <v>159</v>
      </c>
      <c r="F8" s="236" t="s">
        <v>17</v>
      </c>
      <c r="G8" s="165">
        <f>F8*C8</f>
        <v>1</v>
      </c>
      <c r="H8" s="261" t="s">
        <v>139</v>
      </c>
      <c r="I8" s="263" t="s">
        <v>83</v>
      </c>
      <c r="J8" s="261">
        <v>1</v>
      </c>
      <c r="K8" s="165">
        <f>J8*G8</f>
        <v>1</v>
      </c>
      <c r="L8" s="120" t="s">
        <v>17</v>
      </c>
      <c r="M8" s="7" t="s">
        <v>83</v>
      </c>
      <c r="N8" s="104" t="s">
        <v>165</v>
      </c>
      <c r="O8" s="104">
        <v>1</v>
      </c>
      <c r="P8" s="78">
        <f>O8*$F$8</f>
        <v>1</v>
      </c>
      <c r="Q8" s="78">
        <f>P8*$C$8</f>
        <v>1</v>
      </c>
      <c r="R8" s="79">
        <f>Q8*0.51</f>
        <v>0.51</v>
      </c>
      <c r="S8" s="83" t="s">
        <v>146</v>
      </c>
      <c r="T8" s="34"/>
    </row>
    <row r="9" spans="1:20" ht="13.5" customHeight="1" x14ac:dyDescent="0.25">
      <c r="A9" s="230"/>
      <c r="B9" s="166"/>
      <c r="C9" s="166"/>
      <c r="D9" s="230"/>
      <c r="E9" s="221"/>
      <c r="F9" s="260"/>
      <c r="G9" s="166"/>
      <c r="H9" s="230"/>
      <c r="I9" s="233"/>
      <c r="J9" s="230"/>
      <c r="K9" s="166"/>
      <c r="L9" s="120" t="s">
        <v>18</v>
      </c>
      <c r="M9" s="20" t="s">
        <v>84</v>
      </c>
      <c r="N9" s="105" t="s">
        <v>85</v>
      </c>
      <c r="O9" s="105">
        <v>2</v>
      </c>
      <c r="P9" s="78">
        <f t="shared" ref="P9:P27" si="0">O9*$F$8</f>
        <v>2</v>
      </c>
      <c r="Q9" s="78">
        <f t="shared" ref="Q9:R27" si="1">P9*$C$8</f>
        <v>2</v>
      </c>
      <c r="R9" s="78">
        <f t="shared" si="1"/>
        <v>2</v>
      </c>
      <c r="S9" s="83" t="s">
        <v>147</v>
      </c>
      <c r="T9" s="34"/>
    </row>
    <row r="10" spans="1:20" ht="13.5" customHeight="1" x14ac:dyDescent="0.25">
      <c r="A10" s="230"/>
      <c r="B10" s="166"/>
      <c r="C10" s="166"/>
      <c r="D10" s="230"/>
      <c r="E10" s="221"/>
      <c r="F10" s="260"/>
      <c r="G10" s="166"/>
      <c r="H10" s="230"/>
      <c r="I10" s="233"/>
      <c r="J10" s="230"/>
      <c r="K10" s="166"/>
      <c r="L10" s="120" t="s">
        <v>19</v>
      </c>
      <c r="M10" s="20" t="s">
        <v>86</v>
      </c>
      <c r="N10" s="105" t="s">
        <v>87</v>
      </c>
      <c r="O10" s="105">
        <v>1</v>
      </c>
      <c r="P10" s="78">
        <f t="shared" si="0"/>
        <v>1</v>
      </c>
      <c r="Q10" s="78">
        <f t="shared" si="1"/>
        <v>1</v>
      </c>
      <c r="R10" s="78">
        <f t="shared" si="1"/>
        <v>1</v>
      </c>
      <c r="S10" s="83" t="s">
        <v>147</v>
      </c>
      <c r="T10" s="34"/>
    </row>
    <row r="11" spans="1:20" ht="13.5" customHeight="1" x14ac:dyDescent="0.25">
      <c r="A11" s="230"/>
      <c r="B11" s="166"/>
      <c r="C11" s="166"/>
      <c r="D11" s="230"/>
      <c r="E11" s="221"/>
      <c r="F11" s="260"/>
      <c r="G11" s="166"/>
      <c r="H11" s="230"/>
      <c r="I11" s="233"/>
      <c r="J11" s="230"/>
      <c r="K11" s="166"/>
      <c r="L11" s="120" t="s">
        <v>20</v>
      </c>
      <c r="M11" s="20" t="s">
        <v>88</v>
      </c>
      <c r="N11" s="105" t="s">
        <v>89</v>
      </c>
      <c r="O11" s="105">
        <v>1</v>
      </c>
      <c r="P11" s="78">
        <f t="shared" si="0"/>
        <v>1</v>
      </c>
      <c r="Q11" s="78">
        <f t="shared" si="1"/>
        <v>1</v>
      </c>
      <c r="R11" s="78">
        <f t="shared" si="1"/>
        <v>1</v>
      </c>
      <c r="S11" s="83" t="s">
        <v>147</v>
      </c>
      <c r="T11" s="34"/>
    </row>
    <row r="12" spans="1:20" ht="13.5" customHeight="1" thickBot="1" x14ac:dyDescent="0.3">
      <c r="A12" s="230"/>
      <c r="B12" s="166"/>
      <c r="C12" s="166"/>
      <c r="D12" s="230"/>
      <c r="E12" s="221"/>
      <c r="F12" s="260"/>
      <c r="G12" s="166"/>
      <c r="H12" s="262"/>
      <c r="I12" s="264"/>
      <c r="J12" s="262"/>
      <c r="K12" s="265"/>
      <c r="L12" s="133" t="s">
        <v>21</v>
      </c>
      <c r="M12" s="28" t="s">
        <v>90</v>
      </c>
      <c r="N12" s="106" t="s">
        <v>91</v>
      </c>
      <c r="O12" s="106">
        <v>2</v>
      </c>
      <c r="P12" s="80">
        <f t="shared" si="0"/>
        <v>2</v>
      </c>
      <c r="Q12" s="80">
        <f t="shared" si="1"/>
        <v>2</v>
      </c>
      <c r="R12" s="80">
        <f t="shared" si="1"/>
        <v>2</v>
      </c>
      <c r="S12" s="84" t="s">
        <v>147</v>
      </c>
      <c r="T12" s="36"/>
    </row>
    <row r="13" spans="1:20" ht="13.5" customHeight="1" x14ac:dyDescent="0.25">
      <c r="A13" s="230"/>
      <c r="B13" s="166"/>
      <c r="C13" s="166"/>
      <c r="D13" s="230"/>
      <c r="E13" s="221"/>
      <c r="F13" s="260"/>
      <c r="G13" s="166"/>
      <c r="H13" s="130" t="s">
        <v>33</v>
      </c>
      <c r="I13" s="24" t="s">
        <v>92</v>
      </c>
      <c r="J13" s="130" t="s">
        <v>33</v>
      </c>
      <c r="K13" s="93" t="s">
        <v>33</v>
      </c>
      <c r="L13" s="134" t="s">
        <v>17</v>
      </c>
      <c r="M13" s="24" t="s">
        <v>92</v>
      </c>
      <c r="N13" s="108" t="s">
        <v>93</v>
      </c>
      <c r="O13" s="107">
        <v>1</v>
      </c>
      <c r="P13" s="81">
        <f t="shared" si="0"/>
        <v>1</v>
      </c>
      <c r="Q13" s="81">
        <f t="shared" si="1"/>
        <v>1</v>
      </c>
      <c r="R13" s="82">
        <f>1.5*Q13</f>
        <v>1.5</v>
      </c>
      <c r="S13" s="101" t="s">
        <v>146</v>
      </c>
      <c r="T13" s="35"/>
    </row>
    <row r="14" spans="1:20" ht="13.5" customHeight="1" x14ac:dyDescent="0.25">
      <c r="A14" s="230"/>
      <c r="B14" s="166"/>
      <c r="C14" s="166"/>
      <c r="D14" s="230"/>
      <c r="E14" s="221"/>
      <c r="F14" s="260"/>
      <c r="G14" s="166"/>
      <c r="H14" s="131" t="s">
        <v>33</v>
      </c>
      <c r="I14" s="7" t="s">
        <v>94</v>
      </c>
      <c r="J14" s="131" t="s">
        <v>33</v>
      </c>
      <c r="K14" s="135" t="s">
        <v>33</v>
      </c>
      <c r="L14" s="120" t="s">
        <v>18</v>
      </c>
      <c r="M14" s="7" t="s">
        <v>94</v>
      </c>
      <c r="N14" s="104" t="s">
        <v>163</v>
      </c>
      <c r="O14" s="104">
        <v>1</v>
      </c>
      <c r="P14" s="78">
        <f t="shared" si="0"/>
        <v>1</v>
      </c>
      <c r="Q14" s="78">
        <f t="shared" si="1"/>
        <v>1</v>
      </c>
      <c r="R14" s="79">
        <f>1.2*Q14</f>
        <v>1.2</v>
      </c>
      <c r="S14" s="83" t="s">
        <v>146</v>
      </c>
      <c r="T14" s="34"/>
    </row>
    <row r="15" spans="1:20" ht="13.5" customHeight="1" x14ac:dyDescent="0.25">
      <c r="A15" s="230"/>
      <c r="B15" s="166"/>
      <c r="C15" s="166"/>
      <c r="D15" s="230"/>
      <c r="E15" s="221"/>
      <c r="F15" s="260"/>
      <c r="G15" s="166"/>
      <c r="H15" s="131" t="s">
        <v>33</v>
      </c>
      <c r="I15" s="21" t="s">
        <v>95</v>
      </c>
      <c r="J15" s="131" t="s">
        <v>33</v>
      </c>
      <c r="K15" s="135" t="s">
        <v>33</v>
      </c>
      <c r="L15" s="120" t="s">
        <v>19</v>
      </c>
      <c r="M15" s="21" t="s">
        <v>95</v>
      </c>
      <c r="N15" s="86" t="s">
        <v>225</v>
      </c>
      <c r="O15" s="83">
        <v>1</v>
      </c>
      <c r="P15" s="78">
        <f t="shared" si="0"/>
        <v>1</v>
      </c>
      <c r="Q15" s="78">
        <f t="shared" si="1"/>
        <v>1</v>
      </c>
      <c r="R15" s="78">
        <f t="shared" si="1"/>
        <v>1</v>
      </c>
      <c r="S15" s="83" t="s">
        <v>147</v>
      </c>
      <c r="T15" s="34"/>
    </row>
    <row r="16" spans="1:20" ht="13.5" customHeight="1" thickBot="1" x14ac:dyDescent="0.3">
      <c r="A16" s="230"/>
      <c r="B16" s="166"/>
      <c r="C16" s="166"/>
      <c r="D16" s="230"/>
      <c r="E16" s="221"/>
      <c r="F16" s="260"/>
      <c r="G16" s="166"/>
      <c r="H16" s="132" t="s">
        <v>33</v>
      </c>
      <c r="I16" s="23" t="s">
        <v>162</v>
      </c>
      <c r="J16" s="132" t="s">
        <v>33</v>
      </c>
      <c r="K16" s="136" t="s">
        <v>33</v>
      </c>
      <c r="L16" s="133" t="s">
        <v>20</v>
      </c>
      <c r="M16" s="23" t="s">
        <v>162</v>
      </c>
      <c r="N16" s="102" t="s">
        <v>33</v>
      </c>
      <c r="O16" s="84">
        <v>1</v>
      </c>
      <c r="P16" s="80">
        <f t="shared" si="0"/>
        <v>1</v>
      </c>
      <c r="Q16" s="80">
        <f t="shared" si="1"/>
        <v>1</v>
      </c>
      <c r="R16" s="80">
        <f t="shared" si="1"/>
        <v>1</v>
      </c>
      <c r="S16" s="84" t="s">
        <v>147</v>
      </c>
      <c r="T16" s="36"/>
    </row>
    <row r="17" spans="1:20" ht="13.5" customHeight="1" x14ac:dyDescent="0.25">
      <c r="A17" s="230"/>
      <c r="B17" s="166"/>
      <c r="C17" s="166"/>
      <c r="D17" s="230"/>
      <c r="E17" s="221"/>
      <c r="F17" s="260"/>
      <c r="G17" s="166"/>
      <c r="H17" s="229" t="s">
        <v>140</v>
      </c>
      <c r="I17" s="232" t="s">
        <v>47</v>
      </c>
      <c r="J17" s="229" t="s">
        <v>17</v>
      </c>
      <c r="K17" s="235">
        <f>J17*G8</f>
        <v>1</v>
      </c>
      <c r="L17" s="137" t="s">
        <v>17</v>
      </c>
      <c r="M17" s="30" t="s">
        <v>107</v>
      </c>
      <c r="N17" s="109" t="s">
        <v>108</v>
      </c>
      <c r="O17" s="105">
        <v>1</v>
      </c>
      <c r="P17" s="85">
        <f t="shared" si="0"/>
        <v>1</v>
      </c>
      <c r="Q17" s="85">
        <f t="shared" si="1"/>
        <v>1</v>
      </c>
      <c r="R17" s="85">
        <f t="shared" si="1"/>
        <v>1</v>
      </c>
      <c r="S17" s="103" t="s">
        <v>147</v>
      </c>
      <c r="T17" s="35"/>
    </row>
    <row r="18" spans="1:20" ht="13.5" customHeight="1" x14ac:dyDescent="0.25">
      <c r="A18" s="230"/>
      <c r="B18" s="166"/>
      <c r="C18" s="166"/>
      <c r="D18" s="230"/>
      <c r="E18" s="221"/>
      <c r="F18" s="260"/>
      <c r="G18" s="166"/>
      <c r="H18" s="230"/>
      <c r="I18" s="233"/>
      <c r="J18" s="230"/>
      <c r="K18" s="166"/>
      <c r="L18" s="120" t="s">
        <v>18</v>
      </c>
      <c r="M18" s="26" t="s">
        <v>109</v>
      </c>
      <c r="N18" s="110" t="s">
        <v>108</v>
      </c>
      <c r="O18" s="105">
        <v>2</v>
      </c>
      <c r="P18" s="78">
        <f t="shared" si="0"/>
        <v>2</v>
      </c>
      <c r="Q18" s="78">
        <f t="shared" si="1"/>
        <v>2</v>
      </c>
      <c r="R18" s="78">
        <f t="shared" si="1"/>
        <v>2</v>
      </c>
      <c r="S18" s="83" t="s">
        <v>147</v>
      </c>
      <c r="T18" s="34"/>
    </row>
    <row r="19" spans="1:20" ht="13.5" customHeight="1" x14ac:dyDescent="0.25">
      <c r="A19" s="230"/>
      <c r="B19" s="166"/>
      <c r="C19" s="166"/>
      <c r="D19" s="230"/>
      <c r="E19" s="221"/>
      <c r="F19" s="260"/>
      <c r="G19" s="166"/>
      <c r="H19" s="230"/>
      <c r="I19" s="233"/>
      <c r="J19" s="230"/>
      <c r="K19" s="166"/>
      <c r="L19" s="120" t="s">
        <v>19</v>
      </c>
      <c r="M19" s="26" t="s">
        <v>110</v>
      </c>
      <c r="N19" s="110" t="s">
        <v>108</v>
      </c>
      <c r="O19" s="105">
        <v>1</v>
      </c>
      <c r="P19" s="78">
        <f t="shared" si="0"/>
        <v>1</v>
      </c>
      <c r="Q19" s="78">
        <f t="shared" si="1"/>
        <v>1</v>
      </c>
      <c r="R19" s="78">
        <f t="shared" si="1"/>
        <v>1</v>
      </c>
      <c r="S19" s="83" t="s">
        <v>147</v>
      </c>
      <c r="T19" s="34"/>
    </row>
    <row r="20" spans="1:20" ht="13.5" customHeight="1" x14ac:dyDescent="0.25">
      <c r="A20" s="230"/>
      <c r="B20" s="166"/>
      <c r="C20" s="166"/>
      <c r="D20" s="230"/>
      <c r="E20" s="221"/>
      <c r="F20" s="260"/>
      <c r="G20" s="166"/>
      <c r="H20" s="230"/>
      <c r="I20" s="233"/>
      <c r="J20" s="230"/>
      <c r="K20" s="166"/>
      <c r="L20" s="120" t="s">
        <v>20</v>
      </c>
      <c r="M20" s="26" t="s">
        <v>111</v>
      </c>
      <c r="N20" s="110" t="s">
        <v>108</v>
      </c>
      <c r="O20" s="105">
        <v>1</v>
      </c>
      <c r="P20" s="78">
        <f t="shared" si="0"/>
        <v>1</v>
      </c>
      <c r="Q20" s="78">
        <f t="shared" si="1"/>
        <v>1</v>
      </c>
      <c r="R20" s="78">
        <f t="shared" si="1"/>
        <v>1</v>
      </c>
      <c r="S20" s="83" t="s">
        <v>147</v>
      </c>
      <c r="T20" s="34"/>
    </row>
    <row r="21" spans="1:20" ht="13.5" customHeight="1" x14ac:dyDescent="0.25">
      <c r="A21" s="230"/>
      <c r="B21" s="166"/>
      <c r="C21" s="166"/>
      <c r="D21" s="230"/>
      <c r="E21" s="221"/>
      <c r="F21" s="260"/>
      <c r="G21" s="166"/>
      <c r="H21" s="230"/>
      <c r="I21" s="233"/>
      <c r="J21" s="230"/>
      <c r="K21" s="166"/>
      <c r="L21" s="120" t="s">
        <v>21</v>
      </c>
      <c r="M21" s="26" t="s">
        <v>112</v>
      </c>
      <c r="N21" s="98" t="s">
        <v>113</v>
      </c>
      <c r="O21" s="104">
        <v>2</v>
      </c>
      <c r="P21" s="78">
        <f t="shared" si="0"/>
        <v>2</v>
      </c>
      <c r="Q21" s="78">
        <f t="shared" si="1"/>
        <v>2</v>
      </c>
      <c r="R21" s="78">
        <f t="shared" si="1"/>
        <v>2</v>
      </c>
      <c r="S21" s="83" t="s">
        <v>147</v>
      </c>
      <c r="T21" s="34"/>
    </row>
    <row r="22" spans="1:20" ht="13.5" customHeight="1" x14ac:dyDescent="0.25">
      <c r="A22" s="230"/>
      <c r="B22" s="166"/>
      <c r="C22" s="166"/>
      <c r="D22" s="230"/>
      <c r="E22" s="221"/>
      <c r="F22" s="260"/>
      <c r="G22" s="166"/>
      <c r="H22" s="230"/>
      <c r="I22" s="233"/>
      <c r="J22" s="230"/>
      <c r="K22" s="166"/>
      <c r="L22" s="134" t="s">
        <v>22</v>
      </c>
      <c r="M22" s="30" t="s">
        <v>164</v>
      </c>
      <c r="N22" s="100" t="s">
        <v>114</v>
      </c>
      <c r="O22" s="107">
        <v>1</v>
      </c>
      <c r="P22" s="81">
        <f t="shared" si="0"/>
        <v>1</v>
      </c>
      <c r="Q22" s="81">
        <f t="shared" si="1"/>
        <v>1</v>
      </c>
      <c r="R22" s="81">
        <f t="shared" si="1"/>
        <v>1</v>
      </c>
      <c r="S22" s="101" t="s">
        <v>147</v>
      </c>
      <c r="T22" s="34"/>
    </row>
    <row r="23" spans="1:20" ht="13.5" customHeight="1" x14ac:dyDescent="0.25">
      <c r="A23" s="230"/>
      <c r="B23" s="166"/>
      <c r="C23" s="166"/>
      <c r="D23" s="230"/>
      <c r="E23" s="221"/>
      <c r="F23" s="260"/>
      <c r="G23" s="166"/>
      <c r="H23" s="230"/>
      <c r="I23" s="233"/>
      <c r="J23" s="230"/>
      <c r="K23" s="166"/>
      <c r="L23" s="120" t="s">
        <v>23</v>
      </c>
      <c r="M23" s="26" t="s">
        <v>115</v>
      </c>
      <c r="N23" s="98" t="s">
        <v>36</v>
      </c>
      <c r="O23" s="104">
        <v>1</v>
      </c>
      <c r="P23" s="78">
        <f t="shared" si="0"/>
        <v>1</v>
      </c>
      <c r="Q23" s="78">
        <f t="shared" si="1"/>
        <v>1</v>
      </c>
      <c r="R23" s="78">
        <f t="shared" si="1"/>
        <v>1</v>
      </c>
      <c r="S23" s="83" t="s">
        <v>147</v>
      </c>
      <c r="T23" s="34"/>
    </row>
    <row r="24" spans="1:20" ht="13.5" customHeight="1" x14ac:dyDescent="0.25">
      <c r="A24" s="230"/>
      <c r="B24" s="166"/>
      <c r="C24" s="166"/>
      <c r="D24" s="230"/>
      <c r="E24" s="221"/>
      <c r="F24" s="260"/>
      <c r="G24" s="166"/>
      <c r="H24" s="230"/>
      <c r="I24" s="233"/>
      <c r="J24" s="230"/>
      <c r="K24" s="166"/>
      <c r="L24" s="120" t="s">
        <v>24</v>
      </c>
      <c r="M24" s="26" t="s">
        <v>116</v>
      </c>
      <c r="N24" s="98" t="s">
        <v>36</v>
      </c>
      <c r="O24" s="83">
        <v>1</v>
      </c>
      <c r="P24" s="78">
        <f t="shared" si="0"/>
        <v>1</v>
      </c>
      <c r="Q24" s="78">
        <f t="shared" si="1"/>
        <v>1</v>
      </c>
      <c r="R24" s="78">
        <f t="shared" si="1"/>
        <v>1</v>
      </c>
      <c r="S24" s="83" t="s">
        <v>147</v>
      </c>
      <c r="T24" s="34"/>
    </row>
    <row r="25" spans="1:20" ht="13.5" customHeight="1" x14ac:dyDescent="0.25">
      <c r="A25" s="230"/>
      <c r="B25" s="166"/>
      <c r="C25" s="166"/>
      <c r="D25" s="230"/>
      <c r="E25" s="221"/>
      <c r="F25" s="260"/>
      <c r="G25" s="166"/>
      <c r="H25" s="230"/>
      <c r="I25" s="233"/>
      <c r="J25" s="230"/>
      <c r="K25" s="166"/>
      <c r="L25" s="140" t="s">
        <v>25</v>
      </c>
      <c r="M25" s="26" t="s">
        <v>249</v>
      </c>
      <c r="N25" s="98" t="s">
        <v>250</v>
      </c>
      <c r="O25" s="83">
        <v>1</v>
      </c>
      <c r="P25" s="146">
        <f t="shared" si="0"/>
        <v>1</v>
      </c>
      <c r="Q25" s="146">
        <f t="shared" si="1"/>
        <v>1</v>
      </c>
      <c r="R25" s="146">
        <f t="shared" si="1"/>
        <v>1</v>
      </c>
      <c r="S25" s="83" t="s">
        <v>147</v>
      </c>
      <c r="T25" s="34"/>
    </row>
    <row r="26" spans="1:20" ht="13.5" customHeight="1" x14ac:dyDescent="0.25">
      <c r="A26" s="230"/>
      <c r="B26" s="166"/>
      <c r="C26" s="166"/>
      <c r="D26" s="230"/>
      <c r="E26" s="221"/>
      <c r="F26" s="260"/>
      <c r="G26" s="166"/>
      <c r="H26" s="230"/>
      <c r="I26" s="233"/>
      <c r="J26" s="230"/>
      <c r="K26" s="166"/>
      <c r="L26" s="140" t="s">
        <v>26</v>
      </c>
      <c r="M26" s="26" t="s">
        <v>249</v>
      </c>
      <c r="N26" s="98" t="s">
        <v>251</v>
      </c>
      <c r="O26" s="83">
        <v>1</v>
      </c>
      <c r="P26" s="146">
        <f t="shared" si="0"/>
        <v>1</v>
      </c>
      <c r="Q26" s="146">
        <f t="shared" si="1"/>
        <v>1</v>
      </c>
      <c r="R26" s="146">
        <f t="shared" si="1"/>
        <v>1</v>
      </c>
      <c r="S26" s="83" t="s">
        <v>147</v>
      </c>
      <c r="T26" s="34"/>
    </row>
    <row r="27" spans="1:20" ht="13.5" customHeight="1" x14ac:dyDescent="0.25">
      <c r="A27" s="231"/>
      <c r="B27" s="167"/>
      <c r="C27" s="167"/>
      <c r="D27" s="231"/>
      <c r="E27" s="221"/>
      <c r="F27" s="218"/>
      <c r="G27" s="167"/>
      <c r="H27" s="231"/>
      <c r="I27" s="234"/>
      <c r="J27" s="231"/>
      <c r="K27" s="167"/>
      <c r="L27" s="140" t="s">
        <v>27</v>
      </c>
      <c r="M27" s="31" t="s">
        <v>119</v>
      </c>
      <c r="N27" s="110" t="s">
        <v>108</v>
      </c>
      <c r="O27" s="83">
        <v>1</v>
      </c>
      <c r="P27" s="78">
        <f t="shared" si="0"/>
        <v>1</v>
      </c>
      <c r="Q27" s="78">
        <f t="shared" si="1"/>
        <v>1</v>
      </c>
      <c r="R27" s="78">
        <f t="shared" si="1"/>
        <v>1</v>
      </c>
      <c r="S27" s="83" t="s">
        <v>147</v>
      </c>
      <c r="T27" s="34"/>
    </row>
  </sheetData>
  <mergeCells count="16">
    <mergeCell ref="E8:E27"/>
    <mergeCell ref="A6:C6"/>
    <mergeCell ref="A8:A27"/>
    <mergeCell ref="B8:B27"/>
    <mergeCell ref="C8:C27"/>
    <mergeCell ref="D8:D27"/>
    <mergeCell ref="K8:K12"/>
    <mergeCell ref="H17:H27"/>
    <mergeCell ref="I17:I27"/>
    <mergeCell ref="J17:J27"/>
    <mergeCell ref="K17:K27"/>
    <mergeCell ref="F8:F27"/>
    <mergeCell ref="G8:G27"/>
    <mergeCell ref="H8:H12"/>
    <mergeCell ref="I8:I12"/>
    <mergeCell ref="J8:J12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درام</vt:lpstr>
      <vt:lpstr>پایه ثابت</vt:lpstr>
      <vt:lpstr>پایه متحرک</vt:lpstr>
      <vt:lpstr>قاب</vt:lpstr>
      <vt:lpstr>سیستم محرک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2019-09-05T06:40:30Z</dcterms:modified>
</cp:coreProperties>
</file>